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comments3.xml" ContentType="application/vnd.openxmlformats-officedocument.spreadsheetml.comments+xml"/>
  <Override PartName="/xl/drawings/drawing7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8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comments4.xml" ContentType="application/vnd.openxmlformats-officedocument.spreadsheetml.comments+xml"/>
  <Override PartName="/xl/drawings/drawing9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comments5.xml" ContentType="application/vnd.openxmlformats-officedocument.spreadsheetml.comments+xml"/>
  <Override PartName="/xl/drawings/drawing10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" yWindow="2115" windowWidth="16050" windowHeight="10530" tabRatio="579" activeTab="11"/>
  </bookViews>
  <sheets>
    <sheet name="FLEURY" sheetId="1" r:id="rId1"/>
    <sheet name="AIX" sheetId="2" r:id="rId2"/>
    <sheet name="LYON" sheetId="3" r:id="rId3"/>
    <sheet name="BORDEAUX" sheetId="4" r:id="rId4"/>
    <sheet name="NANCY" sheetId="5" r:id="rId5"/>
    <sheet name="RENNES" sheetId="6" r:id="rId6"/>
    <sheet name="BEAUVAIS" sheetId="7" r:id="rId7"/>
    <sheet name="TOULOUSE" sheetId="8" r:id="rId8"/>
    <sheet name="SIEGE" sheetId="9" r:id="rId9"/>
    <sheet name="CENTRALISATION" sheetId="10" r:id="rId10"/>
    <sheet name="CENTRALISATION (2)" sheetId="11" state="hidden" r:id="rId11"/>
    <sheet name="compte" sheetId="12" r:id="rId12"/>
  </sheets>
  <functionGroups builtInGroupCount="17"/>
  <definedNames>
    <definedName name="COMPTE">compte!$A$2:$A$30</definedName>
    <definedName name="_xlnm.Print_Titles" localSheetId="1">AIX!$1:$3</definedName>
    <definedName name="_xlnm.Print_Titles" localSheetId="3">BORDEAUX!$1:$4</definedName>
    <definedName name="_xlnm.Print_Titles" localSheetId="9">CENTRALISATION!$3:$3</definedName>
    <definedName name="_xlnm.Print_Titles" localSheetId="10">'CENTRALISATION (2)'!$3:$3</definedName>
    <definedName name="_xlnm.Print_Titles" localSheetId="0">FLEURY!$1:$3</definedName>
    <definedName name="_xlnm.Print_Titles" localSheetId="5">RENNES!$1:$4</definedName>
    <definedName name="_xlnm.Print_Titles" localSheetId="8">SIEGE!$1:$2</definedName>
    <definedName name="Z_4BA9EA0D_01E7_49D1_8245_80B9A9A68B6F_.wvu.PrintArea" localSheetId="1" hidden="1">AIX!$A$1:$V$202</definedName>
    <definedName name="Z_4BA9EA0D_01E7_49D1_8245_80B9A9A68B6F_.wvu.PrintArea" localSheetId="6" hidden="1">BEAUVAIS!$A$1:$V$197</definedName>
    <definedName name="Z_4BA9EA0D_01E7_49D1_8245_80B9A9A68B6F_.wvu.PrintArea" localSheetId="3" hidden="1">BORDEAUX!$A$1:$V$199</definedName>
    <definedName name="Z_4BA9EA0D_01E7_49D1_8245_80B9A9A68B6F_.wvu.PrintArea" localSheetId="9" hidden="1">CENTRALISATION!$A$1:$V$813</definedName>
    <definedName name="Z_4BA9EA0D_01E7_49D1_8245_80B9A9A68B6F_.wvu.PrintArea" localSheetId="10" hidden="1">'CENTRALISATION (2)'!$A$1:$U$812</definedName>
    <definedName name="Z_4BA9EA0D_01E7_49D1_8245_80B9A9A68B6F_.wvu.PrintArea" localSheetId="0" hidden="1">FLEURY!$A:$W</definedName>
    <definedName name="Z_4BA9EA0D_01E7_49D1_8245_80B9A9A68B6F_.wvu.PrintArea" localSheetId="2" hidden="1">LYON!$A$1:$V$184</definedName>
    <definedName name="Z_4BA9EA0D_01E7_49D1_8245_80B9A9A68B6F_.wvu.PrintArea" localSheetId="4" hidden="1">NANCY!$A$1:$V$136</definedName>
    <definedName name="Z_4BA9EA0D_01E7_49D1_8245_80B9A9A68B6F_.wvu.PrintArea" localSheetId="5" hidden="1">RENNES!$A$1:$V$190</definedName>
    <definedName name="Z_4BA9EA0D_01E7_49D1_8245_80B9A9A68B6F_.wvu.PrintArea" localSheetId="7" hidden="1">TOULOUSE!$A$1:$V$119</definedName>
    <definedName name="Z_4BA9EA0D_01E7_49D1_8245_80B9A9A68B6F_.wvu.PrintTitles" localSheetId="1" hidden="1">AIX!$1:$3</definedName>
    <definedName name="Z_4BA9EA0D_01E7_49D1_8245_80B9A9A68B6F_.wvu.PrintTitles" localSheetId="3" hidden="1">BORDEAUX!$1:$4</definedName>
    <definedName name="Z_4BA9EA0D_01E7_49D1_8245_80B9A9A68B6F_.wvu.PrintTitles" localSheetId="9" hidden="1">CENTRALISATION!$3:$3</definedName>
    <definedName name="Z_4BA9EA0D_01E7_49D1_8245_80B9A9A68B6F_.wvu.PrintTitles" localSheetId="10" hidden="1">'CENTRALISATION (2)'!$3:$3</definedName>
    <definedName name="Z_4BA9EA0D_01E7_49D1_8245_80B9A9A68B6F_.wvu.PrintTitles" localSheetId="0" hidden="1">FLEURY!$1:$3</definedName>
    <definedName name="Z_4BA9EA0D_01E7_49D1_8245_80B9A9A68B6F_.wvu.PrintTitles" localSheetId="5" hidden="1">RENNES!$1:$4</definedName>
    <definedName name="Z_4BA9EA0D_01E7_49D1_8245_80B9A9A68B6F_.wvu.PrintTitles" localSheetId="8" hidden="1">SIEGE!$1:$2</definedName>
    <definedName name="Z_B5B04B19_0628_445C_9CF3_7F5D4D937774_.wvu.PrintArea" localSheetId="1" hidden="1">AIX!$A$1:$V$202</definedName>
    <definedName name="Z_B5B04B19_0628_445C_9CF3_7F5D4D937774_.wvu.PrintArea" localSheetId="6" hidden="1">BEAUVAIS!$A$1:$V$197</definedName>
    <definedName name="Z_B5B04B19_0628_445C_9CF3_7F5D4D937774_.wvu.PrintArea" localSheetId="3" hidden="1">BORDEAUX!$A$1:$V$199</definedName>
    <definedName name="Z_B5B04B19_0628_445C_9CF3_7F5D4D937774_.wvu.PrintArea" localSheetId="9" hidden="1">CENTRALISATION!$A$1:$V$813</definedName>
    <definedName name="Z_B5B04B19_0628_445C_9CF3_7F5D4D937774_.wvu.PrintArea" localSheetId="10" hidden="1">'CENTRALISATION (2)'!$A$1:$U$812</definedName>
    <definedName name="Z_B5B04B19_0628_445C_9CF3_7F5D4D937774_.wvu.PrintArea" localSheetId="0" hidden="1">FLEURY!$A:$W</definedName>
    <definedName name="Z_B5B04B19_0628_445C_9CF3_7F5D4D937774_.wvu.PrintArea" localSheetId="2" hidden="1">LYON!$A$1:$V$184</definedName>
    <definedName name="Z_B5B04B19_0628_445C_9CF3_7F5D4D937774_.wvu.PrintArea" localSheetId="4" hidden="1">NANCY!$A$1:$V$136</definedName>
    <definedName name="Z_B5B04B19_0628_445C_9CF3_7F5D4D937774_.wvu.PrintArea" localSheetId="5" hidden="1">RENNES!$A$1:$V$190</definedName>
    <definedName name="Z_B5B04B19_0628_445C_9CF3_7F5D4D937774_.wvu.PrintArea" localSheetId="7" hidden="1">TOULOUSE!$A$1:$V$119</definedName>
    <definedName name="Z_B5B04B19_0628_445C_9CF3_7F5D4D937774_.wvu.PrintTitles" localSheetId="1" hidden="1">AIX!$1:$3</definedName>
    <definedName name="Z_B5B04B19_0628_445C_9CF3_7F5D4D937774_.wvu.PrintTitles" localSheetId="3" hidden="1">BORDEAUX!$1:$4</definedName>
    <definedName name="Z_B5B04B19_0628_445C_9CF3_7F5D4D937774_.wvu.PrintTitles" localSheetId="9" hidden="1">CENTRALISATION!$3:$3</definedName>
    <definedName name="Z_B5B04B19_0628_445C_9CF3_7F5D4D937774_.wvu.PrintTitles" localSheetId="10" hidden="1">'CENTRALISATION (2)'!$3:$3</definedName>
    <definedName name="Z_B5B04B19_0628_445C_9CF3_7F5D4D937774_.wvu.PrintTitles" localSheetId="0" hidden="1">FLEURY!$1:$3</definedName>
    <definedName name="Z_B5B04B19_0628_445C_9CF3_7F5D4D937774_.wvu.PrintTitles" localSheetId="5" hidden="1">RENNES!$1:$4</definedName>
    <definedName name="Z_B5B04B19_0628_445C_9CF3_7F5D4D937774_.wvu.PrintTitles" localSheetId="8" hidden="1">SIEGE!$1:$2</definedName>
    <definedName name="Z_C8B269C8_9E4E_47CC_A407_F213FAC1E35C_.wvu.PrintArea" localSheetId="1" hidden="1">AIX!$A$1:$V$202</definedName>
    <definedName name="Z_C8B269C8_9E4E_47CC_A407_F213FAC1E35C_.wvu.PrintArea" localSheetId="6" hidden="1">BEAUVAIS!$A$1:$V$197</definedName>
    <definedName name="Z_C8B269C8_9E4E_47CC_A407_F213FAC1E35C_.wvu.PrintArea" localSheetId="3" hidden="1">BORDEAUX!$A$1:$V$199</definedName>
    <definedName name="Z_C8B269C8_9E4E_47CC_A407_F213FAC1E35C_.wvu.PrintArea" localSheetId="9" hidden="1">CENTRALISATION!$A$1:$V$813</definedName>
    <definedName name="Z_C8B269C8_9E4E_47CC_A407_F213FAC1E35C_.wvu.PrintArea" localSheetId="10" hidden="1">'CENTRALISATION (2)'!$A$1:$U$812</definedName>
    <definedName name="Z_C8B269C8_9E4E_47CC_A407_F213FAC1E35C_.wvu.PrintArea" localSheetId="0" hidden="1">FLEURY!$A:$W</definedName>
    <definedName name="Z_C8B269C8_9E4E_47CC_A407_F213FAC1E35C_.wvu.PrintArea" localSheetId="2" hidden="1">LYON!$A$1:$V$184</definedName>
    <definedName name="Z_C8B269C8_9E4E_47CC_A407_F213FAC1E35C_.wvu.PrintArea" localSheetId="4" hidden="1">NANCY!$A$1:$V$136</definedName>
    <definedName name="Z_C8B269C8_9E4E_47CC_A407_F213FAC1E35C_.wvu.PrintArea" localSheetId="5" hidden="1">RENNES!$A$1:$V$190</definedName>
    <definedName name="Z_C8B269C8_9E4E_47CC_A407_F213FAC1E35C_.wvu.PrintArea" localSheetId="7" hidden="1">TOULOUSE!$A$1:$V$119</definedName>
    <definedName name="Z_C8B269C8_9E4E_47CC_A407_F213FAC1E35C_.wvu.PrintTitles" localSheetId="1" hidden="1">AIX!$1:$3</definedName>
    <definedName name="Z_C8B269C8_9E4E_47CC_A407_F213FAC1E35C_.wvu.PrintTitles" localSheetId="3" hidden="1">BORDEAUX!$1:$4</definedName>
    <definedName name="Z_C8B269C8_9E4E_47CC_A407_F213FAC1E35C_.wvu.PrintTitles" localSheetId="9" hidden="1">CENTRALISATION!$3:$3</definedName>
    <definedName name="Z_C8B269C8_9E4E_47CC_A407_F213FAC1E35C_.wvu.PrintTitles" localSheetId="10" hidden="1">'CENTRALISATION (2)'!$3:$3</definedName>
    <definedName name="Z_C8B269C8_9E4E_47CC_A407_F213FAC1E35C_.wvu.PrintTitles" localSheetId="0" hidden="1">FLEURY!$1:$3</definedName>
    <definedName name="Z_C8B269C8_9E4E_47CC_A407_F213FAC1E35C_.wvu.PrintTitles" localSheetId="5" hidden="1">RENNES!$1:$4</definedName>
    <definedName name="Z_C8B269C8_9E4E_47CC_A407_F213FAC1E35C_.wvu.PrintTitles" localSheetId="8" hidden="1">SIEGE!$1:$2</definedName>
    <definedName name="Z_DD021BEF_F767_4779_A362_C9308ACC088B_.wvu.PrintArea" localSheetId="1" hidden="1">AIX!$A$1:$V$202</definedName>
    <definedName name="Z_DD021BEF_F767_4779_A362_C9308ACC088B_.wvu.PrintArea" localSheetId="6" hidden="1">BEAUVAIS!$A$1:$V$197</definedName>
    <definedName name="Z_DD021BEF_F767_4779_A362_C9308ACC088B_.wvu.PrintArea" localSheetId="3" hidden="1">BORDEAUX!$A$1:$V$199</definedName>
    <definedName name="Z_DD021BEF_F767_4779_A362_C9308ACC088B_.wvu.PrintArea" localSheetId="9" hidden="1">CENTRALISATION!$A$1:$V$813</definedName>
    <definedName name="Z_DD021BEF_F767_4779_A362_C9308ACC088B_.wvu.PrintArea" localSheetId="10" hidden="1">'CENTRALISATION (2)'!$A$1:$U$812</definedName>
    <definedName name="Z_DD021BEF_F767_4779_A362_C9308ACC088B_.wvu.PrintArea" localSheetId="0" hidden="1">FLEURY!$A:$W</definedName>
    <definedName name="Z_DD021BEF_F767_4779_A362_C9308ACC088B_.wvu.PrintArea" localSheetId="2" hidden="1">LYON!$A$1:$V$184</definedName>
    <definedName name="Z_DD021BEF_F767_4779_A362_C9308ACC088B_.wvu.PrintArea" localSheetId="4" hidden="1">NANCY!$A$1:$V$136</definedName>
    <definedName name="Z_DD021BEF_F767_4779_A362_C9308ACC088B_.wvu.PrintArea" localSheetId="5" hidden="1">RENNES!$A$1:$V$190</definedName>
    <definedName name="Z_DD021BEF_F767_4779_A362_C9308ACC088B_.wvu.PrintArea" localSheetId="7" hidden="1">TOULOUSE!$A$1:$V$119</definedName>
    <definedName name="Z_DD021BEF_F767_4779_A362_C9308ACC088B_.wvu.PrintTitles" localSheetId="1" hidden="1">AIX!$1:$3</definedName>
    <definedName name="Z_DD021BEF_F767_4779_A362_C9308ACC088B_.wvu.PrintTitles" localSheetId="3" hidden="1">BORDEAUX!$1:$4</definedName>
    <definedName name="Z_DD021BEF_F767_4779_A362_C9308ACC088B_.wvu.PrintTitles" localSheetId="9" hidden="1">CENTRALISATION!$3:$3</definedName>
    <definedName name="Z_DD021BEF_F767_4779_A362_C9308ACC088B_.wvu.PrintTitles" localSheetId="10" hidden="1">'CENTRALISATION (2)'!$3:$3</definedName>
    <definedName name="Z_DD021BEF_F767_4779_A362_C9308ACC088B_.wvu.PrintTitles" localSheetId="0" hidden="1">FLEURY!$1:$3</definedName>
    <definedName name="Z_DD021BEF_F767_4779_A362_C9308ACC088B_.wvu.PrintTitles" localSheetId="5" hidden="1">RENNES!$1:$4</definedName>
    <definedName name="Z_DD021BEF_F767_4779_A362_C9308ACC088B_.wvu.PrintTitles" localSheetId="8" hidden="1">SIEGE!$1:$2</definedName>
    <definedName name="_xlnm.Print_Area" localSheetId="1">AIX!$A$1:$V$202</definedName>
    <definedName name="_xlnm.Print_Area" localSheetId="6">BEAUVAIS!$A$1:$V$197</definedName>
    <definedName name="_xlnm.Print_Area" localSheetId="3">BORDEAUX!$A$1:$V$199</definedName>
    <definedName name="_xlnm.Print_Area" localSheetId="9">CENTRALISATION!$A$1:$V$813</definedName>
    <definedName name="_xlnm.Print_Area" localSheetId="10">'CENTRALISATION (2)'!$A$1:$U$812</definedName>
    <definedName name="_xlnm.Print_Area" localSheetId="0">FLEURY!$A:$W</definedName>
    <definedName name="_xlnm.Print_Area" localSheetId="2">LYON!$A$1:$V$184</definedName>
    <definedName name="_xlnm.Print_Area" localSheetId="4">NANCY!$A$1:$V$136</definedName>
    <definedName name="_xlnm.Print_Area" localSheetId="5">RENNES!$A$1:$V$190</definedName>
    <definedName name="_xlnm.Print_Area" localSheetId="7">TOULOUSE!$A$1:$V$119</definedName>
  </definedNames>
  <calcPr calcId="145621"/>
  <customWorkbookViews>
    <customWorkbookView name="Rachel Reali - Affichage personnalisé" guid="{4BA9EA0D-01E7-49D1-8245-80B9A9A68B6F}" mergeInterval="0" personalView="1" maximized="1" windowWidth="1720" windowHeight="855" tabRatio="882" activeSheetId="3"/>
    <customWorkbookView name="Le Corre-Bossant, Blandine - Affichage personnalisé" guid="{B5B04B19-0628-445C-9CF3-7F5D4D937774}" mergeInterval="0" personalView="1" maximized="1" windowWidth="1920" windowHeight="894" tabRatio="882" activeSheetId="3"/>
    <customWorkbookView name="CHU - Affichage personnalisé" guid="{DD021BEF-F767-4779-A362-C9308ACC088B}" mergeInterval="0" personalView="1" maximized="1" windowWidth="1920" windowHeight="807" tabRatio="882" activeSheetId="10"/>
    <customWorkbookView name="Martin, Laurence - Affichage personnalisé" guid="{C8B269C8-9E4E-47CC-A407-F213FAC1E35C}" mergeInterval="0" personalView="1" maximized="1" windowWidth="1920" windowHeight="894" tabRatio="882" activeSheetId="5"/>
  </customWorkbookViews>
</workbook>
</file>

<file path=xl/calcChain.xml><?xml version="1.0" encoding="utf-8"?>
<calcChain xmlns="http://schemas.openxmlformats.org/spreadsheetml/2006/main">
  <c r="S4" i="10" l="1"/>
  <c r="S90" i="10" l="1"/>
  <c r="S72" i="10"/>
  <c r="S57" i="10"/>
  <c r="S34" i="10"/>
  <c r="H11" i="1" l="1"/>
  <c r="X236" i="11" l="1"/>
  <c r="V109" i="8"/>
  <c r="V112" i="8" s="1"/>
  <c r="V110" i="8"/>
  <c r="V111" i="8"/>
  <c r="V108" i="8"/>
  <c r="I188" i="4"/>
  <c r="J188" i="4"/>
  <c r="K188" i="4"/>
  <c r="L188" i="4"/>
  <c r="M188" i="4"/>
  <c r="N188" i="4"/>
  <c r="O188" i="4"/>
  <c r="P188" i="4"/>
  <c r="Q188" i="4"/>
  <c r="R188" i="4"/>
  <c r="S188" i="4"/>
  <c r="T188" i="4"/>
  <c r="U188" i="4"/>
  <c r="V188" i="4"/>
  <c r="H179" i="9"/>
  <c r="I179" i="9"/>
  <c r="J179" i="9"/>
  <c r="K179" i="9"/>
  <c r="L179" i="9"/>
  <c r="M179" i="9"/>
  <c r="N179" i="9"/>
  <c r="O179" i="9"/>
  <c r="P179" i="9"/>
  <c r="Q179" i="9"/>
  <c r="R179" i="9"/>
  <c r="S179" i="9"/>
  <c r="T179" i="9"/>
  <c r="U179" i="9"/>
  <c r="V179" i="9"/>
  <c r="H167" i="9"/>
  <c r="I167" i="9"/>
  <c r="J167" i="9"/>
  <c r="K167" i="9"/>
  <c r="L167" i="9"/>
  <c r="M167" i="9"/>
  <c r="N167" i="9"/>
  <c r="O167" i="9"/>
  <c r="P167" i="9"/>
  <c r="Q167" i="9"/>
  <c r="R167" i="9"/>
  <c r="S167" i="9"/>
  <c r="T167" i="9"/>
  <c r="U167" i="9"/>
  <c r="V167" i="9"/>
  <c r="H174" i="9"/>
  <c r="I174" i="9"/>
  <c r="J174" i="9"/>
  <c r="K174" i="9"/>
  <c r="L174" i="9"/>
  <c r="M174" i="9"/>
  <c r="N174" i="9"/>
  <c r="O174" i="9"/>
  <c r="P174" i="9"/>
  <c r="Q174" i="9"/>
  <c r="R174" i="9"/>
  <c r="S174" i="9"/>
  <c r="T174" i="9"/>
  <c r="U174" i="9"/>
  <c r="V174" i="9"/>
  <c r="H183" i="2"/>
  <c r="I183" i="2"/>
  <c r="J183" i="2"/>
  <c r="K183" i="2"/>
  <c r="L183" i="2"/>
  <c r="M183" i="2"/>
  <c r="N183" i="2"/>
  <c r="O183" i="2"/>
  <c r="P183" i="2"/>
  <c r="Q183" i="2"/>
  <c r="R183" i="2"/>
  <c r="S183" i="2"/>
  <c r="T183" i="2"/>
  <c r="U183" i="2"/>
  <c r="V183" i="2"/>
  <c r="I153" i="2"/>
  <c r="J153" i="2"/>
  <c r="K153" i="2"/>
  <c r="L153" i="2"/>
  <c r="M153" i="2"/>
  <c r="N153" i="2"/>
  <c r="O153" i="2"/>
  <c r="P153" i="2"/>
  <c r="Q153" i="2"/>
  <c r="R153" i="2"/>
  <c r="S153" i="2"/>
  <c r="T153" i="2"/>
  <c r="U153" i="2"/>
  <c r="V153" i="2"/>
  <c r="I150" i="4"/>
  <c r="J150" i="4"/>
  <c r="K150" i="4"/>
  <c r="L150" i="4"/>
  <c r="M150" i="4"/>
  <c r="N150" i="4"/>
  <c r="O150" i="4"/>
  <c r="P150" i="4"/>
  <c r="Q150" i="4"/>
  <c r="R150" i="4"/>
  <c r="S150" i="4"/>
  <c r="T150" i="4"/>
  <c r="V150" i="4"/>
  <c r="U150" i="4"/>
  <c r="V67" i="8"/>
  <c r="V113" i="7"/>
  <c r="V111" i="6"/>
  <c r="V71" i="5"/>
  <c r="V119" i="4"/>
  <c r="V116" i="2"/>
  <c r="V125" i="1"/>
  <c r="R481" i="10"/>
  <c r="V81" i="2"/>
  <c r="I81" i="2"/>
  <c r="J81" i="2"/>
  <c r="K81" i="2"/>
  <c r="L81" i="2"/>
  <c r="M81" i="2"/>
  <c r="N81" i="2"/>
  <c r="O81" i="2"/>
  <c r="P81" i="2"/>
  <c r="Q81" i="2"/>
  <c r="R81" i="2"/>
  <c r="S81" i="2"/>
  <c r="T81" i="2"/>
  <c r="U81" i="2"/>
  <c r="H32" i="4"/>
  <c r="I32" i="4"/>
  <c r="J32" i="4"/>
  <c r="K32" i="4"/>
  <c r="L32" i="4"/>
  <c r="M32" i="4"/>
  <c r="N32" i="4"/>
  <c r="O32" i="4"/>
  <c r="P32" i="4"/>
  <c r="Q32" i="4"/>
  <c r="R32" i="4"/>
  <c r="S32" i="4"/>
  <c r="T32" i="4"/>
  <c r="V32" i="4"/>
  <c r="S787" i="10" l="1"/>
  <c r="T787" i="10" s="1"/>
  <c r="S811" i="11"/>
  <c r="P810" i="11"/>
  <c r="O810" i="11"/>
  <c r="N810" i="11"/>
  <c r="M810" i="11"/>
  <c r="L810" i="11"/>
  <c r="K810" i="11"/>
  <c r="J810" i="11"/>
  <c r="I810" i="11"/>
  <c r="H810" i="11"/>
  <c r="G810" i="11"/>
  <c r="S810" i="11" s="1"/>
  <c r="R808" i="11"/>
  <c r="Q808" i="11"/>
  <c r="P808" i="11"/>
  <c r="O808" i="11"/>
  <c r="N808" i="11"/>
  <c r="M808" i="11"/>
  <c r="L808" i="11"/>
  <c r="K808" i="11"/>
  <c r="J808" i="11"/>
  <c r="I808" i="11"/>
  <c r="H808" i="11"/>
  <c r="G808" i="11"/>
  <c r="F808" i="11"/>
  <c r="E808" i="11"/>
  <c r="S808" i="11" s="1"/>
  <c r="S807" i="11"/>
  <c r="Q806" i="11"/>
  <c r="P806" i="11"/>
  <c r="O806" i="11"/>
  <c r="N806" i="11"/>
  <c r="M806" i="11"/>
  <c r="L806" i="11"/>
  <c r="K806" i="11"/>
  <c r="J806" i="11"/>
  <c r="I806" i="11"/>
  <c r="H806" i="11"/>
  <c r="G806" i="11"/>
  <c r="F806" i="11"/>
  <c r="E806" i="11"/>
  <c r="S806" i="11" s="1"/>
  <c r="S805" i="11"/>
  <c r="R804" i="11"/>
  <c r="Q804" i="11"/>
  <c r="P804" i="11"/>
  <c r="O804" i="11"/>
  <c r="N804" i="11"/>
  <c r="M804" i="11"/>
  <c r="L804" i="11"/>
  <c r="K804" i="11"/>
  <c r="J804" i="11"/>
  <c r="I804" i="11"/>
  <c r="H804" i="11"/>
  <c r="G804" i="11"/>
  <c r="F804" i="11"/>
  <c r="E804" i="11"/>
  <c r="S804" i="11" s="1"/>
  <c r="S803" i="11"/>
  <c r="R802" i="11"/>
  <c r="Q802" i="11"/>
  <c r="P802" i="11"/>
  <c r="O802" i="11"/>
  <c r="N802" i="11"/>
  <c r="M802" i="11"/>
  <c r="L802" i="11"/>
  <c r="K802" i="11"/>
  <c r="J802" i="11"/>
  <c r="I802" i="11"/>
  <c r="H802" i="11"/>
  <c r="G802" i="11"/>
  <c r="F802" i="11"/>
  <c r="E802" i="11"/>
  <c r="S802" i="11" s="1"/>
  <c r="S801" i="11"/>
  <c r="R800" i="11"/>
  <c r="Q800" i="11"/>
  <c r="P800" i="11"/>
  <c r="O800" i="11"/>
  <c r="N800" i="11"/>
  <c r="M800" i="11"/>
  <c r="L800" i="11"/>
  <c r="K800" i="11"/>
  <c r="J800" i="11"/>
  <c r="I800" i="11"/>
  <c r="H800" i="11"/>
  <c r="G800" i="11"/>
  <c r="F800" i="11"/>
  <c r="E800" i="11"/>
  <c r="S800" i="11" s="1"/>
  <c r="S799" i="11"/>
  <c r="R798" i="11"/>
  <c r="Q798" i="11"/>
  <c r="P798" i="11"/>
  <c r="O798" i="11"/>
  <c r="N798" i="11"/>
  <c r="M798" i="11"/>
  <c r="L798" i="11"/>
  <c r="K798" i="11"/>
  <c r="J798" i="11"/>
  <c r="I798" i="11"/>
  <c r="H798" i="11"/>
  <c r="G798" i="11"/>
  <c r="F798" i="11"/>
  <c r="E798" i="11"/>
  <c r="S798" i="11" s="1"/>
  <c r="S797" i="11"/>
  <c r="R796" i="11"/>
  <c r="Q796" i="11"/>
  <c r="P796" i="11"/>
  <c r="O796" i="11"/>
  <c r="N796" i="11"/>
  <c r="M796" i="11"/>
  <c r="L796" i="11"/>
  <c r="K796" i="11"/>
  <c r="J796" i="11"/>
  <c r="I796" i="11"/>
  <c r="H796" i="11"/>
  <c r="G796" i="11"/>
  <c r="F796" i="11"/>
  <c r="E796" i="11"/>
  <c r="S796" i="11" s="1"/>
  <c r="S795" i="11"/>
  <c r="R794" i="11"/>
  <c r="Q794" i="11"/>
  <c r="P794" i="11"/>
  <c r="O794" i="11"/>
  <c r="N794" i="11"/>
  <c r="M794" i="11"/>
  <c r="L794" i="11"/>
  <c r="K794" i="11"/>
  <c r="J794" i="11"/>
  <c r="I794" i="11"/>
  <c r="H794" i="11"/>
  <c r="G794" i="11"/>
  <c r="F794" i="11"/>
  <c r="E794" i="11"/>
  <c r="S794" i="11" s="1"/>
  <c r="R793" i="11"/>
  <c r="Q793" i="11"/>
  <c r="P793" i="11"/>
  <c r="O793" i="11"/>
  <c r="N793" i="11"/>
  <c r="M793" i="11"/>
  <c r="L793" i="11"/>
  <c r="K793" i="11"/>
  <c r="J793" i="11"/>
  <c r="I793" i="11"/>
  <c r="H793" i="11"/>
  <c r="G793" i="11"/>
  <c r="S793" i="11" s="1"/>
  <c r="F793" i="11"/>
  <c r="E793" i="11"/>
  <c r="S792" i="11"/>
  <c r="R791" i="11"/>
  <c r="R812" i="11" s="1"/>
  <c r="Q791" i="11"/>
  <c r="Q812" i="11" s="1"/>
  <c r="P791" i="11"/>
  <c r="P812" i="11" s="1"/>
  <c r="O791" i="11"/>
  <c r="O812" i="11" s="1"/>
  <c r="N791" i="11"/>
  <c r="N812" i="11" s="1"/>
  <c r="M791" i="11"/>
  <c r="M812" i="11" s="1"/>
  <c r="L791" i="11"/>
  <c r="L812" i="11" s="1"/>
  <c r="K791" i="11"/>
  <c r="K812" i="11" s="1"/>
  <c r="J791" i="11"/>
  <c r="J812" i="11" s="1"/>
  <c r="I791" i="11"/>
  <c r="I812" i="11" s="1"/>
  <c r="H791" i="11"/>
  <c r="H812" i="11" s="1"/>
  <c r="G791" i="11"/>
  <c r="G812" i="11" s="1"/>
  <c r="F791" i="11"/>
  <c r="F812" i="11" s="1"/>
  <c r="E791" i="11"/>
  <c r="E812" i="11" s="1"/>
  <c r="S789" i="11"/>
  <c r="P788" i="11"/>
  <c r="O788" i="11"/>
  <c r="N788" i="11"/>
  <c r="M788" i="11"/>
  <c r="L788" i="11"/>
  <c r="K788" i="11"/>
  <c r="J788" i="11"/>
  <c r="I788" i="11"/>
  <c r="S788" i="11" s="1"/>
  <c r="H788" i="11"/>
  <c r="G788" i="11"/>
  <c r="S787" i="11"/>
  <c r="R786" i="11"/>
  <c r="Q786" i="11"/>
  <c r="P786" i="11"/>
  <c r="O786" i="11"/>
  <c r="N786" i="11"/>
  <c r="M786" i="11"/>
  <c r="L786" i="11"/>
  <c r="K786" i="11"/>
  <c r="J786" i="11"/>
  <c r="I786" i="11"/>
  <c r="H786" i="11"/>
  <c r="G786" i="11"/>
  <c r="F786" i="11"/>
  <c r="E786" i="11"/>
  <c r="R785" i="11"/>
  <c r="Q785" i="11"/>
  <c r="P785" i="11"/>
  <c r="O785" i="11"/>
  <c r="N785" i="11"/>
  <c r="M785" i="11"/>
  <c r="L785" i="11"/>
  <c r="K785" i="11"/>
  <c r="J785" i="11"/>
  <c r="I785" i="11"/>
  <c r="H785" i="11"/>
  <c r="G785" i="11"/>
  <c r="F785" i="11"/>
  <c r="E785" i="11"/>
  <c r="S785" i="11" s="1"/>
  <c r="R783" i="11"/>
  <c r="Q783" i="11"/>
  <c r="P783" i="11"/>
  <c r="O783" i="11"/>
  <c r="N783" i="11"/>
  <c r="M783" i="11"/>
  <c r="L783" i="11"/>
  <c r="K783" i="11"/>
  <c r="J783" i="11"/>
  <c r="I783" i="11"/>
  <c r="H783" i="11"/>
  <c r="G783" i="11"/>
  <c r="F783" i="11"/>
  <c r="E783" i="11"/>
  <c r="S783" i="11" s="1"/>
  <c r="R782" i="11"/>
  <c r="Q782" i="11"/>
  <c r="P782" i="11"/>
  <c r="O782" i="11"/>
  <c r="N782" i="11"/>
  <c r="M782" i="11"/>
  <c r="L782" i="11"/>
  <c r="K782" i="11"/>
  <c r="J782" i="11"/>
  <c r="I782" i="11"/>
  <c r="H782" i="11"/>
  <c r="G782" i="11"/>
  <c r="F782" i="11"/>
  <c r="E782" i="11"/>
  <c r="S782" i="11" s="1"/>
  <c r="R780" i="11"/>
  <c r="Q780" i="11"/>
  <c r="P780" i="11"/>
  <c r="O780" i="11"/>
  <c r="N780" i="11"/>
  <c r="M780" i="11"/>
  <c r="L780" i="11"/>
  <c r="K780" i="11"/>
  <c r="J780" i="11"/>
  <c r="I780" i="11"/>
  <c r="H780" i="11"/>
  <c r="G780" i="11"/>
  <c r="S780" i="11" s="1"/>
  <c r="F780" i="11"/>
  <c r="E780" i="11"/>
  <c r="R779" i="11"/>
  <c r="Q779" i="11"/>
  <c r="P779" i="11"/>
  <c r="O779" i="11"/>
  <c r="N779" i="11"/>
  <c r="M779" i="11"/>
  <c r="L779" i="11"/>
  <c r="K779" i="11"/>
  <c r="J779" i="11"/>
  <c r="I779" i="11"/>
  <c r="H779" i="11"/>
  <c r="G779" i="11"/>
  <c r="F779" i="11"/>
  <c r="E779" i="11"/>
  <c r="S779" i="11" s="1"/>
  <c r="R777" i="11"/>
  <c r="Q777" i="11"/>
  <c r="P777" i="11"/>
  <c r="O777" i="11"/>
  <c r="N777" i="11"/>
  <c r="M777" i="11"/>
  <c r="L777" i="11"/>
  <c r="K777" i="11"/>
  <c r="J777" i="11"/>
  <c r="I777" i="11"/>
  <c r="H777" i="11"/>
  <c r="G777" i="11"/>
  <c r="F777" i="11"/>
  <c r="E777" i="11"/>
  <c r="S777" i="11" s="1"/>
  <c r="R776" i="11"/>
  <c r="Q776" i="11"/>
  <c r="P776" i="11"/>
  <c r="O776" i="11"/>
  <c r="N776" i="11"/>
  <c r="M776" i="11"/>
  <c r="L776" i="11"/>
  <c r="K776" i="11"/>
  <c r="J776" i="11"/>
  <c r="I776" i="11"/>
  <c r="H776" i="11"/>
  <c r="G776" i="11"/>
  <c r="F776" i="11"/>
  <c r="E776" i="11"/>
  <c r="S776" i="11" s="1"/>
  <c r="R774" i="11"/>
  <c r="Q774" i="11"/>
  <c r="P774" i="11"/>
  <c r="O774" i="11"/>
  <c r="N774" i="11"/>
  <c r="M774" i="11"/>
  <c r="L774" i="11"/>
  <c r="K774" i="11"/>
  <c r="J774" i="11"/>
  <c r="I774" i="11"/>
  <c r="H774" i="11"/>
  <c r="G774" i="11"/>
  <c r="S774" i="11" s="1"/>
  <c r="F774" i="11"/>
  <c r="E774" i="11"/>
  <c r="R773" i="11"/>
  <c r="Q773" i="11"/>
  <c r="P773" i="11"/>
  <c r="O773" i="11"/>
  <c r="N773" i="11"/>
  <c r="M773" i="11"/>
  <c r="L773" i="11"/>
  <c r="K773" i="11"/>
  <c r="J773" i="11"/>
  <c r="I773" i="11"/>
  <c r="H773" i="11"/>
  <c r="G773" i="11"/>
  <c r="F773" i="11"/>
  <c r="E773" i="11"/>
  <c r="S773" i="11" s="1"/>
  <c r="R771" i="11"/>
  <c r="Q771" i="11"/>
  <c r="P771" i="11"/>
  <c r="O771" i="11"/>
  <c r="N771" i="11"/>
  <c r="M771" i="11"/>
  <c r="L771" i="11"/>
  <c r="K771" i="11"/>
  <c r="J771" i="11"/>
  <c r="I771" i="11"/>
  <c r="H771" i="11"/>
  <c r="G771" i="11"/>
  <c r="F771" i="11"/>
  <c r="E771" i="11"/>
  <c r="S771" i="11" s="1"/>
  <c r="R770" i="11"/>
  <c r="Q770" i="11"/>
  <c r="P770" i="11"/>
  <c r="O770" i="11"/>
  <c r="N770" i="11"/>
  <c r="M770" i="11"/>
  <c r="L770" i="11"/>
  <c r="K770" i="11"/>
  <c r="J770" i="11"/>
  <c r="I770" i="11"/>
  <c r="H770" i="11"/>
  <c r="G770" i="11"/>
  <c r="F770" i="11"/>
  <c r="E770" i="11"/>
  <c r="S770" i="11" s="1"/>
  <c r="S769" i="11"/>
  <c r="R768" i="11"/>
  <c r="Q768" i="11"/>
  <c r="P768" i="11"/>
  <c r="O768" i="11"/>
  <c r="N768" i="11"/>
  <c r="M768" i="11"/>
  <c r="L768" i="11"/>
  <c r="K768" i="11"/>
  <c r="J768" i="11"/>
  <c r="I768" i="11"/>
  <c r="H768" i="11"/>
  <c r="G768" i="11"/>
  <c r="F768" i="11"/>
  <c r="E768" i="11"/>
  <c r="S768" i="11" s="1"/>
  <c r="R767" i="11"/>
  <c r="Q767" i="11"/>
  <c r="P767" i="11"/>
  <c r="O767" i="11"/>
  <c r="N767" i="11"/>
  <c r="M767" i="11"/>
  <c r="L767" i="11"/>
  <c r="K767" i="11"/>
  <c r="J767" i="11"/>
  <c r="I767" i="11"/>
  <c r="H767" i="11"/>
  <c r="G767" i="11"/>
  <c r="S767" i="11" s="1"/>
  <c r="F767" i="11"/>
  <c r="E767" i="11"/>
  <c r="R765" i="11"/>
  <c r="Q765" i="11"/>
  <c r="P765" i="11"/>
  <c r="O765" i="11"/>
  <c r="N765" i="11"/>
  <c r="M765" i="11"/>
  <c r="L765" i="11"/>
  <c r="K765" i="11"/>
  <c r="J765" i="11"/>
  <c r="I765" i="11"/>
  <c r="H765" i="11"/>
  <c r="G765" i="11"/>
  <c r="F765" i="11"/>
  <c r="E765" i="11"/>
  <c r="S765" i="11" s="1"/>
  <c r="R764" i="11"/>
  <c r="Q764" i="11"/>
  <c r="P764" i="11"/>
  <c r="O764" i="11"/>
  <c r="N764" i="11"/>
  <c r="M764" i="11"/>
  <c r="L764" i="11"/>
  <c r="K764" i="11"/>
  <c r="J764" i="11"/>
  <c r="I764" i="11"/>
  <c r="H764" i="11"/>
  <c r="G764" i="11"/>
  <c r="F764" i="11"/>
  <c r="E764" i="11"/>
  <c r="S764" i="11" s="1"/>
  <c r="R762" i="11"/>
  <c r="Q762" i="11"/>
  <c r="P762" i="11"/>
  <c r="O762" i="11"/>
  <c r="N762" i="11"/>
  <c r="M762" i="11"/>
  <c r="L762" i="11"/>
  <c r="K762" i="11"/>
  <c r="J762" i="11"/>
  <c r="I762" i="11"/>
  <c r="H762" i="11"/>
  <c r="G762" i="11"/>
  <c r="F762" i="11"/>
  <c r="E762" i="11"/>
  <c r="S762" i="11" s="1"/>
  <c r="R761" i="11"/>
  <c r="R790" i="11" s="1"/>
  <c r="Q761" i="11"/>
  <c r="Q790" i="11" s="1"/>
  <c r="P761" i="11"/>
  <c r="P790" i="11" s="1"/>
  <c r="O761" i="11"/>
  <c r="O790" i="11" s="1"/>
  <c r="N761" i="11"/>
  <c r="M761" i="11"/>
  <c r="M790" i="11" s="1"/>
  <c r="L761" i="11"/>
  <c r="L790" i="11" s="1"/>
  <c r="K761" i="11"/>
  <c r="K790" i="11" s="1"/>
  <c r="J761" i="11"/>
  <c r="J790" i="11" s="1"/>
  <c r="I761" i="11"/>
  <c r="I790" i="11" s="1"/>
  <c r="H761" i="11"/>
  <c r="H790" i="11" s="1"/>
  <c r="G761" i="11"/>
  <c r="G790" i="11" s="1"/>
  <c r="F761" i="11"/>
  <c r="F790" i="11" s="1"/>
  <c r="E761" i="11"/>
  <c r="E790" i="11" s="1"/>
  <c r="P759" i="11"/>
  <c r="O759" i="11"/>
  <c r="N759" i="11"/>
  <c r="M759" i="11"/>
  <c r="L759" i="11"/>
  <c r="K759" i="11"/>
  <c r="J759" i="11"/>
  <c r="I759" i="11"/>
  <c r="H759" i="11"/>
  <c r="G759" i="11"/>
  <c r="S759" i="11" s="1"/>
  <c r="P758" i="11"/>
  <c r="O758" i="11"/>
  <c r="N758" i="11"/>
  <c r="M758" i="11"/>
  <c r="L758" i="11"/>
  <c r="K758" i="11"/>
  <c r="J758" i="11"/>
  <c r="I758" i="11"/>
  <c r="H758" i="11"/>
  <c r="G758" i="11"/>
  <c r="S758" i="11" s="1"/>
  <c r="S757" i="11"/>
  <c r="P756" i="11"/>
  <c r="O756" i="11"/>
  <c r="N756" i="11"/>
  <c r="M756" i="11"/>
  <c r="L756" i="11"/>
  <c r="K756" i="11"/>
  <c r="J756" i="11"/>
  <c r="I756" i="11"/>
  <c r="H756" i="11"/>
  <c r="G756" i="11"/>
  <c r="S756" i="11" s="1"/>
  <c r="S755" i="11"/>
  <c r="R754" i="11"/>
  <c r="Q754" i="11"/>
  <c r="P754" i="11"/>
  <c r="O754" i="11"/>
  <c r="N754" i="11"/>
  <c r="M754" i="11"/>
  <c r="L754" i="11"/>
  <c r="K754" i="11"/>
  <c r="J754" i="11"/>
  <c r="I754" i="11"/>
  <c r="H754" i="11"/>
  <c r="G754" i="11"/>
  <c r="F754" i="11"/>
  <c r="E754" i="11"/>
  <c r="S754" i="11" s="1"/>
  <c r="R753" i="11"/>
  <c r="Q753" i="11"/>
  <c r="P753" i="11"/>
  <c r="O753" i="11"/>
  <c r="N753" i="11"/>
  <c r="M753" i="11"/>
  <c r="L753" i="11"/>
  <c r="K753" i="11"/>
  <c r="J753" i="11"/>
  <c r="I753" i="11"/>
  <c r="H753" i="11"/>
  <c r="G753" i="11"/>
  <c r="F753" i="11"/>
  <c r="E753" i="11"/>
  <c r="S753" i="11" s="1"/>
  <c r="R752" i="11"/>
  <c r="Q752" i="11"/>
  <c r="P752" i="11"/>
  <c r="O752" i="11"/>
  <c r="N752" i="11"/>
  <c r="M752" i="11"/>
  <c r="L752" i="11"/>
  <c r="K752" i="11"/>
  <c r="J752" i="11"/>
  <c r="I752" i="11"/>
  <c r="H752" i="11"/>
  <c r="G752" i="11"/>
  <c r="F752" i="11"/>
  <c r="E752" i="11"/>
  <c r="S752" i="11" s="1"/>
  <c r="S751" i="11"/>
  <c r="R750" i="11"/>
  <c r="Q750" i="11"/>
  <c r="P750" i="11"/>
  <c r="O750" i="11"/>
  <c r="N750" i="11"/>
  <c r="M750" i="11"/>
  <c r="L750" i="11"/>
  <c r="K750" i="11"/>
  <c r="J750" i="11"/>
  <c r="I750" i="11"/>
  <c r="H750" i="11"/>
  <c r="G750" i="11"/>
  <c r="F750" i="11"/>
  <c r="E750" i="11"/>
  <c r="S750" i="11" s="1"/>
  <c r="R749" i="11"/>
  <c r="Q749" i="11"/>
  <c r="P749" i="11"/>
  <c r="O749" i="11"/>
  <c r="N749" i="11"/>
  <c r="M749" i="11"/>
  <c r="L749" i="11"/>
  <c r="K749" i="11"/>
  <c r="J749" i="11"/>
  <c r="I749" i="11"/>
  <c r="H749" i="11"/>
  <c r="G749" i="11"/>
  <c r="F749" i="11"/>
  <c r="E749" i="11"/>
  <c r="R748" i="11"/>
  <c r="Q748" i="11"/>
  <c r="P748" i="11"/>
  <c r="O748" i="11"/>
  <c r="N748" i="11"/>
  <c r="M748" i="11"/>
  <c r="L748" i="11"/>
  <c r="K748" i="11"/>
  <c r="J748" i="11"/>
  <c r="I748" i="11"/>
  <c r="H748" i="11"/>
  <c r="G748" i="11"/>
  <c r="F748" i="11"/>
  <c r="E748" i="11"/>
  <c r="S747" i="11"/>
  <c r="R746" i="11"/>
  <c r="Q746" i="11"/>
  <c r="P746" i="11"/>
  <c r="O746" i="11"/>
  <c r="N746" i="11"/>
  <c r="M746" i="11"/>
  <c r="L746" i="11"/>
  <c r="K746" i="11"/>
  <c r="J746" i="11"/>
  <c r="I746" i="11"/>
  <c r="H746" i="11"/>
  <c r="G746" i="11"/>
  <c r="F746" i="11"/>
  <c r="E746" i="11"/>
  <c r="S746" i="11" s="1"/>
  <c r="R745" i="11"/>
  <c r="Q745" i="11"/>
  <c r="P745" i="11"/>
  <c r="O745" i="11"/>
  <c r="N745" i="11"/>
  <c r="M745" i="11"/>
  <c r="L745" i="11"/>
  <c r="K745" i="11"/>
  <c r="J745" i="11"/>
  <c r="I745" i="11"/>
  <c r="H745" i="11"/>
  <c r="G745" i="11"/>
  <c r="F745" i="11"/>
  <c r="E745" i="11"/>
  <c r="S745" i="11" s="1"/>
  <c r="R744" i="11"/>
  <c r="Q744" i="11"/>
  <c r="P744" i="11"/>
  <c r="O744" i="11"/>
  <c r="N744" i="11"/>
  <c r="M744" i="11"/>
  <c r="L744" i="11"/>
  <c r="K744" i="11"/>
  <c r="J744" i="11"/>
  <c r="I744" i="11"/>
  <c r="H744" i="11"/>
  <c r="G744" i="11"/>
  <c r="F744" i="11"/>
  <c r="E744" i="11"/>
  <c r="S744" i="11" s="1"/>
  <c r="R743" i="11"/>
  <c r="Q743" i="11"/>
  <c r="P743" i="11"/>
  <c r="O743" i="11"/>
  <c r="N743" i="11"/>
  <c r="M743" i="11"/>
  <c r="L743" i="11"/>
  <c r="K743" i="11"/>
  <c r="J743" i="11"/>
  <c r="I743" i="11"/>
  <c r="H743" i="11"/>
  <c r="G743" i="11"/>
  <c r="F743" i="11"/>
  <c r="E743" i="11"/>
  <c r="S743" i="11" s="1"/>
  <c r="R742" i="11"/>
  <c r="Q742" i="11"/>
  <c r="P742" i="11"/>
  <c r="O742" i="11"/>
  <c r="N742" i="11"/>
  <c r="M742" i="11"/>
  <c r="L742" i="11"/>
  <c r="K742" i="11"/>
  <c r="J742" i="11"/>
  <c r="I742" i="11"/>
  <c r="H742" i="11"/>
  <c r="G742" i="11"/>
  <c r="F742" i="11"/>
  <c r="E742" i="11"/>
  <c r="S742" i="11" s="1"/>
  <c r="S741" i="11"/>
  <c r="R740" i="11"/>
  <c r="Q740" i="11"/>
  <c r="P740" i="11"/>
  <c r="O740" i="11"/>
  <c r="N740" i="11"/>
  <c r="M740" i="11"/>
  <c r="L740" i="11"/>
  <c r="K740" i="11"/>
  <c r="J740" i="11"/>
  <c r="I740" i="11"/>
  <c r="H740" i="11"/>
  <c r="G740" i="11"/>
  <c r="F740" i="11"/>
  <c r="E740" i="11"/>
  <c r="S740" i="11" s="1"/>
  <c r="R739" i="11"/>
  <c r="Q739" i="11"/>
  <c r="P739" i="11"/>
  <c r="O739" i="11"/>
  <c r="N739" i="11"/>
  <c r="M739" i="11"/>
  <c r="L739" i="11"/>
  <c r="K739" i="11"/>
  <c r="J739" i="11"/>
  <c r="I739" i="11"/>
  <c r="H739" i="11"/>
  <c r="G739" i="11"/>
  <c r="F739" i="11"/>
  <c r="E739" i="11"/>
  <c r="S739" i="11" s="1"/>
  <c r="R738" i="11"/>
  <c r="Q738" i="11"/>
  <c r="P738" i="11"/>
  <c r="O738" i="11"/>
  <c r="N738" i="11"/>
  <c r="M738" i="11"/>
  <c r="L738" i="11"/>
  <c r="K738" i="11"/>
  <c r="J738" i="11"/>
  <c r="I738" i="11"/>
  <c r="H738" i="11"/>
  <c r="G738" i="11"/>
  <c r="F738" i="11"/>
  <c r="E738" i="11"/>
  <c r="S738" i="11" s="1"/>
  <c r="R737" i="11"/>
  <c r="Q737" i="11"/>
  <c r="P737" i="11"/>
  <c r="O737" i="11"/>
  <c r="N737" i="11"/>
  <c r="M737" i="11"/>
  <c r="L737" i="11"/>
  <c r="K737" i="11"/>
  <c r="J737" i="11"/>
  <c r="I737" i="11"/>
  <c r="H737" i="11"/>
  <c r="G737" i="11"/>
  <c r="F737" i="11"/>
  <c r="E737" i="11"/>
  <c r="S737" i="11" s="1"/>
  <c r="R736" i="11"/>
  <c r="Q736" i="11"/>
  <c r="P736" i="11"/>
  <c r="O736" i="11"/>
  <c r="N736" i="11"/>
  <c r="M736" i="11"/>
  <c r="L736" i="11"/>
  <c r="K736" i="11"/>
  <c r="J736" i="11"/>
  <c r="I736" i="11"/>
  <c r="H736" i="11"/>
  <c r="G736" i="11"/>
  <c r="F736" i="11"/>
  <c r="E736" i="11"/>
  <c r="S736" i="11" s="1"/>
  <c r="S735" i="11"/>
  <c r="R734" i="11"/>
  <c r="Q734" i="11"/>
  <c r="P734" i="11"/>
  <c r="O734" i="11"/>
  <c r="N734" i="11"/>
  <c r="M734" i="11"/>
  <c r="L734" i="11"/>
  <c r="K734" i="11"/>
  <c r="J734" i="11"/>
  <c r="I734" i="11"/>
  <c r="H734" i="11"/>
  <c r="G734" i="11"/>
  <c r="F734" i="11"/>
  <c r="E734" i="11"/>
  <c r="S734" i="11" s="1"/>
  <c r="R733" i="11"/>
  <c r="Q733" i="11"/>
  <c r="P733" i="11"/>
  <c r="O733" i="11"/>
  <c r="N733" i="11"/>
  <c r="M733" i="11"/>
  <c r="L733" i="11"/>
  <c r="K733" i="11"/>
  <c r="J733" i="11"/>
  <c r="I733" i="11"/>
  <c r="H733" i="11"/>
  <c r="G733" i="11"/>
  <c r="F733" i="11"/>
  <c r="E733" i="11"/>
  <c r="S733" i="11" s="1"/>
  <c r="R732" i="11"/>
  <c r="Q732" i="11"/>
  <c r="P732" i="11"/>
  <c r="O732" i="11"/>
  <c r="N732" i="11"/>
  <c r="M732" i="11"/>
  <c r="L732" i="11"/>
  <c r="K732" i="11"/>
  <c r="J732" i="11"/>
  <c r="I732" i="11"/>
  <c r="H732" i="11"/>
  <c r="G732" i="11"/>
  <c r="F732" i="11"/>
  <c r="E732" i="11"/>
  <c r="S732" i="11" s="1"/>
  <c r="R731" i="11"/>
  <c r="Q731" i="11"/>
  <c r="P731" i="11"/>
  <c r="O731" i="11"/>
  <c r="N731" i="11"/>
  <c r="M731" i="11"/>
  <c r="L731" i="11"/>
  <c r="K731" i="11"/>
  <c r="J731" i="11"/>
  <c r="I731" i="11"/>
  <c r="H731" i="11"/>
  <c r="G731" i="11"/>
  <c r="F731" i="11"/>
  <c r="E731" i="11"/>
  <c r="S731" i="11" s="1"/>
  <c r="S730" i="11"/>
  <c r="R729" i="11"/>
  <c r="Q729" i="11"/>
  <c r="P729" i="11"/>
  <c r="O729" i="11"/>
  <c r="N729" i="11"/>
  <c r="M729" i="11"/>
  <c r="L729" i="11"/>
  <c r="K729" i="11"/>
  <c r="J729" i="11"/>
  <c r="I729" i="11"/>
  <c r="H729" i="11"/>
  <c r="G729" i="11"/>
  <c r="F729" i="11"/>
  <c r="E729" i="11"/>
  <c r="S729" i="11" s="1"/>
  <c r="R728" i="11"/>
  <c r="Q728" i="11"/>
  <c r="P728" i="11"/>
  <c r="O728" i="11"/>
  <c r="N728" i="11"/>
  <c r="M728" i="11"/>
  <c r="L728" i="11"/>
  <c r="K728" i="11"/>
  <c r="J728" i="11"/>
  <c r="I728" i="11"/>
  <c r="H728" i="11"/>
  <c r="G728" i="11"/>
  <c r="F728" i="11"/>
  <c r="E728" i="11"/>
  <c r="S728" i="11" s="1"/>
  <c r="R727" i="11"/>
  <c r="Q727" i="11"/>
  <c r="P727" i="11"/>
  <c r="O727" i="11"/>
  <c r="N727" i="11"/>
  <c r="M727" i="11"/>
  <c r="L727" i="11"/>
  <c r="K727" i="11"/>
  <c r="J727" i="11"/>
  <c r="I727" i="11"/>
  <c r="H727" i="11"/>
  <c r="G727" i="11"/>
  <c r="F727" i="11"/>
  <c r="E727" i="11"/>
  <c r="S727" i="11" s="1"/>
  <c r="R726" i="11"/>
  <c r="Q726" i="11"/>
  <c r="P726" i="11"/>
  <c r="O726" i="11"/>
  <c r="N726" i="11"/>
  <c r="M726" i="11"/>
  <c r="L726" i="11"/>
  <c r="K726" i="11"/>
  <c r="J726" i="11"/>
  <c r="I726" i="11"/>
  <c r="H726" i="11"/>
  <c r="G726" i="11"/>
  <c r="F726" i="11"/>
  <c r="E726" i="11"/>
  <c r="S726" i="11" s="1"/>
  <c r="S725" i="11"/>
  <c r="R724" i="11"/>
  <c r="Q724" i="11"/>
  <c r="P724" i="11"/>
  <c r="O724" i="11"/>
  <c r="N724" i="11"/>
  <c r="M724" i="11"/>
  <c r="L724" i="11"/>
  <c r="K724" i="11"/>
  <c r="J724" i="11"/>
  <c r="I724" i="11"/>
  <c r="H724" i="11"/>
  <c r="G724" i="11"/>
  <c r="F724" i="11"/>
  <c r="E724" i="11"/>
  <c r="S724" i="11" s="1"/>
  <c r="R723" i="11"/>
  <c r="Q723" i="11"/>
  <c r="P723" i="11"/>
  <c r="O723" i="11"/>
  <c r="N723" i="11"/>
  <c r="M723" i="11"/>
  <c r="L723" i="11"/>
  <c r="K723" i="11"/>
  <c r="J723" i="11"/>
  <c r="I723" i="11"/>
  <c r="H723" i="11"/>
  <c r="G723" i="11"/>
  <c r="F723" i="11"/>
  <c r="E723" i="11"/>
  <c r="S723" i="11" s="1"/>
  <c r="R722" i="11"/>
  <c r="Q722" i="11"/>
  <c r="P722" i="11"/>
  <c r="O722" i="11"/>
  <c r="N722" i="11"/>
  <c r="M722" i="11"/>
  <c r="L722" i="11"/>
  <c r="K722" i="11"/>
  <c r="J722" i="11"/>
  <c r="I722" i="11"/>
  <c r="H722" i="11"/>
  <c r="G722" i="11"/>
  <c r="F722" i="11"/>
  <c r="E722" i="11"/>
  <c r="S722" i="11" s="1"/>
  <c r="R721" i="11"/>
  <c r="Q721" i="11"/>
  <c r="P721" i="11"/>
  <c r="O721" i="11"/>
  <c r="N721" i="11"/>
  <c r="M721" i="11"/>
  <c r="L721" i="11"/>
  <c r="K721" i="11"/>
  <c r="J721" i="11"/>
  <c r="I721" i="11"/>
  <c r="H721" i="11"/>
  <c r="G721" i="11"/>
  <c r="F721" i="11"/>
  <c r="E721" i="11"/>
  <c r="S721" i="11" s="1"/>
  <c r="R720" i="11"/>
  <c r="Q720" i="11"/>
  <c r="P720" i="11"/>
  <c r="O720" i="11"/>
  <c r="N720" i="11"/>
  <c r="M720" i="11"/>
  <c r="L720" i="11"/>
  <c r="K720" i="11"/>
  <c r="J720" i="11"/>
  <c r="I720" i="11"/>
  <c r="H720" i="11"/>
  <c r="G720" i="11"/>
  <c r="F720" i="11"/>
  <c r="E720" i="11"/>
  <c r="S720" i="11" s="1"/>
  <c r="S719" i="11"/>
  <c r="R718" i="11"/>
  <c r="Q718" i="11"/>
  <c r="P718" i="11"/>
  <c r="O718" i="11"/>
  <c r="N718" i="11"/>
  <c r="M718" i="11"/>
  <c r="L718" i="11"/>
  <c r="K718" i="11"/>
  <c r="J718" i="11"/>
  <c r="I718" i="11"/>
  <c r="H718" i="11"/>
  <c r="G718" i="11"/>
  <c r="F718" i="11"/>
  <c r="E718" i="11"/>
  <c r="S718" i="11" s="1"/>
  <c r="R717" i="11"/>
  <c r="Q717" i="11"/>
  <c r="P717" i="11"/>
  <c r="O717" i="11"/>
  <c r="N717" i="11"/>
  <c r="M717" i="11"/>
  <c r="L717" i="11"/>
  <c r="K717" i="11"/>
  <c r="J717" i="11"/>
  <c r="I717" i="11"/>
  <c r="H717" i="11"/>
  <c r="G717" i="11"/>
  <c r="F717" i="11"/>
  <c r="E717" i="11"/>
  <c r="S717" i="11" s="1"/>
  <c r="R716" i="11"/>
  <c r="Q716" i="11"/>
  <c r="P716" i="11"/>
  <c r="O716" i="11"/>
  <c r="N716" i="11"/>
  <c r="M716" i="11"/>
  <c r="L716" i="11"/>
  <c r="K716" i="11"/>
  <c r="J716" i="11"/>
  <c r="I716" i="11"/>
  <c r="H716" i="11"/>
  <c r="G716" i="11"/>
  <c r="F716" i="11"/>
  <c r="E716" i="11"/>
  <c r="S716" i="11" s="1"/>
  <c r="R715" i="11"/>
  <c r="Q715" i="11"/>
  <c r="P715" i="11"/>
  <c r="O715" i="11"/>
  <c r="N715" i="11"/>
  <c r="M715" i="11"/>
  <c r="L715" i="11"/>
  <c r="K715" i="11"/>
  <c r="J715" i="11"/>
  <c r="I715" i="11"/>
  <c r="H715" i="11"/>
  <c r="G715" i="11"/>
  <c r="F715" i="11"/>
  <c r="E715" i="11"/>
  <c r="S715" i="11" s="1"/>
  <c r="S714" i="11"/>
  <c r="R713" i="11"/>
  <c r="Q713" i="11"/>
  <c r="P713" i="11"/>
  <c r="O713" i="11"/>
  <c r="N713" i="11"/>
  <c r="M713" i="11"/>
  <c r="L713" i="11"/>
  <c r="K713" i="11"/>
  <c r="J713" i="11"/>
  <c r="I713" i="11"/>
  <c r="H713" i="11"/>
  <c r="G713" i="11"/>
  <c r="F713" i="11"/>
  <c r="E713" i="11"/>
  <c r="S713" i="11" s="1"/>
  <c r="R712" i="11"/>
  <c r="Q712" i="11"/>
  <c r="P712" i="11"/>
  <c r="O712" i="11"/>
  <c r="N712" i="11"/>
  <c r="M712" i="11"/>
  <c r="L712" i="11"/>
  <c r="K712" i="11"/>
  <c r="J712" i="11"/>
  <c r="I712" i="11"/>
  <c r="H712" i="11"/>
  <c r="G712" i="11"/>
  <c r="F712" i="11"/>
  <c r="E712" i="11"/>
  <c r="S712" i="11" s="1"/>
  <c r="R711" i="11"/>
  <c r="Q711" i="11"/>
  <c r="P711" i="11"/>
  <c r="O711" i="11"/>
  <c r="N711" i="11"/>
  <c r="M711" i="11"/>
  <c r="L711" i="11"/>
  <c r="K711" i="11"/>
  <c r="J711" i="11"/>
  <c r="I711" i="11"/>
  <c r="H711" i="11"/>
  <c r="G711" i="11"/>
  <c r="F711" i="11"/>
  <c r="E711" i="11"/>
  <c r="S711" i="11" s="1"/>
  <c r="R710" i="11"/>
  <c r="Q710" i="11"/>
  <c r="P710" i="11"/>
  <c r="O710" i="11"/>
  <c r="N710" i="11"/>
  <c r="M710" i="11"/>
  <c r="L710" i="11"/>
  <c r="K710" i="11"/>
  <c r="J710" i="11"/>
  <c r="I710" i="11"/>
  <c r="H710" i="11"/>
  <c r="G710" i="11"/>
  <c r="F710" i="11"/>
  <c r="E710" i="11"/>
  <c r="S710" i="11" s="1"/>
  <c r="R709" i="11"/>
  <c r="Q709" i="11"/>
  <c r="P709" i="11"/>
  <c r="O709" i="11"/>
  <c r="N709" i="11"/>
  <c r="M709" i="11"/>
  <c r="L709" i="11"/>
  <c r="K709" i="11"/>
  <c r="J709" i="11"/>
  <c r="I709" i="11"/>
  <c r="H709" i="11"/>
  <c r="G709" i="11"/>
  <c r="F709" i="11"/>
  <c r="E709" i="11"/>
  <c r="S709" i="11" s="1"/>
  <c r="R708" i="11"/>
  <c r="R760" i="11" s="1"/>
  <c r="Q708" i="11"/>
  <c r="Q760" i="11" s="1"/>
  <c r="P708" i="11"/>
  <c r="O708" i="11"/>
  <c r="N708" i="11"/>
  <c r="N760" i="11" s="1"/>
  <c r="M708" i="11"/>
  <c r="M760" i="11" s="1"/>
  <c r="L708" i="11"/>
  <c r="K708" i="11"/>
  <c r="J708" i="11"/>
  <c r="J760" i="11" s="1"/>
  <c r="I708" i="11"/>
  <c r="I760" i="11" s="1"/>
  <c r="H708" i="11"/>
  <c r="G708" i="11"/>
  <c r="G760" i="11" s="1"/>
  <c r="F708" i="11"/>
  <c r="F760" i="11" s="1"/>
  <c r="E708" i="11"/>
  <c r="E760" i="11" s="1"/>
  <c r="P706" i="11"/>
  <c r="O706" i="11"/>
  <c r="N706" i="11"/>
  <c r="M706" i="11"/>
  <c r="L706" i="11"/>
  <c r="K706" i="11"/>
  <c r="J706" i="11"/>
  <c r="G706" i="11"/>
  <c r="S706" i="11" s="1"/>
  <c r="R704" i="11"/>
  <c r="Q704" i="11"/>
  <c r="P704" i="11"/>
  <c r="O704" i="11"/>
  <c r="N704" i="11"/>
  <c r="M704" i="11"/>
  <c r="L704" i="11"/>
  <c r="K704" i="11"/>
  <c r="J704" i="11"/>
  <c r="I704" i="11"/>
  <c r="H704" i="11"/>
  <c r="G704" i="11"/>
  <c r="F704" i="11"/>
  <c r="E704" i="11"/>
  <c r="S704" i="11" s="1"/>
  <c r="R703" i="11"/>
  <c r="Q703" i="11"/>
  <c r="P703" i="11"/>
  <c r="O703" i="11"/>
  <c r="N703" i="11"/>
  <c r="M703" i="11"/>
  <c r="L703" i="11"/>
  <c r="K703" i="11"/>
  <c r="J703" i="11"/>
  <c r="I703" i="11"/>
  <c r="H703" i="11"/>
  <c r="G703" i="11"/>
  <c r="F703" i="11"/>
  <c r="E703" i="11"/>
  <c r="S703" i="11" s="1"/>
  <c r="R702" i="11"/>
  <c r="Q702" i="11"/>
  <c r="P702" i="11"/>
  <c r="O702" i="11"/>
  <c r="N702" i="11"/>
  <c r="M702" i="11"/>
  <c r="L702" i="11"/>
  <c r="K702" i="11"/>
  <c r="J702" i="11"/>
  <c r="I702" i="11"/>
  <c r="H702" i="11"/>
  <c r="G702" i="11"/>
  <c r="F702" i="11"/>
  <c r="E702" i="11"/>
  <c r="S702" i="11" s="1"/>
  <c r="R700" i="11"/>
  <c r="Q700" i="11"/>
  <c r="P700" i="11"/>
  <c r="O700" i="11"/>
  <c r="N700" i="11"/>
  <c r="M700" i="11"/>
  <c r="L700" i="11"/>
  <c r="K700" i="11"/>
  <c r="J700" i="11"/>
  <c r="I700" i="11"/>
  <c r="H700" i="11"/>
  <c r="G700" i="11"/>
  <c r="F700" i="11"/>
  <c r="E700" i="11"/>
  <c r="S700" i="11" s="1"/>
  <c r="R698" i="11"/>
  <c r="Q698" i="11"/>
  <c r="P698" i="11"/>
  <c r="O698" i="11"/>
  <c r="N698" i="11"/>
  <c r="M698" i="11"/>
  <c r="L698" i="11"/>
  <c r="K698" i="11"/>
  <c r="J698" i="11"/>
  <c r="I698" i="11"/>
  <c r="H698" i="11"/>
  <c r="G698" i="11"/>
  <c r="F698" i="11"/>
  <c r="E698" i="11"/>
  <c r="S698" i="11" s="1"/>
  <c r="R697" i="11"/>
  <c r="Q697" i="11"/>
  <c r="P697" i="11"/>
  <c r="O697" i="11"/>
  <c r="N697" i="11"/>
  <c r="M697" i="11"/>
  <c r="L697" i="11"/>
  <c r="K697" i="11"/>
  <c r="J697" i="11"/>
  <c r="I697" i="11"/>
  <c r="H697" i="11"/>
  <c r="G697" i="11"/>
  <c r="F697" i="11"/>
  <c r="E697" i="11"/>
  <c r="S697" i="11" s="1"/>
  <c r="R696" i="11"/>
  <c r="Q696" i="11"/>
  <c r="P696" i="11"/>
  <c r="O696" i="11"/>
  <c r="N696" i="11"/>
  <c r="M696" i="11"/>
  <c r="L696" i="11"/>
  <c r="K696" i="11"/>
  <c r="J696" i="11"/>
  <c r="I696" i="11"/>
  <c r="H696" i="11"/>
  <c r="G696" i="11"/>
  <c r="F696" i="11"/>
  <c r="E696" i="11"/>
  <c r="S696" i="11" s="1"/>
  <c r="S695" i="11"/>
  <c r="R694" i="11"/>
  <c r="Q694" i="11"/>
  <c r="P694" i="11"/>
  <c r="O694" i="11"/>
  <c r="N694" i="11"/>
  <c r="M694" i="11"/>
  <c r="L694" i="11"/>
  <c r="K694" i="11"/>
  <c r="J694" i="11"/>
  <c r="I694" i="11"/>
  <c r="H694" i="11"/>
  <c r="G694" i="11"/>
  <c r="F694" i="11"/>
  <c r="E694" i="11"/>
  <c r="R692" i="11"/>
  <c r="Q692" i="11"/>
  <c r="P692" i="11"/>
  <c r="O692" i="11"/>
  <c r="N692" i="11"/>
  <c r="M692" i="11"/>
  <c r="L692" i="11"/>
  <c r="K692" i="11"/>
  <c r="J692" i="11"/>
  <c r="I692" i="11"/>
  <c r="H692" i="11"/>
  <c r="G692" i="11"/>
  <c r="F692" i="11"/>
  <c r="E692" i="11"/>
  <c r="S692" i="11" s="1"/>
  <c r="S691" i="11"/>
  <c r="R690" i="11"/>
  <c r="Q690" i="11"/>
  <c r="P690" i="11"/>
  <c r="O690" i="11"/>
  <c r="N690" i="11"/>
  <c r="M690" i="11"/>
  <c r="L690" i="11"/>
  <c r="K690" i="11"/>
  <c r="J690" i="11"/>
  <c r="I690" i="11"/>
  <c r="H690" i="11"/>
  <c r="G690" i="11"/>
  <c r="F690" i="11"/>
  <c r="E690" i="11"/>
  <c r="S690" i="11" s="1"/>
  <c r="R689" i="11"/>
  <c r="Q689" i="11"/>
  <c r="P689" i="11"/>
  <c r="O689" i="11"/>
  <c r="N689" i="11"/>
  <c r="M689" i="11"/>
  <c r="L689" i="11"/>
  <c r="K689" i="11"/>
  <c r="J689" i="11"/>
  <c r="I689" i="11"/>
  <c r="H689" i="11"/>
  <c r="G689" i="11"/>
  <c r="F689" i="11"/>
  <c r="E689" i="11"/>
  <c r="S689" i="11" s="1"/>
  <c r="R688" i="11"/>
  <c r="Q688" i="11"/>
  <c r="P688" i="11"/>
  <c r="O688" i="11"/>
  <c r="N688" i="11"/>
  <c r="M688" i="11"/>
  <c r="L688" i="11"/>
  <c r="K688" i="11"/>
  <c r="J688" i="11"/>
  <c r="I688" i="11"/>
  <c r="H688" i="11"/>
  <c r="G688" i="11"/>
  <c r="F688" i="11"/>
  <c r="E688" i="11"/>
  <c r="S688" i="11" s="1"/>
  <c r="R686" i="11"/>
  <c r="Q686" i="11"/>
  <c r="P686" i="11"/>
  <c r="O686" i="11"/>
  <c r="N686" i="11"/>
  <c r="M686" i="11"/>
  <c r="L686" i="11"/>
  <c r="K686" i="11"/>
  <c r="J686" i="11"/>
  <c r="I686" i="11"/>
  <c r="H686" i="11"/>
  <c r="G686" i="11"/>
  <c r="F686" i="11"/>
  <c r="E686" i="11"/>
  <c r="S686" i="11" s="1"/>
  <c r="R685" i="11"/>
  <c r="Q685" i="11"/>
  <c r="P685" i="11"/>
  <c r="O685" i="11"/>
  <c r="N685" i="11"/>
  <c r="M685" i="11"/>
  <c r="L685" i="11"/>
  <c r="K685" i="11"/>
  <c r="J685" i="11"/>
  <c r="I685" i="11"/>
  <c r="H685" i="11"/>
  <c r="G685" i="11"/>
  <c r="F685" i="11"/>
  <c r="E685" i="11"/>
  <c r="S685" i="11" s="1"/>
  <c r="R684" i="11"/>
  <c r="Q684" i="11"/>
  <c r="P684" i="11"/>
  <c r="O684" i="11"/>
  <c r="N684" i="11"/>
  <c r="M684" i="11"/>
  <c r="L684" i="11"/>
  <c r="K684" i="11"/>
  <c r="J684" i="11"/>
  <c r="I684" i="11"/>
  <c r="H684" i="11"/>
  <c r="G684" i="11"/>
  <c r="F684" i="11"/>
  <c r="E684" i="11"/>
  <c r="S684" i="11" s="1"/>
  <c r="R683" i="11"/>
  <c r="Q683" i="11"/>
  <c r="P683" i="11"/>
  <c r="O683" i="11"/>
  <c r="N683" i="11"/>
  <c r="M683" i="11"/>
  <c r="L683" i="11"/>
  <c r="K683" i="11"/>
  <c r="J683" i="11"/>
  <c r="I683" i="11"/>
  <c r="H683" i="11"/>
  <c r="G683" i="11"/>
  <c r="F683" i="11"/>
  <c r="E683" i="11"/>
  <c r="S683" i="11" s="1"/>
  <c r="R681" i="11"/>
  <c r="Q681" i="11"/>
  <c r="P681" i="11"/>
  <c r="O681" i="11"/>
  <c r="N681" i="11"/>
  <c r="M681" i="11"/>
  <c r="L681" i="11"/>
  <c r="K681" i="11"/>
  <c r="J681" i="11"/>
  <c r="I681" i="11"/>
  <c r="H681" i="11"/>
  <c r="G681" i="11"/>
  <c r="F681" i="11"/>
  <c r="E681" i="11"/>
  <c r="S681" i="11" s="1"/>
  <c r="S680" i="11"/>
  <c r="R679" i="11"/>
  <c r="Q679" i="11"/>
  <c r="P679" i="11"/>
  <c r="O679" i="11"/>
  <c r="N679" i="11"/>
  <c r="M679" i="11"/>
  <c r="L679" i="11"/>
  <c r="K679" i="11"/>
  <c r="J679" i="11"/>
  <c r="I679" i="11"/>
  <c r="H679" i="11"/>
  <c r="G679" i="11"/>
  <c r="F679" i="11"/>
  <c r="E679" i="11"/>
  <c r="R678" i="11"/>
  <c r="Q678" i="11"/>
  <c r="P678" i="11"/>
  <c r="O678" i="11"/>
  <c r="N678" i="11"/>
  <c r="M678" i="11"/>
  <c r="L678" i="11"/>
  <c r="K678" i="11"/>
  <c r="J678" i="11"/>
  <c r="I678" i="11"/>
  <c r="H678" i="11"/>
  <c r="G678" i="11"/>
  <c r="F678" i="11"/>
  <c r="E678" i="11"/>
  <c r="S678" i="11" s="1"/>
  <c r="R676" i="11"/>
  <c r="Q676" i="11"/>
  <c r="P676" i="11"/>
  <c r="O676" i="11"/>
  <c r="N676" i="11"/>
  <c r="M676" i="11"/>
  <c r="L676" i="11"/>
  <c r="K676" i="11"/>
  <c r="J676" i="11"/>
  <c r="I676" i="11"/>
  <c r="H676" i="11"/>
  <c r="G676" i="11"/>
  <c r="F676" i="11"/>
  <c r="E676" i="11"/>
  <c r="S676" i="11" s="1"/>
  <c r="S675" i="11"/>
  <c r="R674" i="11"/>
  <c r="Q674" i="11"/>
  <c r="P674" i="11"/>
  <c r="O674" i="11"/>
  <c r="N674" i="11"/>
  <c r="M674" i="11"/>
  <c r="L674" i="11"/>
  <c r="K674" i="11"/>
  <c r="J674" i="11"/>
  <c r="I674" i="11"/>
  <c r="H674" i="11"/>
  <c r="G674" i="11"/>
  <c r="F674" i="11"/>
  <c r="E674" i="11"/>
  <c r="R673" i="11"/>
  <c r="Q673" i="11"/>
  <c r="P673" i="11"/>
  <c r="O673" i="11"/>
  <c r="N673" i="11"/>
  <c r="M673" i="11"/>
  <c r="L673" i="11"/>
  <c r="K673" i="11"/>
  <c r="J673" i="11"/>
  <c r="I673" i="11"/>
  <c r="H673" i="11"/>
  <c r="G673" i="11"/>
  <c r="F673" i="11"/>
  <c r="E673" i="11"/>
  <c r="S673" i="11" s="1"/>
  <c r="R671" i="11"/>
  <c r="Q671" i="11"/>
  <c r="P671" i="11"/>
  <c r="O671" i="11"/>
  <c r="N671" i="11"/>
  <c r="M671" i="11"/>
  <c r="L671" i="11"/>
  <c r="K671" i="11"/>
  <c r="J671" i="11"/>
  <c r="I671" i="11"/>
  <c r="H671" i="11"/>
  <c r="G671" i="11"/>
  <c r="F671" i="11"/>
  <c r="E671" i="11"/>
  <c r="S671" i="11" s="1"/>
  <c r="R670" i="11"/>
  <c r="Q670" i="11"/>
  <c r="P670" i="11"/>
  <c r="O670" i="11"/>
  <c r="N670" i="11"/>
  <c r="M670" i="11"/>
  <c r="L670" i="11"/>
  <c r="K670" i="11"/>
  <c r="J670" i="11"/>
  <c r="I670" i="11"/>
  <c r="H670" i="11"/>
  <c r="G670" i="11"/>
  <c r="F670" i="11"/>
  <c r="E670" i="11"/>
  <c r="R669" i="11"/>
  <c r="Q669" i="11"/>
  <c r="P669" i="11"/>
  <c r="O669" i="11"/>
  <c r="N669" i="11"/>
  <c r="M669" i="11"/>
  <c r="L669" i="11"/>
  <c r="K669" i="11"/>
  <c r="J669" i="11"/>
  <c r="I669" i="11"/>
  <c r="H669" i="11"/>
  <c r="G669" i="11"/>
  <c r="F669" i="11"/>
  <c r="E669" i="11"/>
  <c r="R668" i="11"/>
  <c r="Q668" i="11"/>
  <c r="P668" i="11"/>
  <c r="O668" i="11"/>
  <c r="N668" i="11"/>
  <c r="M668" i="11"/>
  <c r="L668" i="11"/>
  <c r="K668" i="11"/>
  <c r="J668" i="11"/>
  <c r="I668" i="11"/>
  <c r="H668" i="11"/>
  <c r="G668" i="11"/>
  <c r="F668" i="11"/>
  <c r="E668" i="11"/>
  <c r="S668" i="11" s="1"/>
  <c r="R667" i="11"/>
  <c r="Q667" i="11"/>
  <c r="P667" i="11"/>
  <c r="O667" i="11"/>
  <c r="N667" i="11"/>
  <c r="M667" i="11"/>
  <c r="L667" i="11"/>
  <c r="K667" i="11"/>
  <c r="J667" i="11"/>
  <c r="I667" i="11"/>
  <c r="H667" i="11"/>
  <c r="G667" i="11"/>
  <c r="F667" i="11"/>
  <c r="E667" i="11"/>
  <c r="S667" i="11" s="1"/>
  <c r="R665" i="11"/>
  <c r="Q665" i="11"/>
  <c r="P665" i="11"/>
  <c r="O665" i="11"/>
  <c r="N665" i="11"/>
  <c r="M665" i="11"/>
  <c r="L665" i="11"/>
  <c r="K665" i="11"/>
  <c r="J665" i="11"/>
  <c r="I665" i="11"/>
  <c r="H665" i="11"/>
  <c r="G665" i="11"/>
  <c r="F665" i="11"/>
  <c r="E665" i="11"/>
  <c r="S665" i="11" s="1"/>
  <c r="R664" i="11"/>
  <c r="Q664" i="11"/>
  <c r="P664" i="11"/>
  <c r="O664" i="11"/>
  <c r="N664" i="11"/>
  <c r="M664" i="11"/>
  <c r="L664" i="11"/>
  <c r="K664" i="11"/>
  <c r="J664" i="11"/>
  <c r="I664" i="11"/>
  <c r="H664" i="11"/>
  <c r="G664" i="11"/>
  <c r="F664" i="11"/>
  <c r="E664" i="11"/>
  <c r="S664" i="11" s="1"/>
  <c r="R663" i="11"/>
  <c r="Q663" i="11"/>
  <c r="P663" i="11"/>
  <c r="O663" i="11"/>
  <c r="N663" i="11"/>
  <c r="M663" i="11"/>
  <c r="L663" i="11"/>
  <c r="K663" i="11"/>
  <c r="J663" i="11"/>
  <c r="I663" i="11"/>
  <c r="H663" i="11"/>
  <c r="G663" i="11"/>
  <c r="F663" i="11"/>
  <c r="E663" i="11"/>
  <c r="R662" i="11"/>
  <c r="Q662" i="11"/>
  <c r="P662" i="11"/>
  <c r="O662" i="11"/>
  <c r="N662" i="11"/>
  <c r="M662" i="11"/>
  <c r="L662" i="11"/>
  <c r="K662" i="11"/>
  <c r="J662" i="11"/>
  <c r="I662" i="11"/>
  <c r="H662" i="11"/>
  <c r="G662" i="11"/>
  <c r="F662" i="11"/>
  <c r="E662" i="11"/>
  <c r="S662" i="11" s="1"/>
  <c r="R661" i="11"/>
  <c r="Q661" i="11"/>
  <c r="P661" i="11"/>
  <c r="O661" i="11"/>
  <c r="N661" i="11"/>
  <c r="M661" i="11"/>
  <c r="L661" i="11"/>
  <c r="K661" i="11"/>
  <c r="J661" i="11"/>
  <c r="I661" i="11"/>
  <c r="H661" i="11"/>
  <c r="G661" i="11"/>
  <c r="F661" i="11"/>
  <c r="E661" i="11"/>
  <c r="R659" i="11"/>
  <c r="Q659" i="11"/>
  <c r="P659" i="11"/>
  <c r="O659" i="11"/>
  <c r="N659" i="11"/>
  <c r="M659" i="11"/>
  <c r="L659" i="11"/>
  <c r="K659" i="11"/>
  <c r="J659" i="11"/>
  <c r="I659" i="11"/>
  <c r="H659" i="11"/>
  <c r="G659" i="11"/>
  <c r="F659" i="11"/>
  <c r="E659" i="11"/>
  <c r="S659" i="11" s="1"/>
  <c r="R658" i="11"/>
  <c r="Q658" i="11"/>
  <c r="P658" i="11"/>
  <c r="O658" i="11"/>
  <c r="N658" i="11"/>
  <c r="M658" i="11"/>
  <c r="L658" i="11"/>
  <c r="K658" i="11"/>
  <c r="J658" i="11"/>
  <c r="I658" i="11"/>
  <c r="H658" i="11"/>
  <c r="G658" i="11"/>
  <c r="F658" i="11"/>
  <c r="E658" i="11"/>
  <c r="S658" i="11" s="1"/>
  <c r="S657" i="11"/>
  <c r="R656" i="11"/>
  <c r="Q656" i="11"/>
  <c r="P656" i="11"/>
  <c r="O656" i="11"/>
  <c r="N656" i="11"/>
  <c r="M656" i="11"/>
  <c r="L656" i="11"/>
  <c r="K656" i="11"/>
  <c r="J656" i="11"/>
  <c r="I656" i="11"/>
  <c r="H656" i="11"/>
  <c r="G656" i="11"/>
  <c r="F656" i="11"/>
  <c r="E656" i="11"/>
  <c r="S656" i="11" s="1"/>
  <c r="R655" i="11"/>
  <c r="Q655" i="11"/>
  <c r="P655" i="11"/>
  <c r="O655" i="11"/>
  <c r="N655" i="11"/>
  <c r="M655" i="11"/>
  <c r="L655" i="11"/>
  <c r="K655" i="11"/>
  <c r="J655" i="11"/>
  <c r="I655" i="11"/>
  <c r="H655" i="11"/>
  <c r="G655" i="11"/>
  <c r="F655" i="11"/>
  <c r="E655" i="11"/>
  <c r="S655" i="11" s="1"/>
  <c r="R653" i="11"/>
  <c r="Q653" i="11"/>
  <c r="P653" i="11"/>
  <c r="O653" i="11"/>
  <c r="N653" i="11"/>
  <c r="M653" i="11"/>
  <c r="L653" i="11"/>
  <c r="K653" i="11"/>
  <c r="J653" i="11"/>
  <c r="I653" i="11"/>
  <c r="H653" i="11"/>
  <c r="G653" i="11"/>
  <c r="F653" i="11"/>
  <c r="E653" i="11"/>
  <c r="S653" i="11" s="1"/>
  <c r="R652" i="11"/>
  <c r="Q652" i="11"/>
  <c r="P652" i="11"/>
  <c r="O652" i="11"/>
  <c r="N652" i="11"/>
  <c r="M652" i="11"/>
  <c r="L652" i="11"/>
  <c r="K652" i="11"/>
  <c r="J652" i="11"/>
  <c r="I652" i="11"/>
  <c r="H652" i="11"/>
  <c r="G652" i="11"/>
  <c r="F652" i="11"/>
  <c r="E652" i="11"/>
  <c r="S652" i="11" s="1"/>
  <c r="S651" i="11"/>
  <c r="R650" i="11"/>
  <c r="Q650" i="11"/>
  <c r="P650" i="11"/>
  <c r="O650" i="11"/>
  <c r="N650" i="11"/>
  <c r="M650" i="11"/>
  <c r="L650" i="11"/>
  <c r="K650" i="11"/>
  <c r="J650" i="11"/>
  <c r="I650" i="11"/>
  <c r="H650" i="11"/>
  <c r="G650" i="11"/>
  <c r="F650" i="11"/>
  <c r="E650" i="11"/>
  <c r="S650" i="11" s="1"/>
  <c r="S649" i="11"/>
  <c r="R648" i="11"/>
  <c r="Q648" i="11"/>
  <c r="P648" i="11"/>
  <c r="O648" i="11"/>
  <c r="N648" i="11"/>
  <c r="M648" i="11"/>
  <c r="L648" i="11"/>
  <c r="K648" i="11"/>
  <c r="J648" i="11"/>
  <c r="I648" i="11"/>
  <c r="H648" i="11"/>
  <c r="G648" i="11"/>
  <c r="F648" i="11"/>
  <c r="E648" i="11"/>
  <c r="S648" i="11" s="1"/>
  <c r="R647" i="11"/>
  <c r="Q647" i="11"/>
  <c r="P647" i="11"/>
  <c r="O647" i="11"/>
  <c r="N647" i="11"/>
  <c r="M647" i="11"/>
  <c r="L647" i="11"/>
  <c r="K647" i="11"/>
  <c r="J647" i="11"/>
  <c r="I647" i="11"/>
  <c r="H647" i="11"/>
  <c r="G647" i="11"/>
  <c r="F647" i="11"/>
  <c r="E647" i="11"/>
  <c r="S647" i="11" s="1"/>
  <c r="R646" i="11"/>
  <c r="Q646" i="11"/>
  <c r="P646" i="11"/>
  <c r="O646" i="11"/>
  <c r="N646" i="11"/>
  <c r="M646" i="11"/>
  <c r="L646" i="11"/>
  <c r="K646" i="11"/>
  <c r="J646" i="11"/>
  <c r="I646" i="11"/>
  <c r="H646" i="11"/>
  <c r="G646" i="11"/>
  <c r="F646" i="11"/>
  <c r="E646" i="11"/>
  <c r="S646" i="11" s="1"/>
  <c r="S645" i="11"/>
  <c r="R644" i="11"/>
  <c r="Q644" i="11"/>
  <c r="P644" i="11"/>
  <c r="O644" i="11"/>
  <c r="N644" i="11"/>
  <c r="M644" i="11"/>
  <c r="L644" i="11"/>
  <c r="K644" i="11"/>
  <c r="J644" i="11"/>
  <c r="I644" i="11"/>
  <c r="H644" i="11"/>
  <c r="G644" i="11"/>
  <c r="F644" i="11"/>
  <c r="E644" i="11"/>
  <c r="S644" i="11" s="1"/>
  <c r="R643" i="11"/>
  <c r="Q643" i="11"/>
  <c r="P643" i="11"/>
  <c r="O643" i="11"/>
  <c r="N643" i="11"/>
  <c r="M643" i="11"/>
  <c r="L643" i="11"/>
  <c r="K643" i="11"/>
  <c r="J643" i="11"/>
  <c r="I643" i="11"/>
  <c r="H643" i="11"/>
  <c r="G643" i="11"/>
  <c r="F643" i="11"/>
  <c r="E643" i="11"/>
  <c r="S643" i="11" s="1"/>
  <c r="S642" i="11"/>
  <c r="R641" i="11"/>
  <c r="Q641" i="11"/>
  <c r="P641" i="11"/>
  <c r="O641" i="11"/>
  <c r="N641" i="11"/>
  <c r="M641" i="11"/>
  <c r="L641" i="11"/>
  <c r="K641" i="11"/>
  <c r="J641" i="11"/>
  <c r="I641" i="11"/>
  <c r="H641" i="11"/>
  <c r="G641" i="11"/>
  <c r="F641" i="11"/>
  <c r="S641" i="11" s="1"/>
  <c r="E641" i="11"/>
  <c r="R640" i="11"/>
  <c r="Q640" i="11"/>
  <c r="P640" i="11"/>
  <c r="O640" i="11"/>
  <c r="N640" i="11"/>
  <c r="M640" i="11"/>
  <c r="L640" i="11"/>
  <c r="K640" i="11"/>
  <c r="J640" i="11"/>
  <c r="I640" i="11"/>
  <c r="H640" i="11"/>
  <c r="G640" i="11"/>
  <c r="F640" i="11"/>
  <c r="E640" i="11"/>
  <c r="S640" i="11" s="1"/>
  <c r="R639" i="11"/>
  <c r="Q639" i="11"/>
  <c r="P639" i="11"/>
  <c r="O639" i="11"/>
  <c r="N639" i="11"/>
  <c r="M639" i="11"/>
  <c r="L639" i="11"/>
  <c r="K639" i="11"/>
  <c r="J639" i="11"/>
  <c r="I639" i="11"/>
  <c r="H639" i="11"/>
  <c r="G639" i="11"/>
  <c r="F639" i="11"/>
  <c r="E639" i="11"/>
  <c r="S639" i="11" s="1"/>
  <c r="R637" i="11"/>
  <c r="Q637" i="11"/>
  <c r="P637" i="11"/>
  <c r="O637" i="11"/>
  <c r="N637" i="11"/>
  <c r="M637" i="11"/>
  <c r="L637" i="11"/>
  <c r="K637" i="11"/>
  <c r="J637" i="11"/>
  <c r="I637" i="11"/>
  <c r="H637" i="11"/>
  <c r="G637" i="11"/>
  <c r="F637" i="11"/>
  <c r="E637" i="11"/>
  <c r="S637" i="11" s="1"/>
  <c r="R636" i="11"/>
  <c r="Q636" i="11"/>
  <c r="P636" i="11"/>
  <c r="O636" i="11"/>
  <c r="N636" i="11"/>
  <c r="M636" i="11"/>
  <c r="L636" i="11"/>
  <c r="K636" i="11"/>
  <c r="J636" i="11"/>
  <c r="I636" i="11"/>
  <c r="H636" i="11"/>
  <c r="G636" i="11"/>
  <c r="F636" i="11"/>
  <c r="E636" i="11"/>
  <c r="S636" i="11" s="1"/>
  <c r="R635" i="11"/>
  <c r="Q635" i="11"/>
  <c r="P635" i="11"/>
  <c r="O635" i="11"/>
  <c r="N635" i="11"/>
  <c r="M635" i="11"/>
  <c r="L635" i="11"/>
  <c r="K635" i="11"/>
  <c r="J635" i="11"/>
  <c r="I635" i="11"/>
  <c r="H635" i="11"/>
  <c r="G635" i="11"/>
  <c r="F635" i="11"/>
  <c r="E635" i="11"/>
  <c r="S635" i="11" s="1"/>
  <c r="R634" i="11"/>
  <c r="Q634" i="11"/>
  <c r="P634" i="11"/>
  <c r="O634" i="11"/>
  <c r="N634" i="11"/>
  <c r="M634" i="11"/>
  <c r="L634" i="11"/>
  <c r="K634" i="11"/>
  <c r="J634" i="11"/>
  <c r="I634" i="11"/>
  <c r="H634" i="11"/>
  <c r="G634" i="11"/>
  <c r="F634" i="11"/>
  <c r="E634" i="11"/>
  <c r="S634" i="11" s="1"/>
  <c r="R633" i="11"/>
  <c r="R660" i="11" s="1"/>
  <c r="Q633" i="11"/>
  <c r="Q660" i="11" s="1"/>
  <c r="P633" i="11"/>
  <c r="P660" i="11" s="1"/>
  <c r="O633" i="11"/>
  <c r="O660" i="11" s="1"/>
  <c r="N633" i="11"/>
  <c r="N660" i="11" s="1"/>
  <c r="M633" i="11"/>
  <c r="M660" i="11" s="1"/>
  <c r="L633" i="11"/>
  <c r="L660" i="11" s="1"/>
  <c r="K633" i="11"/>
  <c r="K660" i="11" s="1"/>
  <c r="J633" i="11"/>
  <c r="J660" i="11" s="1"/>
  <c r="I633" i="11"/>
  <c r="I660" i="11" s="1"/>
  <c r="H633" i="11"/>
  <c r="H660" i="11" s="1"/>
  <c r="G633" i="11"/>
  <c r="G660" i="11" s="1"/>
  <c r="F633" i="11"/>
  <c r="F660" i="11" s="1"/>
  <c r="E633" i="11"/>
  <c r="S633" i="11" s="1"/>
  <c r="R631" i="11"/>
  <c r="Q631" i="11"/>
  <c r="P631" i="11"/>
  <c r="O631" i="11"/>
  <c r="N631" i="11"/>
  <c r="M631" i="11"/>
  <c r="L631" i="11"/>
  <c r="K631" i="11"/>
  <c r="J631" i="11"/>
  <c r="I631" i="11"/>
  <c r="H631" i="11"/>
  <c r="G631" i="11"/>
  <c r="F631" i="11"/>
  <c r="E631" i="11"/>
  <c r="S631" i="11" s="1"/>
  <c r="G630" i="11"/>
  <c r="S630" i="11" s="1"/>
  <c r="R628" i="11"/>
  <c r="Q628" i="11"/>
  <c r="P628" i="11"/>
  <c r="O628" i="11"/>
  <c r="N628" i="11"/>
  <c r="M628" i="11"/>
  <c r="L628" i="11"/>
  <c r="K628" i="11"/>
  <c r="J628" i="11"/>
  <c r="I628" i="11"/>
  <c r="H628" i="11"/>
  <c r="G628" i="11"/>
  <c r="F628" i="11"/>
  <c r="E628" i="11"/>
  <c r="S628" i="11" s="1"/>
  <c r="R627" i="11"/>
  <c r="Q627" i="11"/>
  <c r="P627" i="11"/>
  <c r="O627" i="11"/>
  <c r="N627" i="11"/>
  <c r="M627" i="11"/>
  <c r="L627" i="11"/>
  <c r="K627" i="11"/>
  <c r="J627" i="11"/>
  <c r="I627" i="11"/>
  <c r="H627" i="11"/>
  <c r="G627" i="11"/>
  <c r="F627" i="11"/>
  <c r="E627" i="11"/>
  <c r="S627" i="11" s="1"/>
  <c r="S626" i="11"/>
  <c r="R625" i="11"/>
  <c r="Q625" i="11"/>
  <c r="P625" i="11"/>
  <c r="O625" i="11"/>
  <c r="N625" i="11"/>
  <c r="M625" i="11"/>
  <c r="L625" i="11"/>
  <c r="K625" i="11"/>
  <c r="J625" i="11"/>
  <c r="I625" i="11"/>
  <c r="H625" i="11"/>
  <c r="G625" i="11"/>
  <c r="F625" i="11"/>
  <c r="S625" i="11" s="1"/>
  <c r="R624" i="11"/>
  <c r="Q624" i="11"/>
  <c r="P624" i="11"/>
  <c r="O624" i="11"/>
  <c r="N624" i="11"/>
  <c r="M624" i="11"/>
  <c r="L624" i="11"/>
  <c r="K624" i="11"/>
  <c r="J624" i="11"/>
  <c r="I624" i="11"/>
  <c r="H624" i="11"/>
  <c r="G624" i="11"/>
  <c r="F624" i="11"/>
  <c r="S624" i="11" s="1"/>
  <c r="S623" i="11"/>
  <c r="R622" i="11"/>
  <c r="Q622" i="11"/>
  <c r="P622" i="11"/>
  <c r="O622" i="11"/>
  <c r="N622" i="11"/>
  <c r="M622" i="11"/>
  <c r="L622" i="11"/>
  <c r="K622" i="11"/>
  <c r="J622" i="11"/>
  <c r="I622" i="11"/>
  <c r="H622" i="11"/>
  <c r="G622" i="11"/>
  <c r="F622" i="11"/>
  <c r="E622" i="11"/>
  <c r="S622" i="11" s="1"/>
  <c r="R621" i="11"/>
  <c r="Q621" i="11"/>
  <c r="P621" i="11"/>
  <c r="O621" i="11"/>
  <c r="N621" i="11"/>
  <c r="M621" i="11"/>
  <c r="L621" i="11"/>
  <c r="K621" i="11"/>
  <c r="J621" i="11"/>
  <c r="I621" i="11"/>
  <c r="H621" i="11"/>
  <c r="G621" i="11"/>
  <c r="F621" i="11"/>
  <c r="E621" i="11"/>
  <c r="S621" i="11" s="1"/>
  <c r="R620" i="11"/>
  <c r="R632" i="11" s="1"/>
  <c r="Q620" i="11"/>
  <c r="Q632" i="11" s="1"/>
  <c r="P620" i="11"/>
  <c r="P632" i="11" s="1"/>
  <c r="O620" i="11"/>
  <c r="O632" i="11" s="1"/>
  <c r="N620" i="11"/>
  <c r="N632" i="11" s="1"/>
  <c r="M620" i="11"/>
  <c r="M632" i="11" s="1"/>
  <c r="L620" i="11"/>
  <c r="L632" i="11" s="1"/>
  <c r="K620" i="11"/>
  <c r="K632" i="11" s="1"/>
  <c r="J620" i="11"/>
  <c r="J632" i="11" s="1"/>
  <c r="I620" i="11"/>
  <c r="I632" i="11" s="1"/>
  <c r="H620" i="11"/>
  <c r="H632" i="11" s="1"/>
  <c r="G620" i="11"/>
  <c r="G632" i="11" s="1"/>
  <c r="F620" i="11"/>
  <c r="F632" i="11" s="1"/>
  <c r="E620" i="11"/>
  <c r="E632" i="11" s="1"/>
  <c r="P618" i="11"/>
  <c r="O618" i="11"/>
  <c r="N618" i="11"/>
  <c r="M618" i="11"/>
  <c r="L618" i="11"/>
  <c r="K618" i="11"/>
  <c r="J618" i="11"/>
  <c r="I618" i="11"/>
  <c r="H618" i="11"/>
  <c r="G618" i="11"/>
  <c r="S618" i="11" s="1"/>
  <c r="P617" i="11"/>
  <c r="O617" i="11"/>
  <c r="N617" i="11"/>
  <c r="M617" i="11"/>
  <c r="L617" i="11"/>
  <c r="K617" i="11"/>
  <c r="J617" i="11"/>
  <c r="I617" i="11"/>
  <c r="H617" i="11"/>
  <c r="G617" i="11"/>
  <c r="S617" i="11" s="1"/>
  <c r="S616" i="11"/>
  <c r="R615" i="11"/>
  <c r="Q615" i="11"/>
  <c r="P615" i="11"/>
  <c r="O615" i="11"/>
  <c r="N615" i="11"/>
  <c r="M615" i="11"/>
  <c r="L615" i="11"/>
  <c r="K615" i="11"/>
  <c r="J615" i="11"/>
  <c r="I615" i="11"/>
  <c r="H615" i="11"/>
  <c r="G615" i="11"/>
  <c r="F615" i="11"/>
  <c r="E615" i="11"/>
  <c r="S615" i="11" s="1"/>
  <c r="R614" i="11"/>
  <c r="Q614" i="11"/>
  <c r="P614" i="11"/>
  <c r="O614" i="11"/>
  <c r="N614" i="11"/>
  <c r="M614" i="11"/>
  <c r="L614" i="11"/>
  <c r="K614" i="11"/>
  <c r="J614" i="11"/>
  <c r="I614" i="11"/>
  <c r="H614" i="11"/>
  <c r="G614" i="11"/>
  <c r="F614" i="11"/>
  <c r="E614" i="11"/>
  <c r="S614" i="11" s="1"/>
  <c r="S613" i="11"/>
  <c r="R612" i="11"/>
  <c r="Q612" i="11"/>
  <c r="P612" i="11"/>
  <c r="O612" i="11"/>
  <c r="N612" i="11"/>
  <c r="M612" i="11"/>
  <c r="L612" i="11"/>
  <c r="K612" i="11"/>
  <c r="J612" i="11"/>
  <c r="I612" i="11"/>
  <c r="H612" i="11"/>
  <c r="G612" i="11"/>
  <c r="F612" i="11"/>
  <c r="E612" i="11"/>
  <c r="S612" i="11" s="1"/>
  <c r="R611" i="11"/>
  <c r="Q611" i="11"/>
  <c r="P611" i="11"/>
  <c r="O611" i="11"/>
  <c r="N611" i="11"/>
  <c r="M611" i="11"/>
  <c r="L611" i="11"/>
  <c r="K611" i="11"/>
  <c r="J611" i="11"/>
  <c r="I611" i="11"/>
  <c r="H611" i="11"/>
  <c r="G611" i="11"/>
  <c r="F611" i="11"/>
  <c r="E611" i="11"/>
  <c r="S611" i="11" s="1"/>
  <c r="S610" i="11"/>
  <c r="R609" i="11"/>
  <c r="Q609" i="11"/>
  <c r="P609" i="11"/>
  <c r="O609" i="11"/>
  <c r="N609" i="11"/>
  <c r="M609" i="11"/>
  <c r="L609" i="11"/>
  <c r="K609" i="11"/>
  <c r="J609" i="11"/>
  <c r="I609" i="11"/>
  <c r="H609" i="11"/>
  <c r="G609" i="11"/>
  <c r="F609" i="11"/>
  <c r="E609" i="11"/>
  <c r="S609" i="11" s="1"/>
  <c r="R608" i="11"/>
  <c r="Q608" i="11"/>
  <c r="P608" i="11"/>
  <c r="O608" i="11"/>
  <c r="N608" i="11"/>
  <c r="M608" i="11"/>
  <c r="L608" i="11"/>
  <c r="K608" i="11"/>
  <c r="J608" i="11"/>
  <c r="I608" i="11"/>
  <c r="H608" i="11"/>
  <c r="G608" i="11"/>
  <c r="F608" i="11"/>
  <c r="E608" i="11"/>
  <c r="S608" i="11" s="1"/>
  <c r="S607" i="11"/>
  <c r="R606" i="11"/>
  <c r="Q606" i="11"/>
  <c r="P606" i="11"/>
  <c r="O606" i="11"/>
  <c r="N606" i="11"/>
  <c r="M606" i="11"/>
  <c r="L606" i="11"/>
  <c r="K606" i="11"/>
  <c r="J606" i="11"/>
  <c r="I606" i="11"/>
  <c r="H606" i="11"/>
  <c r="G606" i="11"/>
  <c r="F606" i="11"/>
  <c r="E606" i="11"/>
  <c r="S606" i="11" s="1"/>
  <c r="R605" i="11"/>
  <c r="Q605" i="11"/>
  <c r="P605" i="11"/>
  <c r="O605" i="11"/>
  <c r="N605" i="11"/>
  <c r="M605" i="11"/>
  <c r="L605" i="11"/>
  <c r="K605" i="11"/>
  <c r="J605" i="11"/>
  <c r="I605" i="11"/>
  <c r="H605" i="11"/>
  <c r="G605" i="11"/>
  <c r="F605" i="11"/>
  <c r="E605" i="11"/>
  <c r="S605" i="11" s="1"/>
  <c r="S604" i="11"/>
  <c r="R603" i="11"/>
  <c r="Q603" i="11"/>
  <c r="P603" i="11"/>
  <c r="O603" i="11"/>
  <c r="N603" i="11"/>
  <c r="M603" i="11"/>
  <c r="L603" i="11"/>
  <c r="K603" i="11"/>
  <c r="J603" i="11"/>
  <c r="I603" i="11"/>
  <c r="H603" i="11"/>
  <c r="G603" i="11"/>
  <c r="F603" i="11"/>
  <c r="E603" i="11"/>
  <c r="S603" i="11" s="1"/>
  <c r="S602" i="11"/>
  <c r="R601" i="11"/>
  <c r="Q601" i="11"/>
  <c r="P601" i="11"/>
  <c r="O601" i="11"/>
  <c r="N601" i="11"/>
  <c r="M601" i="11"/>
  <c r="L601" i="11"/>
  <c r="K601" i="11"/>
  <c r="J601" i="11"/>
  <c r="I601" i="11"/>
  <c r="H601" i="11"/>
  <c r="G601" i="11"/>
  <c r="F601" i="11"/>
  <c r="E601" i="11"/>
  <c r="S601" i="11" s="1"/>
  <c r="P600" i="11"/>
  <c r="O600" i="11"/>
  <c r="N600" i="11"/>
  <c r="M600" i="11"/>
  <c r="L600" i="11"/>
  <c r="K600" i="11"/>
  <c r="J600" i="11"/>
  <c r="I600" i="11"/>
  <c r="H600" i="11"/>
  <c r="G600" i="11"/>
  <c r="F600" i="11"/>
  <c r="E600" i="11"/>
  <c r="S600" i="11" s="1"/>
  <c r="S599" i="11"/>
  <c r="R598" i="11"/>
  <c r="Q598" i="11"/>
  <c r="P598" i="11"/>
  <c r="O598" i="11"/>
  <c r="N598" i="11"/>
  <c r="M598" i="11"/>
  <c r="L598" i="11"/>
  <c r="K598" i="11"/>
  <c r="J598" i="11"/>
  <c r="I598" i="11"/>
  <c r="H598" i="11"/>
  <c r="G598" i="11"/>
  <c r="F598" i="11"/>
  <c r="E598" i="11"/>
  <c r="S598" i="11" s="1"/>
  <c r="R597" i="11"/>
  <c r="Q597" i="11"/>
  <c r="P597" i="11"/>
  <c r="O597" i="11"/>
  <c r="N597" i="11"/>
  <c r="M597" i="11"/>
  <c r="L597" i="11"/>
  <c r="K597" i="11"/>
  <c r="J597" i="11"/>
  <c r="I597" i="11"/>
  <c r="H597" i="11"/>
  <c r="G597" i="11"/>
  <c r="F597" i="11"/>
  <c r="E597" i="11"/>
  <c r="S597" i="11" s="1"/>
  <c r="S596" i="11"/>
  <c r="R595" i="11"/>
  <c r="Q595" i="11"/>
  <c r="P595" i="11"/>
  <c r="O595" i="11"/>
  <c r="N595" i="11"/>
  <c r="M595" i="11"/>
  <c r="L595" i="11"/>
  <c r="K595" i="11"/>
  <c r="J595" i="11"/>
  <c r="I595" i="11"/>
  <c r="H595" i="11"/>
  <c r="G595" i="11"/>
  <c r="F595" i="11"/>
  <c r="E595" i="11"/>
  <c r="S595" i="11" s="1"/>
  <c r="R594" i="11"/>
  <c r="Q594" i="11"/>
  <c r="P594" i="11"/>
  <c r="O594" i="11"/>
  <c r="N594" i="11"/>
  <c r="M594" i="11"/>
  <c r="L594" i="11"/>
  <c r="K594" i="11"/>
  <c r="J594" i="11"/>
  <c r="I594" i="11"/>
  <c r="H594" i="11"/>
  <c r="G594" i="11"/>
  <c r="F594" i="11"/>
  <c r="E594" i="11"/>
  <c r="S594" i="11" s="1"/>
  <c r="S592" i="11"/>
  <c r="R591" i="11"/>
  <c r="R619" i="11" s="1"/>
  <c r="Q591" i="11"/>
  <c r="Q619" i="11" s="1"/>
  <c r="P591" i="11"/>
  <c r="P619" i="11" s="1"/>
  <c r="O591" i="11"/>
  <c r="O619" i="11" s="1"/>
  <c r="N591" i="11"/>
  <c r="N619" i="11" s="1"/>
  <c r="M591" i="11"/>
  <c r="M619" i="11" s="1"/>
  <c r="L591" i="11"/>
  <c r="L619" i="11" s="1"/>
  <c r="K591" i="11"/>
  <c r="K619" i="11" s="1"/>
  <c r="J591" i="11"/>
  <c r="J619" i="11" s="1"/>
  <c r="I591" i="11"/>
  <c r="I619" i="11" s="1"/>
  <c r="H591" i="11"/>
  <c r="H619" i="11" s="1"/>
  <c r="G591" i="11"/>
  <c r="G619" i="11" s="1"/>
  <c r="F591" i="11"/>
  <c r="F619" i="11" s="1"/>
  <c r="E591" i="11"/>
  <c r="E619" i="11" s="1"/>
  <c r="P589" i="11"/>
  <c r="O589" i="11"/>
  <c r="N589" i="11"/>
  <c r="M589" i="11"/>
  <c r="L589" i="11"/>
  <c r="K589" i="11"/>
  <c r="J589" i="11"/>
  <c r="I589" i="11"/>
  <c r="H589" i="11"/>
  <c r="G589" i="11"/>
  <c r="S589" i="11" s="1"/>
  <c r="S588" i="11"/>
  <c r="R587" i="11"/>
  <c r="Q587" i="11"/>
  <c r="P587" i="11"/>
  <c r="O587" i="11"/>
  <c r="N587" i="11"/>
  <c r="M587" i="11"/>
  <c r="L587" i="11"/>
  <c r="K587" i="11"/>
  <c r="J587" i="11"/>
  <c r="I587" i="11"/>
  <c r="H587" i="11"/>
  <c r="G587" i="11"/>
  <c r="F587" i="11"/>
  <c r="E587" i="11"/>
  <c r="S587" i="11" s="1"/>
  <c r="R586" i="11"/>
  <c r="Q586" i="11"/>
  <c r="P586" i="11"/>
  <c r="O586" i="11"/>
  <c r="N586" i="11"/>
  <c r="M586" i="11"/>
  <c r="L586" i="11"/>
  <c r="K586" i="11"/>
  <c r="J586" i="11"/>
  <c r="I586" i="11"/>
  <c r="H586" i="11"/>
  <c r="G586" i="11"/>
  <c r="F586" i="11"/>
  <c r="E586" i="11"/>
  <c r="S586" i="11" s="1"/>
  <c r="R585" i="11"/>
  <c r="Q585" i="11"/>
  <c r="P585" i="11"/>
  <c r="O585" i="11"/>
  <c r="N585" i="11"/>
  <c r="M585" i="11"/>
  <c r="L585" i="11"/>
  <c r="K585" i="11"/>
  <c r="J585" i="11"/>
  <c r="I585" i="11"/>
  <c r="H585" i="11"/>
  <c r="G585" i="11"/>
  <c r="F585" i="11"/>
  <c r="E585" i="11"/>
  <c r="S585" i="11" s="1"/>
  <c r="R583" i="11"/>
  <c r="Q583" i="11"/>
  <c r="P583" i="11"/>
  <c r="O583" i="11"/>
  <c r="N583" i="11"/>
  <c r="M583" i="11"/>
  <c r="L583" i="11"/>
  <c r="K583" i="11"/>
  <c r="J583" i="11"/>
  <c r="I583" i="11"/>
  <c r="H583" i="11"/>
  <c r="G583" i="11"/>
  <c r="F583" i="11"/>
  <c r="E583" i="11"/>
  <c r="S583" i="11" s="1"/>
  <c r="R581" i="11"/>
  <c r="Q581" i="11"/>
  <c r="P581" i="11"/>
  <c r="O581" i="11"/>
  <c r="N581" i="11"/>
  <c r="M581" i="11"/>
  <c r="L581" i="11"/>
  <c r="K581" i="11"/>
  <c r="J581" i="11"/>
  <c r="I581" i="11"/>
  <c r="H581" i="11"/>
  <c r="G581" i="11"/>
  <c r="F581" i="11"/>
  <c r="E581" i="11"/>
  <c r="S581" i="11" s="1"/>
  <c r="R580" i="11"/>
  <c r="Q580" i="11"/>
  <c r="P580" i="11"/>
  <c r="O580" i="11"/>
  <c r="N580" i="11"/>
  <c r="M580" i="11"/>
  <c r="L580" i="11"/>
  <c r="K580" i="11"/>
  <c r="J580" i="11"/>
  <c r="I580" i="11"/>
  <c r="H580" i="11"/>
  <c r="G580" i="11"/>
  <c r="F580" i="11"/>
  <c r="E580" i="11"/>
  <c r="S580" i="11" s="1"/>
  <c r="R578" i="11"/>
  <c r="Q578" i="11"/>
  <c r="P578" i="11"/>
  <c r="O578" i="11"/>
  <c r="N578" i="11"/>
  <c r="M578" i="11"/>
  <c r="L578" i="11"/>
  <c r="K578" i="11"/>
  <c r="J578" i="11"/>
  <c r="I578" i="11"/>
  <c r="H578" i="11"/>
  <c r="G578" i="11"/>
  <c r="F578" i="11"/>
  <c r="E578" i="11"/>
  <c r="S578" i="11" s="1"/>
  <c r="R577" i="11"/>
  <c r="Q577" i="11"/>
  <c r="P577" i="11"/>
  <c r="O577" i="11"/>
  <c r="N577" i="11"/>
  <c r="M577" i="11"/>
  <c r="L577" i="11"/>
  <c r="K577" i="11"/>
  <c r="J577" i="11"/>
  <c r="I577" i="11"/>
  <c r="H577" i="11"/>
  <c r="G577" i="11"/>
  <c r="F577" i="11"/>
  <c r="E577" i="11"/>
  <c r="S577" i="11" s="1"/>
  <c r="R576" i="11"/>
  <c r="Q576" i="11"/>
  <c r="P576" i="11"/>
  <c r="O576" i="11"/>
  <c r="N576" i="11"/>
  <c r="M576" i="11"/>
  <c r="L576" i="11"/>
  <c r="K576" i="11"/>
  <c r="J576" i="11"/>
  <c r="I576" i="11"/>
  <c r="H576" i="11"/>
  <c r="G576" i="11"/>
  <c r="F576" i="11"/>
  <c r="E576" i="11"/>
  <c r="S576" i="11" s="1"/>
  <c r="R574" i="11"/>
  <c r="Q574" i="11"/>
  <c r="P574" i="11"/>
  <c r="O574" i="11"/>
  <c r="N574" i="11"/>
  <c r="M574" i="11"/>
  <c r="L574" i="11"/>
  <c r="K574" i="11"/>
  <c r="J574" i="11"/>
  <c r="I574" i="11"/>
  <c r="H574" i="11"/>
  <c r="G574" i="11"/>
  <c r="F574" i="11"/>
  <c r="E574" i="11"/>
  <c r="S574" i="11" s="1"/>
  <c r="R573" i="11"/>
  <c r="Q573" i="11"/>
  <c r="P573" i="11"/>
  <c r="O573" i="11"/>
  <c r="N573" i="11"/>
  <c r="M573" i="11"/>
  <c r="L573" i="11"/>
  <c r="K573" i="11"/>
  <c r="J573" i="11"/>
  <c r="I573" i="11"/>
  <c r="H573" i="11"/>
  <c r="G573" i="11"/>
  <c r="F573" i="11"/>
  <c r="E573" i="11"/>
  <c r="S573" i="11" s="1"/>
  <c r="R571" i="11"/>
  <c r="Q571" i="11"/>
  <c r="P571" i="11"/>
  <c r="O571" i="11"/>
  <c r="N571" i="11"/>
  <c r="M571" i="11"/>
  <c r="L571" i="11"/>
  <c r="K571" i="11"/>
  <c r="J571" i="11"/>
  <c r="I571" i="11"/>
  <c r="H571" i="11"/>
  <c r="G571" i="11"/>
  <c r="F571" i="11"/>
  <c r="E571" i="11"/>
  <c r="S571" i="11" s="1"/>
  <c r="R570" i="11"/>
  <c r="Q570" i="11"/>
  <c r="P570" i="11"/>
  <c r="O570" i="11"/>
  <c r="N570" i="11"/>
  <c r="M570" i="11"/>
  <c r="L570" i="11"/>
  <c r="K570" i="11"/>
  <c r="J570" i="11"/>
  <c r="I570" i="11"/>
  <c r="H570" i="11"/>
  <c r="G570" i="11"/>
  <c r="F570" i="11"/>
  <c r="E570" i="11"/>
  <c r="S570" i="11" s="1"/>
  <c r="R569" i="11"/>
  <c r="Q569" i="11"/>
  <c r="P569" i="11"/>
  <c r="O569" i="11"/>
  <c r="N569" i="11"/>
  <c r="M569" i="11"/>
  <c r="L569" i="11"/>
  <c r="K569" i="11"/>
  <c r="J569" i="11"/>
  <c r="I569" i="11"/>
  <c r="H569" i="11"/>
  <c r="G569" i="11"/>
  <c r="F569" i="11"/>
  <c r="E569" i="11"/>
  <c r="S569" i="11" s="1"/>
  <c r="R567" i="11"/>
  <c r="Q567" i="11"/>
  <c r="P567" i="11"/>
  <c r="O567" i="11"/>
  <c r="N567" i="11"/>
  <c r="M567" i="11"/>
  <c r="L567" i="11"/>
  <c r="K567" i="11"/>
  <c r="J567" i="11"/>
  <c r="I567" i="11"/>
  <c r="H567" i="11"/>
  <c r="G567" i="11"/>
  <c r="F567" i="11"/>
  <c r="E567" i="11"/>
  <c r="S567" i="11" s="1"/>
  <c r="R566" i="11"/>
  <c r="Q566" i="11"/>
  <c r="P566" i="11"/>
  <c r="O566" i="11"/>
  <c r="N566" i="11"/>
  <c r="M566" i="11"/>
  <c r="L566" i="11"/>
  <c r="K566" i="11"/>
  <c r="J566" i="11"/>
  <c r="I566" i="11"/>
  <c r="H566" i="11"/>
  <c r="G566" i="11"/>
  <c r="F566" i="11"/>
  <c r="E566" i="11"/>
  <c r="S566" i="11" s="1"/>
  <c r="R565" i="11"/>
  <c r="Q565" i="11"/>
  <c r="P565" i="11"/>
  <c r="O565" i="11"/>
  <c r="N565" i="11"/>
  <c r="M565" i="11"/>
  <c r="L565" i="11"/>
  <c r="K565" i="11"/>
  <c r="J565" i="11"/>
  <c r="I565" i="11"/>
  <c r="H565" i="11"/>
  <c r="G565" i="11"/>
  <c r="F565" i="11"/>
  <c r="E565" i="11"/>
  <c r="S565" i="11" s="1"/>
  <c r="R563" i="11"/>
  <c r="Q563" i="11"/>
  <c r="P563" i="11"/>
  <c r="O563" i="11"/>
  <c r="N563" i="11"/>
  <c r="M563" i="11"/>
  <c r="L563" i="11"/>
  <c r="K563" i="11"/>
  <c r="J563" i="11"/>
  <c r="I563" i="11"/>
  <c r="H563" i="11"/>
  <c r="G563" i="11"/>
  <c r="F563" i="11"/>
  <c r="E563" i="11"/>
  <c r="S563" i="11" s="1"/>
  <c r="R562" i="11"/>
  <c r="Q562" i="11"/>
  <c r="P562" i="11"/>
  <c r="O562" i="11"/>
  <c r="N562" i="11"/>
  <c r="M562" i="11"/>
  <c r="L562" i="11"/>
  <c r="K562" i="11"/>
  <c r="J562" i="11"/>
  <c r="I562" i="11"/>
  <c r="H562" i="11"/>
  <c r="G562" i="11"/>
  <c r="F562" i="11"/>
  <c r="E562" i="11"/>
  <c r="S562" i="11" s="1"/>
  <c r="R561" i="11"/>
  <c r="Q561" i="11"/>
  <c r="P561" i="11"/>
  <c r="O561" i="11"/>
  <c r="N561" i="11"/>
  <c r="M561" i="11"/>
  <c r="L561" i="11"/>
  <c r="K561" i="11"/>
  <c r="J561" i="11"/>
  <c r="I561" i="11"/>
  <c r="H561" i="11"/>
  <c r="G561" i="11"/>
  <c r="F561" i="11"/>
  <c r="E561" i="11"/>
  <c r="S561" i="11" s="1"/>
  <c r="R559" i="11"/>
  <c r="Q559" i="11"/>
  <c r="P559" i="11"/>
  <c r="O559" i="11"/>
  <c r="N559" i="11"/>
  <c r="M559" i="11"/>
  <c r="L559" i="11"/>
  <c r="K559" i="11"/>
  <c r="J559" i="11"/>
  <c r="I559" i="11"/>
  <c r="H559" i="11"/>
  <c r="G559" i="11"/>
  <c r="F559" i="11"/>
  <c r="E559" i="11"/>
  <c r="S559" i="11" s="1"/>
  <c r="R558" i="11"/>
  <c r="Q558" i="11"/>
  <c r="P558" i="11"/>
  <c r="O558" i="11"/>
  <c r="N558" i="11"/>
  <c r="M558" i="11"/>
  <c r="L558" i="11"/>
  <c r="K558" i="11"/>
  <c r="J558" i="11"/>
  <c r="I558" i="11"/>
  <c r="H558" i="11"/>
  <c r="G558" i="11"/>
  <c r="F558" i="11"/>
  <c r="E558" i="11"/>
  <c r="S558" i="11" s="1"/>
  <c r="R557" i="11"/>
  <c r="R590" i="11" s="1"/>
  <c r="Q557" i="11"/>
  <c r="Q590" i="11" s="1"/>
  <c r="P557" i="11"/>
  <c r="P590" i="11" s="1"/>
  <c r="O557" i="11"/>
  <c r="O590" i="11" s="1"/>
  <c r="N557" i="11"/>
  <c r="N590" i="11" s="1"/>
  <c r="M557" i="11"/>
  <c r="M590" i="11" s="1"/>
  <c r="L557" i="11"/>
  <c r="L590" i="11" s="1"/>
  <c r="K557" i="11"/>
  <c r="K590" i="11" s="1"/>
  <c r="J557" i="11"/>
  <c r="J590" i="11" s="1"/>
  <c r="I557" i="11"/>
  <c r="I590" i="11" s="1"/>
  <c r="H557" i="11"/>
  <c r="H590" i="11" s="1"/>
  <c r="G557" i="11"/>
  <c r="G590" i="11" s="1"/>
  <c r="F557" i="11"/>
  <c r="F590" i="11" s="1"/>
  <c r="E557" i="11"/>
  <c r="S557" i="11" s="1"/>
  <c r="P555" i="11"/>
  <c r="O555" i="11"/>
  <c r="N555" i="11"/>
  <c r="M555" i="11"/>
  <c r="L555" i="11"/>
  <c r="K555" i="11"/>
  <c r="J555" i="11"/>
  <c r="I555" i="11"/>
  <c r="H555" i="11"/>
  <c r="G555" i="11"/>
  <c r="S555" i="11" s="1"/>
  <c r="S554" i="11"/>
  <c r="S553" i="11"/>
  <c r="R552" i="11"/>
  <c r="Q552" i="11"/>
  <c r="P552" i="11"/>
  <c r="O552" i="11"/>
  <c r="N552" i="11"/>
  <c r="M552" i="11"/>
  <c r="L552" i="11"/>
  <c r="K552" i="11"/>
  <c r="J552" i="11"/>
  <c r="I552" i="11"/>
  <c r="H552" i="11"/>
  <c r="G552" i="11"/>
  <c r="F552" i="11"/>
  <c r="E552" i="11"/>
  <c r="S552" i="11" s="1"/>
  <c r="S551" i="11"/>
  <c r="R550" i="11"/>
  <c r="Q550" i="11"/>
  <c r="P550" i="11"/>
  <c r="O550" i="11"/>
  <c r="N550" i="11"/>
  <c r="M550" i="11"/>
  <c r="L550" i="11"/>
  <c r="K550" i="11"/>
  <c r="J550" i="11"/>
  <c r="I550" i="11"/>
  <c r="H550" i="11"/>
  <c r="G550" i="11"/>
  <c r="F550" i="11"/>
  <c r="E550" i="11"/>
  <c r="S550" i="11" s="1"/>
  <c r="R548" i="11"/>
  <c r="Q548" i="11"/>
  <c r="P548" i="11"/>
  <c r="O548" i="11"/>
  <c r="N548" i="11"/>
  <c r="M548" i="11"/>
  <c r="L548" i="11"/>
  <c r="K548" i="11"/>
  <c r="J548" i="11"/>
  <c r="I548" i="11"/>
  <c r="H548" i="11"/>
  <c r="G548" i="11"/>
  <c r="F548" i="11"/>
  <c r="E548" i="11"/>
  <c r="S548" i="11" s="1"/>
  <c r="R547" i="11"/>
  <c r="Q547" i="11"/>
  <c r="P547" i="11"/>
  <c r="O547" i="11"/>
  <c r="N547" i="11"/>
  <c r="M547" i="11"/>
  <c r="L547" i="11"/>
  <c r="K547" i="11"/>
  <c r="J547" i="11"/>
  <c r="I547" i="11"/>
  <c r="H547" i="11"/>
  <c r="G547" i="11"/>
  <c r="S547" i="11" s="1"/>
  <c r="F547" i="11"/>
  <c r="E547" i="11"/>
  <c r="R546" i="11"/>
  <c r="Q546" i="11"/>
  <c r="P546" i="11"/>
  <c r="O546" i="11"/>
  <c r="N546" i="11"/>
  <c r="M546" i="11"/>
  <c r="L546" i="11"/>
  <c r="K546" i="11"/>
  <c r="J546" i="11"/>
  <c r="I546" i="11"/>
  <c r="H546" i="11"/>
  <c r="G546" i="11"/>
  <c r="F546" i="11"/>
  <c r="E546" i="11"/>
  <c r="S546" i="11" s="1"/>
  <c r="R545" i="11"/>
  <c r="Q545" i="11"/>
  <c r="P545" i="11"/>
  <c r="O545" i="11"/>
  <c r="N545" i="11"/>
  <c r="M545" i="11"/>
  <c r="L545" i="11"/>
  <c r="K545" i="11"/>
  <c r="J545" i="11"/>
  <c r="I545" i="11"/>
  <c r="H545" i="11"/>
  <c r="G545" i="11"/>
  <c r="F545" i="11"/>
  <c r="E545" i="11"/>
  <c r="S545" i="11" s="1"/>
  <c r="R544" i="11"/>
  <c r="Q544" i="11"/>
  <c r="P544" i="11"/>
  <c r="O544" i="11"/>
  <c r="N544" i="11"/>
  <c r="M544" i="11"/>
  <c r="L544" i="11"/>
  <c r="K544" i="11"/>
  <c r="J544" i="11"/>
  <c r="I544" i="11"/>
  <c r="H544" i="11"/>
  <c r="G544" i="11"/>
  <c r="F544" i="11"/>
  <c r="E544" i="11"/>
  <c r="S544" i="11" s="1"/>
  <c r="R543" i="11"/>
  <c r="Q543" i="11"/>
  <c r="P543" i="11"/>
  <c r="O543" i="11"/>
  <c r="N543" i="11"/>
  <c r="M543" i="11"/>
  <c r="L543" i="11"/>
  <c r="K543" i="11"/>
  <c r="J543" i="11"/>
  <c r="I543" i="11"/>
  <c r="H543" i="11"/>
  <c r="G543" i="11"/>
  <c r="S543" i="11" s="1"/>
  <c r="F543" i="11"/>
  <c r="E543" i="11"/>
  <c r="R542" i="11"/>
  <c r="Q542" i="11"/>
  <c r="P542" i="11"/>
  <c r="O542" i="11"/>
  <c r="N542" i="11"/>
  <c r="M542" i="11"/>
  <c r="L542" i="11"/>
  <c r="K542" i="11"/>
  <c r="J542" i="11"/>
  <c r="I542" i="11"/>
  <c r="H542" i="11"/>
  <c r="G542" i="11"/>
  <c r="F542" i="11"/>
  <c r="E542" i="11"/>
  <c r="S542" i="11" s="1"/>
  <c r="R540" i="11"/>
  <c r="Q540" i="11"/>
  <c r="P540" i="11"/>
  <c r="O540" i="11"/>
  <c r="N540" i="11"/>
  <c r="M540" i="11"/>
  <c r="L540" i="11"/>
  <c r="K540" i="11"/>
  <c r="J540" i="11"/>
  <c r="I540" i="11"/>
  <c r="H540" i="11"/>
  <c r="G540" i="11"/>
  <c r="F540" i="11"/>
  <c r="E540" i="11"/>
  <c r="S540" i="11" s="1"/>
  <c r="R539" i="11"/>
  <c r="Q539" i="11"/>
  <c r="P539" i="11"/>
  <c r="O539" i="11"/>
  <c r="N539" i="11"/>
  <c r="M539" i="11"/>
  <c r="L539" i="11"/>
  <c r="K539" i="11"/>
  <c r="J539" i="11"/>
  <c r="I539" i="11"/>
  <c r="H539" i="11"/>
  <c r="G539" i="11"/>
  <c r="F539" i="11"/>
  <c r="E539" i="11"/>
  <c r="S539" i="11" s="1"/>
  <c r="R538" i="11"/>
  <c r="Q538" i="11"/>
  <c r="P538" i="11"/>
  <c r="O538" i="11"/>
  <c r="N538" i="11"/>
  <c r="M538" i="11"/>
  <c r="L538" i="11"/>
  <c r="K538" i="11"/>
  <c r="J538" i="11"/>
  <c r="I538" i="11"/>
  <c r="H538" i="11"/>
  <c r="G538" i="11"/>
  <c r="S538" i="11" s="1"/>
  <c r="F538" i="11"/>
  <c r="E538" i="11"/>
  <c r="R537" i="11"/>
  <c r="Q537" i="11"/>
  <c r="P537" i="11"/>
  <c r="O537" i="11"/>
  <c r="N537" i="11"/>
  <c r="M537" i="11"/>
  <c r="L537" i="11"/>
  <c r="K537" i="11"/>
  <c r="J537" i="11"/>
  <c r="I537" i="11"/>
  <c r="H537" i="11"/>
  <c r="G537" i="11"/>
  <c r="F537" i="11"/>
  <c r="E537" i="11"/>
  <c r="S537" i="11" s="1"/>
  <c r="R536" i="11"/>
  <c r="Q536" i="11"/>
  <c r="P536" i="11"/>
  <c r="O536" i="11"/>
  <c r="N536" i="11"/>
  <c r="M536" i="11"/>
  <c r="L536" i="11"/>
  <c r="K536" i="11"/>
  <c r="J536" i="11"/>
  <c r="I536" i="11"/>
  <c r="H536" i="11"/>
  <c r="G536" i="11"/>
  <c r="F536" i="11"/>
  <c r="E536" i="11"/>
  <c r="S536" i="11" s="1"/>
  <c r="R535" i="11"/>
  <c r="Q535" i="11"/>
  <c r="P535" i="11"/>
  <c r="O535" i="11"/>
  <c r="N535" i="11"/>
  <c r="M535" i="11"/>
  <c r="L535" i="11"/>
  <c r="K535" i="11"/>
  <c r="J535" i="11"/>
  <c r="I535" i="11"/>
  <c r="H535" i="11"/>
  <c r="G535" i="11"/>
  <c r="F535" i="11"/>
  <c r="E535" i="11"/>
  <c r="S535" i="11" s="1"/>
  <c r="R534" i="11"/>
  <c r="Q534" i="11"/>
  <c r="P534" i="11"/>
  <c r="O534" i="11"/>
  <c r="N534" i="11"/>
  <c r="M534" i="11"/>
  <c r="L534" i="11"/>
  <c r="K534" i="11"/>
  <c r="J534" i="11"/>
  <c r="I534" i="11"/>
  <c r="H534" i="11"/>
  <c r="G534" i="11"/>
  <c r="S534" i="11" s="1"/>
  <c r="F534" i="11"/>
  <c r="E534" i="11"/>
  <c r="R532" i="11"/>
  <c r="Q532" i="11"/>
  <c r="P532" i="11"/>
  <c r="O532" i="11"/>
  <c r="N532" i="11"/>
  <c r="M532" i="11"/>
  <c r="L532" i="11"/>
  <c r="K532" i="11"/>
  <c r="J532" i="11"/>
  <c r="I532" i="11"/>
  <c r="H532" i="11"/>
  <c r="G532" i="11"/>
  <c r="F532" i="11"/>
  <c r="E532" i="11"/>
  <c r="S532" i="11" s="1"/>
  <c r="R531" i="11"/>
  <c r="Q531" i="11"/>
  <c r="P531" i="11"/>
  <c r="O531" i="11"/>
  <c r="N531" i="11"/>
  <c r="M531" i="11"/>
  <c r="L531" i="11"/>
  <c r="K531" i="11"/>
  <c r="J531" i="11"/>
  <c r="I531" i="11"/>
  <c r="H531" i="11"/>
  <c r="G531" i="11"/>
  <c r="F531" i="11"/>
  <c r="E531" i="11"/>
  <c r="S531" i="11" s="1"/>
  <c r="R529" i="11"/>
  <c r="Q529" i="11"/>
  <c r="P529" i="11"/>
  <c r="O529" i="11"/>
  <c r="N529" i="11"/>
  <c r="M529" i="11"/>
  <c r="L529" i="11"/>
  <c r="K529" i="11"/>
  <c r="J529" i="11"/>
  <c r="I529" i="11"/>
  <c r="H529" i="11"/>
  <c r="G529" i="11"/>
  <c r="F529" i="11"/>
  <c r="E529" i="11"/>
  <c r="S529" i="11" s="1"/>
  <c r="R528" i="11"/>
  <c r="Q528" i="11"/>
  <c r="P528" i="11"/>
  <c r="O528" i="11"/>
  <c r="N528" i="11"/>
  <c r="M528" i="11"/>
  <c r="L528" i="11"/>
  <c r="K528" i="11"/>
  <c r="J528" i="11"/>
  <c r="I528" i="11"/>
  <c r="H528" i="11"/>
  <c r="G528" i="11"/>
  <c r="S528" i="11" s="1"/>
  <c r="F528" i="11"/>
  <c r="E528" i="11"/>
  <c r="R527" i="11"/>
  <c r="Q527" i="11"/>
  <c r="P527" i="11"/>
  <c r="O527" i="11"/>
  <c r="N527" i="11"/>
  <c r="M527" i="11"/>
  <c r="L527" i="11"/>
  <c r="K527" i="11"/>
  <c r="J527" i="11"/>
  <c r="I527" i="11"/>
  <c r="H527" i="11"/>
  <c r="G527" i="11"/>
  <c r="F527" i="11"/>
  <c r="E527" i="11"/>
  <c r="S527" i="11" s="1"/>
  <c r="R526" i="11"/>
  <c r="Q526" i="11"/>
  <c r="P526" i="11"/>
  <c r="O526" i="11"/>
  <c r="N526" i="11"/>
  <c r="M526" i="11"/>
  <c r="L526" i="11"/>
  <c r="K526" i="11"/>
  <c r="J526" i="11"/>
  <c r="I526" i="11"/>
  <c r="H526" i="11"/>
  <c r="G526" i="11"/>
  <c r="F526" i="11"/>
  <c r="E526" i="11"/>
  <c r="S526" i="11" s="1"/>
  <c r="R525" i="11"/>
  <c r="Q525" i="11"/>
  <c r="P525" i="11"/>
  <c r="O525" i="11"/>
  <c r="N525" i="11"/>
  <c r="M525" i="11"/>
  <c r="L525" i="11"/>
  <c r="K525" i="11"/>
  <c r="J525" i="11"/>
  <c r="I525" i="11"/>
  <c r="H525" i="11"/>
  <c r="G525" i="11"/>
  <c r="F525" i="11"/>
  <c r="E525" i="11"/>
  <c r="S525" i="11" s="1"/>
  <c r="R524" i="11"/>
  <c r="Q524" i="11"/>
  <c r="P524" i="11"/>
  <c r="O524" i="11"/>
  <c r="N524" i="11"/>
  <c r="M524" i="11"/>
  <c r="L524" i="11"/>
  <c r="K524" i="11"/>
  <c r="J524" i="11"/>
  <c r="I524" i="11"/>
  <c r="H524" i="11"/>
  <c r="G524" i="11"/>
  <c r="S524" i="11" s="1"/>
  <c r="F524" i="11"/>
  <c r="E524" i="11"/>
  <c r="R523" i="11"/>
  <c r="Q523" i="11"/>
  <c r="P523" i="11"/>
  <c r="O523" i="11"/>
  <c r="N523" i="11"/>
  <c r="M523" i="11"/>
  <c r="L523" i="11"/>
  <c r="K523" i="11"/>
  <c r="J523" i="11"/>
  <c r="I523" i="11"/>
  <c r="H523" i="11"/>
  <c r="G523" i="11"/>
  <c r="F523" i="11"/>
  <c r="E523" i="11"/>
  <c r="S523" i="11" s="1"/>
  <c r="R521" i="11"/>
  <c r="Q521" i="11"/>
  <c r="P521" i="11"/>
  <c r="O521" i="11"/>
  <c r="N521" i="11"/>
  <c r="M521" i="11"/>
  <c r="L521" i="11"/>
  <c r="K521" i="11"/>
  <c r="J521" i="11"/>
  <c r="I521" i="11"/>
  <c r="H521" i="11"/>
  <c r="G521" i="11"/>
  <c r="F521" i="11"/>
  <c r="E521" i="11"/>
  <c r="S521" i="11" s="1"/>
  <c r="R520" i="11"/>
  <c r="Q520" i="11"/>
  <c r="P520" i="11"/>
  <c r="O520" i="11"/>
  <c r="N520" i="11"/>
  <c r="M520" i="11"/>
  <c r="L520" i="11"/>
  <c r="K520" i="11"/>
  <c r="J520" i="11"/>
  <c r="I520" i="11"/>
  <c r="H520" i="11"/>
  <c r="G520" i="11"/>
  <c r="F520" i="11"/>
  <c r="E520" i="11"/>
  <c r="S520" i="11" s="1"/>
  <c r="R519" i="11"/>
  <c r="Q519" i="11"/>
  <c r="P519" i="11"/>
  <c r="O519" i="11"/>
  <c r="N519" i="11"/>
  <c r="M519" i="11"/>
  <c r="L519" i="11"/>
  <c r="K519" i="11"/>
  <c r="J519" i="11"/>
  <c r="I519" i="11"/>
  <c r="H519" i="11"/>
  <c r="G519" i="11"/>
  <c r="S519" i="11" s="1"/>
  <c r="F519" i="11"/>
  <c r="E519" i="11"/>
  <c r="R518" i="11"/>
  <c r="Q518" i="11"/>
  <c r="P518" i="11"/>
  <c r="O518" i="11"/>
  <c r="N518" i="11"/>
  <c r="M518" i="11"/>
  <c r="L518" i="11"/>
  <c r="K518" i="11"/>
  <c r="J518" i="11"/>
  <c r="I518" i="11"/>
  <c r="H518" i="11"/>
  <c r="G518" i="11"/>
  <c r="F518" i="11"/>
  <c r="E518" i="11"/>
  <c r="S518" i="11" s="1"/>
  <c r="R517" i="11"/>
  <c r="Q517" i="11"/>
  <c r="P517" i="11"/>
  <c r="O517" i="11"/>
  <c r="N517" i="11"/>
  <c r="M517" i="11"/>
  <c r="L517" i="11"/>
  <c r="K517" i="11"/>
  <c r="J517" i="11"/>
  <c r="I517" i="11"/>
  <c r="H517" i="11"/>
  <c r="G517" i="11"/>
  <c r="F517" i="11"/>
  <c r="E517" i="11"/>
  <c r="S517" i="11" s="1"/>
  <c r="R516" i="11"/>
  <c r="Q516" i="11"/>
  <c r="P516" i="11"/>
  <c r="O516" i="11"/>
  <c r="N516" i="11"/>
  <c r="M516" i="11"/>
  <c r="L516" i="11"/>
  <c r="K516" i="11"/>
  <c r="J516" i="11"/>
  <c r="I516" i="11"/>
  <c r="H516" i="11"/>
  <c r="G516" i="11"/>
  <c r="F516" i="11"/>
  <c r="E516" i="11"/>
  <c r="S516" i="11" s="1"/>
  <c r="R515" i="11"/>
  <c r="Q515" i="11"/>
  <c r="P515" i="11"/>
  <c r="O515" i="11"/>
  <c r="N515" i="11"/>
  <c r="M515" i="11"/>
  <c r="L515" i="11"/>
  <c r="K515" i="11"/>
  <c r="J515" i="11"/>
  <c r="I515" i="11"/>
  <c r="H515" i="11"/>
  <c r="G515" i="11"/>
  <c r="S515" i="11" s="1"/>
  <c r="F515" i="11"/>
  <c r="E515" i="11"/>
  <c r="R514" i="11"/>
  <c r="Q514" i="11"/>
  <c r="P514" i="11"/>
  <c r="O514" i="11"/>
  <c r="N514" i="11"/>
  <c r="M514" i="11"/>
  <c r="L514" i="11"/>
  <c r="K514" i="11"/>
  <c r="J514" i="11"/>
  <c r="I514" i="11"/>
  <c r="H514" i="11"/>
  <c r="G514" i="11"/>
  <c r="F514" i="11"/>
  <c r="S512" i="11" s="1"/>
  <c r="E514" i="11"/>
  <c r="S514" i="11" s="1"/>
  <c r="R512" i="11"/>
  <c r="Q512" i="11"/>
  <c r="P512" i="11"/>
  <c r="O512" i="11"/>
  <c r="N512" i="11"/>
  <c r="M512" i="11"/>
  <c r="L512" i="11"/>
  <c r="K512" i="11"/>
  <c r="J512" i="11"/>
  <c r="I512" i="11"/>
  <c r="H512" i="11"/>
  <c r="G512" i="11"/>
  <c r="F512" i="11"/>
  <c r="E512" i="11"/>
  <c r="R511" i="11"/>
  <c r="Q511" i="11"/>
  <c r="P511" i="11"/>
  <c r="O511" i="11"/>
  <c r="N511" i="11"/>
  <c r="M511" i="11"/>
  <c r="L511" i="11"/>
  <c r="K511" i="11"/>
  <c r="J511" i="11"/>
  <c r="I511" i="11"/>
  <c r="H511" i="11"/>
  <c r="G511" i="11"/>
  <c r="F511" i="11"/>
  <c r="E511" i="11"/>
  <c r="S511" i="11" s="1"/>
  <c r="R510" i="11"/>
  <c r="Q510" i="11"/>
  <c r="P510" i="11"/>
  <c r="O510" i="11"/>
  <c r="N510" i="11"/>
  <c r="M510" i="11"/>
  <c r="L510" i="11"/>
  <c r="K510" i="11"/>
  <c r="J510" i="11"/>
  <c r="I510" i="11"/>
  <c r="H510" i="11"/>
  <c r="G510" i="11"/>
  <c r="S510" i="11" s="1"/>
  <c r="F510" i="11"/>
  <c r="E510" i="11"/>
  <c r="R509" i="11"/>
  <c r="Q509" i="11"/>
  <c r="P509" i="11"/>
  <c r="O509" i="11"/>
  <c r="N509" i="11"/>
  <c r="M509" i="11"/>
  <c r="L509" i="11"/>
  <c r="K509" i="11"/>
  <c r="J509" i="11"/>
  <c r="I509" i="11"/>
  <c r="H509" i="11"/>
  <c r="G509" i="11"/>
  <c r="F509" i="11"/>
  <c r="E509" i="11"/>
  <c r="S509" i="11" s="1"/>
  <c r="R508" i="11"/>
  <c r="Q508" i="11"/>
  <c r="P508" i="11"/>
  <c r="O508" i="11"/>
  <c r="N508" i="11"/>
  <c r="M508" i="11"/>
  <c r="L508" i="11"/>
  <c r="K508" i="11"/>
  <c r="J508" i="11"/>
  <c r="I508" i="11"/>
  <c r="H508" i="11"/>
  <c r="G508" i="11"/>
  <c r="F508" i="11"/>
  <c r="E508" i="11"/>
  <c r="S508" i="11" s="1"/>
  <c r="R507" i="11"/>
  <c r="Q507" i="11"/>
  <c r="P507" i="11"/>
  <c r="O507" i="11"/>
  <c r="N507" i="11"/>
  <c r="M507" i="11"/>
  <c r="L507" i="11"/>
  <c r="K507" i="11"/>
  <c r="J507" i="11"/>
  <c r="I507" i="11"/>
  <c r="H507" i="11"/>
  <c r="G507" i="11"/>
  <c r="F507" i="11"/>
  <c r="E507" i="11"/>
  <c r="S507" i="11" s="1"/>
  <c r="R505" i="11"/>
  <c r="Q505" i="11"/>
  <c r="P505" i="11"/>
  <c r="O505" i="11"/>
  <c r="N505" i="11"/>
  <c r="M505" i="11"/>
  <c r="L505" i="11"/>
  <c r="K505" i="11"/>
  <c r="J505" i="11"/>
  <c r="I505" i="11"/>
  <c r="H505" i="11"/>
  <c r="G505" i="11"/>
  <c r="S505" i="11" s="1"/>
  <c r="F505" i="11"/>
  <c r="E505" i="11"/>
  <c r="R504" i="11"/>
  <c r="Q504" i="11"/>
  <c r="P504" i="11"/>
  <c r="O504" i="11"/>
  <c r="N504" i="11"/>
  <c r="M504" i="11"/>
  <c r="L504" i="11"/>
  <c r="K504" i="11"/>
  <c r="J504" i="11"/>
  <c r="I504" i="11"/>
  <c r="H504" i="11"/>
  <c r="G504" i="11"/>
  <c r="F504" i="11"/>
  <c r="E504" i="11"/>
  <c r="S504" i="11" s="1"/>
  <c r="R503" i="11"/>
  <c r="Q503" i="11"/>
  <c r="P503" i="11"/>
  <c r="O503" i="11"/>
  <c r="N503" i="11"/>
  <c r="M503" i="11"/>
  <c r="L503" i="11"/>
  <c r="K503" i="11"/>
  <c r="J503" i="11"/>
  <c r="I503" i="11"/>
  <c r="H503" i="11"/>
  <c r="G503" i="11"/>
  <c r="F503" i="11"/>
  <c r="E503" i="11"/>
  <c r="S503" i="11" s="1"/>
  <c r="R502" i="11"/>
  <c r="Q502" i="11"/>
  <c r="P502" i="11"/>
  <c r="O502" i="11"/>
  <c r="N502" i="11"/>
  <c r="M502" i="11"/>
  <c r="L502" i="11"/>
  <c r="K502" i="11"/>
  <c r="J502" i="11"/>
  <c r="I502" i="11"/>
  <c r="H502" i="11"/>
  <c r="G502" i="11"/>
  <c r="F502" i="11"/>
  <c r="E502" i="11"/>
  <c r="S502" i="11" s="1"/>
  <c r="R501" i="11"/>
  <c r="Q501" i="11"/>
  <c r="P501" i="11"/>
  <c r="O501" i="11"/>
  <c r="N501" i="11"/>
  <c r="M501" i="11"/>
  <c r="L501" i="11"/>
  <c r="K501" i="11"/>
  <c r="J501" i="11"/>
  <c r="I501" i="11"/>
  <c r="H501" i="11"/>
  <c r="G501" i="11"/>
  <c r="S501" i="11" s="1"/>
  <c r="F501" i="11"/>
  <c r="E501" i="11"/>
  <c r="R500" i="11"/>
  <c r="R556" i="11" s="1"/>
  <c r="Q500" i="11"/>
  <c r="P500" i="11"/>
  <c r="O500" i="11"/>
  <c r="N500" i="11"/>
  <c r="N556" i="11" s="1"/>
  <c r="M500" i="11"/>
  <c r="L500" i="11"/>
  <c r="K500" i="11"/>
  <c r="J500" i="11"/>
  <c r="J556" i="11" s="1"/>
  <c r="I500" i="11"/>
  <c r="H500" i="11"/>
  <c r="G500" i="11"/>
  <c r="F500" i="11"/>
  <c r="F556" i="11" s="1"/>
  <c r="E500" i="11"/>
  <c r="S500" i="11" s="1"/>
  <c r="R499" i="11"/>
  <c r="Q499" i="11"/>
  <c r="P499" i="11"/>
  <c r="O499" i="11"/>
  <c r="N499" i="11"/>
  <c r="M499" i="11"/>
  <c r="L499" i="11"/>
  <c r="K499" i="11"/>
  <c r="J499" i="11"/>
  <c r="I499" i="11"/>
  <c r="H499" i="11"/>
  <c r="G499" i="11"/>
  <c r="F499" i="11"/>
  <c r="E499" i="11"/>
  <c r="S499" i="11" s="1"/>
  <c r="R497" i="11"/>
  <c r="Q497" i="11"/>
  <c r="P497" i="11"/>
  <c r="O497" i="11"/>
  <c r="N497" i="11"/>
  <c r="M497" i="11"/>
  <c r="L497" i="11"/>
  <c r="K497" i="11"/>
  <c r="J497" i="11"/>
  <c r="I497" i="11"/>
  <c r="H497" i="11"/>
  <c r="G497" i="11"/>
  <c r="F497" i="11"/>
  <c r="E497" i="11"/>
  <c r="S497" i="11" s="1"/>
  <c r="R496" i="11"/>
  <c r="Q496" i="11"/>
  <c r="P496" i="11"/>
  <c r="O496" i="11"/>
  <c r="N496" i="11"/>
  <c r="M496" i="11"/>
  <c r="L496" i="11"/>
  <c r="K496" i="11"/>
  <c r="J496" i="11"/>
  <c r="I496" i="11"/>
  <c r="H496" i="11"/>
  <c r="G496" i="11"/>
  <c r="S496" i="11" s="1"/>
  <c r="F496" i="11"/>
  <c r="E496" i="11"/>
  <c r="R494" i="11"/>
  <c r="Q494" i="11"/>
  <c r="P494" i="11"/>
  <c r="O494" i="11"/>
  <c r="N494" i="11"/>
  <c r="M494" i="11"/>
  <c r="L494" i="11"/>
  <c r="K494" i="11"/>
  <c r="J494" i="11"/>
  <c r="I494" i="11"/>
  <c r="H494" i="11"/>
  <c r="G494" i="11"/>
  <c r="F494" i="11"/>
  <c r="E494" i="11"/>
  <c r="S494" i="11" s="1"/>
  <c r="R493" i="11"/>
  <c r="Q493" i="11"/>
  <c r="P493" i="11"/>
  <c r="O493" i="11"/>
  <c r="N493" i="11"/>
  <c r="M493" i="11"/>
  <c r="L493" i="11"/>
  <c r="K493" i="11"/>
  <c r="J493" i="11"/>
  <c r="I493" i="11"/>
  <c r="H493" i="11"/>
  <c r="G493" i="11"/>
  <c r="F493" i="11"/>
  <c r="E493" i="11"/>
  <c r="S493" i="11" s="1"/>
  <c r="R491" i="11"/>
  <c r="Q491" i="11"/>
  <c r="P491" i="11"/>
  <c r="O491" i="11"/>
  <c r="N491" i="11"/>
  <c r="M491" i="11"/>
  <c r="L491" i="11"/>
  <c r="K491" i="11"/>
  <c r="J491" i="11"/>
  <c r="I491" i="11"/>
  <c r="H491" i="11"/>
  <c r="G491" i="11"/>
  <c r="F491" i="11"/>
  <c r="E491" i="11"/>
  <c r="S491" i="11" s="1"/>
  <c r="R490" i="11"/>
  <c r="Q490" i="11"/>
  <c r="P490" i="11"/>
  <c r="O490" i="11"/>
  <c r="N490" i="11"/>
  <c r="M490" i="11"/>
  <c r="L490" i="11"/>
  <c r="K490" i="11"/>
  <c r="J490" i="11"/>
  <c r="I490" i="11"/>
  <c r="H490" i="11"/>
  <c r="G490" i="11"/>
  <c r="S490" i="11" s="1"/>
  <c r="F490" i="11"/>
  <c r="E490" i="11"/>
  <c r="R488" i="11"/>
  <c r="Q488" i="11"/>
  <c r="P488" i="11"/>
  <c r="O488" i="11"/>
  <c r="N488" i="11"/>
  <c r="M488" i="11"/>
  <c r="L488" i="11"/>
  <c r="K488" i="11"/>
  <c r="J488" i="11"/>
  <c r="I488" i="11"/>
  <c r="H488" i="11"/>
  <c r="G488" i="11"/>
  <c r="F488" i="11"/>
  <c r="E488" i="11"/>
  <c r="S488" i="11" s="1"/>
  <c r="R487" i="11"/>
  <c r="Q487" i="11"/>
  <c r="P487" i="11"/>
  <c r="O487" i="11"/>
  <c r="N487" i="11"/>
  <c r="M487" i="11"/>
  <c r="L487" i="11"/>
  <c r="K487" i="11"/>
  <c r="J487" i="11"/>
  <c r="I487" i="11"/>
  <c r="H487" i="11"/>
  <c r="G487" i="11"/>
  <c r="F487" i="11"/>
  <c r="E487" i="11"/>
  <c r="S487" i="11" s="1"/>
  <c r="R485" i="11"/>
  <c r="Q485" i="11"/>
  <c r="P485" i="11"/>
  <c r="O485" i="11"/>
  <c r="N485" i="11"/>
  <c r="M485" i="11"/>
  <c r="L485" i="11"/>
  <c r="K485" i="11"/>
  <c r="J485" i="11"/>
  <c r="I485" i="11"/>
  <c r="H485" i="11"/>
  <c r="G485" i="11"/>
  <c r="F485" i="11"/>
  <c r="E485" i="11"/>
  <c r="S485" i="11" s="1"/>
  <c r="R484" i="11"/>
  <c r="Q484" i="11"/>
  <c r="P484" i="11"/>
  <c r="O484" i="11"/>
  <c r="N484" i="11"/>
  <c r="M484" i="11"/>
  <c r="L484" i="11"/>
  <c r="K484" i="11"/>
  <c r="J484" i="11"/>
  <c r="I484" i="11"/>
  <c r="H484" i="11"/>
  <c r="G484" i="11"/>
  <c r="S484" i="11" s="1"/>
  <c r="F484" i="11"/>
  <c r="E484" i="11"/>
  <c r="R482" i="11"/>
  <c r="Q482" i="11"/>
  <c r="P482" i="11"/>
  <c r="O482" i="11"/>
  <c r="N482" i="11"/>
  <c r="M482" i="11"/>
  <c r="L482" i="11"/>
  <c r="K482" i="11"/>
  <c r="J482" i="11"/>
  <c r="I482" i="11"/>
  <c r="H482" i="11"/>
  <c r="G482" i="11"/>
  <c r="F482" i="11"/>
  <c r="E482" i="11"/>
  <c r="S482" i="11" s="1"/>
  <c r="R481" i="11"/>
  <c r="R498" i="11" s="1"/>
  <c r="Q481" i="11"/>
  <c r="Q498" i="11" s="1"/>
  <c r="P481" i="11"/>
  <c r="P498" i="11" s="1"/>
  <c r="O481" i="11"/>
  <c r="O498" i="11" s="1"/>
  <c r="N481" i="11"/>
  <c r="N498" i="11" s="1"/>
  <c r="M481" i="11"/>
  <c r="M498" i="11" s="1"/>
  <c r="L481" i="11"/>
  <c r="L498" i="11" s="1"/>
  <c r="K481" i="11"/>
  <c r="K498" i="11" s="1"/>
  <c r="J481" i="11"/>
  <c r="J498" i="11" s="1"/>
  <c r="I481" i="11"/>
  <c r="I498" i="11" s="1"/>
  <c r="H481" i="11"/>
  <c r="H498" i="11" s="1"/>
  <c r="G481" i="11"/>
  <c r="G498" i="11" s="1"/>
  <c r="F481" i="11"/>
  <c r="F498" i="11" s="1"/>
  <c r="E481" i="11"/>
  <c r="E498" i="11" s="1"/>
  <c r="P479" i="11"/>
  <c r="O479" i="11"/>
  <c r="N479" i="11"/>
  <c r="M479" i="11"/>
  <c r="L479" i="11"/>
  <c r="K479" i="11"/>
  <c r="J479" i="11"/>
  <c r="I479" i="11"/>
  <c r="H479" i="11"/>
  <c r="G479" i="11"/>
  <c r="S479" i="11" s="1"/>
  <c r="R477" i="11"/>
  <c r="Q477" i="11"/>
  <c r="P477" i="11"/>
  <c r="O477" i="11"/>
  <c r="N477" i="11"/>
  <c r="M477" i="11"/>
  <c r="L477" i="11"/>
  <c r="K477" i="11"/>
  <c r="J477" i="11"/>
  <c r="I477" i="11"/>
  <c r="H477" i="11"/>
  <c r="G477" i="11"/>
  <c r="S477" i="11" s="1"/>
  <c r="F477" i="11"/>
  <c r="E477" i="11"/>
  <c r="R476" i="11"/>
  <c r="Q476" i="11"/>
  <c r="P476" i="11"/>
  <c r="O476" i="11"/>
  <c r="N476" i="11"/>
  <c r="M476" i="11"/>
  <c r="L476" i="11"/>
  <c r="K476" i="11"/>
  <c r="J476" i="11"/>
  <c r="I476" i="11"/>
  <c r="H476" i="11"/>
  <c r="G476" i="11"/>
  <c r="F476" i="11"/>
  <c r="E476" i="11"/>
  <c r="S476" i="11" s="1"/>
  <c r="R475" i="11"/>
  <c r="Q475" i="11"/>
  <c r="P475" i="11"/>
  <c r="O475" i="11"/>
  <c r="N475" i="11"/>
  <c r="M475" i="11"/>
  <c r="L475" i="11"/>
  <c r="K475" i="11"/>
  <c r="J475" i="11"/>
  <c r="I475" i="11"/>
  <c r="H475" i="11"/>
  <c r="G475" i="11"/>
  <c r="F475" i="11"/>
  <c r="E475" i="11"/>
  <c r="S475" i="11" s="1"/>
  <c r="R474" i="11"/>
  <c r="Q474" i="11"/>
  <c r="P474" i="11"/>
  <c r="O474" i="11"/>
  <c r="N474" i="11"/>
  <c r="M474" i="11"/>
  <c r="L474" i="11"/>
  <c r="K474" i="11"/>
  <c r="J474" i="11"/>
  <c r="I474" i="11"/>
  <c r="H474" i="11"/>
  <c r="G474" i="11"/>
  <c r="F474" i="11"/>
  <c r="E474" i="11"/>
  <c r="S474" i="11" s="1"/>
  <c r="R473" i="11"/>
  <c r="Q473" i="11"/>
  <c r="P473" i="11"/>
  <c r="O473" i="11"/>
  <c r="N473" i="11"/>
  <c r="M473" i="11"/>
  <c r="L473" i="11"/>
  <c r="K473" i="11"/>
  <c r="J473" i="11"/>
  <c r="I473" i="11"/>
  <c r="H473" i="11"/>
  <c r="G473" i="11"/>
  <c r="S473" i="11" s="1"/>
  <c r="F473" i="11"/>
  <c r="E473" i="11"/>
  <c r="S472" i="11"/>
  <c r="R471" i="11"/>
  <c r="Q471" i="11"/>
  <c r="P471" i="11"/>
  <c r="O471" i="11"/>
  <c r="N471" i="11"/>
  <c r="M471" i="11"/>
  <c r="L471" i="11"/>
  <c r="K471" i="11"/>
  <c r="J471" i="11"/>
  <c r="I471" i="11"/>
  <c r="H471" i="11"/>
  <c r="G471" i="11"/>
  <c r="S471" i="11" s="1"/>
  <c r="F471" i="11"/>
  <c r="E471" i="11"/>
  <c r="R470" i="11"/>
  <c r="Q470" i="11"/>
  <c r="P470" i="11"/>
  <c r="O470" i="11"/>
  <c r="N470" i="11"/>
  <c r="M470" i="11"/>
  <c r="L470" i="11"/>
  <c r="K470" i="11"/>
  <c r="J470" i="11"/>
  <c r="I470" i="11"/>
  <c r="H470" i="11"/>
  <c r="G470" i="11"/>
  <c r="F470" i="11"/>
  <c r="E470" i="11"/>
  <c r="S470" i="11" s="1"/>
  <c r="S469" i="11"/>
  <c r="R468" i="11"/>
  <c r="Q468" i="11"/>
  <c r="P468" i="11"/>
  <c r="O468" i="11"/>
  <c r="N468" i="11"/>
  <c r="M468" i="11"/>
  <c r="L468" i="11"/>
  <c r="K468" i="11"/>
  <c r="J468" i="11"/>
  <c r="I468" i="11"/>
  <c r="H468" i="11"/>
  <c r="G468" i="11"/>
  <c r="F468" i="11"/>
  <c r="E468" i="11"/>
  <c r="S468" i="11" s="1"/>
  <c r="R467" i="11"/>
  <c r="Q467" i="11"/>
  <c r="P467" i="11"/>
  <c r="O467" i="11"/>
  <c r="N467" i="11"/>
  <c r="M467" i="11"/>
  <c r="L467" i="11"/>
  <c r="K467" i="11"/>
  <c r="J467" i="11"/>
  <c r="I467" i="11"/>
  <c r="H467" i="11"/>
  <c r="G467" i="11"/>
  <c r="F467" i="11"/>
  <c r="E467" i="11"/>
  <c r="S467" i="11" s="1"/>
  <c r="R466" i="11"/>
  <c r="Q466" i="11"/>
  <c r="P466" i="11"/>
  <c r="O466" i="11"/>
  <c r="N466" i="11"/>
  <c r="M466" i="11"/>
  <c r="L466" i="11"/>
  <c r="K466" i="11"/>
  <c r="J466" i="11"/>
  <c r="I466" i="11"/>
  <c r="H466" i="11"/>
  <c r="G466" i="11"/>
  <c r="F466" i="11"/>
  <c r="E466" i="11"/>
  <c r="S466" i="11" s="1"/>
  <c r="R465" i="11"/>
  <c r="Q465" i="11"/>
  <c r="P465" i="11"/>
  <c r="O465" i="11"/>
  <c r="N465" i="11"/>
  <c r="M465" i="11"/>
  <c r="L465" i="11"/>
  <c r="K465" i="11"/>
  <c r="J465" i="11"/>
  <c r="I465" i="11"/>
  <c r="H465" i="11"/>
  <c r="G465" i="11"/>
  <c r="S465" i="11" s="1"/>
  <c r="F465" i="11"/>
  <c r="E465" i="11"/>
  <c r="R464" i="11"/>
  <c r="Q464" i="11"/>
  <c r="P464" i="11"/>
  <c r="O464" i="11"/>
  <c r="N464" i="11"/>
  <c r="M464" i="11"/>
  <c r="L464" i="11"/>
  <c r="K464" i="11"/>
  <c r="J464" i="11"/>
  <c r="I464" i="11"/>
  <c r="H464" i="11"/>
  <c r="G464" i="11"/>
  <c r="F464" i="11"/>
  <c r="E464" i="11"/>
  <c r="S464" i="11" s="1"/>
  <c r="R463" i="11"/>
  <c r="Q463" i="11"/>
  <c r="P463" i="11"/>
  <c r="O463" i="11"/>
  <c r="N463" i="11"/>
  <c r="M463" i="11"/>
  <c r="L463" i="11"/>
  <c r="K463" i="11"/>
  <c r="J463" i="11"/>
  <c r="I463" i="11"/>
  <c r="H463" i="11"/>
  <c r="G463" i="11"/>
  <c r="F463" i="11"/>
  <c r="E463" i="11"/>
  <c r="S463" i="11" s="1"/>
  <c r="R462" i="11"/>
  <c r="Q462" i="11"/>
  <c r="P462" i="11"/>
  <c r="O462" i="11"/>
  <c r="N462" i="11"/>
  <c r="M462" i="11"/>
  <c r="L462" i="11"/>
  <c r="K462" i="11"/>
  <c r="J462" i="11"/>
  <c r="I462" i="11"/>
  <c r="H462" i="11"/>
  <c r="G462" i="11"/>
  <c r="F462" i="11"/>
  <c r="E462" i="11"/>
  <c r="S462" i="11" s="1"/>
  <c r="R461" i="11"/>
  <c r="Q461" i="11"/>
  <c r="P461" i="11"/>
  <c r="O461" i="11"/>
  <c r="N461" i="11"/>
  <c r="M461" i="11"/>
  <c r="L461" i="11"/>
  <c r="K461" i="11"/>
  <c r="J461" i="11"/>
  <c r="I461" i="11"/>
  <c r="H461" i="11"/>
  <c r="G461" i="11"/>
  <c r="S461" i="11" s="1"/>
  <c r="F461" i="11"/>
  <c r="E461" i="11"/>
  <c r="R459" i="11"/>
  <c r="Q459" i="11"/>
  <c r="P459" i="11"/>
  <c r="O459" i="11"/>
  <c r="N459" i="11"/>
  <c r="M459" i="11"/>
  <c r="L459" i="11"/>
  <c r="K459" i="11"/>
  <c r="J459" i="11"/>
  <c r="I459" i="11"/>
  <c r="H459" i="11"/>
  <c r="G459" i="11"/>
  <c r="F459" i="11"/>
  <c r="E459" i="11"/>
  <c r="S459" i="11" s="1"/>
  <c r="R458" i="11"/>
  <c r="Q458" i="11"/>
  <c r="P458" i="11"/>
  <c r="O458" i="11"/>
  <c r="N458" i="11"/>
  <c r="M458" i="11"/>
  <c r="L458" i="11"/>
  <c r="K458" i="11"/>
  <c r="J458" i="11"/>
  <c r="I458" i="11"/>
  <c r="H458" i="11"/>
  <c r="G458" i="11"/>
  <c r="F458" i="11"/>
  <c r="E458" i="11"/>
  <c r="S458" i="11" s="1"/>
  <c r="R457" i="11"/>
  <c r="Q457" i="11"/>
  <c r="P457" i="11"/>
  <c r="O457" i="11"/>
  <c r="N457" i="11"/>
  <c r="M457" i="11"/>
  <c r="L457" i="11"/>
  <c r="K457" i="11"/>
  <c r="J457" i="11"/>
  <c r="I457" i="11"/>
  <c r="H457" i="11"/>
  <c r="G457" i="11"/>
  <c r="F457" i="11"/>
  <c r="E457" i="11"/>
  <c r="S457" i="11" s="1"/>
  <c r="R456" i="11"/>
  <c r="Q456" i="11"/>
  <c r="P456" i="11"/>
  <c r="O456" i="11"/>
  <c r="N456" i="11"/>
  <c r="M456" i="11"/>
  <c r="L456" i="11"/>
  <c r="K456" i="11"/>
  <c r="J456" i="11"/>
  <c r="I456" i="11"/>
  <c r="H456" i="11"/>
  <c r="G456" i="11"/>
  <c r="S456" i="11" s="1"/>
  <c r="F456" i="11"/>
  <c r="E456" i="11"/>
  <c r="R455" i="11"/>
  <c r="Q455" i="11"/>
  <c r="P455" i="11"/>
  <c r="O455" i="11"/>
  <c r="N455" i="11"/>
  <c r="M455" i="11"/>
  <c r="L455" i="11"/>
  <c r="K455" i="11"/>
  <c r="J455" i="11"/>
  <c r="I455" i="11"/>
  <c r="H455" i="11"/>
  <c r="G455" i="11"/>
  <c r="F455" i="11"/>
  <c r="E455" i="11"/>
  <c r="S455" i="11" s="1"/>
  <c r="R454" i="11"/>
  <c r="Q454" i="11"/>
  <c r="P454" i="11"/>
  <c r="O454" i="11"/>
  <c r="N454" i="11"/>
  <c r="M454" i="11"/>
  <c r="L454" i="11"/>
  <c r="K454" i="11"/>
  <c r="J454" i="11"/>
  <c r="I454" i="11"/>
  <c r="H454" i="11"/>
  <c r="G454" i="11"/>
  <c r="F454" i="11"/>
  <c r="E454" i="11"/>
  <c r="S454" i="11" s="1"/>
  <c r="R453" i="11"/>
  <c r="Q453" i="11"/>
  <c r="P453" i="11"/>
  <c r="O453" i="11"/>
  <c r="N453" i="11"/>
  <c r="M453" i="11"/>
  <c r="L453" i="11"/>
  <c r="K453" i="11"/>
  <c r="J453" i="11"/>
  <c r="I453" i="11"/>
  <c r="H453" i="11"/>
  <c r="G453" i="11"/>
  <c r="F453" i="11"/>
  <c r="E453" i="11"/>
  <c r="S453" i="11" s="1"/>
  <c r="R452" i="11"/>
  <c r="Q452" i="11"/>
  <c r="P452" i="11"/>
  <c r="O452" i="11"/>
  <c r="N452" i="11"/>
  <c r="M452" i="11"/>
  <c r="L452" i="11"/>
  <c r="K452" i="11"/>
  <c r="J452" i="11"/>
  <c r="I452" i="11"/>
  <c r="H452" i="11"/>
  <c r="G452" i="11"/>
  <c r="S452" i="11" s="1"/>
  <c r="F452" i="11"/>
  <c r="E452" i="11"/>
  <c r="R450" i="11"/>
  <c r="Q450" i="11"/>
  <c r="P450" i="11"/>
  <c r="O450" i="11"/>
  <c r="N450" i="11"/>
  <c r="M450" i="11"/>
  <c r="L450" i="11"/>
  <c r="K450" i="11"/>
  <c r="J450" i="11"/>
  <c r="I450" i="11"/>
  <c r="H450" i="11"/>
  <c r="G450" i="11"/>
  <c r="F450" i="11"/>
  <c r="E450" i="11"/>
  <c r="S450" i="11" s="1"/>
  <c r="R449" i="11"/>
  <c r="Q449" i="11"/>
  <c r="P449" i="11"/>
  <c r="O449" i="11"/>
  <c r="N449" i="11"/>
  <c r="M449" i="11"/>
  <c r="L449" i="11"/>
  <c r="K449" i="11"/>
  <c r="J449" i="11"/>
  <c r="I449" i="11"/>
  <c r="H449" i="11"/>
  <c r="G449" i="11"/>
  <c r="F449" i="11"/>
  <c r="E449" i="11"/>
  <c r="S449" i="11" s="1"/>
  <c r="R448" i="11"/>
  <c r="Q448" i="11"/>
  <c r="P448" i="11"/>
  <c r="O448" i="11"/>
  <c r="N448" i="11"/>
  <c r="M448" i="11"/>
  <c r="L448" i="11"/>
  <c r="K448" i="11"/>
  <c r="J448" i="11"/>
  <c r="I448" i="11"/>
  <c r="H448" i="11"/>
  <c r="G448" i="11"/>
  <c r="F448" i="11"/>
  <c r="E448" i="11"/>
  <c r="S448" i="11" s="1"/>
  <c r="R447" i="11"/>
  <c r="Q447" i="11"/>
  <c r="P447" i="11"/>
  <c r="O447" i="11"/>
  <c r="N447" i="11"/>
  <c r="M447" i="11"/>
  <c r="L447" i="11"/>
  <c r="K447" i="11"/>
  <c r="J447" i="11"/>
  <c r="I447" i="11"/>
  <c r="H447" i="11"/>
  <c r="G447" i="11"/>
  <c r="S447" i="11" s="1"/>
  <c r="F447" i="11"/>
  <c r="E447" i="11"/>
  <c r="R446" i="11"/>
  <c r="Q446" i="11"/>
  <c r="P446" i="11"/>
  <c r="O446" i="11"/>
  <c r="N446" i="11"/>
  <c r="M446" i="11"/>
  <c r="L446" i="11"/>
  <c r="K446" i="11"/>
  <c r="J446" i="11"/>
  <c r="I446" i="11"/>
  <c r="H446" i="11"/>
  <c r="G446" i="11"/>
  <c r="F446" i="11"/>
  <c r="E446" i="11"/>
  <c r="S446" i="11" s="1"/>
  <c r="R445" i="11"/>
  <c r="Q445" i="11"/>
  <c r="P445" i="11"/>
  <c r="O445" i="11"/>
  <c r="N445" i="11"/>
  <c r="M445" i="11"/>
  <c r="L445" i="11"/>
  <c r="K445" i="11"/>
  <c r="J445" i="11"/>
  <c r="I445" i="11"/>
  <c r="H445" i="11"/>
  <c r="G445" i="11"/>
  <c r="F445" i="11"/>
  <c r="E445" i="11"/>
  <c r="S445" i="11" s="1"/>
  <c r="R443" i="11"/>
  <c r="Q443" i="11"/>
  <c r="P443" i="11"/>
  <c r="O443" i="11"/>
  <c r="N443" i="11"/>
  <c r="M443" i="11"/>
  <c r="L443" i="11"/>
  <c r="K443" i="11"/>
  <c r="J443" i="11"/>
  <c r="I443" i="11"/>
  <c r="H443" i="11"/>
  <c r="G443" i="11"/>
  <c r="F443" i="11"/>
  <c r="E443" i="11"/>
  <c r="S443" i="11" s="1"/>
  <c r="R442" i="11"/>
  <c r="Q442" i="11"/>
  <c r="P442" i="11"/>
  <c r="O442" i="11"/>
  <c r="N442" i="11"/>
  <c r="M442" i="11"/>
  <c r="L442" i="11"/>
  <c r="K442" i="11"/>
  <c r="J442" i="11"/>
  <c r="I442" i="11"/>
  <c r="H442" i="11"/>
  <c r="G442" i="11"/>
  <c r="S442" i="11" s="1"/>
  <c r="F442" i="11"/>
  <c r="E442" i="11"/>
  <c r="R441" i="11"/>
  <c r="Q441" i="11"/>
  <c r="P441" i="11"/>
  <c r="O441" i="11"/>
  <c r="N441" i="11"/>
  <c r="M441" i="11"/>
  <c r="L441" i="11"/>
  <c r="K441" i="11"/>
  <c r="J441" i="11"/>
  <c r="I441" i="11"/>
  <c r="H441" i="11"/>
  <c r="G441" i="11"/>
  <c r="F441" i="11"/>
  <c r="E441" i="11"/>
  <c r="S441" i="11" s="1"/>
  <c r="R440" i="11"/>
  <c r="Q440" i="11"/>
  <c r="P440" i="11"/>
  <c r="O440" i="11"/>
  <c r="N440" i="11"/>
  <c r="M440" i="11"/>
  <c r="L440" i="11"/>
  <c r="K440" i="11"/>
  <c r="J440" i="11"/>
  <c r="I440" i="11"/>
  <c r="H440" i="11"/>
  <c r="G440" i="11"/>
  <c r="F440" i="11"/>
  <c r="E440" i="11"/>
  <c r="S440" i="11" s="1"/>
  <c r="R439" i="11"/>
  <c r="Q439" i="11"/>
  <c r="P439" i="11"/>
  <c r="O439" i="11"/>
  <c r="N439" i="11"/>
  <c r="M439" i="11"/>
  <c r="L439" i="11"/>
  <c r="K439" i="11"/>
  <c r="J439" i="11"/>
  <c r="I439" i="11"/>
  <c r="H439" i="11"/>
  <c r="G439" i="11"/>
  <c r="F439" i="11"/>
  <c r="E439" i="11"/>
  <c r="S439" i="11" s="1"/>
  <c r="R438" i="11"/>
  <c r="Q438" i="11"/>
  <c r="P438" i="11"/>
  <c r="O438" i="11"/>
  <c r="N438" i="11"/>
  <c r="M438" i="11"/>
  <c r="L438" i="11"/>
  <c r="K438" i="11"/>
  <c r="J438" i="11"/>
  <c r="I438" i="11"/>
  <c r="H438" i="11"/>
  <c r="G438" i="11"/>
  <c r="S438" i="11" s="1"/>
  <c r="F438" i="11"/>
  <c r="E438" i="11"/>
  <c r="R437" i="11"/>
  <c r="Q437" i="11"/>
  <c r="P437" i="11"/>
  <c r="O437" i="11"/>
  <c r="N437" i="11"/>
  <c r="M437" i="11"/>
  <c r="L437" i="11"/>
  <c r="K437" i="11"/>
  <c r="J437" i="11"/>
  <c r="I437" i="11"/>
  <c r="H437" i="11"/>
  <c r="G437" i="11"/>
  <c r="F437" i="11"/>
  <c r="E437" i="11"/>
  <c r="S437" i="11" s="1"/>
  <c r="S436" i="11"/>
  <c r="S435" i="11"/>
  <c r="R434" i="11"/>
  <c r="Q434" i="11"/>
  <c r="P434" i="11"/>
  <c r="O434" i="11"/>
  <c r="N434" i="11"/>
  <c r="M434" i="11"/>
  <c r="L434" i="11"/>
  <c r="K434" i="11"/>
  <c r="J434" i="11"/>
  <c r="I434" i="11"/>
  <c r="H434" i="11"/>
  <c r="G434" i="11"/>
  <c r="S434" i="11" s="1"/>
  <c r="F434" i="11"/>
  <c r="E434" i="11"/>
  <c r="R433" i="11"/>
  <c r="Q433" i="11"/>
  <c r="P433" i="11"/>
  <c r="O433" i="11"/>
  <c r="N433" i="11"/>
  <c r="M433" i="11"/>
  <c r="L433" i="11"/>
  <c r="K433" i="11"/>
  <c r="J433" i="11"/>
  <c r="I433" i="11"/>
  <c r="H433" i="11"/>
  <c r="G433" i="11"/>
  <c r="F433" i="11"/>
  <c r="E433" i="11"/>
  <c r="S433" i="11" s="1"/>
  <c r="R432" i="11"/>
  <c r="Q432" i="11"/>
  <c r="P432" i="11"/>
  <c r="O432" i="11"/>
  <c r="N432" i="11"/>
  <c r="M432" i="11"/>
  <c r="L432" i="11"/>
  <c r="K432" i="11"/>
  <c r="J432" i="11"/>
  <c r="I432" i="11"/>
  <c r="H432" i="11"/>
  <c r="G432" i="11"/>
  <c r="F432" i="11"/>
  <c r="E432" i="11"/>
  <c r="S432" i="11" s="1"/>
  <c r="R431" i="11"/>
  <c r="Q431" i="11"/>
  <c r="P431" i="11"/>
  <c r="O431" i="11"/>
  <c r="N431" i="11"/>
  <c r="M431" i="11"/>
  <c r="L431" i="11"/>
  <c r="K431" i="11"/>
  <c r="J431" i="11"/>
  <c r="I431" i="11"/>
  <c r="H431" i="11"/>
  <c r="G431" i="11"/>
  <c r="F431" i="11"/>
  <c r="E431" i="11"/>
  <c r="S431" i="11" s="1"/>
  <c r="R430" i="11"/>
  <c r="Q430" i="11"/>
  <c r="P430" i="11"/>
  <c r="O430" i="11"/>
  <c r="N430" i="11"/>
  <c r="M430" i="11"/>
  <c r="L430" i="11"/>
  <c r="K430" i="11"/>
  <c r="J430" i="11"/>
  <c r="I430" i="11"/>
  <c r="H430" i="11"/>
  <c r="G430" i="11"/>
  <c r="S430" i="11" s="1"/>
  <c r="F430" i="11"/>
  <c r="E430" i="11"/>
  <c r="R429" i="11"/>
  <c r="Q429" i="11"/>
  <c r="P429" i="11"/>
  <c r="O429" i="11"/>
  <c r="N429" i="11"/>
  <c r="M429" i="11"/>
  <c r="L429" i="11"/>
  <c r="K429" i="11"/>
  <c r="J429" i="11"/>
  <c r="I429" i="11"/>
  <c r="H429" i="11"/>
  <c r="G429" i="11"/>
  <c r="F429" i="11"/>
  <c r="E429" i="11"/>
  <c r="S429" i="11" s="1"/>
  <c r="R428" i="11"/>
  <c r="Q428" i="11"/>
  <c r="P428" i="11"/>
  <c r="O428" i="11"/>
  <c r="N428" i="11"/>
  <c r="M428" i="11"/>
  <c r="L428" i="11"/>
  <c r="K428" i="11"/>
  <c r="J428" i="11"/>
  <c r="I428" i="11"/>
  <c r="H428" i="11"/>
  <c r="G428" i="11"/>
  <c r="F428" i="11"/>
  <c r="E428" i="11"/>
  <c r="S428" i="11" s="1"/>
  <c r="R426" i="11"/>
  <c r="Q426" i="11"/>
  <c r="P426" i="11"/>
  <c r="O426" i="11"/>
  <c r="N426" i="11"/>
  <c r="M426" i="11"/>
  <c r="L426" i="11"/>
  <c r="K426" i="11"/>
  <c r="J426" i="11"/>
  <c r="I426" i="11"/>
  <c r="H426" i="11"/>
  <c r="G426" i="11"/>
  <c r="F426" i="11"/>
  <c r="E426" i="11"/>
  <c r="S426" i="11" s="1"/>
  <c r="R425" i="11"/>
  <c r="Q425" i="11"/>
  <c r="P425" i="11"/>
  <c r="O425" i="11"/>
  <c r="N425" i="11"/>
  <c r="M425" i="11"/>
  <c r="L425" i="11"/>
  <c r="K425" i="11"/>
  <c r="J425" i="11"/>
  <c r="I425" i="11"/>
  <c r="H425" i="11"/>
  <c r="G425" i="11"/>
  <c r="S425" i="11" s="1"/>
  <c r="F425" i="11"/>
  <c r="E425" i="11"/>
  <c r="R424" i="11"/>
  <c r="Q424" i="11"/>
  <c r="P424" i="11"/>
  <c r="O424" i="11"/>
  <c r="N424" i="11"/>
  <c r="M424" i="11"/>
  <c r="L424" i="11"/>
  <c r="K424" i="11"/>
  <c r="J424" i="11"/>
  <c r="I424" i="11"/>
  <c r="H424" i="11"/>
  <c r="G424" i="11"/>
  <c r="F424" i="11"/>
  <c r="E424" i="11"/>
  <c r="S424" i="11" s="1"/>
  <c r="R423" i="11"/>
  <c r="Q423" i="11"/>
  <c r="P423" i="11"/>
  <c r="O423" i="11"/>
  <c r="N423" i="11"/>
  <c r="M423" i="11"/>
  <c r="L423" i="11"/>
  <c r="K423" i="11"/>
  <c r="J423" i="11"/>
  <c r="I423" i="11"/>
  <c r="H423" i="11"/>
  <c r="G423" i="11"/>
  <c r="F423" i="11"/>
  <c r="E423" i="11"/>
  <c r="S423" i="11" s="1"/>
  <c r="R422" i="11"/>
  <c r="Q422" i="11"/>
  <c r="P422" i="11"/>
  <c r="O422" i="11"/>
  <c r="N422" i="11"/>
  <c r="M422" i="11"/>
  <c r="L422" i="11"/>
  <c r="K422" i="11"/>
  <c r="J422" i="11"/>
  <c r="I422" i="11"/>
  <c r="H422" i="11"/>
  <c r="G422" i="11"/>
  <c r="F422" i="11"/>
  <c r="E422" i="11"/>
  <c r="S422" i="11" s="1"/>
  <c r="R421" i="11"/>
  <c r="Q421" i="11"/>
  <c r="P421" i="11"/>
  <c r="O421" i="11"/>
  <c r="N421" i="11"/>
  <c r="M421" i="11"/>
  <c r="L421" i="11"/>
  <c r="K421" i="11"/>
  <c r="J421" i="11"/>
  <c r="I421" i="11"/>
  <c r="H421" i="11"/>
  <c r="G421" i="11"/>
  <c r="S421" i="11" s="1"/>
  <c r="F421" i="11"/>
  <c r="E421" i="11"/>
  <c r="R420" i="11"/>
  <c r="Q420" i="11"/>
  <c r="P420" i="11"/>
  <c r="O420" i="11"/>
  <c r="N420" i="11"/>
  <c r="M420" i="11"/>
  <c r="L420" i="11"/>
  <c r="K420" i="11"/>
  <c r="J420" i="11"/>
  <c r="I420" i="11"/>
  <c r="H420" i="11"/>
  <c r="G420" i="11"/>
  <c r="F420" i="11"/>
  <c r="E420" i="11"/>
  <c r="S420" i="11" s="1"/>
  <c r="R419" i="11"/>
  <c r="Q419" i="11"/>
  <c r="P419" i="11"/>
  <c r="O419" i="11"/>
  <c r="N419" i="11"/>
  <c r="M419" i="11"/>
  <c r="L419" i="11"/>
  <c r="K419" i="11"/>
  <c r="J419" i="11"/>
  <c r="I419" i="11"/>
  <c r="H419" i="11"/>
  <c r="G419" i="11"/>
  <c r="F419" i="11"/>
  <c r="E419" i="11"/>
  <c r="S419" i="11" s="1"/>
  <c r="IV417" i="11"/>
  <c r="IU417" i="11"/>
  <c r="IT417" i="11"/>
  <c r="IS417" i="11"/>
  <c r="IR417" i="11"/>
  <c r="IQ417" i="11"/>
  <c r="IP417" i="11"/>
  <c r="IO417" i="11"/>
  <c r="IN417" i="11"/>
  <c r="IM417" i="11"/>
  <c r="IL417" i="11"/>
  <c r="IK417" i="11"/>
  <c r="IJ417" i="11"/>
  <c r="II417" i="11"/>
  <c r="IH417" i="11"/>
  <c r="IG417" i="11"/>
  <c r="IF417" i="11"/>
  <c r="IE417" i="11"/>
  <c r="ID417" i="11"/>
  <c r="IC417" i="11"/>
  <c r="IB417" i="11"/>
  <c r="IA417" i="11"/>
  <c r="HZ417" i="11"/>
  <c r="HY417" i="11"/>
  <c r="HX417" i="11"/>
  <c r="HW417" i="11"/>
  <c r="HV417" i="11"/>
  <c r="HU417" i="11"/>
  <c r="HT417" i="11"/>
  <c r="HS417" i="11"/>
  <c r="HR417" i="11"/>
  <c r="HQ417" i="11"/>
  <c r="HP417" i="11"/>
  <c r="HO417" i="11"/>
  <c r="HN417" i="11"/>
  <c r="HM417" i="11"/>
  <c r="HL417" i="11"/>
  <c r="HK417" i="11"/>
  <c r="HJ417" i="11"/>
  <c r="HI417" i="11"/>
  <c r="HH417" i="11"/>
  <c r="HG417" i="11"/>
  <c r="HF417" i="11"/>
  <c r="HE417" i="11"/>
  <c r="HD417" i="11"/>
  <c r="HC417" i="11"/>
  <c r="HB417" i="11"/>
  <c r="HA417" i="11"/>
  <c r="GZ417" i="11"/>
  <c r="GY417" i="11"/>
  <c r="GX417" i="11"/>
  <c r="GW417" i="11"/>
  <c r="GV417" i="11"/>
  <c r="GU417" i="11"/>
  <c r="GT417" i="11"/>
  <c r="GS417" i="11"/>
  <c r="GR417" i="11"/>
  <c r="GQ417" i="11"/>
  <c r="GP417" i="11"/>
  <c r="GO417" i="11"/>
  <c r="GN417" i="11"/>
  <c r="GM417" i="11"/>
  <c r="GL417" i="11"/>
  <c r="GK417" i="11"/>
  <c r="GJ417" i="11"/>
  <c r="GI417" i="11"/>
  <c r="GH417" i="11"/>
  <c r="GG417" i="11"/>
  <c r="GF417" i="11"/>
  <c r="GE417" i="11"/>
  <c r="GD417" i="11"/>
  <c r="GC417" i="11"/>
  <c r="GB417" i="11"/>
  <c r="GA417" i="11"/>
  <c r="FZ417" i="11"/>
  <c r="FY417" i="11"/>
  <c r="FX417" i="11"/>
  <c r="FW417" i="11"/>
  <c r="FV417" i="11"/>
  <c r="FU417" i="11"/>
  <c r="FT417" i="11"/>
  <c r="FS417" i="11"/>
  <c r="FR417" i="11"/>
  <c r="FQ417" i="11"/>
  <c r="FP417" i="11"/>
  <c r="FO417" i="11"/>
  <c r="FN417" i="11"/>
  <c r="FM417" i="11"/>
  <c r="FL417" i="11"/>
  <c r="FK417" i="11"/>
  <c r="FJ417" i="11"/>
  <c r="FI417" i="11"/>
  <c r="FH417" i="11"/>
  <c r="FG417" i="11"/>
  <c r="FF417" i="11"/>
  <c r="FE417" i="11"/>
  <c r="FD417" i="11"/>
  <c r="FC417" i="11"/>
  <c r="FB417" i="11"/>
  <c r="FA417" i="11"/>
  <c r="EZ417" i="11"/>
  <c r="EY417" i="11"/>
  <c r="EX417" i="11"/>
  <c r="EW417" i="11"/>
  <c r="EV417" i="11"/>
  <c r="EU417" i="11"/>
  <c r="ET417" i="11"/>
  <c r="ES417" i="11"/>
  <c r="ER417" i="11"/>
  <c r="EQ417" i="11"/>
  <c r="EP417" i="11"/>
  <c r="EO417" i="11"/>
  <c r="EN417" i="11"/>
  <c r="EM417" i="11"/>
  <c r="EL417" i="11"/>
  <c r="EK417" i="11"/>
  <c r="EJ417" i="11"/>
  <c r="EI417" i="11"/>
  <c r="EH417" i="11"/>
  <c r="EG417" i="11"/>
  <c r="EF417" i="11"/>
  <c r="EE417" i="11"/>
  <c r="ED417" i="11"/>
  <c r="EC417" i="11"/>
  <c r="EB417" i="11"/>
  <c r="EA417" i="11"/>
  <c r="DZ417" i="11"/>
  <c r="DY417" i="11"/>
  <c r="DX417" i="11"/>
  <c r="DW417" i="11"/>
  <c r="DV417" i="11"/>
  <c r="DU417" i="11"/>
  <c r="DT417" i="11"/>
  <c r="DS417" i="11"/>
  <c r="DR417" i="11"/>
  <c r="DQ417" i="11"/>
  <c r="DP417" i="11"/>
  <c r="DO417" i="11"/>
  <c r="DN417" i="11"/>
  <c r="DM417" i="11"/>
  <c r="DL417" i="11"/>
  <c r="DK417" i="11"/>
  <c r="DJ417" i="11"/>
  <c r="DI417" i="11"/>
  <c r="DH417" i="11"/>
  <c r="DG417" i="11"/>
  <c r="DF417" i="11"/>
  <c r="DE417" i="11"/>
  <c r="DD417" i="11"/>
  <c r="DC417" i="11"/>
  <c r="DB417" i="11"/>
  <c r="DA417" i="11"/>
  <c r="CZ417" i="11"/>
  <c r="CY417" i="11"/>
  <c r="CX417" i="11"/>
  <c r="CW417" i="11"/>
  <c r="CV417" i="11"/>
  <c r="CU417" i="11"/>
  <c r="CT417" i="11"/>
  <c r="CS417" i="11"/>
  <c r="CR417" i="11"/>
  <c r="CQ417" i="11"/>
  <c r="CP417" i="11"/>
  <c r="CO417" i="11"/>
  <c r="CN417" i="11"/>
  <c r="CM417" i="11"/>
  <c r="CL417" i="11"/>
  <c r="CK417" i="11"/>
  <c r="CJ417" i="11"/>
  <c r="CI417" i="11"/>
  <c r="CH417" i="11"/>
  <c r="CG417" i="11"/>
  <c r="CF417" i="11"/>
  <c r="CE417" i="11"/>
  <c r="CD417" i="11"/>
  <c r="CC417" i="11"/>
  <c r="CB417" i="11"/>
  <c r="CA417" i="11"/>
  <c r="BZ417" i="11"/>
  <c r="BY417" i="11"/>
  <c r="BX417" i="11"/>
  <c r="BW417" i="11"/>
  <c r="BV417" i="11"/>
  <c r="BU417" i="11"/>
  <c r="BT417" i="11"/>
  <c r="BS417" i="11"/>
  <c r="BR417" i="11"/>
  <c r="BQ417" i="11"/>
  <c r="BP417" i="11"/>
  <c r="BO417" i="11"/>
  <c r="BN417" i="11"/>
  <c r="BM417" i="11"/>
  <c r="BL417" i="11"/>
  <c r="BK417" i="11"/>
  <c r="BJ417" i="11"/>
  <c r="BI417" i="11"/>
  <c r="BH417" i="11"/>
  <c r="BG417" i="11"/>
  <c r="BF417" i="11"/>
  <c r="BE417" i="11"/>
  <c r="BD417" i="11"/>
  <c r="BC417" i="11"/>
  <c r="BB417" i="11"/>
  <c r="BA417" i="11"/>
  <c r="AZ417" i="11"/>
  <c r="R417" i="11"/>
  <c r="Q417" i="11"/>
  <c r="P417" i="11"/>
  <c r="O417" i="11"/>
  <c r="N417" i="11"/>
  <c r="M417" i="11"/>
  <c r="L417" i="11"/>
  <c r="K417" i="11"/>
  <c r="J417" i="11"/>
  <c r="I417" i="11"/>
  <c r="H417" i="11"/>
  <c r="G417" i="11"/>
  <c r="F417" i="11"/>
  <c r="E417" i="11"/>
  <c r="S417" i="11" s="1"/>
  <c r="R416" i="11"/>
  <c r="Q416" i="11"/>
  <c r="P416" i="11"/>
  <c r="O416" i="11"/>
  <c r="N416" i="11"/>
  <c r="M416" i="11"/>
  <c r="L416" i="11"/>
  <c r="K416" i="11"/>
  <c r="J416" i="11"/>
  <c r="I416" i="11"/>
  <c r="H416" i="11"/>
  <c r="G416" i="11"/>
  <c r="F416" i="11"/>
  <c r="E416" i="11"/>
  <c r="S416" i="11" s="1"/>
  <c r="R415" i="11"/>
  <c r="Q415" i="11"/>
  <c r="P415" i="11"/>
  <c r="O415" i="11"/>
  <c r="N415" i="11"/>
  <c r="M415" i="11"/>
  <c r="L415" i="11"/>
  <c r="K415" i="11"/>
  <c r="J415" i="11"/>
  <c r="I415" i="11"/>
  <c r="H415" i="11"/>
  <c r="G415" i="11"/>
  <c r="S415" i="11" s="1"/>
  <c r="F415" i="11"/>
  <c r="E415" i="11"/>
  <c r="R414" i="11"/>
  <c r="Q414" i="11"/>
  <c r="P414" i="11"/>
  <c r="O414" i="11"/>
  <c r="N414" i="11"/>
  <c r="M414" i="11"/>
  <c r="L414" i="11"/>
  <c r="K414" i="11"/>
  <c r="J414" i="11"/>
  <c r="I414" i="11"/>
  <c r="H414" i="11"/>
  <c r="G414" i="11"/>
  <c r="F414" i="11"/>
  <c r="E414" i="11"/>
  <c r="S414" i="11" s="1"/>
  <c r="R413" i="11"/>
  <c r="Q413" i="11"/>
  <c r="P413" i="11"/>
  <c r="O413" i="11"/>
  <c r="N413" i="11"/>
  <c r="M413" i="11"/>
  <c r="L413" i="11"/>
  <c r="K413" i="11"/>
  <c r="J413" i="11"/>
  <c r="I413" i="11"/>
  <c r="H413" i="11"/>
  <c r="G413" i="11"/>
  <c r="F413" i="11"/>
  <c r="E413" i="11"/>
  <c r="S413" i="11" s="1"/>
  <c r="R412" i="11"/>
  <c r="Q412" i="11"/>
  <c r="P412" i="11"/>
  <c r="O412" i="11"/>
  <c r="N412" i="11"/>
  <c r="M412" i="11"/>
  <c r="L412" i="11"/>
  <c r="K412" i="11"/>
  <c r="J412" i="11"/>
  <c r="I412" i="11"/>
  <c r="H412" i="11"/>
  <c r="G412" i="11"/>
  <c r="F412" i="11"/>
  <c r="E412" i="11"/>
  <c r="S412" i="11" s="1"/>
  <c r="R411" i="11"/>
  <c r="Q411" i="11"/>
  <c r="P411" i="11"/>
  <c r="O411" i="11"/>
  <c r="N411" i="11"/>
  <c r="M411" i="11"/>
  <c r="L411" i="11"/>
  <c r="K411" i="11"/>
  <c r="J411" i="11"/>
  <c r="I411" i="11"/>
  <c r="H411" i="11"/>
  <c r="G411" i="11"/>
  <c r="S411" i="11" s="1"/>
  <c r="F411" i="11"/>
  <c r="E411" i="11"/>
  <c r="R410" i="11"/>
  <c r="Q410" i="11"/>
  <c r="P410" i="11"/>
  <c r="O410" i="11"/>
  <c r="N410" i="11"/>
  <c r="M410" i="11"/>
  <c r="L410" i="11"/>
  <c r="K410" i="11"/>
  <c r="J410" i="11"/>
  <c r="I410" i="11"/>
  <c r="H410" i="11"/>
  <c r="G410" i="11"/>
  <c r="F410" i="11"/>
  <c r="E410" i="11"/>
  <c r="S410" i="11" s="1"/>
  <c r="R409" i="11"/>
  <c r="Q409" i="11"/>
  <c r="P409" i="11"/>
  <c r="O409" i="11"/>
  <c r="N409" i="11"/>
  <c r="M409" i="11"/>
  <c r="L409" i="11"/>
  <c r="K409" i="11"/>
  <c r="J409" i="11"/>
  <c r="I409" i="11"/>
  <c r="H409" i="11"/>
  <c r="G409" i="11"/>
  <c r="F409" i="11"/>
  <c r="E409" i="11"/>
  <c r="S409" i="11" s="1"/>
  <c r="R408" i="11"/>
  <c r="R480" i="11" s="1"/>
  <c r="Q408" i="11"/>
  <c r="Q480" i="11" s="1"/>
  <c r="P408" i="11"/>
  <c r="P480" i="11" s="1"/>
  <c r="O408" i="11"/>
  <c r="O480" i="11" s="1"/>
  <c r="N408" i="11"/>
  <c r="N480" i="11" s="1"/>
  <c r="M408" i="11"/>
  <c r="M480" i="11" s="1"/>
  <c r="L408" i="11"/>
  <c r="L480" i="11" s="1"/>
  <c r="K408" i="11"/>
  <c r="K480" i="11" s="1"/>
  <c r="J408" i="11"/>
  <c r="J480" i="11" s="1"/>
  <c r="I408" i="11"/>
  <c r="I480" i="11" s="1"/>
  <c r="H408" i="11"/>
  <c r="H480" i="11" s="1"/>
  <c r="G408" i="11"/>
  <c r="G480" i="11" s="1"/>
  <c r="F408" i="11"/>
  <c r="F480" i="11" s="1"/>
  <c r="E408" i="11"/>
  <c r="E480" i="11" s="1"/>
  <c r="P406" i="11"/>
  <c r="O406" i="11"/>
  <c r="N406" i="11"/>
  <c r="M406" i="11"/>
  <c r="L406" i="11"/>
  <c r="K406" i="11"/>
  <c r="J406" i="11"/>
  <c r="I406" i="11"/>
  <c r="S406" i="11" s="1"/>
  <c r="H406" i="11"/>
  <c r="G406" i="11"/>
  <c r="S405" i="11"/>
  <c r="R404" i="11"/>
  <c r="Q404" i="11"/>
  <c r="P404" i="11"/>
  <c r="O404" i="11"/>
  <c r="N404" i="11"/>
  <c r="M404" i="11"/>
  <c r="L404" i="11"/>
  <c r="K404" i="11"/>
  <c r="J404" i="11"/>
  <c r="I404" i="11"/>
  <c r="H404" i="11"/>
  <c r="G404" i="11"/>
  <c r="S404" i="11" s="1"/>
  <c r="F404" i="11"/>
  <c r="E404" i="11"/>
  <c r="S403" i="11"/>
  <c r="R402" i="11"/>
  <c r="Q402" i="11"/>
  <c r="P402" i="11"/>
  <c r="O402" i="11"/>
  <c r="N402" i="11"/>
  <c r="M402" i="11"/>
  <c r="L402" i="11"/>
  <c r="K402" i="11"/>
  <c r="J402" i="11"/>
  <c r="I402" i="11"/>
  <c r="H402" i="11"/>
  <c r="G402" i="11"/>
  <c r="S402" i="11" s="1"/>
  <c r="F402" i="11"/>
  <c r="E402" i="11"/>
  <c r="R401" i="11"/>
  <c r="Q401" i="11"/>
  <c r="P401" i="11"/>
  <c r="O401" i="11"/>
  <c r="N401" i="11"/>
  <c r="M401" i="11"/>
  <c r="L401" i="11"/>
  <c r="K401" i="11"/>
  <c r="J401" i="11"/>
  <c r="I401" i="11"/>
  <c r="H401" i="11"/>
  <c r="G401" i="11"/>
  <c r="F401" i="11"/>
  <c r="E401" i="11"/>
  <c r="S401" i="11" s="1"/>
  <c r="R399" i="11"/>
  <c r="Q399" i="11"/>
  <c r="P399" i="11"/>
  <c r="O399" i="11"/>
  <c r="N399" i="11"/>
  <c r="M399" i="11"/>
  <c r="L399" i="11"/>
  <c r="K399" i="11"/>
  <c r="J399" i="11"/>
  <c r="I399" i="11"/>
  <c r="H399" i="11"/>
  <c r="G399" i="11"/>
  <c r="F399" i="11"/>
  <c r="E399" i="11"/>
  <c r="S399" i="11" s="1"/>
  <c r="R398" i="11"/>
  <c r="Q398" i="11"/>
  <c r="P398" i="11"/>
  <c r="O398" i="11"/>
  <c r="N398" i="11"/>
  <c r="M398" i="11"/>
  <c r="L398" i="11"/>
  <c r="K398" i="11"/>
  <c r="J398" i="11"/>
  <c r="I398" i="11"/>
  <c r="H398" i="11"/>
  <c r="G398" i="11"/>
  <c r="F398" i="11"/>
  <c r="E398" i="11"/>
  <c r="S398" i="11" s="1"/>
  <c r="R396" i="11"/>
  <c r="Q396" i="11"/>
  <c r="P396" i="11"/>
  <c r="O396" i="11"/>
  <c r="N396" i="11"/>
  <c r="M396" i="11"/>
  <c r="L396" i="11"/>
  <c r="K396" i="11"/>
  <c r="J396" i="11"/>
  <c r="I396" i="11"/>
  <c r="H396" i="11"/>
  <c r="G396" i="11"/>
  <c r="S396" i="11" s="1"/>
  <c r="F396" i="11"/>
  <c r="E396" i="11"/>
  <c r="R395" i="11"/>
  <c r="Q395" i="11"/>
  <c r="P395" i="11"/>
  <c r="O395" i="11"/>
  <c r="N395" i="11"/>
  <c r="M395" i="11"/>
  <c r="L395" i="11"/>
  <c r="K395" i="11"/>
  <c r="J395" i="11"/>
  <c r="I395" i="11"/>
  <c r="H395" i="11"/>
  <c r="G395" i="11"/>
  <c r="F395" i="11"/>
  <c r="E395" i="11"/>
  <c r="S395" i="11" s="1"/>
  <c r="R393" i="11"/>
  <c r="Q393" i="11"/>
  <c r="P393" i="11"/>
  <c r="O393" i="11"/>
  <c r="N393" i="11"/>
  <c r="M393" i="11"/>
  <c r="L393" i="11"/>
  <c r="K393" i="11"/>
  <c r="J393" i="11"/>
  <c r="I393" i="11"/>
  <c r="H393" i="11"/>
  <c r="G393" i="11"/>
  <c r="F393" i="11"/>
  <c r="E393" i="11"/>
  <c r="S393" i="11" s="1"/>
  <c r="R391" i="11"/>
  <c r="Q391" i="11"/>
  <c r="P391" i="11"/>
  <c r="O391" i="11"/>
  <c r="N391" i="11"/>
  <c r="M391" i="11"/>
  <c r="L391" i="11"/>
  <c r="K391" i="11"/>
  <c r="J391" i="11"/>
  <c r="I391" i="11"/>
  <c r="H391" i="11"/>
  <c r="G391" i="11"/>
  <c r="F391" i="11"/>
  <c r="E391" i="11"/>
  <c r="S391" i="11" s="1"/>
  <c r="R390" i="11"/>
  <c r="Q390" i="11"/>
  <c r="P390" i="11"/>
  <c r="O390" i="11"/>
  <c r="N390" i="11"/>
  <c r="M390" i="11"/>
  <c r="L390" i="11"/>
  <c r="K390" i="11"/>
  <c r="J390" i="11"/>
  <c r="I390" i="11"/>
  <c r="H390" i="11"/>
  <c r="G390" i="11"/>
  <c r="S390" i="11" s="1"/>
  <c r="F390" i="11"/>
  <c r="E390" i="11"/>
  <c r="R388" i="11"/>
  <c r="Q388" i="11"/>
  <c r="P388" i="11"/>
  <c r="O388" i="11"/>
  <c r="N388" i="11"/>
  <c r="M388" i="11"/>
  <c r="L388" i="11"/>
  <c r="K388" i="11"/>
  <c r="J388" i="11"/>
  <c r="I388" i="11"/>
  <c r="H388" i="11"/>
  <c r="G388" i="11"/>
  <c r="F388" i="11"/>
  <c r="E388" i="11"/>
  <c r="S388" i="11" s="1"/>
  <c r="R387" i="11"/>
  <c r="Q387" i="11"/>
  <c r="P387" i="11"/>
  <c r="O387" i="11"/>
  <c r="N387" i="11"/>
  <c r="M387" i="11"/>
  <c r="L387" i="11"/>
  <c r="K387" i="11"/>
  <c r="J387" i="11"/>
  <c r="I387" i="11"/>
  <c r="H387" i="11"/>
  <c r="G387" i="11"/>
  <c r="F387" i="11"/>
  <c r="E387" i="11"/>
  <c r="S387" i="11" s="1"/>
  <c r="R386" i="11"/>
  <c r="Q386" i="11"/>
  <c r="P386" i="11"/>
  <c r="O386" i="11"/>
  <c r="N386" i="11"/>
  <c r="M386" i="11"/>
  <c r="L386" i="11"/>
  <c r="K386" i="11"/>
  <c r="J386" i="11"/>
  <c r="I386" i="11"/>
  <c r="H386" i="11"/>
  <c r="G386" i="11"/>
  <c r="F386" i="11"/>
  <c r="E386" i="11"/>
  <c r="S386" i="11" s="1"/>
  <c r="R385" i="11"/>
  <c r="Q385" i="11"/>
  <c r="P385" i="11"/>
  <c r="O385" i="11"/>
  <c r="N385" i="11"/>
  <c r="M385" i="11"/>
  <c r="L385" i="11"/>
  <c r="K385" i="11"/>
  <c r="J385" i="11"/>
  <c r="I385" i="11"/>
  <c r="H385" i="11"/>
  <c r="G385" i="11"/>
  <c r="S385" i="11" s="1"/>
  <c r="F385" i="11"/>
  <c r="E385" i="11"/>
  <c r="R383" i="11"/>
  <c r="Q383" i="11"/>
  <c r="P383" i="11"/>
  <c r="O383" i="11"/>
  <c r="N383" i="11"/>
  <c r="M383" i="11"/>
  <c r="L383" i="11"/>
  <c r="K383" i="11"/>
  <c r="J383" i="11"/>
  <c r="I383" i="11"/>
  <c r="H383" i="11"/>
  <c r="G383" i="11"/>
  <c r="F383" i="11"/>
  <c r="S383" i="11" s="1"/>
  <c r="E383" i="11"/>
  <c r="R382" i="11"/>
  <c r="Q382" i="11"/>
  <c r="P382" i="11"/>
  <c r="O382" i="11"/>
  <c r="N382" i="11"/>
  <c r="M382" i="11"/>
  <c r="L382" i="11"/>
  <c r="K382" i="11"/>
  <c r="J382" i="11"/>
  <c r="I382" i="11"/>
  <c r="H382" i="11"/>
  <c r="G382" i="11"/>
  <c r="F382" i="11"/>
  <c r="E382" i="11"/>
  <c r="S382" i="11" s="1"/>
  <c r="R380" i="11"/>
  <c r="R407" i="11" s="1"/>
  <c r="Q380" i="11"/>
  <c r="Q407" i="11" s="1"/>
  <c r="P380" i="11"/>
  <c r="P407" i="11" s="1"/>
  <c r="O380" i="11"/>
  <c r="O407" i="11" s="1"/>
  <c r="N380" i="11"/>
  <c r="N407" i="11" s="1"/>
  <c r="M380" i="11"/>
  <c r="M407" i="11" s="1"/>
  <c r="L380" i="11"/>
  <c r="L407" i="11" s="1"/>
  <c r="K380" i="11"/>
  <c r="K407" i="11" s="1"/>
  <c r="J380" i="11"/>
  <c r="J407" i="11" s="1"/>
  <c r="I380" i="11"/>
  <c r="I407" i="11" s="1"/>
  <c r="H380" i="11"/>
  <c r="H407" i="11" s="1"/>
  <c r="G380" i="11"/>
  <c r="G407" i="11" s="1"/>
  <c r="F380" i="11"/>
  <c r="F407" i="11" s="1"/>
  <c r="E380" i="11"/>
  <c r="S380" i="11" s="1"/>
  <c r="P378" i="11"/>
  <c r="O378" i="11"/>
  <c r="N378" i="11"/>
  <c r="M378" i="11"/>
  <c r="L378" i="11"/>
  <c r="K378" i="11"/>
  <c r="J378" i="11"/>
  <c r="I378" i="11"/>
  <c r="S378" i="11" s="1"/>
  <c r="H378" i="11"/>
  <c r="G378" i="11"/>
  <c r="P377" i="11"/>
  <c r="O377" i="11"/>
  <c r="N377" i="11"/>
  <c r="M377" i="11"/>
  <c r="L377" i="11"/>
  <c r="K377" i="11"/>
  <c r="J377" i="11"/>
  <c r="I377" i="11"/>
  <c r="H377" i="11"/>
  <c r="S377" i="11" s="1"/>
  <c r="G377" i="11"/>
  <c r="S376" i="11"/>
  <c r="R375" i="11"/>
  <c r="Q375" i="11"/>
  <c r="P375" i="11"/>
  <c r="O375" i="11"/>
  <c r="N375" i="11"/>
  <c r="M375" i="11"/>
  <c r="L375" i="11"/>
  <c r="K375" i="11"/>
  <c r="J375" i="11"/>
  <c r="I375" i="11"/>
  <c r="H375" i="11"/>
  <c r="G375" i="11"/>
  <c r="F375" i="11"/>
  <c r="S375" i="11" s="1"/>
  <c r="E375" i="11"/>
  <c r="R374" i="11"/>
  <c r="Q374" i="11"/>
  <c r="P374" i="11"/>
  <c r="O374" i="11"/>
  <c r="N374" i="11"/>
  <c r="M374" i="11"/>
  <c r="L374" i="11"/>
  <c r="K374" i="11"/>
  <c r="J374" i="11"/>
  <c r="I374" i="11"/>
  <c r="H374" i="11"/>
  <c r="G374" i="11"/>
  <c r="F374" i="11"/>
  <c r="E374" i="11"/>
  <c r="S374" i="11" s="1"/>
  <c r="R372" i="11"/>
  <c r="Q372" i="11"/>
  <c r="P372" i="11"/>
  <c r="O372" i="11"/>
  <c r="N372" i="11"/>
  <c r="M372" i="11"/>
  <c r="L372" i="11"/>
  <c r="K372" i="11"/>
  <c r="J372" i="11"/>
  <c r="I372" i="11"/>
  <c r="H372" i="11"/>
  <c r="G372" i="11"/>
  <c r="F372" i="11"/>
  <c r="E372" i="11"/>
  <c r="S372" i="11" s="1"/>
  <c r="R371" i="11"/>
  <c r="Q371" i="11"/>
  <c r="P371" i="11"/>
  <c r="O371" i="11"/>
  <c r="N371" i="11"/>
  <c r="M371" i="11"/>
  <c r="L371" i="11"/>
  <c r="K371" i="11"/>
  <c r="J371" i="11"/>
  <c r="I371" i="11"/>
  <c r="H371" i="11"/>
  <c r="G371" i="11"/>
  <c r="S371" i="11" s="1"/>
  <c r="F371" i="11"/>
  <c r="E371" i="11"/>
  <c r="R370" i="11"/>
  <c r="Q370" i="11"/>
  <c r="P370" i="11"/>
  <c r="O370" i="11"/>
  <c r="N370" i="11"/>
  <c r="M370" i="11"/>
  <c r="L370" i="11"/>
  <c r="K370" i="11"/>
  <c r="J370" i="11"/>
  <c r="I370" i="11"/>
  <c r="H370" i="11"/>
  <c r="G370" i="11"/>
  <c r="F370" i="11"/>
  <c r="S370" i="11" s="1"/>
  <c r="E370" i="11"/>
  <c r="R369" i="11"/>
  <c r="Q369" i="11"/>
  <c r="P369" i="11"/>
  <c r="O369" i="11"/>
  <c r="N369" i="11"/>
  <c r="M369" i="11"/>
  <c r="L369" i="11"/>
  <c r="K369" i="11"/>
  <c r="J369" i="11"/>
  <c r="I369" i="11"/>
  <c r="H369" i="11"/>
  <c r="G369" i="11"/>
  <c r="F369" i="11"/>
  <c r="E369" i="11"/>
  <c r="S369" i="11" s="1"/>
  <c r="R368" i="11"/>
  <c r="Q368" i="11"/>
  <c r="P368" i="11"/>
  <c r="O368" i="11"/>
  <c r="N368" i="11"/>
  <c r="M368" i="11"/>
  <c r="L368" i="11"/>
  <c r="K368" i="11"/>
  <c r="J368" i="11"/>
  <c r="I368" i="11"/>
  <c r="H368" i="11"/>
  <c r="G368" i="11"/>
  <c r="F368" i="11"/>
  <c r="E368" i="11"/>
  <c r="S368" i="11" s="1"/>
  <c r="R367" i="11"/>
  <c r="Q367" i="11"/>
  <c r="P367" i="11"/>
  <c r="O367" i="11"/>
  <c r="N367" i="11"/>
  <c r="M367" i="11"/>
  <c r="L367" i="11"/>
  <c r="K367" i="11"/>
  <c r="J367" i="11"/>
  <c r="I367" i="11"/>
  <c r="H367" i="11"/>
  <c r="G367" i="11"/>
  <c r="S367" i="11" s="1"/>
  <c r="F367" i="11"/>
  <c r="E367" i="11"/>
  <c r="R366" i="11"/>
  <c r="Q366" i="11"/>
  <c r="P366" i="11"/>
  <c r="O366" i="11"/>
  <c r="N366" i="11"/>
  <c r="M366" i="11"/>
  <c r="L366" i="11"/>
  <c r="K366" i="11"/>
  <c r="J366" i="11"/>
  <c r="I366" i="11"/>
  <c r="H366" i="11"/>
  <c r="G366" i="11"/>
  <c r="F366" i="11"/>
  <c r="S366" i="11" s="1"/>
  <c r="E366" i="11"/>
  <c r="R365" i="11"/>
  <c r="Q365" i="11"/>
  <c r="P365" i="11"/>
  <c r="O365" i="11"/>
  <c r="N365" i="11"/>
  <c r="M365" i="11"/>
  <c r="L365" i="11"/>
  <c r="K365" i="11"/>
  <c r="J365" i="11"/>
  <c r="I365" i="11"/>
  <c r="H365" i="11"/>
  <c r="G365" i="11"/>
  <c r="F365" i="11"/>
  <c r="E365" i="11"/>
  <c r="S365" i="11" s="1"/>
  <c r="R364" i="11"/>
  <c r="Q364" i="11"/>
  <c r="P364" i="11"/>
  <c r="O364" i="11"/>
  <c r="N364" i="11"/>
  <c r="M364" i="11"/>
  <c r="L364" i="11"/>
  <c r="K364" i="11"/>
  <c r="J364" i="11"/>
  <c r="I364" i="11"/>
  <c r="H364" i="11"/>
  <c r="G364" i="11"/>
  <c r="F364" i="11"/>
  <c r="E364" i="11"/>
  <c r="S364" i="11" s="1"/>
  <c r="R363" i="11"/>
  <c r="Q363" i="11"/>
  <c r="P363" i="11"/>
  <c r="O363" i="11"/>
  <c r="N363" i="11"/>
  <c r="M363" i="11"/>
  <c r="L363" i="11"/>
  <c r="K363" i="11"/>
  <c r="J363" i="11"/>
  <c r="I363" i="11"/>
  <c r="H363" i="11"/>
  <c r="G363" i="11"/>
  <c r="S363" i="11" s="1"/>
  <c r="F363" i="11"/>
  <c r="E363" i="11"/>
  <c r="R361" i="11"/>
  <c r="Q361" i="11"/>
  <c r="P361" i="11"/>
  <c r="O361" i="11"/>
  <c r="N361" i="11"/>
  <c r="M361" i="11"/>
  <c r="L361" i="11"/>
  <c r="K361" i="11"/>
  <c r="J361" i="11"/>
  <c r="I361" i="11"/>
  <c r="H361" i="11"/>
  <c r="G361" i="11"/>
  <c r="F361" i="11"/>
  <c r="E361" i="11"/>
  <c r="S361" i="11" s="1"/>
  <c r="R360" i="11"/>
  <c r="Q360" i="11"/>
  <c r="P360" i="11"/>
  <c r="O360" i="11"/>
  <c r="N360" i="11"/>
  <c r="M360" i="11"/>
  <c r="L360" i="11"/>
  <c r="K360" i="11"/>
  <c r="J360" i="11"/>
  <c r="I360" i="11"/>
  <c r="H360" i="11"/>
  <c r="G360" i="11"/>
  <c r="F360" i="11"/>
  <c r="E360" i="11"/>
  <c r="S360" i="11" s="1"/>
  <c r="R359" i="11"/>
  <c r="Q359" i="11"/>
  <c r="P359" i="11"/>
  <c r="O359" i="11"/>
  <c r="N359" i="11"/>
  <c r="M359" i="11"/>
  <c r="L359" i="11"/>
  <c r="K359" i="11"/>
  <c r="J359" i="11"/>
  <c r="I359" i="11"/>
  <c r="H359" i="11"/>
  <c r="G359" i="11"/>
  <c r="F359" i="11"/>
  <c r="E359" i="11"/>
  <c r="S359" i="11" s="1"/>
  <c r="R358" i="11"/>
  <c r="Q358" i="11"/>
  <c r="P358" i="11"/>
  <c r="O358" i="11"/>
  <c r="N358" i="11"/>
  <c r="M358" i="11"/>
  <c r="L358" i="11"/>
  <c r="K358" i="11"/>
  <c r="J358" i="11"/>
  <c r="I358" i="11"/>
  <c r="H358" i="11"/>
  <c r="G358" i="11"/>
  <c r="S358" i="11" s="1"/>
  <c r="F358" i="11"/>
  <c r="E358" i="11"/>
  <c r="R357" i="11"/>
  <c r="Q357" i="11"/>
  <c r="P357" i="11"/>
  <c r="O357" i="11"/>
  <c r="N357" i="11"/>
  <c r="M357" i="11"/>
  <c r="L357" i="11"/>
  <c r="K357" i="11"/>
  <c r="J357" i="11"/>
  <c r="I357" i="11"/>
  <c r="H357" i="11"/>
  <c r="G357" i="11"/>
  <c r="F357" i="11"/>
  <c r="E357" i="11"/>
  <c r="S357" i="11" s="1"/>
  <c r="R356" i="11"/>
  <c r="Q356" i="11"/>
  <c r="P356" i="11"/>
  <c r="O356" i="11"/>
  <c r="N356" i="11"/>
  <c r="M356" i="11"/>
  <c r="L356" i="11"/>
  <c r="K356" i="11"/>
  <c r="J356" i="11"/>
  <c r="I356" i="11"/>
  <c r="H356" i="11"/>
  <c r="F356" i="11"/>
  <c r="S356" i="11" s="1"/>
  <c r="E356" i="11"/>
  <c r="R355" i="11"/>
  <c r="Q355" i="11"/>
  <c r="P355" i="11"/>
  <c r="O355" i="11"/>
  <c r="N355" i="11"/>
  <c r="M355" i="11"/>
  <c r="L355" i="11"/>
  <c r="K355" i="11"/>
  <c r="J355" i="11"/>
  <c r="I355" i="11"/>
  <c r="H355" i="11"/>
  <c r="G355" i="11"/>
  <c r="S355" i="11" s="1"/>
  <c r="F355" i="11"/>
  <c r="E355" i="11"/>
  <c r="R354" i="11"/>
  <c r="Q354" i="11"/>
  <c r="P354" i="11"/>
  <c r="O354" i="11"/>
  <c r="N354" i="11"/>
  <c r="M354" i="11"/>
  <c r="L354" i="11"/>
  <c r="K354" i="11"/>
  <c r="J354" i="11"/>
  <c r="I354" i="11"/>
  <c r="H354" i="11"/>
  <c r="G354" i="11"/>
  <c r="F354" i="11"/>
  <c r="E354" i="11"/>
  <c r="S354" i="11" s="1"/>
  <c r="R353" i="11"/>
  <c r="Q353" i="11"/>
  <c r="P353" i="11"/>
  <c r="O353" i="11"/>
  <c r="N353" i="11"/>
  <c r="M353" i="11"/>
  <c r="L353" i="11"/>
  <c r="K353" i="11"/>
  <c r="J353" i="11"/>
  <c r="I353" i="11"/>
  <c r="H353" i="11"/>
  <c r="G353" i="11"/>
  <c r="F353" i="11"/>
  <c r="E353" i="11"/>
  <c r="S353" i="11" s="1"/>
  <c r="R351" i="11"/>
  <c r="Q351" i="11"/>
  <c r="P351" i="11"/>
  <c r="O351" i="11"/>
  <c r="N351" i="11"/>
  <c r="M351" i="11"/>
  <c r="L351" i="11"/>
  <c r="K351" i="11"/>
  <c r="J351" i="11"/>
  <c r="I351" i="11"/>
  <c r="H351" i="11"/>
  <c r="G351" i="11"/>
  <c r="F351" i="11"/>
  <c r="E351" i="11"/>
  <c r="S351" i="11" s="1"/>
  <c r="R350" i="11"/>
  <c r="Q350" i="11"/>
  <c r="P350" i="11"/>
  <c r="O350" i="11"/>
  <c r="N350" i="11"/>
  <c r="M350" i="11"/>
  <c r="L350" i="11"/>
  <c r="K350" i="11"/>
  <c r="J350" i="11"/>
  <c r="I350" i="11"/>
  <c r="H350" i="11"/>
  <c r="G350" i="11"/>
  <c r="S350" i="11" s="1"/>
  <c r="F350" i="11"/>
  <c r="E350" i="11"/>
  <c r="R349" i="11"/>
  <c r="Q349" i="11"/>
  <c r="P349" i="11"/>
  <c r="O349" i="11"/>
  <c r="N349" i="11"/>
  <c r="M349" i="11"/>
  <c r="L349" i="11"/>
  <c r="K349" i="11"/>
  <c r="J349" i="11"/>
  <c r="I349" i="11"/>
  <c r="H349" i="11"/>
  <c r="G349" i="11"/>
  <c r="F349" i="11"/>
  <c r="E349" i="11"/>
  <c r="S349" i="11" s="1"/>
  <c r="R348" i="11"/>
  <c r="Q348" i="11"/>
  <c r="P348" i="11"/>
  <c r="O348" i="11"/>
  <c r="N348" i="11"/>
  <c r="M348" i="11"/>
  <c r="L348" i="11"/>
  <c r="K348" i="11"/>
  <c r="J348" i="11"/>
  <c r="I348" i="11"/>
  <c r="H348" i="11"/>
  <c r="G348" i="11"/>
  <c r="F348" i="11"/>
  <c r="E348" i="11"/>
  <c r="S348" i="11" s="1"/>
  <c r="R347" i="11"/>
  <c r="Q347" i="11"/>
  <c r="P347" i="11"/>
  <c r="O347" i="11"/>
  <c r="N347" i="11"/>
  <c r="M347" i="11"/>
  <c r="L347" i="11"/>
  <c r="K347" i="11"/>
  <c r="J347" i="11"/>
  <c r="I347" i="11"/>
  <c r="H347" i="11"/>
  <c r="G347" i="11"/>
  <c r="F347" i="11"/>
  <c r="E347" i="11"/>
  <c r="S347" i="11" s="1"/>
  <c r="R346" i="11"/>
  <c r="Q346" i="11"/>
  <c r="P346" i="11"/>
  <c r="O346" i="11"/>
  <c r="N346" i="11"/>
  <c r="M346" i="11"/>
  <c r="L346" i="11"/>
  <c r="K346" i="11"/>
  <c r="J346" i="11"/>
  <c r="I346" i="11"/>
  <c r="H346" i="11"/>
  <c r="G346" i="11"/>
  <c r="S346" i="11" s="1"/>
  <c r="F346" i="11"/>
  <c r="E346" i="11"/>
  <c r="R345" i="11"/>
  <c r="Q345" i="11"/>
  <c r="P345" i="11"/>
  <c r="O345" i="11"/>
  <c r="N345" i="11"/>
  <c r="M345" i="11"/>
  <c r="L345" i="11"/>
  <c r="K345" i="11"/>
  <c r="J345" i="11"/>
  <c r="I345" i="11"/>
  <c r="H345" i="11"/>
  <c r="G345" i="11"/>
  <c r="F345" i="11"/>
  <c r="E345" i="11"/>
  <c r="S345" i="11" s="1"/>
  <c r="R344" i="11"/>
  <c r="Q344" i="11"/>
  <c r="P344" i="11"/>
  <c r="O344" i="11"/>
  <c r="N344" i="11"/>
  <c r="M344" i="11"/>
  <c r="L344" i="11"/>
  <c r="K344" i="11"/>
  <c r="J344" i="11"/>
  <c r="I344" i="11"/>
  <c r="H344" i="11"/>
  <c r="G344" i="11"/>
  <c r="F344" i="11"/>
  <c r="E344" i="11"/>
  <c r="S344" i="11" s="1"/>
  <c r="R343" i="11"/>
  <c r="Q343" i="11"/>
  <c r="P343" i="11"/>
  <c r="O343" i="11"/>
  <c r="N343" i="11"/>
  <c r="M343" i="11"/>
  <c r="L343" i="11"/>
  <c r="K343" i="11"/>
  <c r="J343" i="11"/>
  <c r="I343" i="11"/>
  <c r="H343" i="11"/>
  <c r="G343" i="11"/>
  <c r="F343" i="11"/>
  <c r="E343" i="11"/>
  <c r="S343" i="11" s="1"/>
  <c r="R342" i="11"/>
  <c r="Q342" i="11"/>
  <c r="P342" i="11"/>
  <c r="O342" i="11"/>
  <c r="N342" i="11"/>
  <c r="M342" i="11"/>
  <c r="L342" i="11"/>
  <c r="K342" i="11"/>
  <c r="J342" i="11"/>
  <c r="I342" i="11"/>
  <c r="H342" i="11"/>
  <c r="G342" i="11"/>
  <c r="S342" i="11" s="1"/>
  <c r="F342" i="11"/>
  <c r="E342" i="11"/>
  <c r="R340" i="11"/>
  <c r="Q340" i="11"/>
  <c r="P340" i="11"/>
  <c r="O340" i="11"/>
  <c r="N340" i="11"/>
  <c r="M340" i="11"/>
  <c r="L340" i="11"/>
  <c r="K340" i="11"/>
  <c r="J340" i="11"/>
  <c r="I340" i="11"/>
  <c r="H340" i="11"/>
  <c r="G340" i="11"/>
  <c r="F340" i="11"/>
  <c r="E340" i="11"/>
  <c r="S340" i="11" s="1"/>
  <c r="R339" i="11"/>
  <c r="Q339" i="11"/>
  <c r="P339" i="11"/>
  <c r="O339" i="11"/>
  <c r="N339" i="11"/>
  <c r="M339" i="11"/>
  <c r="L339" i="11"/>
  <c r="K339" i="11"/>
  <c r="J339" i="11"/>
  <c r="I339" i="11"/>
  <c r="H339" i="11"/>
  <c r="G339" i="11"/>
  <c r="F339" i="11"/>
  <c r="E339" i="11"/>
  <c r="S339" i="11" s="1"/>
  <c r="R338" i="11"/>
  <c r="Q338" i="11"/>
  <c r="P338" i="11"/>
  <c r="O338" i="11"/>
  <c r="N338" i="11"/>
  <c r="M338" i="11"/>
  <c r="L338" i="11"/>
  <c r="K338" i="11"/>
  <c r="J338" i="11"/>
  <c r="I338" i="11"/>
  <c r="H338" i="11"/>
  <c r="G338" i="11"/>
  <c r="F338" i="11"/>
  <c r="E338" i="11"/>
  <c r="S338" i="11" s="1"/>
  <c r="R337" i="11"/>
  <c r="Q337" i="11"/>
  <c r="P337" i="11"/>
  <c r="O337" i="11"/>
  <c r="N337" i="11"/>
  <c r="M337" i="11"/>
  <c r="L337" i="11"/>
  <c r="K337" i="11"/>
  <c r="J337" i="11"/>
  <c r="I337" i="11"/>
  <c r="H337" i="11"/>
  <c r="G337" i="11"/>
  <c r="S337" i="11" s="1"/>
  <c r="F337" i="11"/>
  <c r="E337" i="11"/>
  <c r="S336" i="11"/>
  <c r="R335" i="11"/>
  <c r="Q335" i="11"/>
  <c r="P335" i="11"/>
  <c r="O335" i="11"/>
  <c r="N335" i="11"/>
  <c r="M335" i="11"/>
  <c r="L335" i="11"/>
  <c r="K335" i="11"/>
  <c r="J335" i="11"/>
  <c r="I335" i="11"/>
  <c r="H335" i="11"/>
  <c r="G335" i="11"/>
  <c r="S335" i="11" s="1"/>
  <c r="F335" i="11"/>
  <c r="E335" i="11"/>
  <c r="R334" i="11"/>
  <c r="Q334" i="11"/>
  <c r="P334" i="11"/>
  <c r="O334" i="11"/>
  <c r="N334" i="11"/>
  <c r="M334" i="11"/>
  <c r="L334" i="11"/>
  <c r="K334" i="11"/>
  <c r="J334" i="11"/>
  <c r="I334" i="11"/>
  <c r="H334" i="11"/>
  <c r="G334" i="11"/>
  <c r="F334" i="11"/>
  <c r="E334" i="11"/>
  <c r="S334" i="11" s="1"/>
  <c r="R333" i="11"/>
  <c r="Q333" i="11"/>
  <c r="P333" i="11"/>
  <c r="O333" i="11"/>
  <c r="N333" i="11"/>
  <c r="M333" i="11"/>
  <c r="L333" i="11"/>
  <c r="K333" i="11"/>
  <c r="J333" i="11"/>
  <c r="I333" i="11"/>
  <c r="H333" i="11"/>
  <c r="G333" i="11"/>
  <c r="F333" i="11"/>
  <c r="E333" i="11"/>
  <c r="S333" i="11" s="1"/>
  <c r="P332" i="11"/>
  <c r="O332" i="11"/>
  <c r="N332" i="11"/>
  <c r="M332" i="11"/>
  <c r="L332" i="11"/>
  <c r="K332" i="11"/>
  <c r="J332" i="11"/>
  <c r="I332" i="11"/>
  <c r="H332" i="11"/>
  <c r="G332" i="11"/>
  <c r="F332" i="11"/>
  <c r="E332" i="11"/>
  <c r="S332" i="11" s="1"/>
  <c r="S330" i="11"/>
  <c r="R329" i="11"/>
  <c r="Q329" i="11"/>
  <c r="P329" i="11"/>
  <c r="O329" i="11"/>
  <c r="N329" i="11"/>
  <c r="M329" i="11"/>
  <c r="L329" i="11"/>
  <c r="K329" i="11"/>
  <c r="J329" i="11"/>
  <c r="I329" i="11"/>
  <c r="H329" i="11"/>
  <c r="G329" i="11"/>
  <c r="F329" i="11"/>
  <c r="E329" i="11"/>
  <c r="S329" i="11" s="1"/>
  <c r="R328" i="11"/>
  <c r="Q328" i="11"/>
  <c r="P328" i="11"/>
  <c r="O328" i="11"/>
  <c r="N328" i="11"/>
  <c r="M328" i="11"/>
  <c r="L328" i="11"/>
  <c r="K328" i="11"/>
  <c r="J328" i="11"/>
  <c r="I328" i="11"/>
  <c r="H328" i="11"/>
  <c r="G328" i="11"/>
  <c r="F328" i="11"/>
  <c r="E328" i="11"/>
  <c r="S328" i="11" s="1"/>
  <c r="R327" i="11"/>
  <c r="Q327" i="11"/>
  <c r="P327" i="11"/>
  <c r="O327" i="11"/>
  <c r="N327" i="11"/>
  <c r="M327" i="11"/>
  <c r="L327" i="11"/>
  <c r="K327" i="11"/>
  <c r="J327" i="11"/>
  <c r="I327" i="11"/>
  <c r="H327" i="11"/>
  <c r="G327" i="11"/>
  <c r="F327" i="11"/>
  <c r="E327" i="11"/>
  <c r="S327" i="11" s="1"/>
  <c r="R326" i="11"/>
  <c r="Q326" i="11"/>
  <c r="P326" i="11"/>
  <c r="O326" i="11"/>
  <c r="N326" i="11"/>
  <c r="M326" i="11"/>
  <c r="L326" i="11"/>
  <c r="K326" i="11"/>
  <c r="J326" i="11"/>
  <c r="I326" i="11"/>
  <c r="H326" i="11"/>
  <c r="G326" i="11"/>
  <c r="S326" i="11" s="1"/>
  <c r="F326" i="11"/>
  <c r="E326" i="11"/>
  <c r="R325" i="11"/>
  <c r="Q325" i="11"/>
  <c r="P325" i="11"/>
  <c r="O325" i="11"/>
  <c r="N325" i="11"/>
  <c r="M325" i="11"/>
  <c r="L325" i="11"/>
  <c r="K325" i="11"/>
  <c r="J325" i="11"/>
  <c r="I325" i="11"/>
  <c r="H325" i="11"/>
  <c r="G325" i="11"/>
  <c r="F325" i="11"/>
  <c r="E325" i="11"/>
  <c r="S325" i="11" s="1"/>
  <c r="R324" i="11"/>
  <c r="Q324" i="11"/>
  <c r="P324" i="11"/>
  <c r="O324" i="11"/>
  <c r="N324" i="11"/>
  <c r="M324" i="11"/>
  <c r="L324" i="11"/>
  <c r="K324" i="11"/>
  <c r="J324" i="11"/>
  <c r="I324" i="11"/>
  <c r="H324" i="11"/>
  <c r="G324" i="11"/>
  <c r="F324" i="11"/>
  <c r="E324" i="11"/>
  <c r="S324" i="11" s="1"/>
  <c r="R323" i="11"/>
  <c r="Q323" i="11"/>
  <c r="P323" i="11"/>
  <c r="O323" i="11"/>
  <c r="N323" i="11"/>
  <c r="M323" i="11"/>
  <c r="L323" i="11"/>
  <c r="K323" i="11"/>
  <c r="J323" i="11"/>
  <c r="I323" i="11"/>
  <c r="H323" i="11"/>
  <c r="G323" i="11"/>
  <c r="F323" i="11"/>
  <c r="E323" i="11"/>
  <c r="S323" i="11" s="1"/>
  <c r="R322" i="11"/>
  <c r="Q322" i="11"/>
  <c r="P322" i="11"/>
  <c r="O322" i="11"/>
  <c r="N322" i="11"/>
  <c r="M322" i="11"/>
  <c r="L322" i="11"/>
  <c r="K322" i="11"/>
  <c r="J322" i="11"/>
  <c r="I322" i="11"/>
  <c r="H322" i="11"/>
  <c r="G322" i="11"/>
  <c r="S322" i="11" s="1"/>
  <c r="F322" i="11"/>
  <c r="E322" i="11"/>
  <c r="R321" i="11"/>
  <c r="Q321" i="11"/>
  <c r="P321" i="11"/>
  <c r="O321" i="11"/>
  <c r="N321" i="11"/>
  <c r="M321" i="11"/>
  <c r="L321" i="11"/>
  <c r="K321" i="11"/>
  <c r="J321" i="11"/>
  <c r="I321" i="11"/>
  <c r="H321" i="11"/>
  <c r="G321" i="11"/>
  <c r="F321" i="11"/>
  <c r="E321" i="11"/>
  <c r="S321" i="11" s="1"/>
  <c r="R319" i="11"/>
  <c r="Q319" i="11"/>
  <c r="P319" i="11"/>
  <c r="O319" i="11"/>
  <c r="N319" i="11"/>
  <c r="M319" i="11"/>
  <c r="L319" i="11"/>
  <c r="K319" i="11"/>
  <c r="J319" i="11"/>
  <c r="I319" i="11"/>
  <c r="H319" i="11"/>
  <c r="G319" i="11"/>
  <c r="F319" i="11"/>
  <c r="E319" i="11"/>
  <c r="S319" i="11" s="1"/>
  <c r="R318" i="11"/>
  <c r="Q318" i="11"/>
  <c r="P318" i="11"/>
  <c r="O318" i="11"/>
  <c r="N318" i="11"/>
  <c r="M318" i="11"/>
  <c r="L318" i="11"/>
  <c r="K318" i="11"/>
  <c r="J318" i="11"/>
  <c r="I318" i="11"/>
  <c r="H318" i="11"/>
  <c r="G318" i="11"/>
  <c r="F318" i="11"/>
  <c r="E318" i="11"/>
  <c r="S318" i="11" s="1"/>
  <c r="R317" i="11"/>
  <c r="Q317" i="11"/>
  <c r="P317" i="11"/>
  <c r="O317" i="11"/>
  <c r="N317" i="11"/>
  <c r="M317" i="11"/>
  <c r="L317" i="11"/>
  <c r="K317" i="11"/>
  <c r="J317" i="11"/>
  <c r="I317" i="11"/>
  <c r="H317" i="11"/>
  <c r="G317" i="11"/>
  <c r="S317" i="11" s="1"/>
  <c r="F317" i="11"/>
  <c r="E317" i="11"/>
  <c r="R316" i="11"/>
  <c r="Q316" i="11"/>
  <c r="P316" i="11"/>
  <c r="O316" i="11"/>
  <c r="N316" i="11"/>
  <c r="M316" i="11"/>
  <c r="L316" i="11"/>
  <c r="K316" i="11"/>
  <c r="J316" i="11"/>
  <c r="I316" i="11"/>
  <c r="H316" i="11"/>
  <c r="G316" i="11"/>
  <c r="F316" i="11"/>
  <c r="E316" i="11"/>
  <c r="S316" i="11" s="1"/>
  <c r="R315" i="11"/>
  <c r="Q315" i="11"/>
  <c r="P315" i="11"/>
  <c r="O315" i="11"/>
  <c r="N315" i="11"/>
  <c r="M315" i="11"/>
  <c r="L315" i="11"/>
  <c r="K315" i="11"/>
  <c r="J315" i="11"/>
  <c r="I315" i="11"/>
  <c r="H315" i="11"/>
  <c r="G315" i="11"/>
  <c r="F315" i="11"/>
  <c r="E315" i="11"/>
  <c r="S315" i="11" s="1"/>
  <c r="R314" i="11"/>
  <c r="R379" i="11" s="1"/>
  <c r="Q314" i="11"/>
  <c r="Q379" i="11" s="1"/>
  <c r="P314" i="11"/>
  <c r="P379" i="11" s="1"/>
  <c r="O314" i="11"/>
  <c r="O379" i="11" s="1"/>
  <c r="N314" i="11"/>
  <c r="N379" i="11" s="1"/>
  <c r="M314" i="11"/>
  <c r="M379" i="11" s="1"/>
  <c r="L314" i="11"/>
  <c r="L379" i="11" s="1"/>
  <c r="K314" i="11"/>
  <c r="K379" i="11" s="1"/>
  <c r="J314" i="11"/>
  <c r="J379" i="11" s="1"/>
  <c r="I314" i="11"/>
  <c r="I379" i="11" s="1"/>
  <c r="H314" i="11"/>
  <c r="H379" i="11" s="1"/>
  <c r="G314" i="11"/>
  <c r="G379" i="11" s="1"/>
  <c r="F314" i="11"/>
  <c r="F379" i="11" s="1"/>
  <c r="E314" i="11"/>
  <c r="S314" i="11" s="1"/>
  <c r="P312" i="11"/>
  <c r="O312" i="11"/>
  <c r="N312" i="11"/>
  <c r="M312" i="11"/>
  <c r="L312" i="11"/>
  <c r="K312" i="11"/>
  <c r="J312" i="11"/>
  <c r="I312" i="11"/>
  <c r="S312" i="11" s="1"/>
  <c r="H312" i="11"/>
  <c r="G312" i="11"/>
  <c r="R310" i="11"/>
  <c r="Q310" i="11"/>
  <c r="P310" i="11"/>
  <c r="O310" i="11"/>
  <c r="N310" i="11"/>
  <c r="M310" i="11"/>
  <c r="L310" i="11"/>
  <c r="K310" i="11"/>
  <c r="J310" i="11"/>
  <c r="I310" i="11"/>
  <c r="H310" i="11"/>
  <c r="G310" i="11"/>
  <c r="F310" i="11"/>
  <c r="E310" i="11"/>
  <c r="S310" i="11" s="1"/>
  <c r="R309" i="11"/>
  <c r="Q309" i="11"/>
  <c r="P309" i="11"/>
  <c r="O309" i="11"/>
  <c r="N309" i="11"/>
  <c r="M309" i="11"/>
  <c r="L309" i="11"/>
  <c r="K309" i="11"/>
  <c r="J309" i="11"/>
  <c r="I309" i="11"/>
  <c r="H309" i="11"/>
  <c r="G309" i="11"/>
  <c r="F309" i="11"/>
  <c r="E309" i="11"/>
  <c r="S309" i="11" s="1"/>
  <c r="R307" i="11"/>
  <c r="Q307" i="11"/>
  <c r="P307" i="11"/>
  <c r="O307" i="11"/>
  <c r="N307" i="11"/>
  <c r="M307" i="11"/>
  <c r="L307" i="11"/>
  <c r="K307" i="11"/>
  <c r="J307" i="11"/>
  <c r="I307" i="11"/>
  <c r="H307" i="11"/>
  <c r="G307" i="11"/>
  <c r="F307" i="11"/>
  <c r="E307" i="11"/>
  <c r="S307" i="11" s="1"/>
  <c r="R306" i="11"/>
  <c r="Q306" i="11"/>
  <c r="P306" i="11"/>
  <c r="O306" i="11"/>
  <c r="N306" i="11"/>
  <c r="M306" i="11"/>
  <c r="L306" i="11"/>
  <c r="K306" i="11"/>
  <c r="J306" i="11"/>
  <c r="I306" i="11"/>
  <c r="H306" i="11"/>
  <c r="G306" i="11"/>
  <c r="S306" i="11" s="1"/>
  <c r="F306" i="11"/>
  <c r="E306" i="11"/>
  <c r="R304" i="11"/>
  <c r="Q304" i="11"/>
  <c r="P304" i="11"/>
  <c r="O304" i="11"/>
  <c r="N304" i="11"/>
  <c r="M304" i="11"/>
  <c r="L304" i="11"/>
  <c r="K304" i="11"/>
  <c r="J304" i="11"/>
  <c r="I304" i="11"/>
  <c r="H304" i="11"/>
  <c r="G304" i="11"/>
  <c r="F304" i="11"/>
  <c r="E304" i="11"/>
  <c r="S304" i="11" s="1"/>
  <c r="R303" i="11"/>
  <c r="Q303" i="11"/>
  <c r="P303" i="11"/>
  <c r="O303" i="11"/>
  <c r="N303" i="11"/>
  <c r="M303" i="11"/>
  <c r="L303" i="11"/>
  <c r="K303" i="11"/>
  <c r="J303" i="11"/>
  <c r="I303" i="11"/>
  <c r="H303" i="11"/>
  <c r="G303" i="11"/>
  <c r="F303" i="11"/>
  <c r="E303" i="11"/>
  <c r="S303" i="11" s="1"/>
  <c r="R301" i="11"/>
  <c r="Q301" i="11"/>
  <c r="P301" i="11"/>
  <c r="O301" i="11"/>
  <c r="N301" i="11"/>
  <c r="M301" i="11"/>
  <c r="L301" i="11"/>
  <c r="K301" i="11"/>
  <c r="J301" i="11"/>
  <c r="I301" i="11"/>
  <c r="H301" i="11"/>
  <c r="G301" i="11"/>
  <c r="F301" i="11"/>
  <c r="E301" i="11"/>
  <c r="S301" i="11" s="1"/>
  <c r="R299" i="11"/>
  <c r="Q299" i="11"/>
  <c r="P299" i="11"/>
  <c r="O299" i="11"/>
  <c r="N299" i="11"/>
  <c r="M299" i="11"/>
  <c r="L299" i="11"/>
  <c r="K299" i="11"/>
  <c r="J299" i="11"/>
  <c r="I299" i="11"/>
  <c r="H299" i="11"/>
  <c r="G299" i="11"/>
  <c r="S299" i="11" s="1"/>
  <c r="F299" i="11"/>
  <c r="E299" i="11"/>
  <c r="R298" i="11"/>
  <c r="Q298" i="11"/>
  <c r="P298" i="11"/>
  <c r="O298" i="11"/>
  <c r="N298" i="11"/>
  <c r="M298" i="11"/>
  <c r="L298" i="11"/>
  <c r="K298" i="11"/>
  <c r="J298" i="11"/>
  <c r="I298" i="11"/>
  <c r="H298" i="11"/>
  <c r="G298" i="11"/>
  <c r="F298" i="11"/>
  <c r="E298" i="11"/>
  <c r="S298" i="11" s="1"/>
  <c r="R296" i="11"/>
  <c r="Q296" i="11"/>
  <c r="P296" i="11"/>
  <c r="O296" i="11"/>
  <c r="N296" i="11"/>
  <c r="M296" i="11"/>
  <c r="L296" i="11"/>
  <c r="K296" i="11"/>
  <c r="J296" i="11"/>
  <c r="I296" i="11"/>
  <c r="H296" i="11"/>
  <c r="G296" i="11"/>
  <c r="F296" i="11"/>
  <c r="E296" i="11"/>
  <c r="S296" i="11" s="1"/>
  <c r="R295" i="11"/>
  <c r="R313" i="11" s="1"/>
  <c r="Q295" i="11"/>
  <c r="Q313" i="11" s="1"/>
  <c r="P295" i="11"/>
  <c r="P313" i="11" s="1"/>
  <c r="O295" i="11"/>
  <c r="O313" i="11" s="1"/>
  <c r="N295" i="11"/>
  <c r="N313" i="11" s="1"/>
  <c r="M295" i="11"/>
  <c r="M313" i="11" s="1"/>
  <c r="L295" i="11"/>
  <c r="L313" i="11" s="1"/>
  <c r="K295" i="11"/>
  <c r="K313" i="11" s="1"/>
  <c r="J295" i="11"/>
  <c r="J313" i="11" s="1"/>
  <c r="I295" i="11"/>
  <c r="I313" i="11" s="1"/>
  <c r="H295" i="11"/>
  <c r="H313" i="11" s="1"/>
  <c r="G295" i="11"/>
  <c r="G313" i="11" s="1"/>
  <c r="F295" i="11"/>
  <c r="F313" i="11" s="1"/>
  <c r="E295" i="11"/>
  <c r="S295" i="11" s="1"/>
  <c r="S313" i="11" s="1"/>
  <c r="U313" i="11" s="1"/>
  <c r="S293" i="11"/>
  <c r="R291" i="11"/>
  <c r="Q291" i="11"/>
  <c r="P291" i="11"/>
  <c r="O291" i="11"/>
  <c r="N291" i="11"/>
  <c r="M291" i="11"/>
  <c r="L291" i="11"/>
  <c r="K291" i="11"/>
  <c r="J291" i="11"/>
  <c r="I291" i="11"/>
  <c r="H291" i="11"/>
  <c r="G291" i="11"/>
  <c r="F291" i="11"/>
  <c r="E291" i="11"/>
  <c r="S291" i="11" s="1"/>
  <c r="R289" i="11"/>
  <c r="Q289" i="11"/>
  <c r="P289" i="11"/>
  <c r="O289" i="11"/>
  <c r="N289" i="11"/>
  <c r="M289" i="11"/>
  <c r="L289" i="11"/>
  <c r="K289" i="11"/>
  <c r="J289" i="11"/>
  <c r="I289" i="11"/>
  <c r="H289" i="11"/>
  <c r="G289" i="11"/>
  <c r="F289" i="11"/>
  <c r="E289" i="11"/>
  <c r="S289" i="11" s="1"/>
  <c r="R287" i="11"/>
  <c r="Q287" i="11"/>
  <c r="P287" i="11"/>
  <c r="O287" i="11"/>
  <c r="N287" i="11"/>
  <c r="M287" i="11"/>
  <c r="L287" i="11"/>
  <c r="K287" i="11"/>
  <c r="J287" i="11"/>
  <c r="I287" i="11"/>
  <c r="H287" i="11"/>
  <c r="G287" i="11"/>
  <c r="F287" i="11"/>
  <c r="E287" i="11"/>
  <c r="S287" i="11" s="1"/>
  <c r="R285" i="11"/>
  <c r="Q285" i="11"/>
  <c r="P285" i="11"/>
  <c r="O285" i="11"/>
  <c r="N285" i="11"/>
  <c r="M285" i="11"/>
  <c r="L285" i="11"/>
  <c r="K285" i="11"/>
  <c r="J285" i="11"/>
  <c r="I285" i="11"/>
  <c r="H285" i="11"/>
  <c r="G285" i="11"/>
  <c r="F285" i="11"/>
  <c r="E285" i="11"/>
  <c r="S285" i="11" s="1"/>
  <c r="R284" i="11"/>
  <c r="Q284" i="11"/>
  <c r="P284" i="11"/>
  <c r="O284" i="11"/>
  <c r="N284" i="11"/>
  <c r="M284" i="11"/>
  <c r="L284" i="11"/>
  <c r="K284" i="11"/>
  <c r="J284" i="11"/>
  <c r="I284" i="11"/>
  <c r="H284" i="11"/>
  <c r="G284" i="11"/>
  <c r="F284" i="11"/>
  <c r="E284" i="11"/>
  <c r="S284" i="11" s="1"/>
  <c r="R282" i="11"/>
  <c r="Q282" i="11"/>
  <c r="P282" i="11"/>
  <c r="O282" i="11"/>
  <c r="N282" i="11"/>
  <c r="M282" i="11"/>
  <c r="L282" i="11"/>
  <c r="K282" i="11"/>
  <c r="J282" i="11"/>
  <c r="I282" i="11"/>
  <c r="H282" i="11"/>
  <c r="G282" i="11"/>
  <c r="F282" i="11"/>
  <c r="E282" i="11"/>
  <c r="S282" i="11" s="1"/>
  <c r="R281" i="11"/>
  <c r="Q281" i="11"/>
  <c r="P281" i="11"/>
  <c r="O281" i="11"/>
  <c r="N281" i="11"/>
  <c r="M281" i="11"/>
  <c r="L281" i="11"/>
  <c r="K281" i="11"/>
  <c r="J281" i="11"/>
  <c r="I281" i="11"/>
  <c r="H281" i="11"/>
  <c r="G281" i="11"/>
  <c r="F281" i="11"/>
  <c r="E281" i="11"/>
  <c r="S281" i="11" s="1"/>
  <c r="R279" i="11"/>
  <c r="Q279" i="11"/>
  <c r="P279" i="11"/>
  <c r="O279" i="11"/>
  <c r="N279" i="11"/>
  <c r="M279" i="11"/>
  <c r="L279" i="11"/>
  <c r="K279" i="11"/>
  <c r="J279" i="11"/>
  <c r="I279" i="11"/>
  <c r="H279" i="11"/>
  <c r="G279" i="11"/>
  <c r="F279" i="11"/>
  <c r="E279" i="11"/>
  <c r="S279" i="11" s="1"/>
  <c r="R278" i="11"/>
  <c r="Q278" i="11"/>
  <c r="P278" i="11"/>
  <c r="O278" i="11"/>
  <c r="N278" i="11"/>
  <c r="M278" i="11"/>
  <c r="L278" i="11"/>
  <c r="K278" i="11"/>
  <c r="J278" i="11"/>
  <c r="I278" i="11"/>
  <c r="H278" i="11"/>
  <c r="G278" i="11"/>
  <c r="F278" i="11"/>
  <c r="E278" i="11"/>
  <c r="S278" i="11" s="1"/>
  <c r="S276" i="11"/>
  <c r="R275" i="11"/>
  <c r="Q275" i="11"/>
  <c r="P275" i="11"/>
  <c r="O275" i="11"/>
  <c r="N275" i="11"/>
  <c r="M275" i="11"/>
  <c r="L275" i="11"/>
  <c r="K275" i="11"/>
  <c r="J275" i="11"/>
  <c r="I275" i="11"/>
  <c r="H275" i="11"/>
  <c r="G275" i="11"/>
  <c r="F275" i="11"/>
  <c r="E275" i="11"/>
  <c r="S275" i="11" s="1"/>
  <c r="R273" i="11"/>
  <c r="Q273" i="11"/>
  <c r="P273" i="11"/>
  <c r="O273" i="11"/>
  <c r="N273" i="11"/>
  <c r="M273" i="11"/>
  <c r="L273" i="11"/>
  <c r="K273" i="11"/>
  <c r="J273" i="11"/>
  <c r="I273" i="11"/>
  <c r="H273" i="11"/>
  <c r="G273" i="11"/>
  <c r="F273" i="11"/>
  <c r="E273" i="11"/>
  <c r="S273" i="11" s="1"/>
  <c r="R272" i="11"/>
  <c r="Q272" i="11"/>
  <c r="P272" i="11"/>
  <c r="O272" i="11"/>
  <c r="N272" i="11"/>
  <c r="M272" i="11"/>
  <c r="L272" i="11"/>
  <c r="K272" i="11"/>
  <c r="J272" i="11"/>
  <c r="I272" i="11"/>
  <c r="H272" i="11"/>
  <c r="G272" i="11"/>
  <c r="F272" i="11"/>
  <c r="E272" i="11"/>
  <c r="S272" i="11" s="1"/>
  <c r="R270" i="11"/>
  <c r="Q270" i="11"/>
  <c r="P270" i="11"/>
  <c r="O270" i="11"/>
  <c r="N270" i="11"/>
  <c r="M270" i="11"/>
  <c r="L270" i="11"/>
  <c r="K270" i="11"/>
  <c r="J270" i="11"/>
  <c r="I270" i="11"/>
  <c r="H270" i="11"/>
  <c r="G270" i="11"/>
  <c r="F270" i="11"/>
  <c r="E270" i="11"/>
  <c r="S270" i="11" s="1"/>
  <c r="R269" i="11"/>
  <c r="R294" i="11" s="1"/>
  <c r="Q269" i="11"/>
  <c r="Q294" i="11" s="1"/>
  <c r="P269" i="11"/>
  <c r="P294" i="11" s="1"/>
  <c r="O269" i="11"/>
  <c r="O294" i="11" s="1"/>
  <c r="N269" i="11"/>
  <c r="N294" i="11" s="1"/>
  <c r="M269" i="11"/>
  <c r="M294" i="11" s="1"/>
  <c r="L269" i="11"/>
  <c r="L294" i="11" s="1"/>
  <c r="K269" i="11"/>
  <c r="K294" i="11" s="1"/>
  <c r="J269" i="11"/>
  <c r="J294" i="11" s="1"/>
  <c r="I269" i="11"/>
  <c r="I294" i="11" s="1"/>
  <c r="H269" i="11"/>
  <c r="H294" i="11" s="1"/>
  <c r="G269" i="11"/>
  <c r="G294" i="11" s="1"/>
  <c r="F269" i="11"/>
  <c r="F294" i="11" s="1"/>
  <c r="E269" i="11"/>
  <c r="S269" i="11" s="1"/>
  <c r="R266" i="11"/>
  <c r="Q266" i="11"/>
  <c r="P266" i="11"/>
  <c r="O266" i="11"/>
  <c r="N266" i="11"/>
  <c r="M266" i="11"/>
  <c r="L266" i="11"/>
  <c r="K266" i="11"/>
  <c r="J266" i="11"/>
  <c r="I266" i="11"/>
  <c r="H266" i="11"/>
  <c r="G266" i="11"/>
  <c r="F266" i="11"/>
  <c r="E266" i="11"/>
  <c r="S266" i="11" s="1"/>
  <c r="R264" i="11"/>
  <c r="Q264" i="11"/>
  <c r="P264" i="11"/>
  <c r="O264" i="11"/>
  <c r="N264" i="11"/>
  <c r="M264" i="11"/>
  <c r="L264" i="11"/>
  <c r="K264" i="11"/>
  <c r="J264" i="11"/>
  <c r="I264" i="11"/>
  <c r="H264" i="11"/>
  <c r="G264" i="11"/>
  <c r="F264" i="11"/>
  <c r="E264" i="11"/>
  <c r="S264" i="11" s="1"/>
  <c r="S263" i="11"/>
  <c r="R262" i="11"/>
  <c r="Q262" i="11"/>
  <c r="P262" i="11"/>
  <c r="O262" i="11"/>
  <c r="N262" i="11"/>
  <c r="M262" i="11"/>
  <c r="L262" i="11"/>
  <c r="K262" i="11"/>
  <c r="J262" i="11"/>
  <c r="I262" i="11"/>
  <c r="H262" i="11"/>
  <c r="G262" i="11"/>
  <c r="F262" i="11"/>
  <c r="E262" i="11"/>
  <c r="S262" i="11" s="1"/>
  <c r="S261" i="11"/>
  <c r="R260" i="11"/>
  <c r="Q260" i="11"/>
  <c r="P260" i="11"/>
  <c r="O260" i="11"/>
  <c r="N260" i="11"/>
  <c r="M260" i="11"/>
  <c r="L260" i="11"/>
  <c r="K260" i="11"/>
  <c r="J260" i="11"/>
  <c r="I260" i="11"/>
  <c r="H260" i="11"/>
  <c r="G260" i="11"/>
  <c r="F260" i="11"/>
  <c r="E260" i="11"/>
  <c r="S260" i="11" s="1"/>
  <c r="S259" i="11"/>
  <c r="R258" i="11"/>
  <c r="Q258" i="11"/>
  <c r="P258" i="11"/>
  <c r="O258" i="11"/>
  <c r="N258" i="11"/>
  <c r="M258" i="11"/>
  <c r="L258" i="11"/>
  <c r="K258" i="11"/>
  <c r="J258" i="11"/>
  <c r="I258" i="11"/>
  <c r="H258" i="11"/>
  <c r="G258" i="11"/>
  <c r="F258" i="11"/>
  <c r="E258" i="11"/>
  <c r="S258" i="11" s="1"/>
  <c r="S257" i="11"/>
  <c r="Q256" i="11"/>
  <c r="P256" i="11"/>
  <c r="O256" i="11"/>
  <c r="N256" i="11"/>
  <c r="M256" i="11"/>
  <c r="L256" i="11"/>
  <c r="K256" i="11"/>
  <c r="J256" i="11"/>
  <c r="I256" i="11"/>
  <c r="H256" i="11"/>
  <c r="G256" i="11"/>
  <c r="F256" i="11"/>
  <c r="S256" i="11" s="1"/>
  <c r="E256" i="11"/>
  <c r="S255" i="11"/>
  <c r="R254" i="11"/>
  <c r="Q254" i="11"/>
  <c r="P254" i="11"/>
  <c r="O254" i="11"/>
  <c r="N254" i="11"/>
  <c r="M254" i="11"/>
  <c r="L254" i="11"/>
  <c r="K254" i="11"/>
  <c r="J254" i="11"/>
  <c r="I254" i="11"/>
  <c r="H254" i="11"/>
  <c r="G254" i="11"/>
  <c r="S254" i="11" s="1"/>
  <c r="F254" i="11"/>
  <c r="E254" i="11"/>
  <c r="S253" i="11"/>
  <c r="R252" i="11"/>
  <c r="Q252" i="11"/>
  <c r="P252" i="11"/>
  <c r="O252" i="11"/>
  <c r="N252" i="11"/>
  <c r="M252" i="11"/>
  <c r="L252" i="11"/>
  <c r="K252" i="11"/>
  <c r="J252" i="11"/>
  <c r="I252" i="11"/>
  <c r="H252" i="11"/>
  <c r="G252" i="11"/>
  <c r="S252" i="11" s="1"/>
  <c r="F252" i="11"/>
  <c r="E252" i="11"/>
  <c r="R251" i="11"/>
  <c r="Q251" i="11"/>
  <c r="P251" i="11"/>
  <c r="O251" i="11"/>
  <c r="N251" i="11"/>
  <c r="M251" i="11"/>
  <c r="L251" i="11"/>
  <c r="K251" i="11"/>
  <c r="J251" i="11"/>
  <c r="I251" i="11"/>
  <c r="H251" i="11"/>
  <c r="G251" i="11"/>
  <c r="S251" i="11" s="1"/>
  <c r="F251" i="11"/>
  <c r="E251" i="11"/>
  <c r="S250" i="11"/>
  <c r="R249" i="11"/>
  <c r="Q249" i="11"/>
  <c r="P249" i="11"/>
  <c r="O249" i="11"/>
  <c r="O268" i="11" s="1"/>
  <c r="N249" i="11"/>
  <c r="M249" i="11"/>
  <c r="L249" i="11"/>
  <c r="K249" i="11"/>
  <c r="K268" i="11" s="1"/>
  <c r="J249" i="11"/>
  <c r="J268" i="11" s="1"/>
  <c r="I249" i="11"/>
  <c r="I268" i="11" s="1"/>
  <c r="H249" i="11"/>
  <c r="H268" i="11" s="1"/>
  <c r="G249" i="11"/>
  <c r="G268" i="11" s="1"/>
  <c r="F249" i="11"/>
  <c r="F268" i="11" s="1"/>
  <c r="E249" i="11"/>
  <c r="E268" i="11" s="1"/>
  <c r="O248" i="11"/>
  <c r="K248" i="11"/>
  <c r="G248" i="11"/>
  <c r="P247" i="11"/>
  <c r="O247" i="11"/>
  <c r="N247" i="11"/>
  <c r="M247" i="11"/>
  <c r="L247" i="11"/>
  <c r="K247" i="11"/>
  <c r="J247" i="11"/>
  <c r="I247" i="11"/>
  <c r="H247" i="11"/>
  <c r="G247" i="11"/>
  <c r="S247" i="11" s="1"/>
  <c r="S246" i="11"/>
  <c r="R245" i="11"/>
  <c r="Q245" i="11"/>
  <c r="P245" i="11"/>
  <c r="O245" i="11"/>
  <c r="N245" i="11"/>
  <c r="M245" i="11"/>
  <c r="L245" i="11"/>
  <c r="K245" i="11"/>
  <c r="J245" i="11"/>
  <c r="I245" i="11"/>
  <c r="H245" i="11"/>
  <c r="G245" i="11"/>
  <c r="F245" i="11"/>
  <c r="E245" i="11"/>
  <c r="S245" i="11" s="1"/>
  <c r="S244" i="11"/>
  <c r="R243" i="11"/>
  <c r="R248" i="11" s="1"/>
  <c r="Q243" i="11"/>
  <c r="P243" i="11"/>
  <c r="O243" i="11"/>
  <c r="N243" i="11"/>
  <c r="N248" i="11" s="1"/>
  <c r="M243" i="11"/>
  <c r="L243" i="11"/>
  <c r="K243" i="11"/>
  <c r="J243" i="11"/>
  <c r="J248" i="11" s="1"/>
  <c r="I243" i="11"/>
  <c r="H243" i="11"/>
  <c r="G243" i="11"/>
  <c r="F243" i="11"/>
  <c r="F248" i="11" s="1"/>
  <c r="E243" i="11"/>
  <c r="S243" i="11" s="1"/>
  <c r="S242" i="11"/>
  <c r="P241" i="11"/>
  <c r="O241" i="11"/>
  <c r="N241" i="11"/>
  <c r="M241" i="11"/>
  <c r="L241" i="11"/>
  <c r="K241" i="11"/>
  <c r="J241" i="11"/>
  <c r="I241" i="11"/>
  <c r="H241" i="11"/>
  <c r="G241" i="11"/>
  <c r="F241" i="11"/>
  <c r="E241" i="11"/>
  <c r="S241" i="11" s="1"/>
  <c r="S240" i="11"/>
  <c r="R239" i="11"/>
  <c r="Q239" i="11"/>
  <c r="P239" i="11"/>
  <c r="O239" i="11"/>
  <c r="N239" i="11"/>
  <c r="M239" i="11"/>
  <c r="L239" i="11"/>
  <c r="K239" i="11"/>
  <c r="J239" i="11"/>
  <c r="I239" i="11"/>
  <c r="H239" i="11"/>
  <c r="G239" i="11"/>
  <c r="S239" i="11" s="1"/>
  <c r="F239" i="11"/>
  <c r="E239" i="11"/>
  <c r="S238" i="11"/>
  <c r="R237" i="11"/>
  <c r="Q237" i="11"/>
  <c r="Q248" i="11" s="1"/>
  <c r="P237" i="11"/>
  <c r="P248" i="11" s="1"/>
  <c r="O237" i="11"/>
  <c r="N237" i="11"/>
  <c r="M237" i="11"/>
  <c r="M248" i="11" s="1"/>
  <c r="L237" i="11"/>
  <c r="L248" i="11" s="1"/>
  <c r="K237" i="11"/>
  <c r="J237" i="11"/>
  <c r="I237" i="11"/>
  <c r="I248" i="11" s="1"/>
  <c r="H237" i="11"/>
  <c r="H248" i="11" s="1"/>
  <c r="G237" i="11"/>
  <c r="S237" i="11" s="1"/>
  <c r="F237" i="11"/>
  <c r="E237" i="11"/>
  <c r="E248" i="11" s="1"/>
  <c r="P236" i="11"/>
  <c r="L236" i="11"/>
  <c r="H236" i="11"/>
  <c r="P235" i="11"/>
  <c r="O235" i="11"/>
  <c r="N235" i="11"/>
  <c r="M235" i="11"/>
  <c r="L235" i="11"/>
  <c r="K235" i="11"/>
  <c r="J235" i="11"/>
  <c r="I235" i="11"/>
  <c r="S235" i="11" s="1"/>
  <c r="H235" i="11"/>
  <c r="G235" i="11"/>
  <c r="S234" i="11"/>
  <c r="R233" i="11"/>
  <c r="Q233" i="11"/>
  <c r="P233" i="11"/>
  <c r="O233" i="11"/>
  <c r="N233" i="11"/>
  <c r="M233" i="11"/>
  <c r="L233" i="11"/>
  <c r="K233" i="11"/>
  <c r="J233" i="11"/>
  <c r="I233" i="11"/>
  <c r="H233" i="11"/>
  <c r="G233" i="11"/>
  <c r="S233" i="11" s="1"/>
  <c r="F233" i="11"/>
  <c r="E233" i="11"/>
  <c r="S232" i="11"/>
  <c r="R231" i="11"/>
  <c r="Q231" i="11"/>
  <c r="P231" i="11"/>
  <c r="O231" i="11"/>
  <c r="N231" i="11"/>
  <c r="M231" i="11"/>
  <c r="L231" i="11"/>
  <c r="K231" i="11"/>
  <c r="J231" i="11"/>
  <c r="I231" i="11"/>
  <c r="H231" i="11"/>
  <c r="G231" i="11"/>
  <c r="S231" i="11" s="1"/>
  <c r="F231" i="11"/>
  <c r="E231" i="11"/>
  <c r="S230" i="11"/>
  <c r="R229" i="11"/>
  <c r="Q229" i="11"/>
  <c r="P229" i="11"/>
  <c r="O229" i="11"/>
  <c r="N229" i="11"/>
  <c r="M229" i="11"/>
  <c r="L229" i="11"/>
  <c r="K229" i="11"/>
  <c r="J229" i="11"/>
  <c r="I229" i="11"/>
  <c r="H229" i="11"/>
  <c r="G229" i="11"/>
  <c r="S229" i="11" s="1"/>
  <c r="F229" i="11"/>
  <c r="E229" i="11"/>
  <c r="S228" i="11"/>
  <c r="R227" i="11"/>
  <c r="Q227" i="11"/>
  <c r="P227" i="11"/>
  <c r="O227" i="11"/>
  <c r="N227" i="11"/>
  <c r="M227" i="11"/>
  <c r="L227" i="11"/>
  <c r="K227" i="11"/>
  <c r="J227" i="11"/>
  <c r="I227" i="11"/>
  <c r="H227" i="11"/>
  <c r="G227" i="11"/>
  <c r="S227" i="11" s="1"/>
  <c r="F227" i="11"/>
  <c r="E227" i="11"/>
  <c r="S226" i="11"/>
  <c r="R225" i="11"/>
  <c r="R236" i="11" s="1"/>
  <c r="Q225" i="11"/>
  <c r="Q236" i="11" s="1"/>
  <c r="P225" i="11"/>
  <c r="O225" i="11"/>
  <c r="O236" i="11" s="1"/>
  <c r="N225" i="11"/>
  <c r="N236" i="11" s="1"/>
  <c r="M225" i="11"/>
  <c r="M236" i="11" s="1"/>
  <c r="L225" i="11"/>
  <c r="K225" i="11"/>
  <c r="K236" i="11" s="1"/>
  <c r="J225" i="11"/>
  <c r="J236" i="11" s="1"/>
  <c r="I225" i="11"/>
  <c r="I236" i="11" s="1"/>
  <c r="H225" i="11"/>
  <c r="G225" i="11"/>
  <c r="S225" i="11" s="1"/>
  <c r="S236" i="11" s="1"/>
  <c r="U236" i="11" s="1"/>
  <c r="F225" i="11"/>
  <c r="F236" i="11" s="1"/>
  <c r="E225" i="11"/>
  <c r="E236" i="11" s="1"/>
  <c r="P223" i="11"/>
  <c r="O223" i="11"/>
  <c r="N223" i="11"/>
  <c r="M223" i="11"/>
  <c r="L223" i="11"/>
  <c r="K223" i="11"/>
  <c r="J223" i="11"/>
  <c r="I223" i="11"/>
  <c r="H223" i="11"/>
  <c r="G223" i="11"/>
  <c r="S223" i="11" s="1"/>
  <c r="S222" i="11"/>
  <c r="R221" i="11"/>
  <c r="Q221" i="11"/>
  <c r="P221" i="11"/>
  <c r="O221" i="11"/>
  <c r="N221" i="11"/>
  <c r="M221" i="11"/>
  <c r="L221" i="11"/>
  <c r="K221" i="11"/>
  <c r="J221" i="11"/>
  <c r="I221" i="11"/>
  <c r="H221" i="11"/>
  <c r="G221" i="11"/>
  <c r="F221" i="11"/>
  <c r="E221" i="11"/>
  <c r="S221" i="11" s="1"/>
  <c r="S220" i="11"/>
  <c r="R219" i="11"/>
  <c r="Q219" i="11"/>
  <c r="P219" i="11"/>
  <c r="O219" i="11"/>
  <c r="N219" i="11"/>
  <c r="M219" i="11"/>
  <c r="L219" i="11"/>
  <c r="K219" i="11"/>
  <c r="J219" i="11"/>
  <c r="I219" i="11"/>
  <c r="H219" i="11"/>
  <c r="G219" i="11"/>
  <c r="F219" i="11"/>
  <c r="E219" i="11"/>
  <c r="S219" i="11" s="1"/>
  <c r="R218" i="11"/>
  <c r="Q218" i="11"/>
  <c r="P218" i="11"/>
  <c r="O218" i="11"/>
  <c r="N218" i="11"/>
  <c r="M218" i="11"/>
  <c r="L218" i="11"/>
  <c r="K218" i="11"/>
  <c r="J218" i="11"/>
  <c r="I218" i="11"/>
  <c r="H218" i="11"/>
  <c r="G218" i="11"/>
  <c r="F218" i="11"/>
  <c r="E218" i="11"/>
  <c r="S218" i="11" s="1"/>
  <c r="R216" i="11"/>
  <c r="Q216" i="11"/>
  <c r="P216" i="11"/>
  <c r="O216" i="11"/>
  <c r="N216" i="11"/>
  <c r="M216" i="11"/>
  <c r="L216" i="11"/>
  <c r="K216" i="11"/>
  <c r="J216" i="11"/>
  <c r="I216" i="11"/>
  <c r="H216" i="11"/>
  <c r="G216" i="11"/>
  <c r="S216" i="11" s="1"/>
  <c r="F216" i="11"/>
  <c r="E216" i="11"/>
  <c r="R215" i="11"/>
  <c r="Q215" i="11"/>
  <c r="P215" i="11"/>
  <c r="O215" i="11"/>
  <c r="N215" i="11"/>
  <c r="M215" i="11"/>
  <c r="L215" i="11"/>
  <c r="K215" i="11"/>
  <c r="J215" i="11"/>
  <c r="I215" i="11"/>
  <c r="H215" i="11"/>
  <c r="G215" i="11"/>
  <c r="S215" i="11" s="1"/>
  <c r="F215" i="11"/>
  <c r="E215" i="11"/>
  <c r="R213" i="11"/>
  <c r="Q213" i="11"/>
  <c r="P213" i="11"/>
  <c r="O213" i="11"/>
  <c r="N213" i="11"/>
  <c r="M213" i="11"/>
  <c r="L213" i="11"/>
  <c r="K213" i="11"/>
  <c r="J213" i="11"/>
  <c r="I213" i="11"/>
  <c r="H213" i="11"/>
  <c r="G213" i="11"/>
  <c r="F213" i="11"/>
  <c r="E213" i="11"/>
  <c r="S213" i="11" s="1"/>
  <c r="R212" i="11"/>
  <c r="Q212" i="11"/>
  <c r="P212" i="11"/>
  <c r="O212" i="11"/>
  <c r="N212" i="11"/>
  <c r="M212" i="11"/>
  <c r="L212" i="11"/>
  <c r="K212" i="11"/>
  <c r="J212" i="11"/>
  <c r="I212" i="11"/>
  <c r="H212" i="11"/>
  <c r="G212" i="11"/>
  <c r="F212" i="11"/>
  <c r="E212" i="11"/>
  <c r="S212" i="11" s="1"/>
  <c r="R210" i="11"/>
  <c r="Q210" i="11"/>
  <c r="P210" i="11"/>
  <c r="O210" i="11"/>
  <c r="N210" i="11"/>
  <c r="M210" i="11"/>
  <c r="L210" i="11"/>
  <c r="K210" i="11"/>
  <c r="J210" i="11"/>
  <c r="I210" i="11"/>
  <c r="H210" i="11"/>
  <c r="G210" i="11"/>
  <c r="S210" i="11" s="1"/>
  <c r="F210" i="11"/>
  <c r="E210" i="11"/>
  <c r="BC209" i="11"/>
  <c r="BB209" i="11"/>
  <c r="BA209" i="11"/>
  <c r="AZ209" i="11"/>
  <c r="AY209" i="11"/>
  <c r="AX209" i="11"/>
  <c r="AW209" i="11"/>
  <c r="AV209" i="11"/>
  <c r="AU209" i="11"/>
  <c r="AT209" i="11"/>
  <c r="AS209" i="11"/>
  <c r="R209" i="11"/>
  <c r="Q209" i="11"/>
  <c r="P209" i="11"/>
  <c r="O209" i="11"/>
  <c r="N209" i="11"/>
  <c r="M209" i="11"/>
  <c r="L209" i="11"/>
  <c r="K209" i="11"/>
  <c r="J209" i="11"/>
  <c r="I209" i="11"/>
  <c r="H209" i="11"/>
  <c r="G209" i="11"/>
  <c r="F209" i="11"/>
  <c r="E209" i="11"/>
  <c r="S209" i="11" s="1"/>
  <c r="R207" i="11"/>
  <c r="Q207" i="11"/>
  <c r="P207" i="11"/>
  <c r="O207" i="11"/>
  <c r="N207" i="11"/>
  <c r="M207" i="11"/>
  <c r="L207" i="11"/>
  <c r="K207" i="11"/>
  <c r="J207" i="11"/>
  <c r="I207" i="11"/>
  <c r="H207" i="11"/>
  <c r="G207" i="11"/>
  <c r="F207" i="11"/>
  <c r="E207" i="11"/>
  <c r="S207" i="11" s="1"/>
  <c r="R206" i="11"/>
  <c r="Q206" i="11"/>
  <c r="P206" i="11"/>
  <c r="O206" i="11"/>
  <c r="N206" i="11"/>
  <c r="M206" i="11"/>
  <c r="L206" i="11"/>
  <c r="K206" i="11"/>
  <c r="J206" i="11"/>
  <c r="I206" i="11"/>
  <c r="H206" i="11"/>
  <c r="G206" i="11"/>
  <c r="S206" i="11" s="1"/>
  <c r="F206" i="11"/>
  <c r="E206" i="11"/>
  <c r="R204" i="11"/>
  <c r="Q204" i="11"/>
  <c r="P204" i="11"/>
  <c r="O204" i="11"/>
  <c r="N204" i="11"/>
  <c r="M204" i="11"/>
  <c r="L204" i="11"/>
  <c r="K204" i="11"/>
  <c r="J204" i="11"/>
  <c r="I204" i="11"/>
  <c r="H204" i="11"/>
  <c r="G204" i="11"/>
  <c r="S204" i="11" s="1"/>
  <c r="F204" i="11"/>
  <c r="E204" i="11"/>
  <c r="R203" i="11"/>
  <c r="Q203" i="11"/>
  <c r="P203" i="11"/>
  <c r="O203" i="11"/>
  <c r="N203" i="11"/>
  <c r="M203" i="11"/>
  <c r="L203" i="11"/>
  <c r="K203" i="11"/>
  <c r="J203" i="11"/>
  <c r="I203" i="11"/>
  <c r="H203" i="11"/>
  <c r="G203" i="11"/>
  <c r="F203" i="11"/>
  <c r="E203" i="11"/>
  <c r="S203" i="11" s="1"/>
  <c r="R201" i="11"/>
  <c r="Q201" i="11"/>
  <c r="P201" i="11"/>
  <c r="O201" i="11"/>
  <c r="N201" i="11"/>
  <c r="M201" i="11"/>
  <c r="L201" i="11"/>
  <c r="K201" i="11"/>
  <c r="J201" i="11"/>
  <c r="I201" i="11"/>
  <c r="H201" i="11"/>
  <c r="G201" i="11"/>
  <c r="F201" i="11"/>
  <c r="E201" i="11"/>
  <c r="S201" i="11" s="1"/>
  <c r="R200" i="11"/>
  <c r="Q200" i="11"/>
  <c r="P200" i="11"/>
  <c r="O200" i="11"/>
  <c r="N200" i="11"/>
  <c r="M200" i="11"/>
  <c r="L200" i="11"/>
  <c r="K200" i="11"/>
  <c r="J200" i="11"/>
  <c r="I200" i="11"/>
  <c r="H200" i="11"/>
  <c r="G200" i="11"/>
  <c r="S200" i="11" s="1"/>
  <c r="F200" i="11"/>
  <c r="E200" i="11"/>
  <c r="R198" i="11"/>
  <c r="Q198" i="11"/>
  <c r="P198" i="11"/>
  <c r="O198" i="11"/>
  <c r="O224" i="11" s="1"/>
  <c r="N198" i="11"/>
  <c r="M198" i="11"/>
  <c r="L198" i="11"/>
  <c r="K198" i="11"/>
  <c r="K224" i="11" s="1"/>
  <c r="J198" i="11"/>
  <c r="I198" i="11"/>
  <c r="H198" i="11"/>
  <c r="G198" i="11"/>
  <c r="G224" i="11" s="1"/>
  <c r="F198" i="11"/>
  <c r="E198" i="11"/>
  <c r="R197" i="11"/>
  <c r="R224" i="11" s="1"/>
  <c r="Q197" i="11"/>
  <c r="Q224" i="11" s="1"/>
  <c r="P197" i="11"/>
  <c r="P224" i="11" s="1"/>
  <c r="O197" i="11"/>
  <c r="N197" i="11"/>
  <c r="N224" i="11" s="1"/>
  <c r="M197" i="11"/>
  <c r="M224" i="11" s="1"/>
  <c r="L197" i="11"/>
  <c r="L224" i="11" s="1"/>
  <c r="K197" i="11"/>
  <c r="J197" i="11"/>
  <c r="J224" i="11" s="1"/>
  <c r="I197" i="11"/>
  <c r="I224" i="11" s="1"/>
  <c r="H197" i="11"/>
  <c r="H224" i="11" s="1"/>
  <c r="G197" i="11"/>
  <c r="F197" i="11"/>
  <c r="F224" i="11" s="1"/>
  <c r="E197" i="11"/>
  <c r="S197" i="11" s="1"/>
  <c r="P195" i="11"/>
  <c r="O195" i="11"/>
  <c r="N195" i="11"/>
  <c r="M195" i="11"/>
  <c r="L195" i="11"/>
  <c r="K195" i="11"/>
  <c r="J195" i="11"/>
  <c r="I195" i="11"/>
  <c r="H195" i="11"/>
  <c r="G195" i="11"/>
  <c r="S195" i="11" s="1"/>
  <c r="S194" i="11"/>
  <c r="Q193" i="11"/>
  <c r="P193" i="11"/>
  <c r="O193" i="11"/>
  <c r="N193" i="11"/>
  <c r="M193" i="11"/>
  <c r="L193" i="11"/>
  <c r="K193" i="11"/>
  <c r="J193" i="11"/>
  <c r="I193" i="11"/>
  <c r="H193" i="11"/>
  <c r="G193" i="11"/>
  <c r="F193" i="11"/>
  <c r="E193" i="11"/>
  <c r="S193" i="11" s="1"/>
  <c r="S192" i="11"/>
  <c r="R191" i="11"/>
  <c r="Q191" i="11"/>
  <c r="P191" i="11"/>
  <c r="O191" i="11"/>
  <c r="N191" i="11"/>
  <c r="M191" i="11"/>
  <c r="L191" i="11"/>
  <c r="K191" i="11"/>
  <c r="J191" i="11"/>
  <c r="I191" i="11"/>
  <c r="H191" i="11"/>
  <c r="G191" i="11"/>
  <c r="S191" i="11" s="1"/>
  <c r="F191" i="11"/>
  <c r="E191" i="11"/>
  <c r="R189" i="11"/>
  <c r="Q189" i="11"/>
  <c r="P189" i="11"/>
  <c r="O189" i="11"/>
  <c r="N189" i="11"/>
  <c r="M189" i="11"/>
  <c r="L189" i="11"/>
  <c r="K189" i="11"/>
  <c r="J189" i="11"/>
  <c r="I189" i="11"/>
  <c r="H189" i="11"/>
  <c r="G189" i="11"/>
  <c r="S189" i="11" s="1"/>
  <c r="F189" i="11"/>
  <c r="E189" i="11"/>
  <c r="R187" i="11"/>
  <c r="Q187" i="11"/>
  <c r="P187" i="11"/>
  <c r="O187" i="11"/>
  <c r="N187" i="11"/>
  <c r="M187" i="11"/>
  <c r="L187" i="11"/>
  <c r="K187" i="11"/>
  <c r="J187" i="11"/>
  <c r="I187" i="11"/>
  <c r="H187" i="11"/>
  <c r="G187" i="11"/>
  <c r="F187" i="11"/>
  <c r="E187" i="11"/>
  <c r="S187" i="11" s="1"/>
  <c r="R185" i="11"/>
  <c r="Q185" i="11"/>
  <c r="P185" i="11"/>
  <c r="O185" i="11"/>
  <c r="N185" i="11"/>
  <c r="M185" i="11"/>
  <c r="L185" i="11"/>
  <c r="K185" i="11"/>
  <c r="J185" i="11"/>
  <c r="I185" i="11"/>
  <c r="H185" i="11"/>
  <c r="G185" i="11"/>
  <c r="F185" i="11"/>
  <c r="E185" i="11"/>
  <c r="R183" i="11"/>
  <c r="Q183" i="11"/>
  <c r="P183" i="11"/>
  <c r="O183" i="11"/>
  <c r="N183" i="11"/>
  <c r="M183" i="11"/>
  <c r="L183" i="11"/>
  <c r="K183" i="11"/>
  <c r="J183" i="11"/>
  <c r="I183" i="11"/>
  <c r="H183" i="11"/>
  <c r="G183" i="11"/>
  <c r="F183" i="11"/>
  <c r="E183" i="11"/>
  <c r="R181" i="11"/>
  <c r="Q181" i="11"/>
  <c r="P181" i="11"/>
  <c r="O181" i="11"/>
  <c r="N181" i="11"/>
  <c r="M181" i="11"/>
  <c r="L181" i="11"/>
  <c r="K181" i="11"/>
  <c r="J181" i="11"/>
  <c r="I181" i="11"/>
  <c r="H181" i="11"/>
  <c r="G181" i="11"/>
  <c r="F181" i="11"/>
  <c r="E181" i="11"/>
  <c r="O179" i="11"/>
  <c r="N179" i="11"/>
  <c r="M179" i="11"/>
  <c r="L179" i="11"/>
  <c r="K179" i="11"/>
  <c r="J179" i="11"/>
  <c r="I179" i="11"/>
  <c r="H179" i="11"/>
  <c r="G179" i="11"/>
  <c r="S179" i="11" s="1"/>
  <c r="S178" i="11"/>
  <c r="R177" i="11"/>
  <c r="Q177" i="11"/>
  <c r="P177" i="11"/>
  <c r="O177" i="11"/>
  <c r="N177" i="11"/>
  <c r="M177" i="11"/>
  <c r="L177" i="11"/>
  <c r="K177" i="11"/>
  <c r="J177" i="11"/>
  <c r="I177" i="11"/>
  <c r="H177" i="11"/>
  <c r="G177" i="11"/>
  <c r="F177" i="11"/>
  <c r="E177" i="11"/>
  <c r="S177" i="11" s="1"/>
  <c r="S176" i="11"/>
  <c r="R175" i="11"/>
  <c r="Q175" i="11"/>
  <c r="P175" i="11"/>
  <c r="O175" i="11"/>
  <c r="N175" i="11"/>
  <c r="M175" i="11"/>
  <c r="L175" i="11"/>
  <c r="K175" i="11"/>
  <c r="J175" i="11"/>
  <c r="I175" i="11"/>
  <c r="H175" i="11"/>
  <c r="G175" i="11"/>
  <c r="F175" i="11"/>
  <c r="E175" i="11"/>
  <c r="S175" i="11" s="1"/>
  <c r="R174" i="11"/>
  <c r="Q174" i="11"/>
  <c r="P174" i="11"/>
  <c r="O174" i="11"/>
  <c r="N174" i="11"/>
  <c r="M174" i="11"/>
  <c r="L174" i="11"/>
  <c r="K174" i="11"/>
  <c r="J174" i="11"/>
  <c r="I174" i="11"/>
  <c r="H174" i="11"/>
  <c r="G174" i="11"/>
  <c r="S174" i="11" s="1"/>
  <c r="F174" i="11"/>
  <c r="E174" i="11"/>
  <c r="S173" i="11"/>
  <c r="R172" i="11"/>
  <c r="Q172" i="11"/>
  <c r="P172" i="11"/>
  <c r="O172" i="11"/>
  <c r="N172" i="11"/>
  <c r="M172" i="11"/>
  <c r="L172" i="11"/>
  <c r="K172" i="11"/>
  <c r="J172" i="11"/>
  <c r="I172" i="11"/>
  <c r="H172" i="11"/>
  <c r="G172" i="11"/>
  <c r="S172" i="11" s="1"/>
  <c r="F172" i="11"/>
  <c r="E172" i="11"/>
  <c r="S171" i="11"/>
  <c r="R170" i="11"/>
  <c r="Q170" i="11"/>
  <c r="P170" i="11"/>
  <c r="O170" i="11"/>
  <c r="N170" i="11"/>
  <c r="M170" i="11"/>
  <c r="L170" i="11"/>
  <c r="K170" i="11"/>
  <c r="J170" i="11"/>
  <c r="I170" i="11"/>
  <c r="H170" i="11"/>
  <c r="G170" i="11"/>
  <c r="S170" i="11" s="1"/>
  <c r="F170" i="11"/>
  <c r="E170" i="11"/>
  <c r="S169" i="11"/>
  <c r="R168" i="11"/>
  <c r="Q168" i="11"/>
  <c r="P168" i="11"/>
  <c r="O168" i="11"/>
  <c r="N168" i="11"/>
  <c r="M168" i="11"/>
  <c r="L168" i="11"/>
  <c r="K168" i="11"/>
  <c r="J168" i="11"/>
  <c r="I168" i="11"/>
  <c r="H168" i="11"/>
  <c r="G168" i="11"/>
  <c r="S168" i="11" s="1"/>
  <c r="F168" i="11"/>
  <c r="E168" i="11"/>
  <c r="R167" i="11"/>
  <c r="Q167" i="11"/>
  <c r="P167" i="11"/>
  <c r="O167" i="11"/>
  <c r="N167" i="11"/>
  <c r="M167" i="11"/>
  <c r="L167" i="11"/>
  <c r="K167" i="11"/>
  <c r="J167" i="11"/>
  <c r="I167" i="11"/>
  <c r="H167" i="11"/>
  <c r="G167" i="11"/>
  <c r="S167" i="11" s="1"/>
  <c r="F167" i="11"/>
  <c r="E167" i="11"/>
  <c r="S166" i="11"/>
  <c r="R165" i="11"/>
  <c r="Q165" i="11"/>
  <c r="P165" i="11"/>
  <c r="O165" i="11"/>
  <c r="N165" i="11"/>
  <c r="M165" i="11"/>
  <c r="L165" i="11"/>
  <c r="K165" i="11"/>
  <c r="J165" i="11"/>
  <c r="I165" i="11"/>
  <c r="H165" i="11"/>
  <c r="G165" i="11"/>
  <c r="S165" i="11" s="1"/>
  <c r="F165" i="11"/>
  <c r="E165" i="11"/>
  <c r="S164" i="11"/>
  <c r="R163" i="11"/>
  <c r="Q163" i="11"/>
  <c r="P163" i="11"/>
  <c r="O163" i="11"/>
  <c r="N163" i="11"/>
  <c r="M163" i="11"/>
  <c r="L163" i="11"/>
  <c r="K163" i="11"/>
  <c r="J163" i="11"/>
  <c r="I163" i="11"/>
  <c r="H163" i="11"/>
  <c r="G163" i="11"/>
  <c r="S163" i="11" s="1"/>
  <c r="F163" i="11"/>
  <c r="E163" i="11"/>
  <c r="S162" i="11"/>
  <c r="R161" i="11"/>
  <c r="Q161" i="11"/>
  <c r="P161" i="11"/>
  <c r="O161" i="11"/>
  <c r="O180" i="11" s="1"/>
  <c r="N161" i="11"/>
  <c r="M161" i="11"/>
  <c r="L161" i="11"/>
  <c r="K161" i="11"/>
  <c r="K180" i="11" s="1"/>
  <c r="J161" i="11"/>
  <c r="I161" i="11"/>
  <c r="H161" i="11"/>
  <c r="G161" i="11"/>
  <c r="G180" i="11" s="1"/>
  <c r="F161" i="11"/>
  <c r="E161" i="11"/>
  <c r="R160" i="11"/>
  <c r="R180" i="11" s="1"/>
  <c r="Q160" i="11"/>
  <c r="P160" i="11"/>
  <c r="O160" i="11"/>
  <c r="N160" i="11"/>
  <c r="N180" i="11" s="1"/>
  <c r="M160" i="11"/>
  <c r="L160" i="11"/>
  <c r="K160" i="11"/>
  <c r="J160" i="11"/>
  <c r="J180" i="11" s="1"/>
  <c r="I160" i="11"/>
  <c r="H160" i="11"/>
  <c r="G160" i="11"/>
  <c r="F160" i="11"/>
  <c r="F180" i="11" s="1"/>
  <c r="E160" i="11"/>
  <c r="S160" i="11" s="1"/>
  <c r="R159" i="11"/>
  <c r="Q159" i="11"/>
  <c r="Q180" i="11" s="1"/>
  <c r="P159" i="11"/>
  <c r="P180" i="11" s="1"/>
  <c r="O159" i="11"/>
  <c r="N159" i="11"/>
  <c r="M159" i="11"/>
  <c r="M180" i="11" s="1"/>
  <c r="L159" i="11"/>
  <c r="L180" i="11" s="1"/>
  <c r="K159" i="11"/>
  <c r="J159" i="11"/>
  <c r="I159" i="11"/>
  <c r="I180" i="11" s="1"/>
  <c r="H159" i="11"/>
  <c r="H180" i="11" s="1"/>
  <c r="G159" i="11"/>
  <c r="F159" i="11"/>
  <c r="E159" i="11"/>
  <c r="E180" i="11" s="1"/>
  <c r="P157" i="11"/>
  <c r="O157" i="11"/>
  <c r="N157" i="11"/>
  <c r="M157" i="11"/>
  <c r="L157" i="11"/>
  <c r="K157" i="11"/>
  <c r="J157" i="11"/>
  <c r="I157" i="11"/>
  <c r="S157" i="11" s="1"/>
  <c r="H157" i="11"/>
  <c r="G157" i="11"/>
  <c r="S156" i="11"/>
  <c r="R155" i="11"/>
  <c r="Q155" i="11"/>
  <c r="P155" i="11"/>
  <c r="O155" i="11"/>
  <c r="N155" i="11"/>
  <c r="M155" i="11"/>
  <c r="L155" i="11"/>
  <c r="K155" i="11"/>
  <c r="J155" i="11"/>
  <c r="I155" i="11"/>
  <c r="H155" i="11"/>
  <c r="G155" i="11"/>
  <c r="S155" i="11" s="1"/>
  <c r="F155" i="11"/>
  <c r="E155" i="11"/>
  <c r="R154" i="11"/>
  <c r="Q154" i="11"/>
  <c r="P154" i="11"/>
  <c r="O154" i="11"/>
  <c r="N154" i="11"/>
  <c r="M154" i="11"/>
  <c r="L154" i="11"/>
  <c r="K154" i="11"/>
  <c r="J154" i="11"/>
  <c r="I154" i="11"/>
  <c r="H154" i="11"/>
  <c r="G154" i="11"/>
  <c r="S154" i="11" s="1"/>
  <c r="F154" i="11"/>
  <c r="E154" i="11"/>
  <c r="R152" i="11"/>
  <c r="Q152" i="11"/>
  <c r="P152" i="11"/>
  <c r="O152" i="11"/>
  <c r="N152" i="11"/>
  <c r="M152" i="11"/>
  <c r="L152" i="11"/>
  <c r="K152" i="11"/>
  <c r="J152" i="11"/>
  <c r="I152" i="11"/>
  <c r="H152" i="11"/>
  <c r="G152" i="11"/>
  <c r="F152" i="11"/>
  <c r="E152" i="11"/>
  <c r="S152" i="11" s="1"/>
  <c r="R150" i="11"/>
  <c r="Q150" i="11"/>
  <c r="P150" i="11"/>
  <c r="O150" i="11"/>
  <c r="N150" i="11"/>
  <c r="M150" i="11"/>
  <c r="L150" i="11"/>
  <c r="K150" i="11"/>
  <c r="J150" i="11"/>
  <c r="I150" i="11"/>
  <c r="H150" i="11"/>
  <c r="G150" i="11"/>
  <c r="F150" i="11"/>
  <c r="E150" i="11"/>
  <c r="S150" i="11" s="1"/>
  <c r="R149" i="11"/>
  <c r="Q149" i="11"/>
  <c r="P149" i="11"/>
  <c r="O149" i="11"/>
  <c r="N149" i="11"/>
  <c r="M149" i="11"/>
  <c r="L149" i="11"/>
  <c r="K149" i="11"/>
  <c r="J149" i="11"/>
  <c r="I149" i="11"/>
  <c r="H149" i="11"/>
  <c r="G149" i="11"/>
  <c r="S149" i="11" s="1"/>
  <c r="F149" i="11"/>
  <c r="E149" i="11"/>
  <c r="R147" i="11"/>
  <c r="Q147" i="11"/>
  <c r="P147" i="11"/>
  <c r="O147" i="11"/>
  <c r="N147" i="11"/>
  <c r="M147" i="11"/>
  <c r="L147" i="11"/>
  <c r="K147" i="11"/>
  <c r="J147" i="11"/>
  <c r="I147" i="11"/>
  <c r="H147" i="11"/>
  <c r="G147" i="11"/>
  <c r="S147" i="11" s="1"/>
  <c r="F147" i="11"/>
  <c r="E147" i="11"/>
  <c r="R146" i="11"/>
  <c r="Q146" i="11"/>
  <c r="P146" i="11"/>
  <c r="O146" i="11"/>
  <c r="N146" i="11"/>
  <c r="M146" i="11"/>
  <c r="L146" i="11"/>
  <c r="K146" i="11"/>
  <c r="J146" i="11"/>
  <c r="I146" i="11"/>
  <c r="H146" i="11"/>
  <c r="G146" i="11"/>
  <c r="F146" i="11"/>
  <c r="E146" i="11"/>
  <c r="S146" i="11" s="1"/>
  <c r="R144" i="11"/>
  <c r="Q144" i="11"/>
  <c r="P144" i="11"/>
  <c r="O144" i="11"/>
  <c r="N144" i="11"/>
  <c r="M144" i="11"/>
  <c r="L144" i="11"/>
  <c r="K144" i="11"/>
  <c r="J144" i="11"/>
  <c r="I144" i="11"/>
  <c r="H144" i="11"/>
  <c r="G144" i="11"/>
  <c r="F144" i="11"/>
  <c r="E144" i="11"/>
  <c r="S144" i="11" s="1"/>
  <c r="R143" i="11"/>
  <c r="Q143" i="11"/>
  <c r="P143" i="11"/>
  <c r="O143" i="11"/>
  <c r="N143" i="11"/>
  <c r="M143" i="11"/>
  <c r="L143" i="11"/>
  <c r="K143" i="11"/>
  <c r="J143" i="11"/>
  <c r="I143" i="11"/>
  <c r="H143" i="11"/>
  <c r="G143" i="11"/>
  <c r="S143" i="11" s="1"/>
  <c r="F143" i="11"/>
  <c r="E143" i="11"/>
  <c r="R141" i="11"/>
  <c r="Q141" i="11"/>
  <c r="P141" i="11"/>
  <c r="O141" i="11"/>
  <c r="N141" i="11"/>
  <c r="M141" i="11"/>
  <c r="L141" i="11"/>
  <c r="K141" i="11"/>
  <c r="J141" i="11"/>
  <c r="I141" i="11"/>
  <c r="H141" i="11"/>
  <c r="G141" i="11"/>
  <c r="S141" i="11" s="1"/>
  <c r="F141" i="11"/>
  <c r="E141" i="11"/>
  <c r="R140" i="11"/>
  <c r="Q140" i="11"/>
  <c r="P140" i="11"/>
  <c r="O140" i="11"/>
  <c r="N140" i="11"/>
  <c r="M140" i="11"/>
  <c r="L140" i="11"/>
  <c r="K140" i="11"/>
  <c r="J140" i="11"/>
  <c r="I140" i="11"/>
  <c r="H140" i="11"/>
  <c r="G140" i="11"/>
  <c r="F140" i="11"/>
  <c r="E140" i="11"/>
  <c r="S140" i="11" s="1"/>
  <c r="R138" i="11"/>
  <c r="Q138" i="11"/>
  <c r="P138" i="11"/>
  <c r="O138" i="11"/>
  <c r="N138" i="11"/>
  <c r="M138" i="11"/>
  <c r="L138" i="11"/>
  <c r="K138" i="11"/>
  <c r="J138" i="11"/>
  <c r="I138" i="11"/>
  <c r="H138" i="11"/>
  <c r="G138" i="11"/>
  <c r="F138" i="11"/>
  <c r="E138" i="11"/>
  <c r="S138" i="11" s="1"/>
  <c r="R137" i="11"/>
  <c r="Q137" i="11"/>
  <c r="P137" i="11"/>
  <c r="P158" i="11" s="1"/>
  <c r="O137" i="11"/>
  <c r="N137" i="11"/>
  <c r="M137" i="11"/>
  <c r="L137" i="11"/>
  <c r="L158" i="11" s="1"/>
  <c r="K137" i="11"/>
  <c r="J137" i="11"/>
  <c r="I137" i="11"/>
  <c r="H137" i="11"/>
  <c r="H158" i="11" s="1"/>
  <c r="G137" i="11"/>
  <c r="S137" i="11" s="1"/>
  <c r="F137" i="11"/>
  <c r="E137" i="11"/>
  <c r="R135" i="11"/>
  <c r="Q135" i="11"/>
  <c r="P135" i="11"/>
  <c r="O135" i="11"/>
  <c r="N135" i="11"/>
  <c r="M135" i="11"/>
  <c r="L135" i="11"/>
  <c r="K135" i="11"/>
  <c r="J135" i="11"/>
  <c r="I135" i="11"/>
  <c r="H135" i="11"/>
  <c r="G135" i="11"/>
  <c r="S135" i="11" s="1"/>
  <c r="F135" i="11"/>
  <c r="E135" i="11"/>
  <c r="R134" i="11"/>
  <c r="R158" i="11" s="1"/>
  <c r="Q134" i="11"/>
  <c r="Q158" i="11" s="1"/>
  <c r="P134" i="11"/>
  <c r="O134" i="11"/>
  <c r="O158" i="11" s="1"/>
  <c r="N134" i="11"/>
  <c r="N158" i="11" s="1"/>
  <c r="M134" i="11"/>
  <c r="M158" i="11" s="1"/>
  <c r="L134" i="11"/>
  <c r="K134" i="11"/>
  <c r="K158" i="11" s="1"/>
  <c r="J134" i="11"/>
  <c r="J158" i="11" s="1"/>
  <c r="I134" i="11"/>
  <c r="I158" i="11" s="1"/>
  <c r="H134" i="11"/>
  <c r="G134" i="11"/>
  <c r="G158" i="11" s="1"/>
  <c r="F134" i="11"/>
  <c r="F158" i="11" s="1"/>
  <c r="E134" i="11"/>
  <c r="S134" i="11" s="1"/>
  <c r="R133" i="11"/>
  <c r="N133" i="11"/>
  <c r="J133" i="11"/>
  <c r="F133" i="11"/>
  <c r="P132" i="11"/>
  <c r="O132" i="11"/>
  <c r="N132" i="11"/>
  <c r="M132" i="11"/>
  <c r="L132" i="11"/>
  <c r="K132" i="11"/>
  <c r="J132" i="11"/>
  <c r="I132" i="11"/>
  <c r="H132" i="11"/>
  <c r="G132" i="11"/>
  <c r="S132" i="11" s="1"/>
  <c r="S131" i="11"/>
  <c r="R130" i="11"/>
  <c r="Q130" i="11"/>
  <c r="P130" i="11"/>
  <c r="O130" i="11"/>
  <c r="N130" i="11"/>
  <c r="M130" i="11"/>
  <c r="L130" i="11"/>
  <c r="K130" i="11"/>
  <c r="J130" i="11"/>
  <c r="I130" i="11"/>
  <c r="H130" i="11"/>
  <c r="G130" i="11"/>
  <c r="F130" i="11"/>
  <c r="E130" i="11"/>
  <c r="S130" i="11" s="1"/>
  <c r="S129" i="11"/>
  <c r="R128" i="11"/>
  <c r="Q128" i="11"/>
  <c r="P128" i="11"/>
  <c r="O128" i="11"/>
  <c r="N128" i="11"/>
  <c r="M128" i="11"/>
  <c r="L128" i="11"/>
  <c r="K128" i="11"/>
  <c r="J128" i="11"/>
  <c r="I128" i="11"/>
  <c r="H128" i="11"/>
  <c r="G128" i="11"/>
  <c r="F128" i="11"/>
  <c r="E128" i="11"/>
  <c r="S128" i="11" s="1"/>
  <c r="S127" i="11"/>
  <c r="R126" i="11"/>
  <c r="Q126" i="11"/>
  <c r="P126" i="11"/>
  <c r="O126" i="11"/>
  <c r="N126" i="11"/>
  <c r="M126" i="11"/>
  <c r="L126" i="11"/>
  <c r="K126" i="11"/>
  <c r="J126" i="11"/>
  <c r="I126" i="11"/>
  <c r="H126" i="11"/>
  <c r="G126" i="11"/>
  <c r="F126" i="11"/>
  <c r="E126" i="11"/>
  <c r="S126" i="11" s="1"/>
  <c r="S125" i="11"/>
  <c r="R124" i="11"/>
  <c r="Q124" i="11"/>
  <c r="P124" i="11"/>
  <c r="O124" i="11"/>
  <c r="N124" i="11"/>
  <c r="M124" i="11"/>
  <c r="L124" i="11"/>
  <c r="K124" i="11"/>
  <c r="J124" i="11"/>
  <c r="I124" i="11"/>
  <c r="H124" i="11"/>
  <c r="G124" i="11"/>
  <c r="F124" i="11"/>
  <c r="E124" i="11"/>
  <c r="S124" i="11" s="1"/>
  <c r="S123" i="11"/>
  <c r="R122" i="11"/>
  <c r="Q122" i="11"/>
  <c r="P122" i="11"/>
  <c r="O122" i="11"/>
  <c r="N122" i="11"/>
  <c r="M122" i="11"/>
  <c r="L122" i="11"/>
  <c r="K122" i="11"/>
  <c r="J122" i="11"/>
  <c r="I122" i="11"/>
  <c r="H122" i="11"/>
  <c r="G122" i="11"/>
  <c r="F122" i="11"/>
  <c r="E122" i="11"/>
  <c r="S122" i="11" s="1"/>
  <c r="S121" i="11"/>
  <c r="R120" i="11"/>
  <c r="Q120" i="11"/>
  <c r="P120" i="11"/>
  <c r="O120" i="11"/>
  <c r="N120" i="11"/>
  <c r="M120" i="11"/>
  <c r="L120" i="11"/>
  <c r="K120" i="11"/>
  <c r="J120" i="11"/>
  <c r="I120" i="11"/>
  <c r="H120" i="11"/>
  <c r="G120" i="11"/>
  <c r="F120" i="11"/>
  <c r="E120" i="11"/>
  <c r="S120" i="11" s="1"/>
  <c r="S119" i="11"/>
  <c r="R118" i="11"/>
  <c r="Q118" i="11"/>
  <c r="P118" i="11"/>
  <c r="O118" i="11"/>
  <c r="N118" i="11"/>
  <c r="M118" i="11"/>
  <c r="L118" i="11"/>
  <c r="K118" i="11"/>
  <c r="J118" i="11"/>
  <c r="I118" i="11"/>
  <c r="H118" i="11"/>
  <c r="G118" i="11"/>
  <c r="F118" i="11"/>
  <c r="E118" i="11"/>
  <c r="S118" i="11" s="1"/>
  <c r="S117" i="11"/>
  <c r="R116" i="11"/>
  <c r="Q116" i="11"/>
  <c r="Q133" i="11" s="1"/>
  <c r="P116" i="11"/>
  <c r="P133" i="11" s="1"/>
  <c r="O116" i="11"/>
  <c r="O133" i="11" s="1"/>
  <c r="N116" i="11"/>
  <c r="M116" i="11"/>
  <c r="M133" i="11" s="1"/>
  <c r="L116" i="11"/>
  <c r="L133" i="11" s="1"/>
  <c r="K116" i="11"/>
  <c r="K133" i="11" s="1"/>
  <c r="J116" i="11"/>
  <c r="I116" i="11"/>
  <c r="I133" i="11" s="1"/>
  <c r="H116" i="11"/>
  <c r="H133" i="11" s="1"/>
  <c r="G116" i="11"/>
  <c r="G133" i="11" s="1"/>
  <c r="F116" i="11"/>
  <c r="E116" i="11"/>
  <c r="E133" i="11" s="1"/>
  <c r="R114" i="11"/>
  <c r="Q114" i="11"/>
  <c r="P114" i="11"/>
  <c r="O114" i="11"/>
  <c r="N114" i="11"/>
  <c r="M114" i="11"/>
  <c r="L114" i="11"/>
  <c r="K114" i="11"/>
  <c r="J114" i="11"/>
  <c r="I114" i="11"/>
  <c r="H114" i="11"/>
  <c r="G114" i="11"/>
  <c r="S114" i="11" s="1"/>
  <c r="R112" i="11"/>
  <c r="Q112" i="11"/>
  <c r="P112" i="11"/>
  <c r="O112" i="11"/>
  <c r="N112" i="11"/>
  <c r="M112" i="11"/>
  <c r="L112" i="11"/>
  <c r="K112" i="11"/>
  <c r="J112" i="11"/>
  <c r="I112" i="11"/>
  <c r="H112" i="11"/>
  <c r="G112" i="11"/>
  <c r="F112" i="11"/>
  <c r="E112" i="11"/>
  <c r="S112" i="11" s="1"/>
  <c r="R111" i="11"/>
  <c r="Q111" i="11"/>
  <c r="P111" i="11"/>
  <c r="O111" i="11"/>
  <c r="N111" i="11"/>
  <c r="M111" i="11"/>
  <c r="L111" i="11"/>
  <c r="K111" i="11"/>
  <c r="J111" i="11"/>
  <c r="I111" i="11"/>
  <c r="H111" i="11"/>
  <c r="G111" i="11"/>
  <c r="S111" i="11" s="1"/>
  <c r="F111" i="11"/>
  <c r="E111" i="11"/>
  <c r="S110" i="11"/>
  <c r="R109" i="11"/>
  <c r="Q109" i="11"/>
  <c r="P109" i="11"/>
  <c r="O109" i="11"/>
  <c r="N109" i="11"/>
  <c r="M109" i="11"/>
  <c r="L109" i="11"/>
  <c r="K109" i="11"/>
  <c r="J109" i="11"/>
  <c r="I109" i="11"/>
  <c r="H109" i="11"/>
  <c r="G109" i="11"/>
  <c r="S109" i="11" s="1"/>
  <c r="F109" i="11"/>
  <c r="E109" i="11"/>
  <c r="S108" i="11"/>
  <c r="R107" i="11"/>
  <c r="Q107" i="11"/>
  <c r="P107" i="11"/>
  <c r="O107" i="11"/>
  <c r="N107" i="11"/>
  <c r="M107" i="11"/>
  <c r="L107" i="11"/>
  <c r="K107" i="11"/>
  <c r="J107" i="11"/>
  <c r="I107" i="11"/>
  <c r="H107" i="11"/>
  <c r="G107" i="11"/>
  <c r="S107" i="11" s="1"/>
  <c r="F107" i="11"/>
  <c r="E107" i="11"/>
  <c r="S106" i="11"/>
  <c r="R105" i="11"/>
  <c r="Q105" i="11"/>
  <c r="P105" i="11"/>
  <c r="O105" i="11"/>
  <c r="N105" i="11"/>
  <c r="M105" i="11"/>
  <c r="L105" i="11"/>
  <c r="K105" i="11"/>
  <c r="J105" i="11"/>
  <c r="I105" i="11"/>
  <c r="H105" i="11"/>
  <c r="G105" i="11"/>
  <c r="S105" i="11" s="1"/>
  <c r="F105" i="11"/>
  <c r="E105" i="11"/>
  <c r="R104" i="11"/>
  <c r="Q104" i="11"/>
  <c r="P104" i="11"/>
  <c r="O104" i="11"/>
  <c r="N104" i="11"/>
  <c r="M104" i="11"/>
  <c r="L104" i="11"/>
  <c r="K104" i="11"/>
  <c r="J104" i="11"/>
  <c r="I104" i="11"/>
  <c r="H104" i="11"/>
  <c r="G104" i="11"/>
  <c r="S104" i="11" s="1"/>
  <c r="F104" i="11"/>
  <c r="E104" i="11"/>
  <c r="S103" i="11"/>
  <c r="R102" i="11"/>
  <c r="Q102" i="11"/>
  <c r="P102" i="11"/>
  <c r="O102" i="11"/>
  <c r="N102" i="11"/>
  <c r="M102" i="11"/>
  <c r="L102" i="11"/>
  <c r="K102" i="11"/>
  <c r="J102" i="11"/>
  <c r="I102" i="11"/>
  <c r="H102" i="11"/>
  <c r="G102" i="11"/>
  <c r="S102" i="11" s="1"/>
  <c r="F102" i="11"/>
  <c r="E102" i="11"/>
  <c r="R101" i="11"/>
  <c r="Q101" i="11"/>
  <c r="P101" i="11"/>
  <c r="O101" i="11"/>
  <c r="N101" i="11"/>
  <c r="M101" i="11"/>
  <c r="L101" i="11"/>
  <c r="K101" i="11"/>
  <c r="J101" i="11"/>
  <c r="I101" i="11"/>
  <c r="H101" i="11"/>
  <c r="G101" i="11"/>
  <c r="F101" i="11"/>
  <c r="E101" i="11"/>
  <c r="S100" i="11"/>
  <c r="R99" i="11"/>
  <c r="Q99" i="11"/>
  <c r="P99" i="11"/>
  <c r="O99" i="11"/>
  <c r="N99" i="11"/>
  <c r="M99" i="11"/>
  <c r="L99" i="11"/>
  <c r="K99" i="11"/>
  <c r="J99" i="11"/>
  <c r="I99" i="11"/>
  <c r="H99" i="11"/>
  <c r="G99" i="11"/>
  <c r="F99" i="11"/>
  <c r="E99" i="11"/>
  <c r="S99" i="11" s="1"/>
  <c r="R98" i="11"/>
  <c r="Q98" i="11"/>
  <c r="P98" i="11"/>
  <c r="O98" i="11"/>
  <c r="N98" i="11"/>
  <c r="M98" i="11"/>
  <c r="L98" i="11"/>
  <c r="K98" i="11"/>
  <c r="J98" i="11"/>
  <c r="I98" i="11"/>
  <c r="H98" i="11"/>
  <c r="G98" i="11"/>
  <c r="F98" i="11"/>
  <c r="E98" i="11"/>
  <c r="S98" i="11" s="1"/>
  <c r="S97" i="11"/>
  <c r="R96" i="11"/>
  <c r="Q96" i="11"/>
  <c r="Q115" i="11" s="1"/>
  <c r="P96" i="11"/>
  <c r="O96" i="11"/>
  <c r="N96" i="11"/>
  <c r="M96" i="11"/>
  <c r="M115" i="11" s="1"/>
  <c r="L96" i="11"/>
  <c r="K96" i="11"/>
  <c r="J96" i="11"/>
  <c r="I96" i="11"/>
  <c r="I115" i="11" s="1"/>
  <c r="H96" i="11"/>
  <c r="G96" i="11"/>
  <c r="F96" i="11"/>
  <c r="E96" i="11"/>
  <c r="E115" i="11" s="1"/>
  <c r="R95" i="11"/>
  <c r="Q95" i="11"/>
  <c r="P95" i="11"/>
  <c r="O95" i="11"/>
  <c r="N95" i="11"/>
  <c r="M95" i="11"/>
  <c r="L95" i="11"/>
  <c r="K95" i="11"/>
  <c r="J95" i="11"/>
  <c r="I95" i="11"/>
  <c r="H95" i="11"/>
  <c r="G95" i="11"/>
  <c r="S95" i="11" s="1"/>
  <c r="F95" i="11"/>
  <c r="E95" i="11"/>
  <c r="P94" i="11"/>
  <c r="L94" i="11"/>
  <c r="H94" i="11"/>
  <c r="R93" i="11"/>
  <c r="R94" i="11" s="1"/>
  <c r="Q93" i="11"/>
  <c r="Q94" i="11" s="1"/>
  <c r="P93" i="11"/>
  <c r="O93" i="11"/>
  <c r="O94" i="11" s="1"/>
  <c r="N93" i="11"/>
  <c r="N94" i="11" s="1"/>
  <c r="M93" i="11"/>
  <c r="M94" i="11" s="1"/>
  <c r="L93" i="11"/>
  <c r="K93" i="11"/>
  <c r="K94" i="11" s="1"/>
  <c r="J93" i="11"/>
  <c r="J94" i="11" s="1"/>
  <c r="I93" i="11"/>
  <c r="I94" i="11" s="1"/>
  <c r="H93" i="11"/>
  <c r="G93" i="11"/>
  <c r="S93" i="11" s="1"/>
  <c r="S94" i="11" s="1"/>
  <c r="U94" i="11" s="1"/>
  <c r="F93" i="11"/>
  <c r="F94" i="11" s="1"/>
  <c r="E93" i="11"/>
  <c r="E94" i="11" s="1"/>
  <c r="O91" i="11"/>
  <c r="N91" i="11"/>
  <c r="M91" i="11"/>
  <c r="L91" i="11"/>
  <c r="K91" i="11"/>
  <c r="J91" i="11"/>
  <c r="I91" i="11"/>
  <c r="H91" i="11"/>
  <c r="G91" i="11"/>
  <c r="S91" i="11" s="1"/>
  <c r="P90" i="11"/>
  <c r="O90" i="11"/>
  <c r="N90" i="11"/>
  <c r="M90" i="11"/>
  <c r="L90" i="11"/>
  <c r="K90" i="11"/>
  <c r="J90" i="11"/>
  <c r="I90" i="11"/>
  <c r="S90" i="11" s="1"/>
  <c r="H90" i="11"/>
  <c r="G90" i="11"/>
  <c r="S89" i="11"/>
  <c r="R88" i="11"/>
  <c r="Q88" i="11"/>
  <c r="P88" i="11"/>
  <c r="O88" i="11"/>
  <c r="N88" i="11"/>
  <c r="M88" i="11"/>
  <c r="L88" i="11"/>
  <c r="K88" i="11"/>
  <c r="J88" i="11"/>
  <c r="I88" i="11"/>
  <c r="H88" i="11"/>
  <c r="G88" i="11"/>
  <c r="S88" i="11" s="1"/>
  <c r="F88" i="11"/>
  <c r="E88" i="11"/>
  <c r="S87" i="11"/>
  <c r="R86" i="11"/>
  <c r="Q86" i="11"/>
  <c r="P86" i="11"/>
  <c r="O86" i="11"/>
  <c r="N86" i="11"/>
  <c r="M86" i="11"/>
  <c r="L86" i="11"/>
  <c r="K86" i="11"/>
  <c r="J86" i="11"/>
  <c r="I86" i="11"/>
  <c r="H86" i="11"/>
  <c r="G86" i="11"/>
  <c r="S86" i="11" s="1"/>
  <c r="F86" i="11"/>
  <c r="E86" i="11"/>
  <c r="S85" i="11"/>
  <c r="R84" i="11"/>
  <c r="Q84" i="11"/>
  <c r="P84" i="11"/>
  <c r="O84" i="11"/>
  <c r="N84" i="11"/>
  <c r="M84" i="11"/>
  <c r="L84" i="11"/>
  <c r="K84" i="11"/>
  <c r="J84" i="11"/>
  <c r="I84" i="11"/>
  <c r="H84" i="11"/>
  <c r="G84" i="11"/>
  <c r="S84" i="11" s="1"/>
  <c r="F84" i="11"/>
  <c r="E84" i="11"/>
  <c r="S83" i="11"/>
  <c r="R82" i="11"/>
  <c r="Q82" i="11"/>
  <c r="P82" i="11"/>
  <c r="O82" i="11"/>
  <c r="N82" i="11"/>
  <c r="M82" i="11"/>
  <c r="L82" i="11"/>
  <c r="K82" i="11"/>
  <c r="J82" i="11"/>
  <c r="I82" i="11"/>
  <c r="H82" i="11"/>
  <c r="G82" i="11"/>
  <c r="S82" i="11" s="1"/>
  <c r="F82" i="11"/>
  <c r="E82" i="11"/>
  <c r="R80" i="11"/>
  <c r="Q80" i="11"/>
  <c r="P80" i="11"/>
  <c r="O80" i="11"/>
  <c r="O92" i="11" s="1"/>
  <c r="N80" i="11"/>
  <c r="M80" i="11"/>
  <c r="L80" i="11"/>
  <c r="K80" i="11"/>
  <c r="K92" i="11" s="1"/>
  <c r="J80" i="11"/>
  <c r="I80" i="11"/>
  <c r="H80" i="11"/>
  <c r="G80" i="11"/>
  <c r="G92" i="11" s="1"/>
  <c r="F80" i="11"/>
  <c r="S79" i="11"/>
  <c r="R78" i="11"/>
  <c r="Q78" i="11"/>
  <c r="P78" i="11"/>
  <c r="O78" i="11"/>
  <c r="N78" i="11"/>
  <c r="M78" i="11"/>
  <c r="L78" i="11"/>
  <c r="K78" i="11"/>
  <c r="J78" i="11"/>
  <c r="I78" i="11"/>
  <c r="H78" i="11"/>
  <c r="G78" i="11"/>
  <c r="F78" i="11"/>
  <c r="E78" i="11"/>
  <c r="S78" i="11" s="1"/>
  <c r="S77" i="11"/>
  <c r="R76" i="11"/>
  <c r="Q76" i="11"/>
  <c r="P76" i="11"/>
  <c r="O76" i="11"/>
  <c r="N76" i="11"/>
  <c r="M76" i="11"/>
  <c r="L76" i="11"/>
  <c r="K76" i="11"/>
  <c r="J76" i="11"/>
  <c r="I76" i="11"/>
  <c r="H76" i="11"/>
  <c r="G76" i="11"/>
  <c r="F76" i="11"/>
  <c r="E76" i="11"/>
  <c r="S76" i="11" s="1"/>
  <c r="S75" i="11"/>
  <c r="R74" i="11"/>
  <c r="Q74" i="11"/>
  <c r="P74" i="11"/>
  <c r="O74" i="11"/>
  <c r="N74" i="11"/>
  <c r="M74" i="11"/>
  <c r="L74" i="11"/>
  <c r="K74" i="11"/>
  <c r="J74" i="11"/>
  <c r="I74" i="11"/>
  <c r="H74" i="11"/>
  <c r="G74" i="11"/>
  <c r="F74" i="11"/>
  <c r="E74" i="11"/>
  <c r="S74" i="11" s="1"/>
  <c r="S73" i="11"/>
  <c r="R72" i="11"/>
  <c r="R92" i="11" s="1"/>
  <c r="Q72" i="11"/>
  <c r="Q92" i="11" s="1"/>
  <c r="P72" i="11"/>
  <c r="P92" i="11" s="1"/>
  <c r="O72" i="11"/>
  <c r="N72" i="11"/>
  <c r="N92" i="11" s="1"/>
  <c r="M72" i="11"/>
  <c r="M92" i="11" s="1"/>
  <c r="L72" i="11"/>
  <c r="L92" i="11" s="1"/>
  <c r="K72" i="11"/>
  <c r="J72" i="11"/>
  <c r="J92" i="11" s="1"/>
  <c r="I72" i="11"/>
  <c r="I92" i="11" s="1"/>
  <c r="H72" i="11"/>
  <c r="H92" i="11" s="1"/>
  <c r="G72" i="11"/>
  <c r="F72" i="11"/>
  <c r="F92" i="11" s="1"/>
  <c r="E72" i="11"/>
  <c r="S72" i="11" s="1"/>
  <c r="S70" i="11"/>
  <c r="R69" i="11"/>
  <c r="Q69" i="11"/>
  <c r="P69" i="11"/>
  <c r="O69" i="11"/>
  <c r="N69" i="11"/>
  <c r="M69" i="11"/>
  <c r="L69" i="11"/>
  <c r="K69" i="11"/>
  <c r="J69" i="11"/>
  <c r="I69" i="11"/>
  <c r="H69" i="11"/>
  <c r="G69" i="11"/>
  <c r="F69" i="11"/>
  <c r="E69" i="11"/>
  <c r="S69" i="11" s="1"/>
  <c r="S68" i="11"/>
  <c r="R67" i="11"/>
  <c r="Q67" i="11"/>
  <c r="P67" i="11"/>
  <c r="O67" i="11"/>
  <c r="N67" i="11"/>
  <c r="M67" i="11"/>
  <c r="L67" i="11"/>
  <c r="K67" i="11"/>
  <c r="J67" i="11"/>
  <c r="I67" i="11"/>
  <c r="H67" i="11"/>
  <c r="G67" i="11"/>
  <c r="F67" i="11"/>
  <c r="E67" i="11"/>
  <c r="S67" i="11" s="1"/>
  <c r="R65" i="11"/>
  <c r="Q65" i="11"/>
  <c r="P65" i="11"/>
  <c r="O65" i="11"/>
  <c r="N65" i="11"/>
  <c r="M65" i="11"/>
  <c r="L65" i="11"/>
  <c r="K65" i="11"/>
  <c r="J65" i="11"/>
  <c r="I65" i="11"/>
  <c r="H65" i="11"/>
  <c r="G65" i="11"/>
  <c r="F65" i="11"/>
  <c r="E65" i="11"/>
  <c r="S65" i="11" s="1"/>
  <c r="R63" i="11"/>
  <c r="Q63" i="11"/>
  <c r="P63" i="11"/>
  <c r="O63" i="11"/>
  <c r="N63" i="11"/>
  <c r="M63" i="11"/>
  <c r="L63" i="11"/>
  <c r="K63" i="11"/>
  <c r="J63" i="11"/>
  <c r="I63" i="11"/>
  <c r="H63" i="11"/>
  <c r="G63" i="11"/>
  <c r="F63" i="11"/>
  <c r="E63" i="11"/>
  <c r="S63" i="11" s="1"/>
  <c r="R61" i="11"/>
  <c r="Q61" i="11"/>
  <c r="P61" i="11"/>
  <c r="O61" i="11"/>
  <c r="N61" i="11"/>
  <c r="M61" i="11"/>
  <c r="L61" i="11"/>
  <c r="K61" i="11"/>
  <c r="J61" i="11"/>
  <c r="I61" i="11"/>
  <c r="H61" i="11"/>
  <c r="G61" i="11"/>
  <c r="S61" i="11" s="1"/>
  <c r="F61" i="11"/>
  <c r="E61" i="11"/>
  <c r="R59" i="11"/>
  <c r="Q59" i="11"/>
  <c r="P59" i="11"/>
  <c r="O59" i="11"/>
  <c r="N59" i="11"/>
  <c r="M59" i="11"/>
  <c r="L59" i="11"/>
  <c r="K59" i="11"/>
  <c r="J59" i="11"/>
  <c r="I59" i="11"/>
  <c r="H59" i="11"/>
  <c r="G59" i="11"/>
  <c r="F59" i="11"/>
  <c r="E59" i="11"/>
  <c r="R57" i="11"/>
  <c r="Q57" i="11"/>
  <c r="P57" i="11"/>
  <c r="O57" i="11"/>
  <c r="N57" i="11"/>
  <c r="M57" i="11"/>
  <c r="L57" i="11"/>
  <c r="K57" i="11"/>
  <c r="J57" i="11"/>
  <c r="I57" i="11"/>
  <c r="H57" i="11"/>
  <c r="G57" i="11"/>
  <c r="F57" i="11"/>
  <c r="E57" i="11"/>
  <c r="S57" i="11" s="1"/>
  <c r="R56" i="11"/>
  <c r="Q56" i="11"/>
  <c r="R55" i="11"/>
  <c r="R71" i="11" s="1"/>
  <c r="Q55" i="11"/>
  <c r="P55" i="11"/>
  <c r="P71" i="11" s="1"/>
  <c r="O55" i="11"/>
  <c r="N55" i="11"/>
  <c r="N71" i="11" s="1"/>
  <c r="M55" i="11"/>
  <c r="L55" i="11"/>
  <c r="L71" i="11" s="1"/>
  <c r="K55" i="11"/>
  <c r="K71" i="11" s="1"/>
  <c r="J55" i="11"/>
  <c r="J71" i="11" s="1"/>
  <c r="I55" i="11"/>
  <c r="H55" i="11"/>
  <c r="H71" i="11" s="1"/>
  <c r="G55" i="11"/>
  <c r="G71" i="11" s="1"/>
  <c r="F55" i="11"/>
  <c r="F71" i="11" s="1"/>
  <c r="E55" i="11"/>
  <c r="S53" i="11"/>
  <c r="P52" i="11"/>
  <c r="O52" i="11"/>
  <c r="N52" i="11"/>
  <c r="M52" i="11"/>
  <c r="L52" i="11"/>
  <c r="K52" i="11"/>
  <c r="J52" i="11"/>
  <c r="I52" i="11"/>
  <c r="H52" i="11"/>
  <c r="G52" i="11"/>
  <c r="S52" i="11" s="1"/>
  <c r="S51" i="11"/>
  <c r="S50" i="11"/>
  <c r="S49" i="11"/>
  <c r="R48" i="11"/>
  <c r="Q48" i="11"/>
  <c r="P48" i="11"/>
  <c r="O48" i="11"/>
  <c r="N48" i="11"/>
  <c r="M48" i="11"/>
  <c r="L48" i="11"/>
  <c r="K48" i="11"/>
  <c r="J48" i="11"/>
  <c r="I48" i="11"/>
  <c r="H48" i="11"/>
  <c r="G48" i="11"/>
  <c r="S48" i="11" s="1"/>
  <c r="F48" i="11"/>
  <c r="S47" i="11"/>
  <c r="R46" i="11"/>
  <c r="Q46" i="11"/>
  <c r="P46" i="11"/>
  <c r="O46" i="11"/>
  <c r="N46" i="11"/>
  <c r="M46" i="11"/>
  <c r="L46" i="11"/>
  <c r="K46" i="11"/>
  <c r="J46" i="11"/>
  <c r="I46" i="11"/>
  <c r="H46" i="11"/>
  <c r="G46" i="11"/>
  <c r="F46" i="11"/>
  <c r="S46" i="11" s="1"/>
  <c r="E46" i="11"/>
  <c r="S45" i="11"/>
  <c r="R44" i="11"/>
  <c r="Q44" i="11"/>
  <c r="P44" i="11"/>
  <c r="O44" i="11"/>
  <c r="N44" i="11"/>
  <c r="M44" i="11"/>
  <c r="L44" i="11"/>
  <c r="K44" i="11"/>
  <c r="J44" i="11"/>
  <c r="I44" i="11"/>
  <c r="H44" i="11"/>
  <c r="G44" i="11"/>
  <c r="F44" i="11"/>
  <c r="S44" i="11" s="1"/>
  <c r="E44" i="11"/>
  <c r="S43" i="11"/>
  <c r="R42" i="11"/>
  <c r="Q42" i="11"/>
  <c r="P42" i="11"/>
  <c r="O42" i="11"/>
  <c r="N42" i="11"/>
  <c r="M42" i="11"/>
  <c r="L42" i="11"/>
  <c r="K42" i="11"/>
  <c r="J42" i="11"/>
  <c r="I42" i="11"/>
  <c r="H42" i="11"/>
  <c r="G42" i="11"/>
  <c r="F42" i="11"/>
  <c r="S42" i="11" s="1"/>
  <c r="E42" i="11"/>
  <c r="S41" i="11"/>
  <c r="R40" i="11"/>
  <c r="Q40" i="11"/>
  <c r="P40" i="11"/>
  <c r="O40" i="11"/>
  <c r="N40" i="11"/>
  <c r="M40" i="11"/>
  <c r="L40" i="11"/>
  <c r="K40" i="11"/>
  <c r="J40" i="11"/>
  <c r="I40" i="11"/>
  <c r="H40" i="11"/>
  <c r="G40" i="11"/>
  <c r="F40" i="11"/>
  <c r="S40" i="11" s="1"/>
  <c r="E40" i="11"/>
  <c r="S39" i="11"/>
  <c r="R38" i="11"/>
  <c r="Q38" i="11"/>
  <c r="P38" i="11"/>
  <c r="O38" i="11"/>
  <c r="N38" i="11"/>
  <c r="M38" i="11"/>
  <c r="L38" i="11"/>
  <c r="K38" i="11"/>
  <c r="J38" i="11"/>
  <c r="I38" i="11"/>
  <c r="H38" i="11"/>
  <c r="G38" i="11"/>
  <c r="F38" i="11"/>
  <c r="S38" i="11" s="1"/>
  <c r="E38" i="11"/>
  <c r="S37" i="11"/>
  <c r="R36" i="11"/>
  <c r="Q36" i="11"/>
  <c r="P36" i="11"/>
  <c r="O36" i="11"/>
  <c r="N36" i="11"/>
  <c r="M36" i="11"/>
  <c r="L36" i="11"/>
  <c r="K36" i="11"/>
  <c r="J36" i="11"/>
  <c r="I36" i="11"/>
  <c r="H36" i="11"/>
  <c r="G36" i="11"/>
  <c r="F36" i="11"/>
  <c r="S36" i="11" s="1"/>
  <c r="E36" i="11"/>
  <c r="R34" i="11"/>
  <c r="Q34" i="11"/>
  <c r="P34" i="11"/>
  <c r="O34" i="11"/>
  <c r="N34" i="11"/>
  <c r="M34" i="11"/>
  <c r="L34" i="11"/>
  <c r="K34" i="11"/>
  <c r="J34" i="11"/>
  <c r="I34" i="11"/>
  <c r="H34" i="11"/>
  <c r="G34" i="11"/>
  <c r="F34" i="11"/>
  <c r="F54" i="11" s="1"/>
  <c r="E34" i="11"/>
  <c r="S34" i="11" s="1"/>
  <c r="R33" i="11"/>
  <c r="Q33" i="11"/>
  <c r="P33" i="11"/>
  <c r="P54" i="11" s="1"/>
  <c r="O33" i="11"/>
  <c r="N33" i="11"/>
  <c r="M33" i="11"/>
  <c r="L33" i="11"/>
  <c r="L54" i="11" s="1"/>
  <c r="K33" i="11"/>
  <c r="J33" i="11"/>
  <c r="I33" i="11"/>
  <c r="H33" i="11"/>
  <c r="H54" i="11" s="1"/>
  <c r="G33" i="11"/>
  <c r="G54" i="11" s="1"/>
  <c r="F33" i="11"/>
  <c r="E33" i="11"/>
  <c r="S33" i="11" s="1"/>
  <c r="P31" i="11"/>
  <c r="O31" i="11"/>
  <c r="N31" i="11"/>
  <c r="M31" i="11"/>
  <c r="L31" i="11"/>
  <c r="K31" i="11"/>
  <c r="J31" i="11"/>
  <c r="I31" i="11"/>
  <c r="S31" i="11" s="1"/>
  <c r="H31" i="11"/>
  <c r="G31" i="11"/>
  <c r="P30" i="11"/>
  <c r="O30" i="11"/>
  <c r="N30" i="11"/>
  <c r="M30" i="11"/>
  <c r="L30" i="11"/>
  <c r="K30" i="11"/>
  <c r="J30" i="11"/>
  <c r="I30" i="11"/>
  <c r="H30" i="11"/>
  <c r="S30" i="11" s="1"/>
  <c r="G30" i="11"/>
  <c r="R28" i="11"/>
  <c r="Q28" i="11"/>
  <c r="P28" i="11"/>
  <c r="O28" i="11"/>
  <c r="N28" i="11"/>
  <c r="M28" i="11"/>
  <c r="L28" i="11"/>
  <c r="K28" i="11"/>
  <c r="J28" i="11"/>
  <c r="I28" i="11"/>
  <c r="H28" i="11"/>
  <c r="G28" i="11"/>
  <c r="F28" i="11"/>
  <c r="E28" i="11"/>
  <c r="S28" i="11" s="1"/>
  <c r="R27" i="11"/>
  <c r="Q27" i="11"/>
  <c r="P27" i="11"/>
  <c r="O27" i="11"/>
  <c r="N27" i="11"/>
  <c r="M27" i="11"/>
  <c r="L27" i="11"/>
  <c r="K27" i="11"/>
  <c r="J27" i="11"/>
  <c r="I27" i="11"/>
  <c r="H27" i="11"/>
  <c r="G27" i="11"/>
  <c r="F27" i="11"/>
  <c r="E27" i="11"/>
  <c r="S27" i="11" s="1"/>
  <c r="S26" i="11"/>
  <c r="R25" i="11"/>
  <c r="Q25" i="11"/>
  <c r="P25" i="11"/>
  <c r="O25" i="11"/>
  <c r="N25" i="11"/>
  <c r="M25" i="11"/>
  <c r="L25" i="11"/>
  <c r="K25" i="11"/>
  <c r="J25" i="11"/>
  <c r="I25" i="11"/>
  <c r="H25" i="11"/>
  <c r="G25" i="11"/>
  <c r="F25" i="11"/>
  <c r="E25" i="11"/>
  <c r="S25" i="11" s="1"/>
  <c r="R24" i="11"/>
  <c r="Q24" i="11"/>
  <c r="P24" i="11"/>
  <c r="O24" i="11"/>
  <c r="N24" i="11"/>
  <c r="M24" i="11"/>
  <c r="L24" i="11"/>
  <c r="K24" i="11"/>
  <c r="J24" i="11"/>
  <c r="I24" i="11"/>
  <c r="H24" i="11"/>
  <c r="G24" i="11"/>
  <c r="S24" i="11" s="1"/>
  <c r="F24" i="11"/>
  <c r="E24" i="11"/>
  <c r="S23" i="11"/>
  <c r="R22" i="11"/>
  <c r="Q22" i="11"/>
  <c r="P22" i="11"/>
  <c r="O22" i="11"/>
  <c r="N22" i="11"/>
  <c r="M22" i="11"/>
  <c r="L22" i="11"/>
  <c r="K22" i="11"/>
  <c r="J22" i="11"/>
  <c r="I22" i="11"/>
  <c r="H22" i="11"/>
  <c r="G22" i="11"/>
  <c r="S22" i="11" s="1"/>
  <c r="F22" i="11"/>
  <c r="E22" i="11"/>
  <c r="R21" i="11"/>
  <c r="Q21" i="11"/>
  <c r="P21" i="11"/>
  <c r="O21" i="11"/>
  <c r="N21" i="11"/>
  <c r="M21" i="11"/>
  <c r="L21" i="11"/>
  <c r="K21" i="11"/>
  <c r="J21" i="11"/>
  <c r="I21" i="11"/>
  <c r="H21" i="11"/>
  <c r="G21" i="11"/>
  <c r="F21" i="11"/>
  <c r="S21" i="11" s="1"/>
  <c r="E21" i="11"/>
  <c r="Q19" i="11"/>
  <c r="P19" i="11"/>
  <c r="O19" i="11"/>
  <c r="N19" i="11"/>
  <c r="M19" i="11"/>
  <c r="L19" i="11"/>
  <c r="K19" i="11"/>
  <c r="J19" i="11"/>
  <c r="I19" i="11"/>
  <c r="H19" i="11"/>
  <c r="G19" i="11"/>
  <c r="F19" i="11"/>
  <c r="E19" i="11"/>
  <c r="S19" i="11" s="1"/>
  <c r="R17" i="11"/>
  <c r="Q17" i="11"/>
  <c r="P17" i="11"/>
  <c r="O17" i="11"/>
  <c r="N17" i="11"/>
  <c r="M17" i="11"/>
  <c r="L17" i="11"/>
  <c r="K17" i="11"/>
  <c r="J17" i="11"/>
  <c r="I17" i="11"/>
  <c r="H17" i="11"/>
  <c r="G17" i="11"/>
  <c r="S17" i="11" s="1"/>
  <c r="F17" i="11"/>
  <c r="E17" i="11"/>
  <c r="R16" i="11"/>
  <c r="Q16" i="11"/>
  <c r="P16" i="11"/>
  <c r="O16" i="11"/>
  <c r="N16" i="11"/>
  <c r="M16" i="11"/>
  <c r="L16" i="11"/>
  <c r="K16" i="11"/>
  <c r="J16" i="11"/>
  <c r="I16" i="11"/>
  <c r="H16" i="11"/>
  <c r="G16" i="11"/>
  <c r="F16" i="11"/>
  <c r="S16" i="11" s="1"/>
  <c r="E16" i="11"/>
  <c r="R15" i="11"/>
  <c r="Q15" i="11"/>
  <c r="P15" i="11"/>
  <c r="O15" i="11"/>
  <c r="N15" i="11"/>
  <c r="M15" i="11"/>
  <c r="L15" i="11"/>
  <c r="K15" i="11"/>
  <c r="J15" i="11"/>
  <c r="I15" i="11"/>
  <c r="H15" i="11"/>
  <c r="G15" i="11"/>
  <c r="F15" i="11"/>
  <c r="E15" i="11"/>
  <c r="S15" i="11" s="1"/>
  <c r="R14" i="11"/>
  <c r="Q14" i="11"/>
  <c r="P14" i="11"/>
  <c r="O14" i="11"/>
  <c r="N14" i="11"/>
  <c r="M14" i="11"/>
  <c r="L14" i="11"/>
  <c r="K14" i="11"/>
  <c r="J14" i="11"/>
  <c r="I14" i="11"/>
  <c r="H14" i="11"/>
  <c r="G14" i="11"/>
  <c r="F14" i="11"/>
  <c r="S14" i="11" s="1"/>
  <c r="E14" i="11"/>
  <c r="R12" i="11"/>
  <c r="Q12" i="11"/>
  <c r="P12" i="11"/>
  <c r="O12" i="11"/>
  <c r="N12" i="11"/>
  <c r="M12" i="11"/>
  <c r="L12" i="11"/>
  <c r="K12" i="11"/>
  <c r="J12" i="11"/>
  <c r="I12" i="11"/>
  <c r="H12" i="11"/>
  <c r="G12" i="11"/>
  <c r="S12" i="11" s="1"/>
  <c r="F12" i="11"/>
  <c r="E12" i="11"/>
  <c r="R11" i="11"/>
  <c r="Q11" i="11"/>
  <c r="P11" i="11"/>
  <c r="O11" i="11"/>
  <c r="N11" i="11"/>
  <c r="M11" i="11"/>
  <c r="L11" i="11"/>
  <c r="K11" i="11"/>
  <c r="J11" i="11"/>
  <c r="I11" i="11"/>
  <c r="H11" i="11"/>
  <c r="G11" i="11"/>
  <c r="F11" i="11"/>
  <c r="S11" i="11" s="1"/>
  <c r="E11" i="11"/>
  <c r="R9" i="11"/>
  <c r="Q9" i="11"/>
  <c r="P9" i="11"/>
  <c r="O9" i="11"/>
  <c r="N9" i="11"/>
  <c r="M9" i="11"/>
  <c r="L9" i="11"/>
  <c r="K9" i="11"/>
  <c r="J9" i="11"/>
  <c r="I9" i="11"/>
  <c r="H9" i="11"/>
  <c r="G9" i="11"/>
  <c r="F9" i="11"/>
  <c r="E9" i="11"/>
  <c r="S9" i="11" s="1"/>
  <c r="R8" i="11"/>
  <c r="Q8" i="11"/>
  <c r="P8" i="11"/>
  <c r="P32" i="11" s="1"/>
  <c r="O8" i="11"/>
  <c r="N8" i="11"/>
  <c r="M8" i="11"/>
  <c r="L8" i="11"/>
  <c r="L32" i="11" s="1"/>
  <c r="K8" i="11"/>
  <c r="J8" i="11"/>
  <c r="I8" i="11"/>
  <c r="H8" i="11"/>
  <c r="H32" i="11" s="1"/>
  <c r="G8" i="11"/>
  <c r="F8" i="11"/>
  <c r="E8" i="11"/>
  <c r="S8" i="11" s="1"/>
  <c r="R7" i="11"/>
  <c r="Q7" i="11"/>
  <c r="P7" i="11"/>
  <c r="O7" i="11"/>
  <c r="N7" i="11"/>
  <c r="M7" i="11"/>
  <c r="L7" i="11"/>
  <c r="K7" i="11"/>
  <c r="J7" i="11"/>
  <c r="I7" i="11"/>
  <c r="H7" i="11"/>
  <c r="G7" i="11"/>
  <c r="S7" i="11" s="1"/>
  <c r="F7" i="11"/>
  <c r="E7" i="11"/>
  <c r="R5" i="11"/>
  <c r="Q5" i="11"/>
  <c r="P5" i="11"/>
  <c r="O5" i="11"/>
  <c r="N5" i="11"/>
  <c r="M5" i="11"/>
  <c r="L5" i="11"/>
  <c r="K5" i="11"/>
  <c r="J5" i="11"/>
  <c r="I5" i="11"/>
  <c r="H5" i="11"/>
  <c r="G5" i="11"/>
  <c r="F5" i="11"/>
  <c r="S5" i="11" s="1"/>
  <c r="E5" i="11"/>
  <c r="R4" i="11"/>
  <c r="R32" i="11" s="1"/>
  <c r="Q4" i="11"/>
  <c r="Q32" i="11" s="1"/>
  <c r="P4" i="11"/>
  <c r="O4" i="11"/>
  <c r="O32" i="11" s="1"/>
  <c r="N4" i="11"/>
  <c r="N32" i="11" s="1"/>
  <c r="M4" i="11"/>
  <c r="M32" i="11" s="1"/>
  <c r="L4" i="11"/>
  <c r="K4" i="11"/>
  <c r="K32" i="11" s="1"/>
  <c r="J4" i="11"/>
  <c r="J32" i="11" s="1"/>
  <c r="I4" i="11"/>
  <c r="I32" i="11" s="1"/>
  <c r="H4" i="11"/>
  <c r="G4" i="11"/>
  <c r="G32" i="11" s="1"/>
  <c r="F4" i="11"/>
  <c r="F32" i="11" s="1"/>
  <c r="E4" i="11"/>
  <c r="S4" i="11" s="1"/>
  <c r="F115" i="11" l="1"/>
  <c r="J115" i="11"/>
  <c r="N115" i="11"/>
  <c r="R115" i="11"/>
  <c r="G196" i="11"/>
  <c r="K196" i="11"/>
  <c r="O196" i="11"/>
  <c r="N790" i="11"/>
  <c r="S786" i="11"/>
  <c r="S749" i="11"/>
  <c r="K760" i="11"/>
  <c r="O760" i="11"/>
  <c r="H760" i="11"/>
  <c r="L760" i="11"/>
  <c r="P760" i="11"/>
  <c r="S748" i="11"/>
  <c r="H115" i="11"/>
  <c r="L115" i="11"/>
  <c r="P115" i="11"/>
  <c r="H707" i="11"/>
  <c r="L707" i="11"/>
  <c r="P707" i="11"/>
  <c r="S694" i="11"/>
  <c r="E707" i="11"/>
  <c r="I707" i="11"/>
  <c r="M707" i="11"/>
  <c r="Q707" i="11"/>
  <c r="S663" i="11"/>
  <c r="F707" i="11"/>
  <c r="J707" i="11"/>
  <c r="N707" i="11"/>
  <c r="R707" i="11"/>
  <c r="S670" i="11"/>
  <c r="H196" i="11"/>
  <c r="L196" i="11"/>
  <c r="P196" i="11"/>
  <c r="F196" i="11"/>
  <c r="J196" i="11"/>
  <c r="N196" i="11"/>
  <c r="R196" i="11"/>
  <c r="S679" i="11"/>
  <c r="K115" i="11"/>
  <c r="O115" i="11"/>
  <c r="S101" i="11"/>
  <c r="S183" i="11"/>
  <c r="E196" i="11"/>
  <c r="I196" i="11"/>
  <c r="M196" i="11"/>
  <c r="Q196" i="11"/>
  <c r="G707" i="11"/>
  <c r="K707" i="11"/>
  <c r="O707" i="11"/>
  <c r="S669" i="11"/>
  <c r="S674" i="11"/>
  <c r="S32" i="11"/>
  <c r="U32" i="11" s="1"/>
  <c r="S54" i="11"/>
  <c r="U54" i="11" s="1"/>
  <c r="E32" i="11"/>
  <c r="M54" i="11"/>
  <c r="K54" i="11"/>
  <c r="O54" i="11"/>
  <c r="E71" i="11"/>
  <c r="I71" i="11"/>
  <c r="M71" i="11"/>
  <c r="Q71" i="11"/>
  <c r="S59" i="11"/>
  <c r="E54" i="11"/>
  <c r="S248" i="11"/>
  <c r="U248" i="11" s="1"/>
  <c r="Q54" i="11"/>
  <c r="I54" i="11"/>
  <c r="O71" i="11"/>
  <c r="J54" i="11"/>
  <c r="N54" i="11"/>
  <c r="R54" i="11"/>
  <c r="S158" i="11"/>
  <c r="U158" i="11" s="1"/>
  <c r="E92" i="11"/>
  <c r="S96" i="11"/>
  <c r="S115" i="11" s="1"/>
  <c r="U115" i="11" s="1"/>
  <c r="G115" i="11"/>
  <c r="S116" i="11"/>
  <c r="S133" i="11" s="1"/>
  <c r="U133" i="11" s="1"/>
  <c r="S159" i="11"/>
  <c r="S185" i="11"/>
  <c r="E224" i="11"/>
  <c r="M268" i="11"/>
  <c r="Q268" i="11"/>
  <c r="S556" i="11"/>
  <c r="U556" i="11" s="1"/>
  <c r="S55" i="11"/>
  <c r="S71" i="11" s="1"/>
  <c r="U71" i="11" s="1"/>
  <c r="G94" i="11"/>
  <c r="G236" i="11"/>
  <c r="N268" i="11"/>
  <c r="R268" i="11"/>
  <c r="S379" i="11"/>
  <c r="U379" i="11" s="1"/>
  <c r="S407" i="11"/>
  <c r="U407" i="11" s="1"/>
  <c r="S80" i="11"/>
  <c r="S92" i="11" s="1"/>
  <c r="U92" i="11" s="1"/>
  <c r="E158" i="11"/>
  <c r="S161" i="11"/>
  <c r="S181" i="11"/>
  <c r="S198" i="11"/>
  <c r="S224" i="11" s="1"/>
  <c r="U224" i="11" s="1"/>
  <c r="S249" i="11"/>
  <c r="S268" i="11" s="1"/>
  <c r="U268" i="11" s="1"/>
  <c r="L268" i="11"/>
  <c r="P268" i="11"/>
  <c r="S294" i="11"/>
  <c r="U294" i="11" s="1"/>
  <c r="E294" i="11"/>
  <c r="E313" i="11"/>
  <c r="E379" i="11"/>
  <c r="E407" i="11"/>
  <c r="G556" i="11"/>
  <c r="K556" i="11"/>
  <c r="O556" i="11"/>
  <c r="S481" i="11"/>
  <c r="S498" i="11" s="1"/>
  <c r="U498" i="11" s="1"/>
  <c r="H556" i="11"/>
  <c r="L556" i="11"/>
  <c r="P556" i="11"/>
  <c r="S590" i="11"/>
  <c r="U590" i="11" s="1"/>
  <c r="S408" i="11"/>
  <c r="S480" i="11" s="1"/>
  <c r="U480" i="11" s="1"/>
  <c r="E556" i="11"/>
  <c r="I556" i="11"/>
  <c r="M556" i="11"/>
  <c r="Q556" i="11"/>
  <c r="S660" i="11"/>
  <c r="U660" i="11" s="1"/>
  <c r="S591" i="11"/>
  <c r="S619" i="11" s="1"/>
  <c r="U619" i="11" s="1"/>
  <c r="S661" i="11"/>
  <c r="S620" i="11"/>
  <c r="S632" i="11" s="1"/>
  <c r="U632" i="11" s="1"/>
  <c r="S708" i="11"/>
  <c r="S760" i="11" s="1"/>
  <c r="U760" i="11" s="1"/>
  <c r="S761" i="11"/>
  <c r="S791" i="11"/>
  <c r="S812" i="11" s="1"/>
  <c r="U812" i="11" s="1"/>
  <c r="E590" i="11"/>
  <c r="E660" i="11"/>
  <c r="T123" i="3"/>
  <c r="T129" i="2"/>
  <c r="T82" i="6"/>
  <c r="T130" i="4"/>
  <c r="S164" i="4"/>
  <c r="T26" i="2"/>
  <c r="T27" i="1"/>
  <c r="T26" i="6"/>
  <c r="T25" i="7"/>
  <c r="T10" i="9"/>
  <c r="T14" i="9"/>
  <c r="T135" i="1"/>
  <c r="T137" i="1"/>
  <c r="S147" i="6"/>
  <c r="S150" i="6"/>
  <c r="S148" i="6"/>
  <c r="S151" i="6"/>
  <c r="S16" i="6"/>
  <c r="Q99" i="6"/>
  <c r="T122" i="6"/>
  <c r="T186" i="6"/>
  <c r="V94" i="2"/>
  <c r="G94" i="2"/>
  <c r="S142" i="3"/>
  <c r="S13" i="3"/>
  <c r="V184" i="7"/>
  <c r="S154" i="7"/>
  <c r="S159" i="7"/>
  <c r="R98" i="3"/>
  <c r="S98" i="3"/>
  <c r="T121" i="3"/>
  <c r="R114" i="10"/>
  <c r="U213" i="9"/>
  <c r="U203" i="9"/>
  <c r="U199" i="9"/>
  <c r="U178" i="9"/>
  <c r="U70" i="9"/>
  <c r="U66" i="9"/>
  <c r="U60" i="9"/>
  <c r="U54" i="9"/>
  <c r="U50" i="9"/>
  <c r="U45" i="9"/>
  <c r="U40" i="9"/>
  <c r="U34" i="9"/>
  <c r="U29" i="9"/>
  <c r="U24" i="9"/>
  <c r="U20" i="9"/>
  <c r="U16" i="9"/>
  <c r="U11" i="9"/>
  <c r="U7" i="9"/>
  <c r="U118" i="8"/>
  <c r="U112" i="8"/>
  <c r="U105" i="8"/>
  <c r="U91" i="8"/>
  <c r="U84" i="8"/>
  <c r="U80" i="8"/>
  <c r="U75" i="8"/>
  <c r="U71" i="8"/>
  <c r="U67" i="8"/>
  <c r="U56" i="8"/>
  <c r="U52" i="8"/>
  <c r="U47" i="8"/>
  <c r="U39" i="8"/>
  <c r="U33" i="8"/>
  <c r="U29" i="8"/>
  <c r="U25" i="8"/>
  <c r="U21" i="8"/>
  <c r="U17" i="8"/>
  <c r="U13" i="8"/>
  <c r="U7" i="8"/>
  <c r="U197" i="7"/>
  <c r="U191" i="7"/>
  <c r="U187" i="7"/>
  <c r="U178" i="7"/>
  <c r="U162" i="7"/>
  <c r="U151" i="7"/>
  <c r="U146" i="7"/>
  <c r="U140" i="7"/>
  <c r="U133" i="7"/>
  <c r="U128" i="7"/>
  <c r="U118" i="7"/>
  <c r="U113" i="7"/>
  <c r="U102" i="7"/>
  <c r="U97" i="7"/>
  <c r="U83" i="7"/>
  <c r="U77" i="7"/>
  <c r="U73" i="7"/>
  <c r="U62" i="7"/>
  <c r="U58" i="7"/>
  <c r="U54" i="7"/>
  <c r="U49" i="7"/>
  <c r="U45" i="7"/>
  <c r="U40" i="7"/>
  <c r="U35" i="7"/>
  <c r="U31" i="7"/>
  <c r="U26" i="7"/>
  <c r="U22" i="7"/>
  <c r="U18" i="7"/>
  <c r="U14" i="7"/>
  <c r="U8" i="7"/>
  <c r="U189" i="6"/>
  <c r="U181" i="6"/>
  <c r="U177" i="6"/>
  <c r="U167" i="6"/>
  <c r="U152" i="6"/>
  <c r="U143" i="6"/>
  <c r="U138" i="6"/>
  <c r="U132" i="6"/>
  <c r="U126" i="6"/>
  <c r="U116" i="6"/>
  <c r="U111" i="6"/>
  <c r="U100" i="6"/>
  <c r="U95" i="6"/>
  <c r="U83" i="6"/>
  <c r="U77" i="6"/>
  <c r="U72" i="6"/>
  <c r="U62" i="6"/>
  <c r="U58" i="6"/>
  <c r="U53" i="6"/>
  <c r="U49" i="6"/>
  <c r="U45" i="6"/>
  <c r="U39" i="6"/>
  <c r="U35" i="6"/>
  <c r="U31" i="6"/>
  <c r="R94" i="10" s="1"/>
  <c r="U27" i="6"/>
  <c r="U23" i="6"/>
  <c r="U18" i="6"/>
  <c r="U13" i="6"/>
  <c r="U7" i="6"/>
  <c r="U134" i="5"/>
  <c r="U130" i="5"/>
  <c r="U126" i="5"/>
  <c r="U118" i="5"/>
  <c r="U104" i="5"/>
  <c r="U90" i="5"/>
  <c r="U85" i="5"/>
  <c r="U81" i="5"/>
  <c r="U76" i="5"/>
  <c r="U71" i="5"/>
  <c r="U62" i="5"/>
  <c r="U58" i="5"/>
  <c r="U53" i="5"/>
  <c r="U44" i="5"/>
  <c r="U38" i="5"/>
  <c r="U34" i="5"/>
  <c r="U30" i="5"/>
  <c r="U26" i="5"/>
  <c r="U22" i="5"/>
  <c r="U17" i="5"/>
  <c r="U12" i="5"/>
  <c r="U7" i="5"/>
  <c r="U198" i="4"/>
  <c r="U192" i="4"/>
  <c r="U178" i="4"/>
  <c r="U167" i="4"/>
  <c r="U156" i="4"/>
  <c r="U145" i="4"/>
  <c r="U134" i="4"/>
  <c r="U124" i="4"/>
  <c r="U119" i="4"/>
  <c r="U106" i="4"/>
  <c r="U101" i="4"/>
  <c r="U87" i="4"/>
  <c r="U75" i="4"/>
  <c r="U65" i="4"/>
  <c r="U61" i="4"/>
  <c r="U57" i="4"/>
  <c r="U46" i="4"/>
  <c r="U41" i="4"/>
  <c r="U36" i="4"/>
  <c r="U32" i="4"/>
  <c r="U27" i="4"/>
  <c r="U23" i="4"/>
  <c r="U18" i="4"/>
  <c r="U14" i="4"/>
  <c r="U184" i="3"/>
  <c r="U179" i="3"/>
  <c r="U175" i="3"/>
  <c r="U168" i="3"/>
  <c r="U152" i="3"/>
  <c r="U144" i="3"/>
  <c r="U139" i="3"/>
  <c r="U133" i="3"/>
  <c r="U127" i="3"/>
  <c r="U116" i="3"/>
  <c r="U111" i="3"/>
  <c r="U101" i="3"/>
  <c r="U93" i="3"/>
  <c r="U80" i="3"/>
  <c r="U76" i="3"/>
  <c r="U71" i="3"/>
  <c r="U60" i="3"/>
  <c r="U56" i="3"/>
  <c r="U51" i="3"/>
  <c r="U47" i="3"/>
  <c r="U43" i="3"/>
  <c r="U38" i="3"/>
  <c r="U34" i="3"/>
  <c r="U28" i="3"/>
  <c r="U24" i="3"/>
  <c r="U19" i="3"/>
  <c r="U14" i="3"/>
  <c r="U7" i="3"/>
  <c r="U202" i="2"/>
  <c r="U196" i="2"/>
  <c r="U192" i="2"/>
  <c r="U168" i="2"/>
  <c r="U142" i="2"/>
  <c r="U137" i="2"/>
  <c r="U131" i="2"/>
  <c r="U121" i="2"/>
  <c r="U116" i="2"/>
  <c r="U105" i="2"/>
  <c r="U100" i="2"/>
  <c r="U86" i="2"/>
  <c r="U75" i="2"/>
  <c r="U57" i="2"/>
  <c r="U52" i="2"/>
  <c r="U47" i="2"/>
  <c r="U42" i="2"/>
  <c r="U36" i="2"/>
  <c r="U32" i="2"/>
  <c r="U14" i="2"/>
  <c r="U8" i="2"/>
  <c r="U231" i="1"/>
  <c r="U226" i="1"/>
  <c r="U222" i="1"/>
  <c r="U209" i="1"/>
  <c r="U187" i="1"/>
  <c r="U171" i="1"/>
  <c r="U162" i="1"/>
  <c r="U154" i="1"/>
  <c r="U147" i="2"/>
  <c r="U147" i="1"/>
  <c r="U140" i="4"/>
  <c r="U140" i="1"/>
  <c r="U130" i="1"/>
  <c r="U125" i="1"/>
  <c r="U112" i="1"/>
  <c r="U107" i="1"/>
  <c r="U91" i="1"/>
  <c r="U86" i="1"/>
  <c r="U80" i="4"/>
  <c r="U80" i="1"/>
  <c r="U71" i="1"/>
  <c r="U65" i="2"/>
  <c r="U66" i="1"/>
  <c r="U61" i="2"/>
  <c r="U62" i="1"/>
  <c r="U56" i="1"/>
  <c r="U51" i="4"/>
  <c r="U51" i="1"/>
  <c r="U45" i="1"/>
  <c r="U40" i="1"/>
  <c r="U35" i="1"/>
  <c r="U27" i="2"/>
  <c r="U28" i="1"/>
  <c r="U23" i="2"/>
  <c r="U24" i="1"/>
  <c r="U18" i="2"/>
  <c r="U19" i="1"/>
  <c r="U13" i="1"/>
  <c r="U7" i="4"/>
  <c r="U7" i="1"/>
  <c r="S166" i="2"/>
  <c r="S161" i="2"/>
  <c r="S21" i="6"/>
  <c r="V157" i="9"/>
  <c r="T36" i="8"/>
  <c r="T53" i="7"/>
  <c r="T56" i="6"/>
  <c r="T42" i="5"/>
  <c r="T55" i="4"/>
  <c r="T54" i="3"/>
  <c r="T56" i="2"/>
  <c r="T60" i="1"/>
  <c r="S26" i="2"/>
  <c r="S26" i="6"/>
  <c r="S20" i="5"/>
  <c r="S90" i="8"/>
  <c r="V81" i="6"/>
  <c r="G81" i="6"/>
  <c r="S149" i="3"/>
  <c r="S150" i="3"/>
  <c r="R154" i="4"/>
  <c r="S105" i="4"/>
  <c r="R164" i="4"/>
  <c r="O180" i="1"/>
  <c r="S25" i="7"/>
  <c r="S26" i="4"/>
  <c r="S27" i="1"/>
  <c r="V148" i="9"/>
  <c r="V100" i="1"/>
  <c r="P33" i="1"/>
  <c r="P18" i="1"/>
  <c r="T143" i="1"/>
  <c r="S12" i="6"/>
  <c r="S186" i="6"/>
  <c r="S70" i="8"/>
  <c r="S134" i="2"/>
  <c r="S13" i="2"/>
  <c r="S129" i="2"/>
  <c r="S27" i="3"/>
  <c r="S123" i="3"/>
  <c r="S85" i="3"/>
  <c r="Q22" i="3"/>
  <c r="P811" i="10"/>
  <c r="P789" i="10"/>
  <c r="P759" i="10"/>
  <c r="P757" i="10"/>
  <c r="P707" i="10"/>
  <c r="P618" i="10"/>
  <c r="P590" i="10"/>
  <c r="P556" i="10"/>
  <c r="P480" i="10"/>
  <c r="P407" i="10"/>
  <c r="P378" i="10"/>
  <c r="P313" i="10"/>
  <c r="P247" i="10"/>
  <c r="P235" i="10"/>
  <c r="P223" i="10"/>
  <c r="P195" i="10"/>
  <c r="P157" i="10"/>
  <c r="P132" i="10"/>
  <c r="P114" i="10"/>
  <c r="P90" i="10"/>
  <c r="P52" i="10"/>
  <c r="P31" i="10"/>
  <c r="P30" i="10"/>
  <c r="S183" i="9"/>
  <c r="R96" i="5"/>
  <c r="R33" i="1"/>
  <c r="R25" i="7"/>
  <c r="R27" i="1"/>
  <c r="G30" i="10"/>
  <c r="H30" i="10"/>
  <c r="I30" i="10"/>
  <c r="J30" i="10"/>
  <c r="K30" i="10"/>
  <c r="L30" i="10"/>
  <c r="M30" i="10"/>
  <c r="N30" i="10"/>
  <c r="O30" i="10"/>
  <c r="G31" i="10"/>
  <c r="H31" i="10"/>
  <c r="I31" i="10"/>
  <c r="J31" i="10"/>
  <c r="K31" i="10"/>
  <c r="L31" i="10"/>
  <c r="M31" i="10"/>
  <c r="N31" i="10"/>
  <c r="O31" i="10"/>
  <c r="G52" i="10"/>
  <c r="H52" i="10"/>
  <c r="I52" i="10"/>
  <c r="J52" i="10"/>
  <c r="K52" i="10"/>
  <c r="L52" i="10"/>
  <c r="M52" i="10"/>
  <c r="N52" i="10"/>
  <c r="O52" i="10"/>
  <c r="S53" i="10"/>
  <c r="S70" i="10"/>
  <c r="G90" i="10"/>
  <c r="H90" i="10"/>
  <c r="I90" i="10"/>
  <c r="J90" i="10"/>
  <c r="K90" i="10"/>
  <c r="L90" i="10"/>
  <c r="M90" i="10"/>
  <c r="N90" i="10"/>
  <c r="O90" i="10"/>
  <c r="S91" i="10"/>
  <c r="G114" i="10"/>
  <c r="H114" i="10"/>
  <c r="I114" i="10"/>
  <c r="J114" i="10"/>
  <c r="K114" i="10"/>
  <c r="L114" i="10"/>
  <c r="M114" i="10"/>
  <c r="N114" i="10"/>
  <c r="O114" i="10"/>
  <c r="Q114" i="10"/>
  <c r="G132" i="10"/>
  <c r="H132" i="10"/>
  <c r="I132" i="10"/>
  <c r="J132" i="10"/>
  <c r="K132" i="10"/>
  <c r="L132" i="10"/>
  <c r="M132" i="10"/>
  <c r="N132" i="10"/>
  <c r="O132" i="10"/>
  <c r="S156" i="10"/>
  <c r="G157" i="10"/>
  <c r="H157" i="10"/>
  <c r="I157" i="10"/>
  <c r="J157" i="10"/>
  <c r="K157" i="10"/>
  <c r="L157" i="10"/>
  <c r="M157" i="10"/>
  <c r="N157" i="10"/>
  <c r="O157" i="10"/>
  <c r="S178" i="10"/>
  <c r="G179" i="10"/>
  <c r="H179" i="10"/>
  <c r="I179" i="10"/>
  <c r="J179" i="10"/>
  <c r="K179" i="10"/>
  <c r="L179" i="10"/>
  <c r="M179" i="10"/>
  <c r="N179" i="10"/>
  <c r="O179" i="10"/>
  <c r="S194" i="10"/>
  <c r="G195" i="10"/>
  <c r="H195" i="10"/>
  <c r="I195" i="10"/>
  <c r="J195" i="10"/>
  <c r="K195" i="10"/>
  <c r="L195" i="10"/>
  <c r="M195" i="10"/>
  <c r="N195" i="10"/>
  <c r="O195" i="10"/>
  <c r="AT209" i="10"/>
  <c r="AU209" i="10"/>
  <c r="AV209" i="10"/>
  <c r="AW209" i="10"/>
  <c r="AX209" i="10"/>
  <c r="AY209" i="10"/>
  <c r="AZ209" i="10"/>
  <c r="BA209" i="10"/>
  <c r="BB209" i="10"/>
  <c r="BC209" i="10"/>
  <c r="BD209" i="10"/>
  <c r="S222" i="10"/>
  <c r="G223" i="10"/>
  <c r="H223" i="10"/>
  <c r="I223" i="10"/>
  <c r="J223" i="10"/>
  <c r="K223" i="10"/>
  <c r="L223" i="10"/>
  <c r="M223" i="10"/>
  <c r="N223" i="10"/>
  <c r="O223" i="10"/>
  <c r="S234" i="10"/>
  <c r="G235" i="10"/>
  <c r="H235" i="10"/>
  <c r="I235" i="10"/>
  <c r="J235" i="10"/>
  <c r="K235" i="10"/>
  <c r="L235" i="10"/>
  <c r="M235" i="10"/>
  <c r="N235" i="10"/>
  <c r="O235" i="10"/>
  <c r="G247" i="10"/>
  <c r="H247" i="10"/>
  <c r="I247" i="10"/>
  <c r="J247" i="10"/>
  <c r="K247" i="10"/>
  <c r="L247" i="10"/>
  <c r="M247" i="10"/>
  <c r="N247" i="10"/>
  <c r="O247" i="10"/>
  <c r="S294" i="10"/>
  <c r="G313" i="10"/>
  <c r="H313" i="10"/>
  <c r="I313" i="10"/>
  <c r="J313" i="10"/>
  <c r="K313" i="10"/>
  <c r="L313" i="10"/>
  <c r="M313" i="10"/>
  <c r="N313" i="10"/>
  <c r="O313" i="10"/>
  <c r="S377" i="10"/>
  <c r="G378" i="10"/>
  <c r="H378" i="10"/>
  <c r="I378" i="10"/>
  <c r="J378" i="10"/>
  <c r="K378" i="10"/>
  <c r="L378" i="10"/>
  <c r="M378" i="10"/>
  <c r="N378" i="10"/>
  <c r="O378" i="10"/>
  <c r="S406" i="10"/>
  <c r="G407" i="10"/>
  <c r="H407" i="10"/>
  <c r="I407" i="10"/>
  <c r="J407" i="10"/>
  <c r="K407" i="10"/>
  <c r="L407" i="10"/>
  <c r="M407" i="10"/>
  <c r="N407" i="10"/>
  <c r="O407" i="10"/>
  <c r="BA418" i="10"/>
  <c r="BB418" i="10"/>
  <c r="BC418" i="10"/>
  <c r="BD418" i="10"/>
  <c r="BE418" i="10"/>
  <c r="BF418" i="10"/>
  <c r="BG418" i="10"/>
  <c r="BH418" i="10"/>
  <c r="BI418" i="10"/>
  <c r="BJ418" i="10"/>
  <c r="BK418" i="10"/>
  <c r="BL418" i="10"/>
  <c r="BM418" i="10"/>
  <c r="BN418" i="10"/>
  <c r="BO418" i="10"/>
  <c r="BP418" i="10"/>
  <c r="BQ418" i="10"/>
  <c r="BR418" i="10"/>
  <c r="BS418" i="10"/>
  <c r="BT418" i="10"/>
  <c r="BU418" i="10"/>
  <c r="BV418" i="10"/>
  <c r="BW418" i="10"/>
  <c r="BX418" i="10"/>
  <c r="BY418" i="10"/>
  <c r="BZ418" i="10"/>
  <c r="CA418" i="10"/>
  <c r="CB418" i="10"/>
  <c r="CC418" i="10"/>
  <c r="CD418" i="10"/>
  <c r="CE418" i="10"/>
  <c r="CF418" i="10"/>
  <c r="CG418" i="10"/>
  <c r="CH418" i="10"/>
  <c r="CI418" i="10"/>
  <c r="CJ418" i="10"/>
  <c r="CK418" i="10"/>
  <c r="CL418" i="10"/>
  <c r="CM418" i="10"/>
  <c r="CN418" i="10"/>
  <c r="CO418" i="10"/>
  <c r="CP418" i="10"/>
  <c r="CQ418" i="10"/>
  <c r="CR418" i="10"/>
  <c r="CS418" i="10"/>
  <c r="CT418" i="10"/>
  <c r="CU418" i="10"/>
  <c r="CV418" i="10"/>
  <c r="CW418" i="10"/>
  <c r="CX418" i="10"/>
  <c r="CY418" i="10"/>
  <c r="CZ418" i="10"/>
  <c r="DA418" i="10"/>
  <c r="DB418" i="10"/>
  <c r="DC418" i="10"/>
  <c r="DD418" i="10"/>
  <c r="DE418" i="10"/>
  <c r="DF418" i="10"/>
  <c r="DG418" i="10"/>
  <c r="DH418" i="10"/>
  <c r="DI418" i="10"/>
  <c r="DJ418" i="10"/>
  <c r="DK418" i="10"/>
  <c r="DL418" i="10"/>
  <c r="DM418" i="10"/>
  <c r="DN418" i="10"/>
  <c r="DO418" i="10"/>
  <c r="DP418" i="10"/>
  <c r="DQ418" i="10"/>
  <c r="DR418" i="10"/>
  <c r="DS418" i="10"/>
  <c r="DT418" i="10"/>
  <c r="DU418" i="10"/>
  <c r="DV418" i="10"/>
  <c r="DW418" i="10"/>
  <c r="DX418" i="10"/>
  <c r="DY418" i="10"/>
  <c r="DZ418" i="10"/>
  <c r="EA418" i="10"/>
  <c r="EB418" i="10"/>
  <c r="EC418" i="10"/>
  <c r="ED418" i="10"/>
  <c r="EE418" i="10"/>
  <c r="EF418" i="10"/>
  <c r="EG418" i="10"/>
  <c r="EH418" i="10"/>
  <c r="EI418" i="10"/>
  <c r="EJ418" i="10"/>
  <c r="EK418" i="10"/>
  <c r="EL418" i="10"/>
  <c r="EM418" i="10"/>
  <c r="EN418" i="10"/>
  <c r="EO418" i="10"/>
  <c r="EP418" i="10"/>
  <c r="EQ418" i="10"/>
  <c r="ER418" i="10"/>
  <c r="ES418" i="10"/>
  <c r="ET418" i="10"/>
  <c r="EU418" i="10"/>
  <c r="EV418" i="10"/>
  <c r="EW418" i="10"/>
  <c r="EX418" i="10"/>
  <c r="EY418" i="10"/>
  <c r="EZ418" i="10"/>
  <c r="FA418" i="10"/>
  <c r="FB418" i="10"/>
  <c r="FC418" i="10"/>
  <c r="FD418" i="10"/>
  <c r="FE418" i="10"/>
  <c r="FF418" i="10"/>
  <c r="FG418" i="10"/>
  <c r="FH418" i="10"/>
  <c r="FI418" i="10"/>
  <c r="FJ418" i="10"/>
  <c r="FK418" i="10"/>
  <c r="FL418" i="10"/>
  <c r="FM418" i="10"/>
  <c r="FN418" i="10"/>
  <c r="FO418" i="10"/>
  <c r="FP418" i="10"/>
  <c r="FQ418" i="10"/>
  <c r="FR418" i="10"/>
  <c r="FS418" i="10"/>
  <c r="FT418" i="10"/>
  <c r="FU418" i="10"/>
  <c r="FV418" i="10"/>
  <c r="FW418" i="10"/>
  <c r="FX418" i="10"/>
  <c r="FY418" i="10"/>
  <c r="FZ418" i="10"/>
  <c r="GA418" i="10"/>
  <c r="GB418" i="10"/>
  <c r="GC418" i="10"/>
  <c r="GD418" i="10"/>
  <c r="GE418" i="10"/>
  <c r="GF418" i="10"/>
  <c r="GG418" i="10"/>
  <c r="GH418" i="10"/>
  <c r="GI418" i="10"/>
  <c r="GJ418" i="10"/>
  <c r="GK418" i="10"/>
  <c r="GL418" i="10"/>
  <c r="GM418" i="10"/>
  <c r="GN418" i="10"/>
  <c r="GO418" i="10"/>
  <c r="GP418" i="10"/>
  <c r="GQ418" i="10"/>
  <c r="GR418" i="10"/>
  <c r="GS418" i="10"/>
  <c r="GT418" i="10"/>
  <c r="GU418" i="10"/>
  <c r="GV418" i="10"/>
  <c r="GW418" i="10"/>
  <c r="GX418" i="10"/>
  <c r="GY418" i="10"/>
  <c r="GZ418" i="10"/>
  <c r="HA418" i="10"/>
  <c r="HB418" i="10"/>
  <c r="HC418" i="10"/>
  <c r="HD418" i="10"/>
  <c r="HE418" i="10"/>
  <c r="HF418" i="10"/>
  <c r="HG418" i="10"/>
  <c r="HH418" i="10"/>
  <c r="HI418" i="10"/>
  <c r="HJ418" i="10"/>
  <c r="HK418" i="10"/>
  <c r="HL418" i="10"/>
  <c r="HM418" i="10"/>
  <c r="HN418" i="10"/>
  <c r="HO418" i="10"/>
  <c r="HP418" i="10"/>
  <c r="HQ418" i="10"/>
  <c r="HR418" i="10"/>
  <c r="HS418" i="10"/>
  <c r="HT418" i="10"/>
  <c r="HU418" i="10"/>
  <c r="HV418" i="10"/>
  <c r="HW418" i="10"/>
  <c r="HX418" i="10"/>
  <c r="HY418" i="10"/>
  <c r="HZ418" i="10"/>
  <c r="IA418" i="10"/>
  <c r="IB418" i="10"/>
  <c r="IC418" i="10"/>
  <c r="ID418" i="10"/>
  <c r="IE418" i="10"/>
  <c r="IF418" i="10"/>
  <c r="IG418" i="10"/>
  <c r="IH418" i="10"/>
  <c r="II418" i="10"/>
  <c r="IJ418" i="10"/>
  <c r="IK418" i="10"/>
  <c r="IL418" i="10"/>
  <c r="IM418" i="10"/>
  <c r="IN418" i="10"/>
  <c r="IO418" i="10"/>
  <c r="IP418" i="10"/>
  <c r="IQ418" i="10"/>
  <c r="IR418" i="10"/>
  <c r="IS418" i="10"/>
  <c r="IT418" i="10"/>
  <c r="IU418" i="10"/>
  <c r="IV418" i="10"/>
  <c r="IW418" i="10"/>
  <c r="G480" i="10"/>
  <c r="H480" i="10"/>
  <c r="I480" i="10"/>
  <c r="J480" i="10"/>
  <c r="K480" i="10"/>
  <c r="L480" i="10"/>
  <c r="M480" i="10"/>
  <c r="N480" i="10"/>
  <c r="O480" i="10"/>
  <c r="S555" i="10"/>
  <c r="G556" i="10"/>
  <c r="H556" i="10"/>
  <c r="I556" i="10"/>
  <c r="J556" i="10"/>
  <c r="K556" i="10"/>
  <c r="L556" i="10"/>
  <c r="M556" i="10"/>
  <c r="N556" i="10"/>
  <c r="O556" i="10"/>
  <c r="S556" i="10" s="1"/>
  <c r="S589" i="10"/>
  <c r="G590" i="10"/>
  <c r="H590" i="10"/>
  <c r="I590" i="10"/>
  <c r="J590" i="10"/>
  <c r="K590" i="10"/>
  <c r="L590" i="10"/>
  <c r="M590" i="10"/>
  <c r="N590" i="10"/>
  <c r="O590" i="10"/>
  <c r="S617" i="10"/>
  <c r="G618" i="10"/>
  <c r="H618" i="10"/>
  <c r="I618" i="10"/>
  <c r="J618" i="10"/>
  <c r="K618" i="10"/>
  <c r="L618" i="10"/>
  <c r="M618" i="10"/>
  <c r="N618" i="10"/>
  <c r="O618" i="10"/>
  <c r="S619" i="10"/>
  <c r="G707" i="10"/>
  <c r="J707" i="10"/>
  <c r="K707" i="10"/>
  <c r="L707" i="10"/>
  <c r="M707" i="10"/>
  <c r="N707" i="10"/>
  <c r="O707" i="10"/>
  <c r="S756" i="10"/>
  <c r="G757" i="10"/>
  <c r="H757" i="10"/>
  <c r="I757" i="10"/>
  <c r="J757" i="10"/>
  <c r="K757" i="10"/>
  <c r="L757" i="10"/>
  <c r="M757" i="10"/>
  <c r="N757" i="10"/>
  <c r="O757" i="10"/>
  <c r="S758" i="10"/>
  <c r="G759" i="10"/>
  <c r="H759" i="10"/>
  <c r="I759" i="10"/>
  <c r="J759" i="10"/>
  <c r="K759" i="10"/>
  <c r="L759" i="10"/>
  <c r="M759" i="10"/>
  <c r="N759" i="10"/>
  <c r="O759" i="10"/>
  <c r="G789" i="10"/>
  <c r="H789" i="10"/>
  <c r="I789" i="10"/>
  <c r="J789" i="10"/>
  <c r="K789" i="10"/>
  <c r="L789" i="10"/>
  <c r="M789" i="10"/>
  <c r="N789" i="10"/>
  <c r="O789" i="10"/>
  <c r="S790" i="10"/>
  <c r="G811" i="10"/>
  <c r="H811" i="10"/>
  <c r="I811" i="10"/>
  <c r="J811" i="10"/>
  <c r="K811" i="10"/>
  <c r="L811" i="10"/>
  <c r="M811" i="10"/>
  <c r="N811" i="10"/>
  <c r="O811" i="10"/>
  <c r="S812" i="10"/>
  <c r="I6" i="9"/>
  <c r="I7" i="9" s="1"/>
  <c r="J6" i="9"/>
  <c r="J7" i="9" s="1"/>
  <c r="K6" i="9"/>
  <c r="K7" i="9" s="1"/>
  <c r="L6" i="9"/>
  <c r="M6" i="9"/>
  <c r="M7" i="9"/>
  <c r="N6" i="9"/>
  <c r="N7" i="9" s="1"/>
  <c r="O6" i="9"/>
  <c r="P6" i="9"/>
  <c r="P7" i="9" s="1"/>
  <c r="Q6" i="9"/>
  <c r="H7" i="9"/>
  <c r="L7" i="9"/>
  <c r="O7" i="9"/>
  <c r="Q7" i="9"/>
  <c r="R7" i="9"/>
  <c r="S7" i="9"/>
  <c r="T7" i="9"/>
  <c r="V10" i="9"/>
  <c r="V11" i="9" s="1"/>
  <c r="W11" i="9" s="1"/>
  <c r="H11" i="9"/>
  <c r="I11" i="9"/>
  <c r="J11" i="9"/>
  <c r="K11" i="9"/>
  <c r="L11" i="9"/>
  <c r="M11" i="9"/>
  <c r="N11" i="9"/>
  <c r="O11" i="9"/>
  <c r="P11" i="9"/>
  <c r="Q11" i="9"/>
  <c r="R11" i="9"/>
  <c r="S11" i="9"/>
  <c r="T11" i="9"/>
  <c r="Q14" i="9"/>
  <c r="V15" i="9"/>
  <c r="H16" i="9"/>
  <c r="I16" i="9"/>
  <c r="J16" i="9"/>
  <c r="K16" i="9"/>
  <c r="L16" i="9"/>
  <c r="M16" i="9"/>
  <c r="N16" i="9"/>
  <c r="O16" i="9"/>
  <c r="P16" i="9"/>
  <c r="Q16" i="9"/>
  <c r="R16" i="9"/>
  <c r="S16" i="9"/>
  <c r="T16" i="9"/>
  <c r="R19" i="9"/>
  <c r="H20" i="9"/>
  <c r="I20" i="9"/>
  <c r="J20" i="9"/>
  <c r="K20" i="9"/>
  <c r="L20" i="9"/>
  <c r="M20" i="9"/>
  <c r="N20" i="9"/>
  <c r="O20" i="9"/>
  <c r="P20" i="9"/>
  <c r="Q20" i="9"/>
  <c r="S20" i="9"/>
  <c r="T20" i="9"/>
  <c r="V23" i="9"/>
  <c r="V24" i="9" s="1"/>
  <c r="H24" i="9"/>
  <c r="I24" i="9"/>
  <c r="J24" i="9"/>
  <c r="K24" i="9"/>
  <c r="L24" i="9"/>
  <c r="M24" i="9"/>
  <c r="N24" i="9"/>
  <c r="O24" i="9"/>
  <c r="P24" i="9"/>
  <c r="Q24" i="9"/>
  <c r="R24" i="9"/>
  <c r="S24" i="9"/>
  <c r="T24" i="9"/>
  <c r="G27" i="9"/>
  <c r="V27" i="9"/>
  <c r="G28" i="9"/>
  <c r="V28" i="9"/>
  <c r="V29" i="9" s="1"/>
  <c r="W29" i="9" s="1"/>
  <c r="H29" i="9"/>
  <c r="I29" i="9"/>
  <c r="J29" i="9"/>
  <c r="K29" i="9"/>
  <c r="L29" i="9"/>
  <c r="M29" i="9"/>
  <c r="N29" i="9"/>
  <c r="O29" i="9"/>
  <c r="P29" i="9"/>
  <c r="Q29" i="9"/>
  <c r="R29" i="9"/>
  <c r="S29" i="9"/>
  <c r="T29" i="9"/>
  <c r="V30" i="9"/>
  <c r="V32" i="9"/>
  <c r="V34" i="9"/>
  <c r="V33" i="9"/>
  <c r="H34" i="9"/>
  <c r="I34" i="9"/>
  <c r="J34" i="9"/>
  <c r="K34" i="9"/>
  <c r="L34" i="9"/>
  <c r="M34" i="9"/>
  <c r="N34" i="9"/>
  <c r="O34" i="9"/>
  <c r="P34" i="9"/>
  <c r="Q34" i="9"/>
  <c r="R34" i="9"/>
  <c r="S34" i="9"/>
  <c r="T34" i="9"/>
  <c r="V37" i="9"/>
  <c r="V38" i="9"/>
  <c r="J39" i="9"/>
  <c r="H40" i="9"/>
  <c r="I40" i="9"/>
  <c r="K40" i="9"/>
  <c r="L40" i="9"/>
  <c r="M40" i="9"/>
  <c r="N40" i="9"/>
  <c r="O40" i="9"/>
  <c r="P40" i="9"/>
  <c r="Q40" i="9"/>
  <c r="R40" i="9"/>
  <c r="S40" i="9"/>
  <c r="T40" i="9"/>
  <c r="V43" i="9"/>
  <c r="V44" i="9"/>
  <c r="H45" i="9"/>
  <c r="I45" i="9"/>
  <c r="J45" i="9"/>
  <c r="K45" i="9"/>
  <c r="L45" i="9"/>
  <c r="M45" i="9"/>
  <c r="N45" i="9"/>
  <c r="O45" i="9"/>
  <c r="P45" i="9"/>
  <c r="Q45" i="9"/>
  <c r="R45" i="9"/>
  <c r="S45" i="9"/>
  <c r="T45" i="9"/>
  <c r="J48" i="9"/>
  <c r="V49" i="9"/>
  <c r="H50" i="9"/>
  <c r="I50" i="9"/>
  <c r="K50" i="9"/>
  <c r="L50" i="9"/>
  <c r="M50" i="9"/>
  <c r="N50" i="9"/>
  <c r="O50" i="9"/>
  <c r="P50" i="9"/>
  <c r="Q50" i="9"/>
  <c r="R50" i="9"/>
  <c r="S50" i="9"/>
  <c r="T50" i="9"/>
  <c r="V53" i="9"/>
  <c r="H54" i="9"/>
  <c r="I54" i="9"/>
  <c r="J54" i="9"/>
  <c r="K54" i="9"/>
  <c r="L54" i="9"/>
  <c r="M54" i="9"/>
  <c r="N54" i="9"/>
  <c r="O54" i="9"/>
  <c r="P54" i="9"/>
  <c r="Q54" i="9"/>
  <c r="R54" i="9"/>
  <c r="S54" i="9"/>
  <c r="T54" i="9"/>
  <c r="V54" i="9"/>
  <c r="V57" i="9"/>
  <c r="V58" i="9"/>
  <c r="V60" i="9" s="1"/>
  <c r="V59" i="9"/>
  <c r="H60" i="9"/>
  <c r="I60" i="9"/>
  <c r="J60" i="9"/>
  <c r="K60" i="9"/>
  <c r="L60" i="9"/>
  <c r="M60" i="9"/>
  <c r="N60" i="9"/>
  <c r="O60" i="9"/>
  <c r="P60" i="9"/>
  <c r="Q60" i="9"/>
  <c r="R60" i="9"/>
  <c r="S60" i="9"/>
  <c r="T60" i="9"/>
  <c r="V63" i="9"/>
  <c r="V64" i="9"/>
  <c r="V65" i="9"/>
  <c r="H66" i="9"/>
  <c r="I66" i="9"/>
  <c r="J66" i="9"/>
  <c r="K66" i="9"/>
  <c r="L66" i="9"/>
  <c r="M66" i="9"/>
  <c r="N66" i="9"/>
  <c r="O66" i="9"/>
  <c r="P66" i="9"/>
  <c r="Q66" i="9"/>
  <c r="R66" i="9"/>
  <c r="S66" i="9"/>
  <c r="T66" i="9"/>
  <c r="V69" i="9"/>
  <c r="H70" i="9"/>
  <c r="I70" i="9"/>
  <c r="J70" i="9"/>
  <c r="K70" i="9"/>
  <c r="L70" i="9"/>
  <c r="M70" i="9"/>
  <c r="N70" i="9"/>
  <c r="O70" i="9"/>
  <c r="P70" i="9"/>
  <c r="Q70" i="9"/>
  <c r="R70" i="9"/>
  <c r="S70" i="9"/>
  <c r="T70" i="9"/>
  <c r="V70" i="9"/>
  <c r="V73" i="9"/>
  <c r="V74" i="9"/>
  <c r="V75" i="9"/>
  <c r="V76" i="9"/>
  <c r="V77" i="9"/>
  <c r="V78" i="9"/>
  <c r="G79" i="9"/>
  <c r="S79" i="9"/>
  <c r="V79" i="9" s="1"/>
  <c r="V80" i="9"/>
  <c r="V81" i="9"/>
  <c r="V82" i="9"/>
  <c r="V83" i="9"/>
  <c r="V84" i="9"/>
  <c r="V85" i="9"/>
  <c r="V86" i="9"/>
  <c r="V87" i="9"/>
  <c r="V88" i="9"/>
  <c r="V89" i="9"/>
  <c r="V90" i="9"/>
  <c r="V91" i="9"/>
  <c r="V92" i="9"/>
  <c r="V93" i="9"/>
  <c r="V94" i="9"/>
  <c r="V95" i="9"/>
  <c r="V96" i="9"/>
  <c r="V97" i="9"/>
  <c r="V98" i="9"/>
  <c r="J99" i="9"/>
  <c r="V99" i="9" s="1"/>
  <c r="V100" i="9"/>
  <c r="V101" i="9"/>
  <c r="V102" i="9"/>
  <c r="V103" i="9"/>
  <c r="V104" i="9"/>
  <c r="V105" i="9"/>
  <c r="V106" i="9"/>
  <c r="V107" i="9"/>
  <c r="V108" i="9"/>
  <c r="V109" i="9"/>
  <c r="V110" i="9"/>
  <c r="V111" i="9"/>
  <c r="V112" i="9"/>
  <c r="V113" i="9"/>
  <c r="V114" i="9"/>
  <c r="V115" i="9"/>
  <c r="V116" i="9"/>
  <c r="V117" i="9"/>
  <c r="Q118" i="9"/>
  <c r="V118" i="9" s="1"/>
  <c r="V119" i="9"/>
  <c r="V120" i="9"/>
  <c r="V121" i="9"/>
  <c r="V122" i="9"/>
  <c r="H123" i="9"/>
  <c r="V123" i="9"/>
  <c r="V124" i="9"/>
  <c r="L125" i="9"/>
  <c r="V125" i="9" s="1"/>
  <c r="M125" i="9"/>
  <c r="V126" i="9"/>
  <c r="V127" i="9"/>
  <c r="V128" i="9"/>
  <c r="H129" i="9"/>
  <c r="V129" i="9" s="1"/>
  <c r="V130" i="9"/>
  <c r="V131" i="9"/>
  <c r="V132" i="9"/>
  <c r="V133" i="9"/>
  <c r="V134" i="9"/>
  <c r="V135" i="9"/>
  <c r="V136" i="9"/>
  <c r="V137" i="9"/>
  <c r="V138" i="9"/>
  <c r="V139" i="9"/>
  <c r="V140" i="9"/>
  <c r="V141" i="9"/>
  <c r="V142" i="9"/>
  <c r="H143" i="9"/>
  <c r="V143" i="9" s="1"/>
  <c r="V144" i="9"/>
  <c r="O145" i="9"/>
  <c r="P145" i="9"/>
  <c r="V146" i="9"/>
  <c r="V147" i="9"/>
  <c r="V149" i="9"/>
  <c r="V150" i="9"/>
  <c r="V151" i="9"/>
  <c r="V152" i="9"/>
  <c r="I153" i="9"/>
  <c r="J153" i="9"/>
  <c r="K153" i="9"/>
  <c r="L153" i="9"/>
  <c r="M153" i="9"/>
  <c r="V154" i="9"/>
  <c r="V155" i="9"/>
  <c r="M156" i="9"/>
  <c r="N156" i="9"/>
  <c r="O156" i="9"/>
  <c r="P156" i="9"/>
  <c r="Q156" i="9"/>
  <c r="R156" i="9"/>
  <c r="S156" i="9"/>
  <c r="V158" i="9"/>
  <c r="V159" i="9"/>
  <c r="H160" i="9"/>
  <c r="V160" i="9" s="1"/>
  <c r="V161" i="9"/>
  <c r="V162" i="9"/>
  <c r="V163" i="9"/>
  <c r="V164" i="9"/>
  <c r="V165" i="9"/>
  <c r="V166" i="9"/>
  <c r="V168" i="9"/>
  <c r="I169" i="9"/>
  <c r="V169" i="9" s="1"/>
  <c r="J169" i="9"/>
  <c r="I170" i="9"/>
  <c r="V170" i="9" s="1"/>
  <c r="I171" i="9"/>
  <c r="V171" i="9" s="1"/>
  <c r="I172" i="9"/>
  <c r="V172" i="9" s="1"/>
  <c r="K173" i="9"/>
  <c r="N173" i="9"/>
  <c r="O173" i="9"/>
  <c r="V175" i="9"/>
  <c r="V176" i="9"/>
  <c r="V177" i="9"/>
  <c r="H178" i="9"/>
  <c r="I178" i="9"/>
  <c r="J178" i="9"/>
  <c r="K178" i="9"/>
  <c r="L178" i="9"/>
  <c r="M178" i="9"/>
  <c r="N178" i="9"/>
  <c r="O178" i="9"/>
  <c r="P178" i="9"/>
  <c r="Q178" i="9"/>
  <c r="R178" i="9"/>
  <c r="S178" i="9"/>
  <c r="T178" i="9"/>
  <c r="V182" i="9"/>
  <c r="J183" i="9"/>
  <c r="K183" i="9"/>
  <c r="V184" i="9"/>
  <c r="V185" i="9"/>
  <c r="V186" i="9"/>
  <c r="V187" i="9"/>
  <c r="Z187" i="9"/>
  <c r="V188" i="9"/>
  <c r="H189" i="9"/>
  <c r="I190" i="9"/>
  <c r="O191" i="9"/>
  <c r="V191" i="9" s="1"/>
  <c r="V192" i="9"/>
  <c r="V193" i="9"/>
  <c r="V194" i="9"/>
  <c r="V195" i="9"/>
  <c r="I196" i="9"/>
  <c r="J196" i="9"/>
  <c r="N196" i="9"/>
  <c r="V196" i="9" s="1"/>
  <c r="V197" i="9"/>
  <c r="V198" i="9"/>
  <c r="L199" i="9"/>
  <c r="M199" i="9"/>
  <c r="O199" i="9"/>
  <c r="P199" i="9"/>
  <c r="Q199" i="9"/>
  <c r="R199" i="9"/>
  <c r="S199" i="9"/>
  <c r="T199" i="9"/>
  <c r="V202" i="9"/>
  <c r="V203" i="9" s="1"/>
  <c r="W203" i="9" s="1"/>
  <c r="H203" i="9"/>
  <c r="I203" i="9"/>
  <c r="J203" i="9"/>
  <c r="K203" i="9"/>
  <c r="L203" i="9"/>
  <c r="M203" i="9"/>
  <c r="N203" i="9"/>
  <c r="O203" i="9"/>
  <c r="P203" i="9"/>
  <c r="Q203" i="9"/>
  <c r="R203" i="9"/>
  <c r="S203" i="9"/>
  <c r="T203" i="9"/>
  <c r="H206" i="9"/>
  <c r="H213" i="9"/>
  <c r="V207" i="9"/>
  <c r="V208" i="9"/>
  <c r="V209" i="9"/>
  <c r="V210" i="9"/>
  <c r="V211" i="9"/>
  <c r="V212" i="9"/>
  <c r="I213" i="9"/>
  <c r="J213" i="9"/>
  <c r="K213" i="9"/>
  <c r="L213" i="9"/>
  <c r="M213" i="9"/>
  <c r="N213" i="9"/>
  <c r="O213" i="9"/>
  <c r="P213" i="9"/>
  <c r="Q213" i="9"/>
  <c r="R213" i="9"/>
  <c r="S213" i="9"/>
  <c r="T213" i="9"/>
  <c r="H6" i="8"/>
  <c r="V6" i="8"/>
  <c r="V7" i="8" s="1"/>
  <c r="I7" i="8"/>
  <c r="J7" i="8"/>
  <c r="K7" i="8"/>
  <c r="L7" i="8"/>
  <c r="M7" i="8"/>
  <c r="N7" i="8"/>
  <c r="O7" i="8"/>
  <c r="P7" i="8"/>
  <c r="Q7" i="8"/>
  <c r="R7" i="8"/>
  <c r="S7" i="8"/>
  <c r="T7" i="8"/>
  <c r="H10" i="8"/>
  <c r="I10" i="8"/>
  <c r="I13" i="8"/>
  <c r="J10" i="8"/>
  <c r="M10" i="8"/>
  <c r="M13" i="8" s="1"/>
  <c r="V12" i="8"/>
  <c r="S11" i="8"/>
  <c r="V11" i="8" s="1"/>
  <c r="J13" i="8"/>
  <c r="K13" i="8"/>
  <c r="L13" i="8"/>
  <c r="N13" i="8"/>
  <c r="O13" i="8"/>
  <c r="P13" i="8"/>
  <c r="Q13" i="8"/>
  <c r="R13" i="8"/>
  <c r="T13" i="8"/>
  <c r="H16" i="8"/>
  <c r="H17" i="8" s="1"/>
  <c r="I17" i="8"/>
  <c r="J17" i="8"/>
  <c r="K17" i="8"/>
  <c r="L17" i="8"/>
  <c r="M17" i="8"/>
  <c r="N17" i="8"/>
  <c r="O17" i="8"/>
  <c r="P17" i="8"/>
  <c r="Q17" i="8"/>
  <c r="R17" i="8"/>
  <c r="S17" i="8"/>
  <c r="T17" i="8"/>
  <c r="V20" i="8"/>
  <c r="V21" i="8" s="1"/>
  <c r="H21" i="8"/>
  <c r="I21" i="8"/>
  <c r="J21" i="8"/>
  <c r="K21" i="8"/>
  <c r="L21" i="8"/>
  <c r="M21" i="8"/>
  <c r="N21" i="8"/>
  <c r="O21" i="8"/>
  <c r="P21" i="8"/>
  <c r="Q21" i="8"/>
  <c r="R21" i="8"/>
  <c r="S21" i="8"/>
  <c r="T21" i="8"/>
  <c r="V24" i="8"/>
  <c r="V25" i="8" s="1"/>
  <c r="W25" i="8" s="1"/>
  <c r="H25" i="8"/>
  <c r="I25" i="8"/>
  <c r="J25" i="8"/>
  <c r="K25" i="8"/>
  <c r="L25" i="8"/>
  <c r="M25" i="8"/>
  <c r="N25" i="8"/>
  <c r="O25" i="8"/>
  <c r="P25" i="8"/>
  <c r="Q25" i="8"/>
  <c r="R25" i="8"/>
  <c r="S25" i="8"/>
  <c r="T25" i="8"/>
  <c r="V28" i="8"/>
  <c r="V29" i="8" s="1"/>
  <c r="W29" i="8" s="1"/>
  <c r="H29" i="8"/>
  <c r="I29" i="8"/>
  <c r="J29" i="8"/>
  <c r="K29" i="8"/>
  <c r="L29" i="8"/>
  <c r="M29" i="8"/>
  <c r="N29" i="8"/>
  <c r="O29" i="8"/>
  <c r="P29" i="8"/>
  <c r="Q29" i="8"/>
  <c r="R29" i="8"/>
  <c r="S29" i="8"/>
  <c r="T29" i="8"/>
  <c r="V32" i="8"/>
  <c r="V33" i="8" s="1"/>
  <c r="H33" i="8"/>
  <c r="I33" i="8"/>
  <c r="J33" i="8"/>
  <c r="K33" i="8"/>
  <c r="L33" i="8"/>
  <c r="M33" i="8"/>
  <c r="N33" i="8"/>
  <c r="O33" i="8"/>
  <c r="P33" i="8"/>
  <c r="Q33" i="8"/>
  <c r="R33" i="8"/>
  <c r="S33" i="8"/>
  <c r="T33" i="8"/>
  <c r="I36" i="8"/>
  <c r="J36" i="8"/>
  <c r="K36" i="8"/>
  <c r="L36" i="8"/>
  <c r="M36" i="8"/>
  <c r="V37" i="8"/>
  <c r="V38" i="8"/>
  <c r="H39" i="8"/>
  <c r="J39" i="8"/>
  <c r="M39" i="8"/>
  <c r="N39" i="8"/>
  <c r="O39" i="8"/>
  <c r="P39" i="8"/>
  <c r="Q39" i="8"/>
  <c r="R39" i="8"/>
  <c r="S39" i="8"/>
  <c r="T39" i="8"/>
  <c r="V42" i="8"/>
  <c r="G43" i="8"/>
  <c r="V43" i="8"/>
  <c r="V44" i="8"/>
  <c r="V45" i="8"/>
  <c r="V46" i="8"/>
  <c r="H47" i="8"/>
  <c r="I47" i="8"/>
  <c r="J47" i="8"/>
  <c r="K47" i="8"/>
  <c r="L47" i="8"/>
  <c r="M47" i="8"/>
  <c r="N47" i="8"/>
  <c r="O47" i="8"/>
  <c r="P47" i="8"/>
  <c r="Q47" i="8"/>
  <c r="R47" i="8"/>
  <c r="S47" i="8"/>
  <c r="T47" i="8"/>
  <c r="V50" i="8"/>
  <c r="V52" i="8" s="1"/>
  <c r="V51" i="8"/>
  <c r="H52" i="8"/>
  <c r="I52" i="8"/>
  <c r="J52" i="8"/>
  <c r="K52" i="8"/>
  <c r="L52" i="8"/>
  <c r="M52" i="8"/>
  <c r="N52" i="8"/>
  <c r="O52" i="8"/>
  <c r="P52" i="8"/>
  <c r="Q52" i="8"/>
  <c r="R52" i="8"/>
  <c r="S52" i="8"/>
  <c r="T52" i="8"/>
  <c r="V55" i="8"/>
  <c r="V56" i="8" s="1"/>
  <c r="W56" i="8" s="1"/>
  <c r="H56" i="8"/>
  <c r="I56" i="8"/>
  <c r="J56" i="8"/>
  <c r="K56" i="8"/>
  <c r="L56" i="8"/>
  <c r="M56" i="8"/>
  <c r="N56" i="8"/>
  <c r="O56" i="8"/>
  <c r="P56" i="8"/>
  <c r="Q56" i="8"/>
  <c r="R56" i="8"/>
  <c r="S56" i="8"/>
  <c r="T56" i="8"/>
  <c r="V59" i="8"/>
  <c r="V60" i="8"/>
  <c r="V61" i="8"/>
  <c r="V62" i="8"/>
  <c r="V63" i="8"/>
  <c r="V64" i="8"/>
  <c r="V65" i="8"/>
  <c r="V66" i="8"/>
  <c r="H67" i="8"/>
  <c r="I67" i="8"/>
  <c r="J67" i="8"/>
  <c r="K67" i="8"/>
  <c r="L67" i="8"/>
  <c r="M67" i="8"/>
  <c r="N67" i="8"/>
  <c r="O67" i="8"/>
  <c r="P67" i="8"/>
  <c r="Q67" i="8"/>
  <c r="R67" i="8"/>
  <c r="S67" i="8"/>
  <c r="T67" i="8"/>
  <c r="J70" i="8"/>
  <c r="V70" i="8"/>
  <c r="V71" i="8" s="1"/>
  <c r="H71" i="8"/>
  <c r="I71" i="8"/>
  <c r="K71" i="8"/>
  <c r="L71" i="8"/>
  <c r="M71" i="8"/>
  <c r="N71" i="8"/>
  <c r="O71" i="8"/>
  <c r="P71" i="8"/>
  <c r="Q71" i="8"/>
  <c r="R71" i="8"/>
  <c r="S71" i="8"/>
  <c r="T71" i="8"/>
  <c r="V74" i="8"/>
  <c r="V75" i="8"/>
  <c r="H75" i="8"/>
  <c r="I75" i="8"/>
  <c r="J75" i="8"/>
  <c r="K75" i="8"/>
  <c r="L75" i="8"/>
  <c r="M75" i="8"/>
  <c r="N75" i="8"/>
  <c r="O75" i="8"/>
  <c r="P75" i="8"/>
  <c r="Q75" i="8"/>
  <c r="R75" i="8"/>
  <c r="S75" i="8"/>
  <c r="T75" i="8"/>
  <c r="S78" i="8"/>
  <c r="S80" i="8" s="1"/>
  <c r="V78" i="8"/>
  <c r="H79" i="8"/>
  <c r="I80" i="8"/>
  <c r="J80" i="8"/>
  <c r="K80" i="8"/>
  <c r="L80" i="8"/>
  <c r="M80" i="8"/>
  <c r="N80" i="8"/>
  <c r="O80" i="8"/>
  <c r="P80" i="8"/>
  <c r="Q80" i="8"/>
  <c r="R80" i="8"/>
  <c r="T80" i="8"/>
  <c r="V83" i="8"/>
  <c r="H84" i="8"/>
  <c r="I84" i="8"/>
  <c r="J84" i="8"/>
  <c r="K84" i="8"/>
  <c r="L84" i="8"/>
  <c r="M84" i="8"/>
  <c r="N84" i="8"/>
  <c r="O84" i="8"/>
  <c r="P84" i="8"/>
  <c r="Q84" i="8"/>
  <c r="R84" i="8"/>
  <c r="S84" i="8"/>
  <c r="T84" i="8"/>
  <c r="V84" i="8"/>
  <c r="H87" i="8"/>
  <c r="V88" i="8"/>
  <c r="V89" i="8"/>
  <c r="H90" i="8"/>
  <c r="H91" i="8"/>
  <c r="I91" i="8"/>
  <c r="J91" i="8"/>
  <c r="K91" i="8"/>
  <c r="L91" i="8"/>
  <c r="M91" i="8"/>
  <c r="N91" i="8"/>
  <c r="O91" i="8"/>
  <c r="P91" i="8"/>
  <c r="Q91" i="8"/>
  <c r="R91" i="8"/>
  <c r="S91" i="8"/>
  <c r="T91" i="8"/>
  <c r="V94" i="8"/>
  <c r="V95" i="8"/>
  <c r="V96" i="8"/>
  <c r="V97" i="8"/>
  <c r="V98" i="8"/>
  <c r="V99" i="8"/>
  <c r="V100" i="8"/>
  <c r="V101" i="8"/>
  <c r="V102" i="8"/>
  <c r="V103" i="8"/>
  <c r="G104" i="8"/>
  <c r="V104" i="8"/>
  <c r="H105" i="8"/>
  <c r="I105" i="8"/>
  <c r="J105" i="8"/>
  <c r="K105" i="8"/>
  <c r="L105" i="8"/>
  <c r="M105" i="8"/>
  <c r="N105" i="8"/>
  <c r="O105" i="8"/>
  <c r="P105" i="8"/>
  <c r="Q105" i="8"/>
  <c r="R105" i="8"/>
  <c r="S105" i="8"/>
  <c r="T105" i="8"/>
  <c r="H110" i="8"/>
  <c r="M110" i="8"/>
  <c r="N110" i="8"/>
  <c r="O110" i="8"/>
  <c r="I112" i="8"/>
  <c r="J112" i="8"/>
  <c r="K112" i="8"/>
  <c r="L112" i="8"/>
  <c r="M112" i="8"/>
  <c r="P112" i="8"/>
  <c r="Q112" i="8"/>
  <c r="R112" i="8"/>
  <c r="S112" i="8"/>
  <c r="T112" i="8"/>
  <c r="V115" i="8"/>
  <c r="V116" i="8"/>
  <c r="V117" i="8"/>
  <c r="H118" i="8"/>
  <c r="I118" i="8"/>
  <c r="J118" i="8"/>
  <c r="K118" i="8"/>
  <c r="L118" i="8"/>
  <c r="M118" i="8"/>
  <c r="N118" i="8"/>
  <c r="O118" i="8"/>
  <c r="P118" i="8"/>
  <c r="Q118" i="8"/>
  <c r="R118" i="8"/>
  <c r="S118" i="8"/>
  <c r="T118" i="8"/>
  <c r="H6" i="7"/>
  <c r="V6" i="7" s="1"/>
  <c r="V8" i="7" s="1"/>
  <c r="H7" i="7"/>
  <c r="V7" i="7" s="1"/>
  <c r="I8" i="7"/>
  <c r="J8" i="7"/>
  <c r="K8" i="7"/>
  <c r="L8" i="7"/>
  <c r="M8" i="7"/>
  <c r="N8" i="7"/>
  <c r="O8" i="7"/>
  <c r="P8" i="7"/>
  <c r="Q8" i="7"/>
  <c r="R8" i="7"/>
  <c r="S8" i="7"/>
  <c r="T8" i="7"/>
  <c r="V11" i="7"/>
  <c r="H12" i="7"/>
  <c r="V13" i="7"/>
  <c r="H14" i="7"/>
  <c r="I14" i="7"/>
  <c r="J14" i="7"/>
  <c r="K14" i="7"/>
  <c r="L14" i="7"/>
  <c r="M14" i="7"/>
  <c r="N14" i="7"/>
  <c r="O14" i="7"/>
  <c r="P14" i="7"/>
  <c r="Q14" i="7"/>
  <c r="R14" i="7"/>
  <c r="S14" i="7"/>
  <c r="T14" i="7"/>
  <c r="V17" i="7"/>
  <c r="V18" i="7" s="1"/>
  <c r="W18" i="7" s="1"/>
  <c r="H18" i="7"/>
  <c r="I18" i="7"/>
  <c r="J18" i="7"/>
  <c r="K18" i="7"/>
  <c r="L18" i="7"/>
  <c r="M18" i="7"/>
  <c r="N18" i="7"/>
  <c r="O18" i="7"/>
  <c r="P18" i="7"/>
  <c r="Q18" i="7"/>
  <c r="R18" i="7"/>
  <c r="S18" i="7"/>
  <c r="T18" i="7"/>
  <c r="H21" i="7"/>
  <c r="L21" i="7"/>
  <c r="M21" i="7"/>
  <c r="N21" i="7"/>
  <c r="P21" i="7"/>
  <c r="Q21" i="7"/>
  <c r="H22" i="7"/>
  <c r="I22" i="7"/>
  <c r="J22" i="7"/>
  <c r="K22" i="7"/>
  <c r="L22" i="7"/>
  <c r="M22" i="7"/>
  <c r="N22" i="7"/>
  <c r="O22" i="7"/>
  <c r="P22" i="7"/>
  <c r="R22" i="7"/>
  <c r="S22" i="7"/>
  <c r="T22" i="7"/>
  <c r="L25" i="7"/>
  <c r="V25" i="7" s="1"/>
  <c r="V26" i="7" s="1"/>
  <c r="Q25" i="7"/>
  <c r="Q26" i="7" s="1"/>
  <c r="H26" i="7"/>
  <c r="I26" i="7"/>
  <c r="J26" i="7"/>
  <c r="K26" i="7"/>
  <c r="L26" i="7"/>
  <c r="M26" i="7"/>
  <c r="N26" i="7"/>
  <c r="O26" i="7"/>
  <c r="P26" i="7"/>
  <c r="R26" i="7"/>
  <c r="S26" i="7"/>
  <c r="T26" i="7"/>
  <c r="V29" i="7"/>
  <c r="V31" i="7" s="1"/>
  <c r="W31" i="7" s="1"/>
  <c r="V30" i="7"/>
  <c r="H31" i="7"/>
  <c r="I31" i="7"/>
  <c r="J31" i="7"/>
  <c r="K31" i="7"/>
  <c r="L31" i="7"/>
  <c r="M31" i="7"/>
  <c r="N31" i="7"/>
  <c r="O31" i="7"/>
  <c r="P31" i="7"/>
  <c r="Q31" i="7"/>
  <c r="R31" i="7"/>
  <c r="S31" i="7"/>
  <c r="T31" i="7"/>
  <c r="M34" i="7"/>
  <c r="V34" i="7"/>
  <c r="V35" i="7" s="1"/>
  <c r="W35" i="7" s="1"/>
  <c r="H35" i="7"/>
  <c r="I35" i="7"/>
  <c r="J35" i="7"/>
  <c r="K35" i="7"/>
  <c r="L35" i="7"/>
  <c r="M35" i="7"/>
  <c r="N35" i="7"/>
  <c r="O35" i="7"/>
  <c r="P35" i="7"/>
  <c r="Q35" i="7"/>
  <c r="R35" i="7"/>
  <c r="S35" i="7"/>
  <c r="T35" i="7"/>
  <c r="I38" i="7"/>
  <c r="J38" i="7"/>
  <c r="K38" i="7"/>
  <c r="N38" i="7"/>
  <c r="V39" i="7"/>
  <c r="H40" i="7"/>
  <c r="J40" i="7"/>
  <c r="L40" i="7"/>
  <c r="M40" i="7"/>
  <c r="N40" i="7"/>
  <c r="O40" i="7"/>
  <c r="P40" i="7"/>
  <c r="Q40" i="7"/>
  <c r="R40" i="7"/>
  <c r="S40" i="7"/>
  <c r="T40" i="7"/>
  <c r="V43" i="7"/>
  <c r="K44" i="7"/>
  <c r="H45" i="7"/>
  <c r="I45" i="7"/>
  <c r="J45" i="7"/>
  <c r="L45" i="7"/>
  <c r="M45" i="7"/>
  <c r="N45" i="7"/>
  <c r="O45" i="7"/>
  <c r="P45" i="7"/>
  <c r="Q45" i="7"/>
  <c r="R45" i="7"/>
  <c r="S45" i="7"/>
  <c r="T45" i="7"/>
  <c r="V48" i="7"/>
  <c r="H49" i="7"/>
  <c r="I49" i="7"/>
  <c r="J49" i="7"/>
  <c r="K49" i="7"/>
  <c r="L49" i="7"/>
  <c r="M49" i="7"/>
  <c r="N49" i="7"/>
  <c r="O49" i="7"/>
  <c r="P49" i="7"/>
  <c r="Q49" i="7"/>
  <c r="R49" i="7"/>
  <c r="S49" i="7"/>
  <c r="T49" i="7"/>
  <c r="V49" i="7"/>
  <c r="W49" i="7" s="1"/>
  <c r="V52" i="7"/>
  <c r="I53" i="7"/>
  <c r="J53" i="7"/>
  <c r="K53" i="7"/>
  <c r="L53" i="7"/>
  <c r="M53" i="7"/>
  <c r="H54" i="7"/>
  <c r="I54" i="7"/>
  <c r="K54" i="7"/>
  <c r="M54" i="7"/>
  <c r="N54" i="7"/>
  <c r="O54" i="7"/>
  <c r="P54" i="7"/>
  <c r="Q54" i="7"/>
  <c r="R54" i="7"/>
  <c r="S54" i="7"/>
  <c r="T54" i="7"/>
  <c r="V57" i="7"/>
  <c r="H58" i="7"/>
  <c r="I58" i="7"/>
  <c r="J58" i="7"/>
  <c r="K58" i="7"/>
  <c r="L58" i="7"/>
  <c r="M58" i="7"/>
  <c r="N58" i="7"/>
  <c r="O58" i="7"/>
  <c r="P58" i="7"/>
  <c r="Q58" i="7"/>
  <c r="R58" i="7"/>
  <c r="S58" i="7"/>
  <c r="T58" i="7"/>
  <c r="V58" i="7"/>
  <c r="W58" i="7" s="1"/>
  <c r="V61" i="7"/>
  <c r="V62" i="7" s="1"/>
  <c r="H62" i="7"/>
  <c r="I62" i="7"/>
  <c r="J62" i="7"/>
  <c r="K62" i="7"/>
  <c r="L62" i="7"/>
  <c r="M62" i="7"/>
  <c r="N62" i="7"/>
  <c r="O62" i="7"/>
  <c r="P62" i="7"/>
  <c r="Q62" i="7"/>
  <c r="R62" i="7"/>
  <c r="S62" i="7"/>
  <c r="T62" i="7"/>
  <c r="W62" i="7"/>
  <c r="V65" i="7"/>
  <c r="V73" i="7" s="1"/>
  <c r="W73" i="7" s="1"/>
  <c r="V66" i="7"/>
  <c r="V67" i="7"/>
  <c r="V68" i="7"/>
  <c r="V69" i="7"/>
  <c r="V70" i="7"/>
  <c r="V71" i="7"/>
  <c r="V72" i="7"/>
  <c r="H73" i="7"/>
  <c r="I73" i="7"/>
  <c r="J73" i="7"/>
  <c r="K73" i="7"/>
  <c r="L73" i="7"/>
  <c r="M73" i="7"/>
  <c r="N73" i="7"/>
  <c r="O73" i="7"/>
  <c r="P73" i="7"/>
  <c r="Q73" i="7"/>
  <c r="R73" i="7"/>
  <c r="S73" i="7"/>
  <c r="T73" i="7"/>
  <c r="V76" i="7"/>
  <c r="V77" i="7" s="1"/>
  <c r="H77" i="7"/>
  <c r="I77" i="7"/>
  <c r="J77" i="7"/>
  <c r="K77" i="7"/>
  <c r="L77" i="7"/>
  <c r="M77" i="7"/>
  <c r="N77" i="7"/>
  <c r="O77" i="7"/>
  <c r="P77" i="7"/>
  <c r="Q77" i="7"/>
  <c r="R77" i="7"/>
  <c r="S77" i="7"/>
  <c r="T77" i="7"/>
  <c r="V80" i="7"/>
  <c r="H81" i="7"/>
  <c r="V82" i="7"/>
  <c r="I83" i="7"/>
  <c r="J83" i="7"/>
  <c r="K83" i="7"/>
  <c r="L83" i="7"/>
  <c r="M83" i="7"/>
  <c r="N83" i="7"/>
  <c r="O83" i="7"/>
  <c r="P83" i="7"/>
  <c r="Q83" i="7"/>
  <c r="R83" i="7"/>
  <c r="S83" i="7"/>
  <c r="T83" i="7"/>
  <c r="V86" i="7"/>
  <c r="V87" i="7"/>
  <c r="O88" i="7"/>
  <c r="V89" i="7"/>
  <c r="V90" i="7"/>
  <c r="V91" i="7"/>
  <c r="V92" i="7"/>
  <c r="V93" i="7"/>
  <c r="V94" i="7"/>
  <c r="V95" i="7"/>
  <c r="V96" i="7"/>
  <c r="H97" i="7"/>
  <c r="I97" i="7"/>
  <c r="J97" i="7"/>
  <c r="K97" i="7"/>
  <c r="L97" i="7"/>
  <c r="M97" i="7"/>
  <c r="N97" i="7"/>
  <c r="P97" i="7"/>
  <c r="Q97" i="7"/>
  <c r="R97" i="7"/>
  <c r="S97" i="7"/>
  <c r="T97" i="7"/>
  <c r="V100" i="7"/>
  <c r="V102" i="7" s="1"/>
  <c r="W102" i="7" s="1"/>
  <c r="V101" i="7"/>
  <c r="H102" i="7"/>
  <c r="I102" i="7"/>
  <c r="J102" i="7"/>
  <c r="K102" i="7"/>
  <c r="L102" i="7"/>
  <c r="M102" i="7"/>
  <c r="N102" i="7"/>
  <c r="O102" i="7"/>
  <c r="P102" i="7"/>
  <c r="Q102" i="7"/>
  <c r="R102" i="7"/>
  <c r="S102" i="7"/>
  <c r="T102" i="7"/>
  <c r="V105" i="7"/>
  <c r="V106" i="7"/>
  <c r="V107" i="7"/>
  <c r="V108" i="7"/>
  <c r="V109" i="7"/>
  <c r="V110" i="7"/>
  <c r="V111" i="7"/>
  <c r="W113" i="7"/>
  <c r="V112" i="7"/>
  <c r="H113" i="7"/>
  <c r="I113" i="7"/>
  <c r="J113" i="7"/>
  <c r="K113" i="7"/>
  <c r="L113" i="7"/>
  <c r="M113" i="7"/>
  <c r="N113" i="7"/>
  <c r="O113" i="7"/>
  <c r="P113" i="7"/>
  <c r="Q113" i="7"/>
  <c r="R113" i="7"/>
  <c r="S113" i="7"/>
  <c r="T113" i="7"/>
  <c r="V116" i="7"/>
  <c r="V118" i="7" s="1"/>
  <c r="V117" i="7"/>
  <c r="H118" i="7"/>
  <c r="I118" i="7"/>
  <c r="J118" i="7"/>
  <c r="K118" i="7"/>
  <c r="L118" i="7"/>
  <c r="M118" i="7"/>
  <c r="N118" i="7"/>
  <c r="O118" i="7"/>
  <c r="P118" i="7"/>
  <c r="Q118" i="7"/>
  <c r="R118" i="7"/>
  <c r="S118" i="7"/>
  <c r="T118" i="7"/>
  <c r="W118" i="7"/>
  <c r="V121" i="7"/>
  <c r="J122" i="7"/>
  <c r="M122" i="7"/>
  <c r="N122" i="7"/>
  <c r="S122" i="7"/>
  <c r="V122" i="7"/>
  <c r="V123" i="7"/>
  <c r="H124" i="7"/>
  <c r="K124" i="7"/>
  <c r="R124" i="7"/>
  <c r="V125" i="7"/>
  <c r="V126" i="7"/>
  <c r="V127" i="7"/>
  <c r="H128" i="7"/>
  <c r="I128" i="7"/>
  <c r="K128" i="7"/>
  <c r="L128" i="7"/>
  <c r="N128" i="7"/>
  <c r="O128" i="7"/>
  <c r="P128" i="7"/>
  <c r="Q128" i="7"/>
  <c r="S128" i="7"/>
  <c r="T128" i="7"/>
  <c r="V131" i="7"/>
  <c r="V132" i="7"/>
  <c r="V133" i="7"/>
  <c r="H133" i="7"/>
  <c r="I133" i="7"/>
  <c r="J133" i="7"/>
  <c r="K133" i="7"/>
  <c r="L133" i="7"/>
  <c r="M133" i="7"/>
  <c r="N133" i="7"/>
  <c r="O133" i="7"/>
  <c r="P133" i="7"/>
  <c r="Q133" i="7"/>
  <c r="R133" i="7"/>
  <c r="S133" i="7"/>
  <c r="T133" i="7"/>
  <c r="H136" i="7"/>
  <c r="V136" i="7"/>
  <c r="V137" i="7"/>
  <c r="V140" i="7" s="1"/>
  <c r="W140" i="7" s="1"/>
  <c r="V138" i="7"/>
  <c r="V139" i="7"/>
  <c r="H140" i="7"/>
  <c r="I140" i="7"/>
  <c r="J140" i="7"/>
  <c r="K140" i="7"/>
  <c r="L140" i="7"/>
  <c r="M140" i="7"/>
  <c r="N140" i="7"/>
  <c r="O140" i="7"/>
  <c r="P140" i="7"/>
  <c r="Q140" i="7"/>
  <c r="R140" i="7"/>
  <c r="S140" i="7"/>
  <c r="T140" i="7"/>
  <c r="V143" i="7"/>
  <c r="V144" i="7"/>
  <c r="V146" i="7" s="1"/>
  <c r="W146" i="7" s="1"/>
  <c r="V145" i="7"/>
  <c r="H146" i="7"/>
  <c r="I146" i="7"/>
  <c r="J146" i="7"/>
  <c r="K146" i="7"/>
  <c r="L146" i="7"/>
  <c r="M146" i="7"/>
  <c r="N146" i="7"/>
  <c r="O146" i="7"/>
  <c r="P146" i="7"/>
  <c r="Q146" i="7"/>
  <c r="R146" i="7"/>
  <c r="S146" i="7"/>
  <c r="T146" i="7"/>
  <c r="V149" i="7"/>
  <c r="V151" i="7" s="1"/>
  <c r="V150" i="7"/>
  <c r="H151" i="7"/>
  <c r="I151" i="7"/>
  <c r="J151" i="7"/>
  <c r="K151" i="7"/>
  <c r="L151" i="7"/>
  <c r="M151" i="7"/>
  <c r="N151" i="7"/>
  <c r="O151" i="7"/>
  <c r="P151" i="7"/>
  <c r="Q151" i="7"/>
  <c r="R151" i="7"/>
  <c r="S151" i="7"/>
  <c r="T151" i="7"/>
  <c r="W151" i="7"/>
  <c r="H154" i="7"/>
  <c r="V155" i="7"/>
  <c r="H156" i="7"/>
  <c r="V156" i="7" s="1"/>
  <c r="L156" i="7"/>
  <c r="V157" i="7"/>
  <c r="V158" i="7"/>
  <c r="H159" i="7"/>
  <c r="H160" i="7"/>
  <c r="V160" i="7"/>
  <c r="V161" i="7"/>
  <c r="I162" i="7"/>
  <c r="J162" i="7"/>
  <c r="K162" i="7"/>
  <c r="M162" i="7"/>
  <c r="N162" i="7"/>
  <c r="O162" i="7"/>
  <c r="P162" i="7"/>
  <c r="Q162" i="7"/>
  <c r="R162" i="7"/>
  <c r="S162" i="7"/>
  <c r="T162" i="7"/>
  <c r="V165" i="7"/>
  <c r="V166" i="7"/>
  <c r="V167" i="7"/>
  <c r="V168" i="7"/>
  <c r="V169" i="7"/>
  <c r="V170" i="7"/>
  <c r="V171" i="7"/>
  <c r="V172" i="7"/>
  <c r="V173" i="7"/>
  <c r="V174" i="7"/>
  <c r="V175" i="7"/>
  <c r="V176" i="7"/>
  <c r="V177" i="7"/>
  <c r="H178" i="7"/>
  <c r="I178" i="7"/>
  <c r="J178" i="7"/>
  <c r="K178" i="7"/>
  <c r="L178" i="7"/>
  <c r="M178" i="7"/>
  <c r="N178" i="7"/>
  <c r="O178" i="7"/>
  <c r="P178" i="7"/>
  <c r="Q178" i="7"/>
  <c r="R178" i="7"/>
  <c r="S178" i="7"/>
  <c r="T178" i="7"/>
  <c r="I181" i="7"/>
  <c r="V182" i="7"/>
  <c r="V183" i="7"/>
  <c r="V185" i="7"/>
  <c r="V186" i="7"/>
  <c r="H187" i="7"/>
  <c r="I187" i="7"/>
  <c r="J187" i="7"/>
  <c r="K187" i="7"/>
  <c r="L187" i="7"/>
  <c r="M187" i="7"/>
  <c r="N187" i="7"/>
  <c r="O187" i="7"/>
  <c r="P187" i="7"/>
  <c r="Q187" i="7"/>
  <c r="R187" i="7"/>
  <c r="S187" i="7"/>
  <c r="T187" i="7"/>
  <c r="V190" i="7"/>
  <c r="V191" i="7" s="1"/>
  <c r="H191" i="7"/>
  <c r="I191" i="7"/>
  <c r="J191" i="7"/>
  <c r="K191" i="7"/>
  <c r="L191" i="7"/>
  <c r="M191" i="7"/>
  <c r="N191" i="7"/>
  <c r="O191" i="7"/>
  <c r="P191" i="7"/>
  <c r="Q191" i="7"/>
  <c r="R191" i="7"/>
  <c r="S191" i="7"/>
  <c r="T191" i="7"/>
  <c r="V194" i="7"/>
  <c r="V195" i="7"/>
  <c r="V196" i="7"/>
  <c r="H197" i="7"/>
  <c r="I197" i="7"/>
  <c r="J197" i="7"/>
  <c r="K197" i="7"/>
  <c r="L197" i="7"/>
  <c r="M197" i="7"/>
  <c r="N197" i="7"/>
  <c r="O197" i="7"/>
  <c r="P197" i="7"/>
  <c r="Q197" i="7"/>
  <c r="R197" i="7"/>
  <c r="S197" i="7"/>
  <c r="T197" i="7"/>
  <c r="V197" i="7"/>
  <c r="W197" i="7" s="1"/>
  <c r="H6" i="6"/>
  <c r="V6" i="6"/>
  <c r="V7" i="6" s="1"/>
  <c r="H7" i="6"/>
  <c r="I7" i="6"/>
  <c r="J7" i="6"/>
  <c r="K7" i="6"/>
  <c r="L7" i="6"/>
  <c r="M7" i="6"/>
  <c r="N7" i="6"/>
  <c r="O7" i="6"/>
  <c r="P7" i="6"/>
  <c r="Q7" i="6"/>
  <c r="R7" i="6"/>
  <c r="S7" i="6"/>
  <c r="T7" i="6"/>
  <c r="V10" i="6"/>
  <c r="V11" i="6"/>
  <c r="M12" i="6"/>
  <c r="N12" i="6"/>
  <c r="P12" i="6"/>
  <c r="Q12" i="6"/>
  <c r="H13" i="6"/>
  <c r="I13" i="6"/>
  <c r="J13" i="6"/>
  <c r="K13" i="6"/>
  <c r="L13" i="6"/>
  <c r="M13" i="6"/>
  <c r="O13" i="6"/>
  <c r="Q13" i="6"/>
  <c r="R13" i="6"/>
  <c r="S13" i="6"/>
  <c r="T13" i="6"/>
  <c r="Q16" i="6"/>
  <c r="Q18" i="6" s="1"/>
  <c r="R16" i="6"/>
  <c r="V17" i="6"/>
  <c r="H18" i="6"/>
  <c r="I18" i="6"/>
  <c r="J18" i="6"/>
  <c r="K18" i="6"/>
  <c r="L18" i="6"/>
  <c r="M18" i="6"/>
  <c r="N18" i="6"/>
  <c r="O18" i="6"/>
  <c r="P18" i="6"/>
  <c r="S18" i="6"/>
  <c r="T18" i="6"/>
  <c r="K21" i="6"/>
  <c r="L21" i="6"/>
  <c r="O21" i="6"/>
  <c r="V21" i="6" s="1"/>
  <c r="V23" i="6" s="1"/>
  <c r="P21" i="6"/>
  <c r="Q21" i="6"/>
  <c r="V22" i="6"/>
  <c r="H23" i="6"/>
  <c r="I23" i="6"/>
  <c r="J23" i="6"/>
  <c r="K23" i="6"/>
  <c r="L23" i="6"/>
  <c r="M23" i="6"/>
  <c r="N23" i="6"/>
  <c r="P23" i="6"/>
  <c r="Q23" i="6"/>
  <c r="R23" i="6"/>
  <c r="S23" i="6"/>
  <c r="T23" i="6"/>
  <c r="O26" i="6"/>
  <c r="O27" i="6" s="1"/>
  <c r="Q26" i="6"/>
  <c r="R26" i="6"/>
  <c r="H27" i="6"/>
  <c r="I27" i="6"/>
  <c r="J27" i="6"/>
  <c r="K27" i="6"/>
  <c r="L27" i="6"/>
  <c r="M27" i="6"/>
  <c r="N27" i="6"/>
  <c r="P27" i="6"/>
  <c r="R27" i="6"/>
  <c r="S27" i="6"/>
  <c r="T27" i="6"/>
  <c r="N30" i="6"/>
  <c r="H31" i="6"/>
  <c r="I31" i="6"/>
  <c r="J31" i="6"/>
  <c r="K31" i="6"/>
  <c r="L31" i="6"/>
  <c r="M31" i="6"/>
  <c r="O31" i="6"/>
  <c r="P31" i="6"/>
  <c r="Q31" i="6"/>
  <c r="R31" i="6"/>
  <c r="S31" i="6"/>
  <c r="T31" i="6"/>
  <c r="V34" i="6"/>
  <c r="V35" i="6" s="1"/>
  <c r="H35" i="6"/>
  <c r="I35" i="6"/>
  <c r="J35" i="6"/>
  <c r="K35" i="6"/>
  <c r="L35" i="6"/>
  <c r="M35" i="6"/>
  <c r="N35" i="6"/>
  <c r="O35" i="6"/>
  <c r="P35" i="6"/>
  <c r="Q35" i="6"/>
  <c r="R35" i="6"/>
  <c r="S35" i="6"/>
  <c r="T35" i="6"/>
  <c r="H38" i="6"/>
  <c r="I39" i="6"/>
  <c r="J39" i="6"/>
  <c r="K39" i="6"/>
  <c r="L39" i="6"/>
  <c r="M39" i="6"/>
  <c r="N39" i="6"/>
  <c r="O39" i="6"/>
  <c r="P39" i="6"/>
  <c r="Q39" i="6"/>
  <c r="R39" i="6"/>
  <c r="S39" i="6"/>
  <c r="T39" i="6"/>
  <c r="V42" i="6"/>
  <c r="V43" i="6"/>
  <c r="G44" i="6"/>
  <c r="V44" i="6"/>
  <c r="H45" i="6"/>
  <c r="I45" i="6"/>
  <c r="J45" i="6"/>
  <c r="K45" i="6"/>
  <c r="L45" i="6"/>
  <c r="M45" i="6"/>
  <c r="N45" i="6"/>
  <c r="O45" i="6"/>
  <c r="P45" i="6"/>
  <c r="Q45" i="6"/>
  <c r="R45" i="6"/>
  <c r="S45" i="6"/>
  <c r="T45" i="6"/>
  <c r="V45" i="6"/>
  <c r="W45" i="6" s="1"/>
  <c r="V48" i="6"/>
  <c r="V49" i="6" s="1"/>
  <c r="H49" i="6"/>
  <c r="I49" i="6"/>
  <c r="J49" i="6"/>
  <c r="K49" i="6"/>
  <c r="L49" i="6"/>
  <c r="M49" i="6"/>
  <c r="N49" i="6"/>
  <c r="O49" i="6"/>
  <c r="P49" i="6"/>
  <c r="Q49" i="6"/>
  <c r="R49" i="6"/>
  <c r="S49" i="6"/>
  <c r="T49" i="6"/>
  <c r="V52" i="6"/>
  <c r="V53" i="6" s="1"/>
  <c r="H53" i="6"/>
  <c r="I53" i="6"/>
  <c r="J53" i="6"/>
  <c r="K53" i="6"/>
  <c r="L53" i="6"/>
  <c r="M53" i="6"/>
  <c r="N53" i="6"/>
  <c r="O53" i="6"/>
  <c r="P53" i="6"/>
  <c r="Q53" i="6"/>
  <c r="R53" i="6"/>
  <c r="S53" i="6"/>
  <c r="T53" i="6"/>
  <c r="J56" i="6"/>
  <c r="K56" i="6"/>
  <c r="L56" i="6"/>
  <c r="M56" i="6"/>
  <c r="V57" i="6"/>
  <c r="H58" i="6"/>
  <c r="I58" i="6"/>
  <c r="J58" i="6"/>
  <c r="K58" i="6"/>
  <c r="N58" i="6"/>
  <c r="O58" i="6"/>
  <c r="P58" i="6"/>
  <c r="Q58" i="6"/>
  <c r="R58" i="6"/>
  <c r="S58" i="6"/>
  <c r="T58" i="6"/>
  <c r="V61" i="6"/>
  <c r="V62" i="6" s="1"/>
  <c r="H62" i="6"/>
  <c r="I62" i="6"/>
  <c r="J62" i="6"/>
  <c r="K62" i="6"/>
  <c r="L62" i="6"/>
  <c r="M62" i="6"/>
  <c r="N62" i="6"/>
  <c r="O62" i="6"/>
  <c r="P62" i="6"/>
  <c r="Q62" i="6"/>
  <c r="R62" i="6"/>
  <c r="S62" i="6"/>
  <c r="T62" i="6"/>
  <c r="V65" i="6"/>
  <c r="V66" i="6"/>
  <c r="V67" i="6"/>
  <c r="V68" i="6"/>
  <c r="V69" i="6"/>
  <c r="V70" i="6"/>
  <c r="V71" i="6"/>
  <c r="H72" i="6"/>
  <c r="I72" i="6"/>
  <c r="J72" i="6"/>
  <c r="K72" i="6"/>
  <c r="L72" i="6"/>
  <c r="M72" i="6"/>
  <c r="N72" i="6"/>
  <c r="O72" i="6"/>
  <c r="P72" i="6"/>
  <c r="Q72" i="6"/>
  <c r="R72" i="6"/>
  <c r="S72" i="6"/>
  <c r="T72" i="6"/>
  <c r="N75" i="6"/>
  <c r="O75" i="6"/>
  <c r="V75" i="6"/>
  <c r="V77" i="6" s="1"/>
  <c r="V76" i="6"/>
  <c r="H77" i="6"/>
  <c r="I77" i="6"/>
  <c r="J77" i="6"/>
  <c r="K77" i="6"/>
  <c r="L77" i="6"/>
  <c r="M77" i="6"/>
  <c r="N77" i="6"/>
  <c r="P77" i="6"/>
  <c r="Q77" i="6"/>
  <c r="R77" i="6"/>
  <c r="S77" i="6"/>
  <c r="T77" i="6"/>
  <c r="G80" i="6"/>
  <c r="V80" i="6"/>
  <c r="V83" i="6" s="1"/>
  <c r="V82" i="6"/>
  <c r="H83" i="6"/>
  <c r="I83" i="6"/>
  <c r="J83" i="6"/>
  <c r="K83" i="6"/>
  <c r="L83" i="6"/>
  <c r="M83" i="6"/>
  <c r="N83" i="6"/>
  <c r="O83" i="6"/>
  <c r="P83" i="6"/>
  <c r="Q83" i="6"/>
  <c r="R83" i="6"/>
  <c r="S83" i="6"/>
  <c r="T83" i="6"/>
  <c r="V86" i="6"/>
  <c r="V87" i="6"/>
  <c r="V88" i="6"/>
  <c r="V89" i="6"/>
  <c r="V90" i="6"/>
  <c r="G91" i="6"/>
  <c r="V91" i="6"/>
  <c r="V92" i="6"/>
  <c r="V93" i="6"/>
  <c r="V94" i="6"/>
  <c r="H95" i="6"/>
  <c r="I95" i="6"/>
  <c r="J95" i="6"/>
  <c r="K95" i="6"/>
  <c r="L95" i="6"/>
  <c r="M95" i="6"/>
  <c r="N95" i="6"/>
  <c r="O95" i="6"/>
  <c r="P95" i="6"/>
  <c r="Q95" i="6"/>
  <c r="R95" i="6"/>
  <c r="S95" i="6"/>
  <c r="T95" i="6"/>
  <c r="V98" i="6"/>
  <c r="V99" i="6"/>
  <c r="H100" i="6"/>
  <c r="I100" i="6"/>
  <c r="J100" i="6"/>
  <c r="K100" i="6"/>
  <c r="L100" i="6"/>
  <c r="M100" i="6"/>
  <c r="N100" i="6"/>
  <c r="O100" i="6"/>
  <c r="P100" i="6"/>
  <c r="Q100" i="6"/>
  <c r="R100" i="6"/>
  <c r="S100" i="6"/>
  <c r="T100" i="6"/>
  <c r="V103" i="6"/>
  <c r="M104" i="6"/>
  <c r="V104" i="6"/>
  <c r="V105" i="6"/>
  <c r="V106" i="6"/>
  <c r="G107" i="6"/>
  <c r="V107" i="6"/>
  <c r="V108" i="6"/>
  <c r="V109" i="6"/>
  <c r="V110" i="6"/>
  <c r="H111" i="6"/>
  <c r="I111" i="6"/>
  <c r="J111" i="6"/>
  <c r="K111" i="6"/>
  <c r="L111" i="6"/>
  <c r="M111" i="6"/>
  <c r="N111" i="6"/>
  <c r="O111" i="6"/>
  <c r="P111" i="6"/>
  <c r="Q111" i="6"/>
  <c r="R111" i="6"/>
  <c r="S111" i="6"/>
  <c r="T111" i="6"/>
  <c r="V114" i="6"/>
  <c r="V115" i="6"/>
  <c r="V116" i="6" s="1"/>
  <c r="H116" i="6"/>
  <c r="I116" i="6"/>
  <c r="J116" i="6"/>
  <c r="K116" i="6"/>
  <c r="L116" i="6"/>
  <c r="M116" i="6"/>
  <c r="N116" i="6"/>
  <c r="O116" i="6"/>
  <c r="P116" i="6"/>
  <c r="Q116" i="6"/>
  <c r="R116" i="6"/>
  <c r="S116" i="6"/>
  <c r="T116" i="6"/>
  <c r="V119" i="6"/>
  <c r="P120" i="6"/>
  <c r="V121" i="6"/>
  <c r="I122" i="6"/>
  <c r="N122" i="6"/>
  <c r="Q122" i="6"/>
  <c r="S122" i="6"/>
  <c r="H123" i="6"/>
  <c r="H126" i="6" s="1"/>
  <c r="V124" i="6"/>
  <c r="V125" i="6"/>
  <c r="J126" i="6"/>
  <c r="K126" i="6"/>
  <c r="L126" i="6"/>
  <c r="M126" i="6"/>
  <c r="O126" i="6"/>
  <c r="Q126" i="6"/>
  <c r="R126" i="6"/>
  <c r="T126" i="6"/>
  <c r="V129" i="6"/>
  <c r="V132" i="6" s="1"/>
  <c r="V130" i="6"/>
  <c r="G131" i="6"/>
  <c r="V131" i="6"/>
  <c r="H132" i="6"/>
  <c r="I132" i="6"/>
  <c r="J132" i="6"/>
  <c r="K132" i="6"/>
  <c r="L132" i="6"/>
  <c r="M132" i="6"/>
  <c r="N132" i="6"/>
  <c r="O132" i="6"/>
  <c r="P132" i="6"/>
  <c r="Q132" i="6"/>
  <c r="R132" i="6"/>
  <c r="S132" i="6"/>
  <c r="T132" i="6"/>
  <c r="V135" i="6"/>
  <c r="V136" i="6"/>
  <c r="V137" i="6"/>
  <c r="H138" i="6"/>
  <c r="I138" i="6"/>
  <c r="J138" i="6"/>
  <c r="K138" i="6"/>
  <c r="L138" i="6"/>
  <c r="M138" i="6"/>
  <c r="N138" i="6"/>
  <c r="O138" i="6"/>
  <c r="P138" i="6"/>
  <c r="Q138" i="6"/>
  <c r="R138" i="6"/>
  <c r="S138" i="6"/>
  <c r="T138" i="6"/>
  <c r="V141" i="6"/>
  <c r="L142" i="6"/>
  <c r="O142" i="6"/>
  <c r="H143" i="6"/>
  <c r="I143" i="6"/>
  <c r="J143" i="6"/>
  <c r="K143" i="6"/>
  <c r="M143" i="6"/>
  <c r="N143" i="6"/>
  <c r="P143" i="6"/>
  <c r="Q143" i="6"/>
  <c r="R143" i="6"/>
  <c r="S143" i="6"/>
  <c r="T143" i="6"/>
  <c r="V146" i="6"/>
  <c r="H147" i="6"/>
  <c r="J147" i="6"/>
  <c r="K147" i="6"/>
  <c r="L147" i="6"/>
  <c r="O147" i="6"/>
  <c r="O152" i="6" s="1"/>
  <c r="P147" i="6"/>
  <c r="Q147" i="6"/>
  <c r="R147" i="6"/>
  <c r="V147" i="6"/>
  <c r="H148" i="6"/>
  <c r="I148" i="6"/>
  <c r="J148" i="6"/>
  <c r="K148" i="6"/>
  <c r="L148" i="6"/>
  <c r="N148" i="6"/>
  <c r="P148" i="6"/>
  <c r="Q148" i="6"/>
  <c r="Q152" i="6" s="1"/>
  <c r="R148" i="6"/>
  <c r="P149" i="6"/>
  <c r="V149" i="6"/>
  <c r="R150" i="6"/>
  <c r="H151" i="6"/>
  <c r="I151" i="6"/>
  <c r="J151" i="6"/>
  <c r="K151" i="6"/>
  <c r="L151" i="6"/>
  <c r="N151" i="6"/>
  <c r="P151" i="6"/>
  <c r="R151" i="6"/>
  <c r="M152" i="6"/>
  <c r="P152" i="6"/>
  <c r="S152" i="6"/>
  <c r="T152" i="6"/>
  <c r="V155" i="6"/>
  <c r="V156" i="6"/>
  <c r="V157" i="6"/>
  <c r="V158" i="6"/>
  <c r="V159" i="6"/>
  <c r="V160" i="6"/>
  <c r="V161" i="6"/>
  <c r="V162" i="6"/>
  <c r="V163" i="6"/>
  <c r="V164" i="6"/>
  <c r="V165" i="6"/>
  <c r="V166" i="6"/>
  <c r="H167" i="6"/>
  <c r="I167" i="6"/>
  <c r="J167" i="6"/>
  <c r="K167" i="6"/>
  <c r="L167" i="6"/>
  <c r="M167" i="6"/>
  <c r="N167" i="6"/>
  <c r="O167" i="6"/>
  <c r="P167" i="6"/>
  <c r="Q167" i="6"/>
  <c r="R167" i="6"/>
  <c r="S167" i="6"/>
  <c r="T167" i="6"/>
  <c r="J170" i="6"/>
  <c r="K170" i="6"/>
  <c r="V171" i="6"/>
  <c r="L172" i="6"/>
  <c r="V173" i="6"/>
  <c r="V174" i="6"/>
  <c r="V175" i="6"/>
  <c r="V176" i="6"/>
  <c r="H177" i="6"/>
  <c r="I177" i="6"/>
  <c r="K177" i="6"/>
  <c r="M177" i="6"/>
  <c r="N177" i="6"/>
  <c r="O177" i="6"/>
  <c r="P177" i="6"/>
  <c r="Q177" i="6"/>
  <c r="R177" i="6"/>
  <c r="S177" i="6"/>
  <c r="T177" i="6"/>
  <c r="G180" i="6"/>
  <c r="V180" i="6"/>
  <c r="V181" i="6" s="1"/>
  <c r="H181" i="6"/>
  <c r="I181" i="6"/>
  <c r="J181" i="6"/>
  <c r="K181" i="6"/>
  <c r="M181" i="6"/>
  <c r="N181" i="6"/>
  <c r="O181" i="6"/>
  <c r="P181" i="6"/>
  <c r="Q181" i="6"/>
  <c r="R181" i="6"/>
  <c r="S181" i="6"/>
  <c r="T181" i="6"/>
  <c r="V184" i="6"/>
  <c r="V185" i="6"/>
  <c r="V186" i="6"/>
  <c r="G187" i="6"/>
  <c r="V187" i="6"/>
  <c r="V188" i="6"/>
  <c r="H189" i="6"/>
  <c r="I189" i="6"/>
  <c r="J189" i="6"/>
  <c r="K189" i="6"/>
  <c r="L189" i="6"/>
  <c r="M189" i="6"/>
  <c r="N189" i="6"/>
  <c r="O189" i="6"/>
  <c r="P189" i="6"/>
  <c r="Q189" i="6"/>
  <c r="R189" i="6"/>
  <c r="S189" i="6"/>
  <c r="T189" i="6"/>
  <c r="H6" i="5"/>
  <c r="I6" i="5"/>
  <c r="I7" i="5" s="1"/>
  <c r="K6" i="5"/>
  <c r="H7" i="5"/>
  <c r="J7" i="5"/>
  <c r="K7" i="5"/>
  <c r="L7" i="5"/>
  <c r="M7" i="5"/>
  <c r="N7" i="5"/>
  <c r="O7" i="5"/>
  <c r="P7" i="5"/>
  <c r="Q7" i="5"/>
  <c r="R7" i="5"/>
  <c r="S7" i="5"/>
  <c r="T7" i="5"/>
  <c r="V10" i="5"/>
  <c r="H11" i="5"/>
  <c r="H12" i="5" s="1"/>
  <c r="V11" i="5"/>
  <c r="V12" i="5" s="1"/>
  <c r="I12" i="5"/>
  <c r="J12" i="5"/>
  <c r="K12" i="5"/>
  <c r="L12" i="5"/>
  <c r="M12" i="5"/>
  <c r="N12" i="5"/>
  <c r="O12" i="5"/>
  <c r="P12" i="5"/>
  <c r="Q12" i="5"/>
  <c r="R12" i="5"/>
  <c r="S12" i="5"/>
  <c r="T12" i="5"/>
  <c r="V15" i="5"/>
  <c r="V17" i="5" s="1"/>
  <c r="W17" i="5" s="1"/>
  <c r="V16" i="5"/>
  <c r="H17" i="5"/>
  <c r="I17" i="5"/>
  <c r="J17" i="5"/>
  <c r="K17" i="5"/>
  <c r="L17" i="5"/>
  <c r="M17" i="5"/>
  <c r="N17" i="5"/>
  <c r="O17" i="5"/>
  <c r="P17" i="5"/>
  <c r="Q17" i="5"/>
  <c r="R17" i="5"/>
  <c r="S17" i="5"/>
  <c r="T17" i="5"/>
  <c r="I20" i="5"/>
  <c r="N20" i="5"/>
  <c r="V21" i="5"/>
  <c r="H22" i="5"/>
  <c r="J22" i="5"/>
  <c r="K22" i="5"/>
  <c r="L22" i="5"/>
  <c r="M22" i="5"/>
  <c r="N22" i="5"/>
  <c r="O22" i="5"/>
  <c r="P22" i="5"/>
  <c r="Q22" i="5"/>
  <c r="R22" i="5"/>
  <c r="S22" i="5"/>
  <c r="T22" i="5"/>
  <c r="V25" i="5"/>
  <c r="V26" i="5"/>
  <c r="H26" i="5"/>
  <c r="I26" i="5"/>
  <c r="J26" i="5"/>
  <c r="K26" i="5"/>
  <c r="L26" i="5"/>
  <c r="M26" i="5"/>
  <c r="N26" i="5"/>
  <c r="O26" i="5"/>
  <c r="P26" i="5"/>
  <c r="Q26" i="5"/>
  <c r="R26" i="5"/>
  <c r="S26" i="5"/>
  <c r="T26" i="5"/>
  <c r="V29" i="5"/>
  <c r="H30" i="5"/>
  <c r="I30" i="5"/>
  <c r="J30" i="5"/>
  <c r="K30" i="5"/>
  <c r="L30" i="5"/>
  <c r="M30" i="5"/>
  <c r="N30" i="5"/>
  <c r="O30" i="5"/>
  <c r="P30" i="5"/>
  <c r="Q30" i="5"/>
  <c r="R30" i="5"/>
  <c r="S30" i="5"/>
  <c r="T30" i="5"/>
  <c r="V30" i="5"/>
  <c r="W30" i="5"/>
  <c r="V33" i="5"/>
  <c r="H34" i="5"/>
  <c r="I34" i="5"/>
  <c r="J34" i="5"/>
  <c r="K34" i="5"/>
  <c r="L34" i="5"/>
  <c r="M34" i="5"/>
  <c r="N34" i="5"/>
  <c r="O34" i="5"/>
  <c r="P34" i="5"/>
  <c r="Q34" i="5"/>
  <c r="R34" i="5"/>
  <c r="S34" i="5"/>
  <c r="T34" i="5"/>
  <c r="V34" i="5"/>
  <c r="W34" i="5"/>
  <c r="V37" i="5"/>
  <c r="H38" i="5"/>
  <c r="I38" i="5"/>
  <c r="J38" i="5"/>
  <c r="K38" i="5"/>
  <c r="L38" i="5"/>
  <c r="M38" i="5"/>
  <c r="N38" i="5"/>
  <c r="O38" i="5"/>
  <c r="P38" i="5"/>
  <c r="Q38" i="5"/>
  <c r="R38" i="5"/>
  <c r="S38" i="5"/>
  <c r="T38" i="5"/>
  <c r="V38" i="5"/>
  <c r="V41" i="5"/>
  <c r="I42" i="5"/>
  <c r="J42" i="5"/>
  <c r="K42" i="5"/>
  <c r="L42" i="5"/>
  <c r="M42" i="5"/>
  <c r="V42" i="5"/>
  <c r="V44" i="5" s="1"/>
  <c r="V43" i="5"/>
  <c r="H44" i="5"/>
  <c r="I44" i="5"/>
  <c r="K44" i="5"/>
  <c r="L44" i="5"/>
  <c r="M44" i="5"/>
  <c r="N44" i="5"/>
  <c r="O44" i="5"/>
  <c r="P44" i="5"/>
  <c r="Q44" i="5"/>
  <c r="R44" i="5"/>
  <c r="S44" i="5"/>
  <c r="T44" i="5"/>
  <c r="V47" i="5"/>
  <c r="V48" i="5"/>
  <c r="V49" i="5"/>
  <c r="V50" i="5"/>
  <c r="V51" i="5"/>
  <c r="V52" i="5"/>
  <c r="H53" i="5"/>
  <c r="I53" i="5"/>
  <c r="J53" i="5"/>
  <c r="K53" i="5"/>
  <c r="L53" i="5"/>
  <c r="M53" i="5"/>
  <c r="N53" i="5"/>
  <c r="O53" i="5"/>
  <c r="P53" i="5"/>
  <c r="Q53" i="5"/>
  <c r="R53" i="5"/>
  <c r="S53" i="5"/>
  <c r="T53" i="5"/>
  <c r="H56" i="5"/>
  <c r="V57" i="5"/>
  <c r="H58" i="5"/>
  <c r="I58" i="5"/>
  <c r="J58" i="5"/>
  <c r="K58" i="5"/>
  <c r="L58" i="5"/>
  <c r="M58" i="5"/>
  <c r="N58" i="5"/>
  <c r="O58" i="5"/>
  <c r="P58" i="5"/>
  <c r="Q58" i="5"/>
  <c r="R58" i="5"/>
  <c r="S58" i="5"/>
  <c r="T58" i="5"/>
  <c r="V61" i="5"/>
  <c r="H62" i="5"/>
  <c r="I62" i="5"/>
  <c r="J62" i="5"/>
  <c r="K62" i="5"/>
  <c r="L62" i="5"/>
  <c r="M62" i="5"/>
  <c r="N62" i="5"/>
  <c r="O62" i="5"/>
  <c r="P62" i="5"/>
  <c r="Q62" i="5"/>
  <c r="R62" i="5"/>
  <c r="S62" i="5"/>
  <c r="T62" i="5"/>
  <c r="V62" i="5"/>
  <c r="W62" i="5"/>
  <c r="H65" i="5"/>
  <c r="V66" i="5"/>
  <c r="V67" i="5"/>
  <c r="V68" i="5"/>
  <c r="V69" i="5"/>
  <c r="V70" i="5"/>
  <c r="H71" i="5"/>
  <c r="I71" i="5"/>
  <c r="J71" i="5"/>
  <c r="K71" i="5"/>
  <c r="L71" i="5"/>
  <c r="M71" i="5"/>
  <c r="N71" i="5"/>
  <c r="O71" i="5"/>
  <c r="P71" i="5"/>
  <c r="Q71" i="5"/>
  <c r="R71" i="5"/>
  <c r="S71" i="5"/>
  <c r="T71" i="5"/>
  <c r="V74" i="5"/>
  <c r="M75" i="5"/>
  <c r="H76" i="5"/>
  <c r="I76" i="5"/>
  <c r="J76" i="5"/>
  <c r="K76" i="5"/>
  <c r="L76" i="5"/>
  <c r="N76" i="5"/>
  <c r="O76" i="5"/>
  <c r="P76" i="5"/>
  <c r="Q76" i="5"/>
  <c r="R76" i="5"/>
  <c r="S76" i="5"/>
  <c r="T76" i="5"/>
  <c r="V79" i="5"/>
  <c r="V80" i="5"/>
  <c r="H81" i="5"/>
  <c r="I81" i="5"/>
  <c r="J81" i="5"/>
  <c r="K81" i="5"/>
  <c r="L81" i="5"/>
  <c r="M81" i="5"/>
  <c r="N81" i="5"/>
  <c r="O81" i="5"/>
  <c r="P81" i="5"/>
  <c r="Q81" i="5"/>
  <c r="R81" i="5"/>
  <c r="S81" i="5"/>
  <c r="T81" i="5"/>
  <c r="V81" i="5"/>
  <c r="W81" i="5" s="1"/>
  <c r="V84" i="5"/>
  <c r="H85" i="5"/>
  <c r="I85" i="5"/>
  <c r="J85" i="5"/>
  <c r="K85" i="5"/>
  <c r="L85" i="5"/>
  <c r="M85" i="5"/>
  <c r="N85" i="5"/>
  <c r="O85" i="5"/>
  <c r="P85" i="5"/>
  <c r="Q85" i="5"/>
  <c r="R85" i="5"/>
  <c r="S85" i="5"/>
  <c r="T85" i="5"/>
  <c r="V85" i="5"/>
  <c r="V88" i="5"/>
  <c r="V89" i="5"/>
  <c r="V90" i="5" s="1"/>
  <c r="W90" i="5" s="1"/>
  <c r="H90" i="5"/>
  <c r="I90" i="5"/>
  <c r="J90" i="5"/>
  <c r="K90" i="5"/>
  <c r="L90" i="5"/>
  <c r="M90" i="5"/>
  <c r="N90" i="5"/>
  <c r="O90" i="5"/>
  <c r="P90" i="5"/>
  <c r="Q90" i="5"/>
  <c r="R90" i="5"/>
  <c r="S90" i="5"/>
  <c r="T90" i="5"/>
  <c r="V93" i="5"/>
  <c r="H94" i="5"/>
  <c r="H95" i="5"/>
  <c r="V95" i="5"/>
  <c r="H96" i="5"/>
  <c r="V97" i="5"/>
  <c r="H98" i="5"/>
  <c r="V99" i="5"/>
  <c r="H100" i="5"/>
  <c r="V100" i="5"/>
  <c r="V101" i="5"/>
  <c r="J102" i="5"/>
  <c r="V102" i="5"/>
  <c r="V103" i="5"/>
  <c r="I104" i="5"/>
  <c r="J104" i="5"/>
  <c r="K104" i="5"/>
  <c r="L104" i="5"/>
  <c r="M104" i="5"/>
  <c r="N104" i="5"/>
  <c r="O104" i="5"/>
  <c r="P104" i="5"/>
  <c r="Q104" i="5"/>
  <c r="R104" i="5"/>
  <c r="S104" i="5"/>
  <c r="T104" i="5"/>
  <c r="V107" i="5"/>
  <c r="V108" i="5"/>
  <c r="V109" i="5"/>
  <c r="V110" i="5"/>
  <c r="V111" i="5"/>
  <c r="V112" i="5"/>
  <c r="V113" i="5"/>
  <c r="V114" i="5"/>
  <c r="V115" i="5"/>
  <c r="V116" i="5"/>
  <c r="V117" i="5"/>
  <c r="H118" i="5"/>
  <c r="I118" i="5"/>
  <c r="J118" i="5"/>
  <c r="K118" i="5"/>
  <c r="L118" i="5"/>
  <c r="M118" i="5"/>
  <c r="N118" i="5"/>
  <c r="O118" i="5"/>
  <c r="P118" i="5"/>
  <c r="Q118" i="5"/>
  <c r="R118" i="5"/>
  <c r="S118" i="5"/>
  <c r="T118" i="5"/>
  <c r="V121" i="5"/>
  <c r="V122" i="5"/>
  <c r="V123" i="5"/>
  <c r="V124" i="5"/>
  <c r="V125" i="5"/>
  <c r="H126" i="5"/>
  <c r="I126" i="5"/>
  <c r="J126" i="5"/>
  <c r="K126" i="5"/>
  <c r="L126" i="5"/>
  <c r="M126" i="5"/>
  <c r="N126" i="5"/>
  <c r="O126" i="5"/>
  <c r="P126" i="5"/>
  <c r="Q126" i="5"/>
  <c r="R126" i="5"/>
  <c r="S126" i="5"/>
  <c r="T126" i="5"/>
  <c r="V129" i="5"/>
  <c r="V130" i="5" s="1"/>
  <c r="W130" i="5" s="1"/>
  <c r="H130" i="5"/>
  <c r="I130" i="5"/>
  <c r="J130" i="5"/>
  <c r="K130" i="5"/>
  <c r="L130" i="5"/>
  <c r="M130" i="5"/>
  <c r="N130" i="5"/>
  <c r="O130" i="5"/>
  <c r="P130" i="5"/>
  <c r="Q130" i="5"/>
  <c r="R130" i="5"/>
  <c r="S130" i="5"/>
  <c r="T130" i="5"/>
  <c r="V133" i="5"/>
  <c r="V134" i="5" s="1"/>
  <c r="H134" i="5"/>
  <c r="I134" i="5"/>
  <c r="J134" i="5"/>
  <c r="K134" i="5"/>
  <c r="L134" i="5"/>
  <c r="M134" i="5"/>
  <c r="N134" i="5"/>
  <c r="O134" i="5"/>
  <c r="P134" i="5"/>
  <c r="Q134" i="5"/>
  <c r="R134" i="5"/>
  <c r="S134" i="5"/>
  <c r="T134" i="5"/>
  <c r="H6" i="4"/>
  <c r="L6" i="4"/>
  <c r="I7" i="4"/>
  <c r="J7" i="4"/>
  <c r="K7" i="4"/>
  <c r="L7" i="4"/>
  <c r="M7" i="4"/>
  <c r="N7" i="4"/>
  <c r="O7" i="4"/>
  <c r="P7" i="4"/>
  <c r="Q7" i="4"/>
  <c r="R7" i="4"/>
  <c r="S7" i="4"/>
  <c r="T7" i="4"/>
  <c r="V10" i="4"/>
  <c r="V11" i="4"/>
  <c r="V12" i="4"/>
  <c r="V13" i="4"/>
  <c r="H14" i="4"/>
  <c r="I14" i="4"/>
  <c r="J14" i="4"/>
  <c r="K14" i="4"/>
  <c r="L14" i="4"/>
  <c r="M14" i="4"/>
  <c r="N14" i="4"/>
  <c r="O14" i="4"/>
  <c r="P14" i="4"/>
  <c r="Q14" i="4"/>
  <c r="R14" i="4"/>
  <c r="S14" i="4"/>
  <c r="T14" i="4"/>
  <c r="V17" i="4"/>
  <c r="H18" i="4"/>
  <c r="I18" i="4"/>
  <c r="J18" i="4"/>
  <c r="K18" i="4"/>
  <c r="L18" i="4"/>
  <c r="M18" i="4"/>
  <c r="N18" i="4"/>
  <c r="O18" i="4"/>
  <c r="P18" i="4"/>
  <c r="Q18" i="4"/>
  <c r="R18" i="4"/>
  <c r="S18" i="4"/>
  <c r="T18" i="4"/>
  <c r="V18" i="4"/>
  <c r="W18" i="4"/>
  <c r="H21" i="4"/>
  <c r="I21" i="4"/>
  <c r="J21" i="4"/>
  <c r="L21" i="4"/>
  <c r="L23" i="4" s="1"/>
  <c r="M21" i="4"/>
  <c r="M23" i="4" s="1"/>
  <c r="N21" i="4"/>
  <c r="O21" i="4"/>
  <c r="O23" i="4" s="1"/>
  <c r="P21" i="4"/>
  <c r="P23" i="4" s="1"/>
  <c r="Q21" i="4"/>
  <c r="Q23" i="4" s="1"/>
  <c r="V22" i="4"/>
  <c r="I23" i="4"/>
  <c r="J23" i="4"/>
  <c r="K23" i="4"/>
  <c r="N23" i="4"/>
  <c r="R23" i="4"/>
  <c r="S23" i="4"/>
  <c r="T23" i="4"/>
  <c r="V26" i="4"/>
  <c r="V27" i="4"/>
  <c r="H27" i="4"/>
  <c r="I27" i="4"/>
  <c r="J27" i="4"/>
  <c r="K27" i="4"/>
  <c r="L27" i="4"/>
  <c r="M27" i="4"/>
  <c r="N27" i="4"/>
  <c r="O27" i="4"/>
  <c r="P27" i="4"/>
  <c r="Q27" i="4"/>
  <c r="R27" i="4"/>
  <c r="S27" i="4"/>
  <c r="T27" i="4"/>
  <c r="V30" i="4"/>
  <c r="V31" i="4"/>
  <c r="W32" i="4"/>
  <c r="V35" i="4"/>
  <c r="H36" i="4"/>
  <c r="I36" i="4"/>
  <c r="J36" i="4"/>
  <c r="K36" i="4"/>
  <c r="L36" i="4"/>
  <c r="M36" i="4"/>
  <c r="N36" i="4"/>
  <c r="O36" i="4"/>
  <c r="P36" i="4"/>
  <c r="Q36" i="4"/>
  <c r="R36" i="4"/>
  <c r="S36" i="4"/>
  <c r="T36" i="4"/>
  <c r="V36" i="4"/>
  <c r="W36" i="4"/>
  <c r="V39" i="4"/>
  <c r="V41" i="4" s="1"/>
  <c r="G40" i="4"/>
  <c r="V40" i="4"/>
  <c r="H41" i="4"/>
  <c r="I41" i="4"/>
  <c r="L41" i="4"/>
  <c r="M41" i="4"/>
  <c r="N41" i="4"/>
  <c r="O41" i="4"/>
  <c r="P41" i="4"/>
  <c r="Q41" i="4"/>
  <c r="R41" i="4"/>
  <c r="S41" i="4"/>
  <c r="T41" i="4"/>
  <c r="V44" i="4"/>
  <c r="V45" i="4"/>
  <c r="H46" i="4"/>
  <c r="I46" i="4"/>
  <c r="J46" i="4"/>
  <c r="K46" i="4"/>
  <c r="L46" i="4"/>
  <c r="M46" i="4"/>
  <c r="N46" i="4"/>
  <c r="O46" i="4"/>
  <c r="P46" i="4"/>
  <c r="Q46" i="4"/>
  <c r="R46" i="4"/>
  <c r="S46" i="4"/>
  <c r="T46" i="4"/>
  <c r="V46" i="4"/>
  <c r="W46" i="4" s="1"/>
  <c r="V49" i="4"/>
  <c r="V50" i="4"/>
  <c r="H51" i="4"/>
  <c r="I51" i="4"/>
  <c r="J51" i="4"/>
  <c r="K51" i="4"/>
  <c r="L51" i="4"/>
  <c r="M51" i="4"/>
  <c r="N51" i="4"/>
  <c r="O51" i="4"/>
  <c r="P51" i="4"/>
  <c r="Q51" i="4"/>
  <c r="R51" i="4"/>
  <c r="S51" i="4"/>
  <c r="T51" i="4"/>
  <c r="V51" i="4"/>
  <c r="V54" i="4"/>
  <c r="J55" i="4"/>
  <c r="K55" i="4"/>
  <c r="L55" i="4"/>
  <c r="M55" i="4"/>
  <c r="V56" i="4"/>
  <c r="H57" i="4"/>
  <c r="I57" i="4"/>
  <c r="J57" i="4"/>
  <c r="K57" i="4"/>
  <c r="N57" i="4"/>
  <c r="O57" i="4"/>
  <c r="P57" i="4"/>
  <c r="Q57" i="4"/>
  <c r="R57" i="4"/>
  <c r="S57" i="4"/>
  <c r="T57" i="4"/>
  <c r="V59" i="4"/>
  <c r="V60" i="4"/>
  <c r="V61" i="4" s="1"/>
  <c r="W61" i="4" s="1"/>
  <c r="H61" i="4"/>
  <c r="I61" i="4"/>
  <c r="J61" i="4"/>
  <c r="K61" i="4"/>
  <c r="L61" i="4"/>
  <c r="M61" i="4"/>
  <c r="N61" i="4"/>
  <c r="O61" i="4"/>
  <c r="P61" i="4"/>
  <c r="Q61" i="4"/>
  <c r="R61" i="4"/>
  <c r="S61" i="4"/>
  <c r="T61" i="4"/>
  <c r="V64" i="4"/>
  <c r="V65" i="4"/>
  <c r="W65" i="4" s="1"/>
  <c r="H65" i="4"/>
  <c r="I65" i="4"/>
  <c r="J65" i="4"/>
  <c r="K65" i="4"/>
  <c r="L65" i="4"/>
  <c r="M65" i="4"/>
  <c r="N65" i="4"/>
  <c r="O65" i="4"/>
  <c r="P65" i="4"/>
  <c r="Q65" i="4"/>
  <c r="R65" i="4"/>
  <c r="S65" i="4"/>
  <c r="T65" i="4"/>
  <c r="V68" i="4"/>
  <c r="V69" i="4"/>
  <c r="V75" i="4" s="1"/>
  <c r="V70" i="4"/>
  <c r="V71" i="4"/>
  <c r="V72" i="4"/>
  <c r="V73" i="4"/>
  <c r="V74" i="4"/>
  <c r="H75" i="4"/>
  <c r="I75" i="4"/>
  <c r="J75" i="4"/>
  <c r="K75" i="4"/>
  <c r="L75" i="4"/>
  <c r="M75" i="4"/>
  <c r="N75" i="4"/>
  <c r="O75" i="4"/>
  <c r="P75" i="4"/>
  <c r="Q75" i="4"/>
  <c r="R75" i="4"/>
  <c r="S75" i="4"/>
  <c r="T75" i="4"/>
  <c r="V78" i="4"/>
  <c r="V79" i="4"/>
  <c r="H80" i="4"/>
  <c r="I80" i="4"/>
  <c r="J80" i="4"/>
  <c r="K80" i="4"/>
  <c r="L80" i="4"/>
  <c r="M80" i="4"/>
  <c r="N80" i="4"/>
  <c r="O80" i="4"/>
  <c r="P80" i="4"/>
  <c r="Q80" i="4"/>
  <c r="R80" i="4"/>
  <c r="S80" i="4"/>
  <c r="T80" i="4"/>
  <c r="V80" i="4"/>
  <c r="V83" i="4"/>
  <c r="V84" i="4"/>
  <c r="G85" i="4"/>
  <c r="K85" i="4"/>
  <c r="V85" i="4"/>
  <c r="V87" i="4"/>
  <c r="V86" i="4"/>
  <c r="H87" i="4"/>
  <c r="I87" i="4"/>
  <c r="J87" i="4"/>
  <c r="K87" i="4"/>
  <c r="L87" i="4"/>
  <c r="M87" i="4"/>
  <c r="N87" i="4"/>
  <c r="O87" i="4"/>
  <c r="P87" i="4"/>
  <c r="Q87" i="4"/>
  <c r="R87" i="4"/>
  <c r="S87" i="4"/>
  <c r="T87" i="4"/>
  <c r="V90" i="4"/>
  <c r="V91" i="4"/>
  <c r="Q92" i="4"/>
  <c r="V92" i="4"/>
  <c r="V93" i="4"/>
  <c r="R94" i="4"/>
  <c r="G95" i="4"/>
  <c r="V95" i="4"/>
  <c r="V96" i="4"/>
  <c r="V97" i="4"/>
  <c r="V98" i="4"/>
  <c r="V99" i="4"/>
  <c r="V100" i="4"/>
  <c r="H101" i="4"/>
  <c r="I101" i="4"/>
  <c r="J101" i="4"/>
  <c r="K101" i="4"/>
  <c r="L101" i="4"/>
  <c r="M101" i="4"/>
  <c r="N101" i="4"/>
  <c r="O101" i="4"/>
  <c r="P101" i="4"/>
  <c r="Q101" i="4"/>
  <c r="S101" i="4"/>
  <c r="T101" i="4"/>
  <c r="V104" i="4"/>
  <c r="V105" i="4"/>
  <c r="H106" i="4"/>
  <c r="I106" i="4"/>
  <c r="J106" i="4"/>
  <c r="K106" i="4"/>
  <c r="L106" i="4"/>
  <c r="M106" i="4"/>
  <c r="N106" i="4"/>
  <c r="O106" i="4"/>
  <c r="P106" i="4"/>
  <c r="Q106" i="4"/>
  <c r="R106" i="4"/>
  <c r="S106" i="4"/>
  <c r="T106" i="4"/>
  <c r="H109" i="4"/>
  <c r="J109" i="4"/>
  <c r="M109" i="4"/>
  <c r="P109" i="4"/>
  <c r="V109" i="4"/>
  <c r="G110" i="4"/>
  <c r="V110" i="4"/>
  <c r="V111" i="4"/>
  <c r="V112" i="4"/>
  <c r="G113" i="4"/>
  <c r="V113" i="4"/>
  <c r="J114" i="4"/>
  <c r="M115" i="4"/>
  <c r="P115" i="4"/>
  <c r="V115" i="4"/>
  <c r="M116" i="4"/>
  <c r="V116" i="4" s="1"/>
  <c r="V117" i="4"/>
  <c r="V118" i="4"/>
  <c r="I119" i="4"/>
  <c r="K119" i="4"/>
  <c r="L119" i="4"/>
  <c r="N119" i="4"/>
  <c r="O119" i="4"/>
  <c r="Q119" i="4"/>
  <c r="R119" i="4"/>
  <c r="S119" i="4"/>
  <c r="T119" i="4"/>
  <c r="V122" i="4"/>
  <c r="V123" i="4"/>
  <c r="H124" i="4"/>
  <c r="I124" i="4"/>
  <c r="J124" i="4"/>
  <c r="K124" i="4"/>
  <c r="L124" i="4"/>
  <c r="M124" i="4"/>
  <c r="N124" i="4"/>
  <c r="O124" i="4"/>
  <c r="P124" i="4"/>
  <c r="Q124" i="4"/>
  <c r="R124" i="4"/>
  <c r="S124" i="4"/>
  <c r="T124" i="4"/>
  <c r="V127" i="4"/>
  <c r="V134" i="4" s="1"/>
  <c r="W134" i="4" s="1"/>
  <c r="V128" i="4"/>
  <c r="V129" i="4"/>
  <c r="V130" i="4"/>
  <c r="V131" i="4"/>
  <c r="V132" i="4"/>
  <c r="V133" i="4"/>
  <c r="H134" i="4"/>
  <c r="I134" i="4"/>
  <c r="J134" i="4"/>
  <c r="K134" i="4"/>
  <c r="L134" i="4"/>
  <c r="M134" i="4"/>
  <c r="N134" i="4"/>
  <c r="O134" i="4"/>
  <c r="P134" i="4"/>
  <c r="Q134" i="4"/>
  <c r="R134" i="4"/>
  <c r="S134" i="4"/>
  <c r="T134" i="4"/>
  <c r="V137" i="4"/>
  <c r="V138" i="4"/>
  <c r="V140" i="4" s="1"/>
  <c r="G139" i="4"/>
  <c r="V139" i="4"/>
  <c r="H140" i="4"/>
  <c r="I140" i="4"/>
  <c r="J140" i="4"/>
  <c r="K140" i="4"/>
  <c r="L140" i="4"/>
  <c r="M140" i="4"/>
  <c r="N140" i="4"/>
  <c r="O140" i="4"/>
  <c r="P140" i="4"/>
  <c r="Q140" i="4"/>
  <c r="R140" i="4"/>
  <c r="S140" i="4"/>
  <c r="T140" i="4"/>
  <c r="G143" i="4"/>
  <c r="K143" i="4"/>
  <c r="L143" i="4"/>
  <c r="M143" i="4"/>
  <c r="N143" i="4"/>
  <c r="O143" i="4"/>
  <c r="P143" i="4"/>
  <c r="Q143" i="4"/>
  <c r="V144" i="4"/>
  <c r="H145" i="4"/>
  <c r="I145" i="4"/>
  <c r="J145" i="4"/>
  <c r="K145" i="4"/>
  <c r="L145" i="4"/>
  <c r="N145" i="4"/>
  <c r="O145" i="4"/>
  <c r="P145" i="4"/>
  <c r="R145" i="4"/>
  <c r="S145" i="4"/>
  <c r="T145" i="4"/>
  <c r="G148" i="4"/>
  <c r="V148" i="4"/>
  <c r="V149" i="4"/>
  <c r="H150" i="4"/>
  <c r="V153" i="4"/>
  <c r="M154" i="4"/>
  <c r="V155" i="4"/>
  <c r="H156" i="4"/>
  <c r="I156" i="4"/>
  <c r="J156" i="4"/>
  <c r="K156" i="4"/>
  <c r="L156" i="4"/>
  <c r="M156" i="4"/>
  <c r="N156" i="4"/>
  <c r="O156" i="4"/>
  <c r="P156" i="4"/>
  <c r="Q156" i="4"/>
  <c r="R156" i="4"/>
  <c r="S156" i="4"/>
  <c r="T156" i="4"/>
  <c r="V159" i="4"/>
  <c r="H160" i="4"/>
  <c r="V161" i="4"/>
  <c r="V162" i="4"/>
  <c r="H163" i="4"/>
  <c r="V163" i="4" s="1"/>
  <c r="H164" i="4"/>
  <c r="I164" i="4"/>
  <c r="J164" i="4"/>
  <c r="K164" i="4"/>
  <c r="L164" i="4"/>
  <c r="M164" i="4"/>
  <c r="N164" i="4"/>
  <c r="O164" i="4"/>
  <c r="P164" i="4"/>
  <c r="Q164" i="4"/>
  <c r="V164" i="4"/>
  <c r="V165" i="4"/>
  <c r="H166" i="4"/>
  <c r="I166" i="4"/>
  <c r="L166" i="4"/>
  <c r="M166" i="4"/>
  <c r="N166" i="4"/>
  <c r="P166" i="4"/>
  <c r="Q166" i="4"/>
  <c r="I167" i="4"/>
  <c r="J167" i="4"/>
  <c r="K167" i="4"/>
  <c r="M167" i="4"/>
  <c r="O167" i="4"/>
  <c r="R167" i="4"/>
  <c r="S167" i="4"/>
  <c r="T167" i="4"/>
  <c r="V170" i="4"/>
  <c r="V171" i="4"/>
  <c r="V172" i="4"/>
  <c r="V173" i="4"/>
  <c r="V174" i="4"/>
  <c r="V175" i="4"/>
  <c r="N176" i="4"/>
  <c r="V177" i="4"/>
  <c r="H178" i="4"/>
  <c r="I178" i="4"/>
  <c r="J178" i="4"/>
  <c r="K178" i="4"/>
  <c r="L178" i="4"/>
  <c r="M178" i="4"/>
  <c r="O178" i="4"/>
  <c r="P178" i="4"/>
  <c r="Q178" i="4"/>
  <c r="R178" i="4"/>
  <c r="S178" i="4"/>
  <c r="T178" i="4"/>
  <c r="I181" i="4"/>
  <c r="J181" i="4"/>
  <c r="K181" i="4"/>
  <c r="L181" i="4"/>
  <c r="V182" i="4"/>
  <c r="G183" i="4"/>
  <c r="V183" i="4"/>
  <c r="V184" i="4"/>
  <c r="V185" i="4"/>
  <c r="V186" i="4"/>
  <c r="V187" i="4"/>
  <c r="H188" i="4"/>
  <c r="V191" i="4"/>
  <c r="V192" i="4"/>
  <c r="H192" i="4"/>
  <c r="I192" i="4"/>
  <c r="J192" i="4"/>
  <c r="K192" i="4"/>
  <c r="W192" i="4" s="1"/>
  <c r="L192" i="4"/>
  <c r="M192" i="4"/>
  <c r="N192" i="4"/>
  <c r="O192" i="4"/>
  <c r="P192" i="4"/>
  <c r="Q192" i="4"/>
  <c r="R192" i="4"/>
  <c r="S192" i="4"/>
  <c r="T192" i="4"/>
  <c r="G195" i="4"/>
  <c r="V195" i="4"/>
  <c r="G196" i="4"/>
  <c r="V196" i="4"/>
  <c r="V197" i="4"/>
  <c r="H198" i="4"/>
  <c r="I198" i="4"/>
  <c r="J198" i="4"/>
  <c r="K198" i="4"/>
  <c r="L198" i="4"/>
  <c r="M198" i="4"/>
  <c r="N198" i="4"/>
  <c r="O198" i="4"/>
  <c r="P198" i="4"/>
  <c r="Q198" i="4"/>
  <c r="R198" i="4"/>
  <c r="S198" i="4"/>
  <c r="T198" i="4"/>
  <c r="H6" i="3"/>
  <c r="V6" i="3" s="1"/>
  <c r="V7" i="3" s="1"/>
  <c r="I7" i="3"/>
  <c r="J7" i="3"/>
  <c r="K7" i="3"/>
  <c r="L7" i="3"/>
  <c r="M7" i="3"/>
  <c r="N7" i="3"/>
  <c r="O7" i="3"/>
  <c r="P7" i="3"/>
  <c r="Q7" i="3"/>
  <c r="R7" i="3"/>
  <c r="S7" i="3"/>
  <c r="T7" i="3"/>
  <c r="H10" i="3"/>
  <c r="K10" i="3"/>
  <c r="L11" i="3"/>
  <c r="O11" i="3"/>
  <c r="R11" i="3"/>
  <c r="H12" i="3"/>
  <c r="V12" i="3" s="1"/>
  <c r="L13" i="3"/>
  <c r="M13" i="3"/>
  <c r="V13" i="3"/>
  <c r="H14" i="3"/>
  <c r="I14" i="3"/>
  <c r="J14" i="3"/>
  <c r="L14" i="3"/>
  <c r="M14" i="3"/>
  <c r="N14" i="3"/>
  <c r="O14" i="3"/>
  <c r="P14" i="3"/>
  <c r="Q14" i="3"/>
  <c r="R14" i="3"/>
  <c r="S14" i="3"/>
  <c r="T14" i="3"/>
  <c r="V17" i="3"/>
  <c r="V18" i="3"/>
  <c r="H19" i="3"/>
  <c r="I19" i="3"/>
  <c r="J19" i="3"/>
  <c r="K19" i="3"/>
  <c r="L19" i="3"/>
  <c r="M19" i="3"/>
  <c r="N19" i="3"/>
  <c r="O19" i="3"/>
  <c r="P19" i="3"/>
  <c r="Q19" i="3"/>
  <c r="R19" i="3"/>
  <c r="S19" i="3"/>
  <c r="T19" i="3"/>
  <c r="V19" i="3"/>
  <c r="W19" i="3" s="1"/>
  <c r="N22" i="3"/>
  <c r="P22" i="3"/>
  <c r="V22" i="3"/>
  <c r="V24" i="3" s="1"/>
  <c r="V23" i="3"/>
  <c r="H24" i="3"/>
  <c r="I24" i="3"/>
  <c r="J24" i="3"/>
  <c r="K24" i="3"/>
  <c r="L24" i="3"/>
  <c r="M24" i="3"/>
  <c r="N24" i="3"/>
  <c r="O24" i="3"/>
  <c r="P24" i="3"/>
  <c r="Q24" i="3"/>
  <c r="R24" i="3"/>
  <c r="S24" i="3"/>
  <c r="T24" i="3"/>
  <c r="L27" i="3"/>
  <c r="M27" i="3"/>
  <c r="M28" i="3" s="1"/>
  <c r="N27" i="3"/>
  <c r="O27" i="3"/>
  <c r="R27" i="3"/>
  <c r="V27" i="3"/>
  <c r="V28" i="3" s="1"/>
  <c r="H28" i="3"/>
  <c r="I28" i="3"/>
  <c r="J28" i="3"/>
  <c r="K28" i="3"/>
  <c r="L28" i="3"/>
  <c r="N28" i="3"/>
  <c r="O28" i="3"/>
  <c r="P28" i="3"/>
  <c r="Q28" i="3"/>
  <c r="R28" i="3"/>
  <c r="S28" i="3"/>
  <c r="T28" i="3"/>
  <c r="V31" i="3"/>
  <c r="V34" i="3" s="1"/>
  <c r="V32" i="3"/>
  <c r="V33" i="3"/>
  <c r="H34" i="3"/>
  <c r="I34" i="3"/>
  <c r="J34" i="3"/>
  <c r="K34" i="3"/>
  <c r="L34" i="3"/>
  <c r="M34" i="3"/>
  <c r="N34" i="3"/>
  <c r="O34" i="3"/>
  <c r="P34" i="3"/>
  <c r="Q34" i="3"/>
  <c r="R34" i="3"/>
  <c r="S34" i="3"/>
  <c r="T34" i="3"/>
  <c r="V37" i="3"/>
  <c r="H38" i="3"/>
  <c r="I38" i="3"/>
  <c r="J38" i="3"/>
  <c r="K38" i="3"/>
  <c r="L38" i="3"/>
  <c r="M38" i="3"/>
  <c r="N38" i="3"/>
  <c r="P38" i="3"/>
  <c r="Q38" i="3"/>
  <c r="R38" i="3"/>
  <c r="S38" i="3"/>
  <c r="T38" i="3"/>
  <c r="V38" i="3"/>
  <c r="V41" i="3"/>
  <c r="V43" i="3" s="1"/>
  <c r="K42" i="3"/>
  <c r="V42" i="3"/>
  <c r="H43" i="3"/>
  <c r="I43" i="3"/>
  <c r="J43" i="3"/>
  <c r="K43" i="3"/>
  <c r="L43" i="3"/>
  <c r="M43" i="3"/>
  <c r="N43" i="3"/>
  <c r="O43" i="3"/>
  <c r="P43" i="3"/>
  <c r="Q43" i="3"/>
  <c r="R43" i="3"/>
  <c r="S43" i="3"/>
  <c r="T43" i="3"/>
  <c r="V46" i="3"/>
  <c r="V47" i="3" s="1"/>
  <c r="H47" i="3"/>
  <c r="I47" i="3"/>
  <c r="J47" i="3"/>
  <c r="K47" i="3"/>
  <c r="L47" i="3"/>
  <c r="M47" i="3"/>
  <c r="N47" i="3"/>
  <c r="O47" i="3"/>
  <c r="P47" i="3"/>
  <c r="Q47" i="3"/>
  <c r="R47" i="3"/>
  <c r="S47" i="3"/>
  <c r="T47" i="3"/>
  <c r="V50" i="3"/>
  <c r="H51" i="3"/>
  <c r="I51" i="3"/>
  <c r="J51" i="3"/>
  <c r="K51" i="3"/>
  <c r="L51" i="3"/>
  <c r="M51" i="3"/>
  <c r="N51" i="3"/>
  <c r="O51" i="3"/>
  <c r="P51" i="3"/>
  <c r="Q51" i="3"/>
  <c r="R51" i="3"/>
  <c r="S51" i="3"/>
  <c r="T51" i="3"/>
  <c r="V51" i="3"/>
  <c r="I54" i="3"/>
  <c r="J54" i="3"/>
  <c r="K54" i="3"/>
  <c r="L54" i="3"/>
  <c r="M54" i="3"/>
  <c r="V55" i="3"/>
  <c r="H56" i="3"/>
  <c r="I56" i="3"/>
  <c r="J56" i="3"/>
  <c r="M56" i="3"/>
  <c r="N56" i="3"/>
  <c r="O56" i="3"/>
  <c r="P56" i="3"/>
  <c r="Q56" i="3"/>
  <c r="R56" i="3"/>
  <c r="S56" i="3"/>
  <c r="T56" i="3"/>
  <c r="M59" i="3"/>
  <c r="H60" i="3"/>
  <c r="I60" i="3"/>
  <c r="J60" i="3"/>
  <c r="K60" i="3"/>
  <c r="L60" i="3"/>
  <c r="N60" i="3"/>
  <c r="O60" i="3"/>
  <c r="P60" i="3"/>
  <c r="Q60" i="3"/>
  <c r="R60" i="3"/>
  <c r="S60" i="3"/>
  <c r="T60" i="3"/>
  <c r="V63" i="3"/>
  <c r="V64" i="3"/>
  <c r="V65" i="3"/>
  <c r="V66" i="3"/>
  <c r="V67" i="3"/>
  <c r="V68" i="3"/>
  <c r="V69" i="3"/>
  <c r="V70" i="3"/>
  <c r="H71" i="3"/>
  <c r="I71" i="3"/>
  <c r="J71" i="3"/>
  <c r="K71" i="3"/>
  <c r="L71" i="3"/>
  <c r="M71" i="3"/>
  <c r="N71" i="3"/>
  <c r="O71" i="3"/>
  <c r="P71" i="3"/>
  <c r="Q71" i="3"/>
  <c r="R71" i="3"/>
  <c r="S71" i="3"/>
  <c r="T71" i="3"/>
  <c r="V74" i="3"/>
  <c r="S75" i="3"/>
  <c r="H76" i="3"/>
  <c r="I76" i="3"/>
  <c r="J76" i="3"/>
  <c r="K76" i="3"/>
  <c r="L76" i="3"/>
  <c r="M76" i="3"/>
  <c r="N76" i="3"/>
  <c r="O76" i="3"/>
  <c r="P76" i="3"/>
  <c r="Q76" i="3"/>
  <c r="R76" i="3"/>
  <c r="S76" i="3"/>
  <c r="T76" i="3"/>
  <c r="V79" i="3"/>
  <c r="H80" i="3"/>
  <c r="I80" i="3"/>
  <c r="J80" i="3"/>
  <c r="K80" i="3"/>
  <c r="L80" i="3"/>
  <c r="M80" i="3"/>
  <c r="N80" i="3"/>
  <c r="O80" i="3"/>
  <c r="P80" i="3"/>
  <c r="Q80" i="3"/>
  <c r="R80" i="3"/>
  <c r="S80" i="3"/>
  <c r="T80" i="3"/>
  <c r="V80" i="3"/>
  <c r="W80" i="3"/>
  <c r="V83" i="3"/>
  <c r="V84" i="3"/>
  <c r="S337" i="10" s="1"/>
  <c r="I85" i="3"/>
  <c r="V85" i="3" s="1"/>
  <c r="L85" i="3"/>
  <c r="V86" i="3"/>
  <c r="V87" i="3"/>
  <c r="V88" i="3"/>
  <c r="V89" i="3"/>
  <c r="V90" i="3"/>
  <c r="H92" i="3"/>
  <c r="H93" i="3" s="1"/>
  <c r="J93" i="3"/>
  <c r="K93" i="3"/>
  <c r="L93" i="3"/>
  <c r="M93" i="3"/>
  <c r="N93" i="3"/>
  <c r="O93" i="3"/>
  <c r="P93" i="3"/>
  <c r="Q93" i="3"/>
  <c r="R93" i="3"/>
  <c r="S93" i="3"/>
  <c r="T93" i="3"/>
  <c r="V96" i="3"/>
  <c r="J98" i="3"/>
  <c r="J101" i="3" s="1"/>
  <c r="M98" i="3"/>
  <c r="N98" i="3"/>
  <c r="V99" i="3"/>
  <c r="V100" i="3"/>
  <c r="H101" i="3"/>
  <c r="I101" i="3"/>
  <c r="K101" i="3"/>
  <c r="L101" i="3"/>
  <c r="M101" i="3"/>
  <c r="N101" i="3"/>
  <c r="O101" i="3"/>
  <c r="P101" i="3"/>
  <c r="Q101" i="3"/>
  <c r="R101" i="3"/>
  <c r="S101" i="3"/>
  <c r="T101" i="3"/>
  <c r="V104" i="3"/>
  <c r="V105" i="3"/>
  <c r="V106" i="3"/>
  <c r="V107" i="3"/>
  <c r="V108" i="3"/>
  <c r="V109" i="3"/>
  <c r="M110" i="3"/>
  <c r="Q110" i="3"/>
  <c r="H111" i="3"/>
  <c r="I111" i="3"/>
  <c r="J111" i="3"/>
  <c r="K111" i="3"/>
  <c r="L111" i="3"/>
  <c r="M111" i="3"/>
  <c r="N111" i="3"/>
  <c r="O111" i="3"/>
  <c r="P111" i="3"/>
  <c r="R111" i="3"/>
  <c r="S111" i="3"/>
  <c r="T111" i="3"/>
  <c r="V114" i="3"/>
  <c r="V115" i="3"/>
  <c r="H116" i="3"/>
  <c r="I116" i="3"/>
  <c r="J116" i="3"/>
  <c r="K116" i="3"/>
  <c r="L116" i="3"/>
  <c r="M116" i="3"/>
  <c r="N116" i="3"/>
  <c r="O116" i="3"/>
  <c r="P116" i="3"/>
  <c r="Q116" i="3"/>
  <c r="R116" i="3"/>
  <c r="S116" i="3"/>
  <c r="T116" i="3"/>
  <c r="V116" i="3"/>
  <c r="V119" i="3"/>
  <c r="V120" i="3"/>
  <c r="Q121" i="3"/>
  <c r="S121" i="3"/>
  <c r="V122" i="3"/>
  <c r="H123" i="3"/>
  <c r="K123" i="3"/>
  <c r="L123" i="3"/>
  <c r="M123" i="3"/>
  <c r="N123" i="3"/>
  <c r="O123" i="3"/>
  <c r="Q123" i="3"/>
  <c r="R123" i="3"/>
  <c r="V124" i="3"/>
  <c r="V125" i="3"/>
  <c r="V126" i="3"/>
  <c r="H127" i="3"/>
  <c r="I127" i="3"/>
  <c r="J127" i="3"/>
  <c r="L127" i="3"/>
  <c r="M127" i="3"/>
  <c r="N127" i="3"/>
  <c r="P127" i="3"/>
  <c r="R127" i="3"/>
  <c r="S127" i="3"/>
  <c r="T127" i="3"/>
  <c r="V130" i="3"/>
  <c r="V133" i="3" s="1"/>
  <c r="V131" i="3"/>
  <c r="V132" i="3"/>
  <c r="H133" i="3"/>
  <c r="I133" i="3"/>
  <c r="J133" i="3"/>
  <c r="K133" i="3"/>
  <c r="L133" i="3"/>
  <c r="M133" i="3"/>
  <c r="N133" i="3"/>
  <c r="O133" i="3"/>
  <c r="P133" i="3"/>
  <c r="Q133" i="3"/>
  <c r="R133" i="3"/>
  <c r="S133" i="3"/>
  <c r="T133" i="3"/>
  <c r="V134" i="3"/>
  <c r="V136" i="3"/>
  <c r="H137" i="3"/>
  <c r="H139" i="3" s="1"/>
  <c r="I137" i="3"/>
  <c r="L138" i="3"/>
  <c r="J139" i="3"/>
  <c r="K139" i="3"/>
  <c r="M139" i="3"/>
  <c r="N139" i="3"/>
  <c r="O139" i="3"/>
  <c r="P139" i="3"/>
  <c r="Q139" i="3"/>
  <c r="R139" i="3"/>
  <c r="S139" i="3"/>
  <c r="T139" i="3"/>
  <c r="N142" i="3"/>
  <c r="V143" i="3"/>
  <c r="H144" i="3"/>
  <c r="I144" i="3"/>
  <c r="J144" i="3"/>
  <c r="K144" i="3"/>
  <c r="L144" i="3"/>
  <c r="M144" i="3"/>
  <c r="N144" i="3"/>
  <c r="O144" i="3"/>
  <c r="P144" i="3"/>
  <c r="Q144" i="3"/>
  <c r="R144" i="3"/>
  <c r="S144" i="3"/>
  <c r="T144" i="3"/>
  <c r="V147" i="3"/>
  <c r="V148" i="3"/>
  <c r="H149" i="3"/>
  <c r="V149" i="3" s="1"/>
  <c r="V152" i="3" s="1"/>
  <c r="H150" i="3"/>
  <c r="V150" i="3" s="1"/>
  <c r="V151" i="3"/>
  <c r="I152" i="3"/>
  <c r="J152" i="3"/>
  <c r="K152" i="3"/>
  <c r="L152" i="3"/>
  <c r="M152" i="3"/>
  <c r="N152" i="3"/>
  <c r="O152" i="3"/>
  <c r="P152" i="3"/>
  <c r="Q152" i="3"/>
  <c r="R152" i="3"/>
  <c r="S152" i="3"/>
  <c r="T152" i="3"/>
  <c r="V155" i="3"/>
  <c r="V156" i="3"/>
  <c r="V157" i="3"/>
  <c r="V158" i="3"/>
  <c r="V159" i="3"/>
  <c r="V160" i="3"/>
  <c r="V161" i="3"/>
  <c r="V162" i="3"/>
  <c r="V163" i="3"/>
  <c r="V164" i="3"/>
  <c r="V165" i="3"/>
  <c r="V166" i="3"/>
  <c r="V167" i="3"/>
  <c r="H168" i="3"/>
  <c r="I168" i="3"/>
  <c r="J168" i="3"/>
  <c r="K168" i="3"/>
  <c r="L168" i="3"/>
  <c r="M168" i="3"/>
  <c r="N168" i="3"/>
  <c r="O168" i="3"/>
  <c r="P168" i="3"/>
  <c r="Q168" i="3"/>
  <c r="R168" i="3"/>
  <c r="S168" i="3"/>
  <c r="T168" i="3"/>
  <c r="S171" i="3"/>
  <c r="V172" i="3"/>
  <c r="H173" i="3"/>
  <c r="N173" i="3"/>
  <c r="O173" i="3"/>
  <c r="P173" i="3"/>
  <c r="V174" i="3"/>
  <c r="H175" i="3"/>
  <c r="I175" i="3"/>
  <c r="J175" i="3"/>
  <c r="K175" i="3"/>
  <c r="L175" i="3"/>
  <c r="M175" i="3"/>
  <c r="P175" i="3"/>
  <c r="Q175" i="3"/>
  <c r="R175" i="3"/>
  <c r="S175" i="3"/>
  <c r="T175" i="3"/>
  <c r="V178" i="3"/>
  <c r="V179" i="3" s="1"/>
  <c r="W179" i="3" s="1"/>
  <c r="H179" i="3"/>
  <c r="I179" i="3"/>
  <c r="J179" i="3"/>
  <c r="K179" i="3"/>
  <c r="L179" i="3"/>
  <c r="M179" i="3"/>
  <c r="N179" i="3"/>
  <c r="O179" i="3"/>
  <c r="P179" i="3"/>
  <c r="Q179" i="3"/>
  <c r="R179" i="3"/>
  <c r="S179" i="3"/>
  <c r="T179" i="3"/>
  <c r="H182" i="3"/>
  <c r="V182" i="3"/>
  <c r="V184" i="3" s="1"/>
  <c r="V183" i="3"/>
  <c r="H184" i="3"/>
  <c r="I184" i="3"/>
  <c r="J184" i="3"/>
  <c r="K184" i="3"/>
  <c r="L184" i="3"/>
  <c r="M184" i="3"/>
  <c r="N184" i="3"/>
  <c r="O184" i="3"/>
  <c r="P184" i="3"/>
  <c r="Q184" i="3"/>
  <c r="R184" i="3"/>
  <c r="S184" i="3"/>
  <c r="T184" i="3"/>
  <c r="H6" i="2"/>
  <c r="V6" i="2" s="1"/>
  <c r="V8" i="2" s="1"/>
  <c r="V7" i="2"/>
  <c r="I8" i="2"/>
  <c r="J8" i="2"/>
  <c r="K8" i="2"/>
  <c r="L8" i="2"/>
  <c r="M8" i="2"/>
  <c r="N8" i="2"/>
  <c r="O8" i="2"/>
  <c r="P8" i="2"/>
  <c r="Q8" i="2"/>
  <c r="R8" i="2"/>
  <c r="S8" i="2"/>
  <c r="T8" i="2"/>
  <c r="V11" i="2"/>
  <c r="V12" i="2"/>
  <c r="V14" i="2" s="1"/>
  <c r="V13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K17" i="2"/>
  <c r="V17" i="2" s="1"/>
  <c r="V18" i="2" s="1"/>
  <c r="W18" i="2" s="1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H21" i="2"/>
  <c r="P21" i="2"/>
  <c r="Q21" i="2"/>
  <c r="R21" i="2"/>
  <c r="R23" i="2"/>
  <c r="V22" i="2"/>
  <c r="H23" i="2"/>
  <c r="I23" i="2"/>
  <c r="J23" i="2"/>
  <c r="K23" i="2"/>
  <c r="L23" i="2"/>
  <c r="M23" i="2"/>
  <c r="N23" i="2"/>
  <c r="O23" i="2"/>
  <c r="P23" i="2"/>
  <c r="S23" i="2"/>
  <c r="T23" i="2"/>
  <c r="K26" i="2"/>
  <c r="L26" i="2"/>
  <c r="M26" i="2"/>
  <c r="M27" i="2" s="1"/>
  <c r="N26" i="2"/>
  <c r="N27" i="2" s="1"/>
  <c r="Q26" i="2"/>
  <c r="R26" i="2"/>
  <c r="H27" i="2"/>
  <c r="I27" i="2"/>
  <c r="J27" i="2"/>
  <c r="K27" i="2"/>
  <c r="O27" i="2"/>
  <c r="P27" i="2"/>
  <c r="Q27" i="2"/>
  <c r="R27" i="2"/>
  <c r="S27" i="2"/>
  <c r="T27" i="2"/>
  <c r="V30" i="2"/>
  <c r="V31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V32" i="2"/>
  <c r="N35" i="2"/>
  <c r="V35" i="2"/>
  <c r="V36" i="2" s="1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V39" i="2"/>
  <c r="V40" i="2"/>
  <c r="V41" i="2"/>
  <c r="H42" i="2"/>
  <c r="I42" i="2"/>
  <c r="J42" i="2"/>
  <c r="K42" i="2"/>
  <c r="L42" i="2"/>
  <c r="M42" i="2"/>
  <c r="N42" i="2"/>
  <c r="O42" i="2"/>
  <c r="P42" i="2"/>
  <c r="Q42" i="2"/>
  <c r="R42" i="2"/>
  <c r="S42" i="2"/>
  <c r="T42" i="2"/>
  <c r="V43" i="2"/>
  <c r="V45" i="2"/>
  <c r="V47" i="2" s="1"/>
  <c r="V46" i="2"/>
  <c r="H47" i="2"/>
  <c r="I47" i="2"/>
  <c r="J47" i="2"/>
  <c r="K47" i="2"/>
  <c r="L47" i="2"/>
  <c r="M47" i="2"/>
  <c r="N47" i="2"/>
  <c r="O47" i="2"/>
  <c r="P47" i="2"/>
  <c r="Q47" i="2"/>
  <c r="R47" i="2"/>
  <c r="S47" i="2"/>
  <c r="T47" i="2"/>
  <c r="V50" i="2"/>
  <c r="V51" i="2"/>
  <c r="H52" i="2"/>
  <c r="I52" i="2"/>
  <c r="J52" i="2"/>
  <c r="K52" i="2"/>
  <c r="L52" i="2"/>
  <c r="M52" i="2"/>
  <c r="N52" i="2"/>
  <c r="O52" i="2"/>
  <c r="P52" i="2"/>
  <c r="Q52" i="2"/>
  <c r="R52" i="2"/>
  <c r="S52" i="2"/>
  <c r="T52" i="2"/>
  <c r="V52" i="2"/>
  <c r="W52" i="2" s="1"/>
  <c r="V55" i="2"/>
  <c r="J56" i="2"/>
  <c r="K56" i="2"/>
  <c r="L56" i="2"/>
  <c r="L57" i="2"/>
  <c r="M56" i="2"/>
  <c r="H57" i="2"/>
  <c r="I57" i="2"/>
  <c r="J57" i="2"/>
  <c r="K57" i="2"/>
  <c r="N57" i="2"/>
  <c r="O57" i="2"/>
  <c r="P57" i="2"/>
  <c r="Q57" i="2"/>
  <c r="R57" i="2"/>
  <c r="S57" i="2"/>
  <c r="V60" i="2"/>
  <c r="V61" i="2" s="1"/>
  <c r="W61" i="2" s="1"/>
  <c r="H61" i="2"/>
  <c r="I61" i="2"/>
  <c r="J61" i="2"/>
  <c r="K61" i="2"/>
  <c r="L61" i="2"/>
  <c r="M61" i="2"/>
  <c r="N61" i="2"/>
  <c r="O61" i="2"/>
  <c r="P61" i="2"/>
  <c r="Q61" i="2"/>
  <c r="R61" i="2"/>
  <c r="S61" i="2"/>
  <c r="T61" i="2"/>
  <c r="V64" i="2"/>
  <c r="V65" i="2"/>
  <c r="W65" i="2" s="1"/>
  <c r="H65" i="2"/>
  <c r="I65" i="2"/>
  <c r="J65" i="2"/>
  <c r="K65" i="2"/>
  <c r="L65" i="2"/>
  <c r="M65" i="2"/>
  <c r="N65" i="2"/>
  <c r="O65" i="2"/>
  <c r="P65" i="2"/>
  <c r="Q65" i="2"/>
  <c r="R65" i="2"/>
  <c r="S65" i="2"/>
  <c r="T65" i="2"/>
  <c r="V69" i="2"/>
  <c r="V70" i="2"/>
  <c r="V71" i="2"/>
  <c r="V72" i="2"/>
  <c r="V73" i="2"/>
  <c r="V74" i="2"/>
  <c r="H75" i="2"/>
  <c r="I75" i="2"/>
  <c r="J75" i="2"/>
  <c r="K75" i="2"/>
  <c r="L75" i="2"/>
  <c r="M75" i="2"/>
  <c r="N75" i="2"/>
  <c r="O75" i="2"/>
  <c r="P75" i="2"/>
  <c r="Q75" i="2"/>
  <c r="R75" i="2"/>
  <c r="S75" i="2"/>
  <c r="T75" i="2"/>
  <c r="V78" i="2"/>
  <c r="V79" i="2"/>
  <c r="V80" i="2"/>
  <c r="H81" i="2"/>
  <c r="W81" i="2"/>
  <c r="V84" i="2"/>
  <c r="Q85" i="2"/>
  <c r="H86" i="2"/>
  <c r="I86" i="2"/>
  <c r="J86" i="2"/>
  <c r="K86" i="2"/>
  <c r="L86" i="2"/>
  <c r="M86" i="2"/>
  <c r="N86" i="2"/>
  <c r="O86" i="2"/>
  <c r="P86" i="2"/>
  <c r="R86" i="2"/>
  <c r="S86" i="2"/>
  <c r="T86" i="2"/>
  <c r="V89" i="2"/>
  <c r="V90" i="2"/>
  <c r="V91" i="2"/>
  <c r="V92" i="2"/>
  <c r="V100" i="2" s="1"/>
  <c r="L93" i="2"/>
  <c r="V93" i="2" s="1"/>
  <c r="V95" i="2"/>
  <c r="V96" i="2"/>
  <c r="V97" i="2"/>
  <c r="V98" i="2"/>
  <c r="L99" i="2"/>
  <c r="H100" i="2"/>
  <c r="I100" i="2"/>
  <c r="J100" i="2"/>
  <c r="K100" i="2"/>
  <c r="M100" i="2"/>
  <c r="N100" i="2"/>
  <c r="O100" i="2"/>
  <c r="P100" i="2"/>
  <c r="Q100" i="2"/>
  <c r="R100" i="2"/>
  <c r="S100" i="2"/>
  <c r="T100" i="2"/>
  <c r="M103" i="2"/>
  <c r="V103" i="2" s="1"/>
  <c r="V105" i="2" s="1"/>
  <c r="Q103" i="2"/>
  <c r="V104" i="2"/>
  <c r="H105" i="2"/>
  <c r="I105" i="2"/>
  <c r="J105" i="2"/>
  <c r="K105" i="2"/>
  <c r="L105" i="2"/>
  <c r="N105" i="2"/>
  <c r="O105" i="2"/>
  <c r="P105" i="2"/>
  <c r="Q105" i="2"/>
  <c r="R105" i="2"/>
  <c r="S105" i="2"/>
  <c r="T105" i="2"/>
  <c r="V108" i="2"/>
  <c r="V109" i="2"/>
  <c r="V110" i="2"/>
  <c r="V111" i="2"/>
  <c r="V112" i="2"/>
  <c r="V113" i="2"/>
  <c r="V114" i="2"/>
  <c r="V115" i="2"/>
  <c r="H116" i="2"/>
  <c r="I116" i="2"/>
  <c r="J116" i="2"/>
  <c r="K116" i="2"/>
  <c r="L116" i="2"/>
  <c r="M116" i="2"/>
  <c r="N116" i="2"/>
  <c r="O116" i="2"/>
  <c r="P116" i="2"/>
  <c r="Q116" i="2"/>
  <c r="R116" i="2"/>
  <c r="S116" i="2"/>
  <c r="T116" i="2"/>
  <c r="W116" i="2"/>
  <c r="V119" i="2"/>
  <c r="V120" i="2"/>
  <c r="V121" i="2"/>
  <c r="W121" i="2" s="1"/>
  <c r="H121" i="2"/>
  <c r="I121" i="2"/>
  <c r="J121" i="2"/>
  <c r="K121" i="2"/>
  <c r="L121" i="2"/>
  <c r="M121" i="2"/>
  <c r="N121" i="2"/>
  <c r="O121" i="2"/>
  <c r="P121" i="2"/>
  <c r="Q121" i="2"/>
  <c r="R121" i="2"/>
  <c r="S121" i="2"/>
  <c r="T121" i="2"/>
  <c r="V124" i="2"/>
  <c r="V125" i="2"/>
  <c r="R126" i="2"/>
  <c r="V126" i="2" s="1"/>
  <c r="V131" i="2" s="1"/>
  <c r="V127" i="2"/>
  <c r="V128" i="2"/>
  <c r="H129" i="2"/>
  <c r="V129" i="2" s="1"/>
  <c r="K129" i="2"/>
  <c r="L129" i="2"/>
  <c r="N129" i="2"/>
  <c r="O129" i="2"/>
  <c r="Q129" i="2"/>
  <c r="R129" i="2"/>
  <c r="V130" i="2"/>
  <c r="I131" i="2"/>
  <c r="J131" i="2"/>
  <c r="M131" i="2"/>
  <c r="N131" i="2"/>
  <c r="P131" i="2"/>
  <c r="S131" i="2"/>
  <c r="T131" i="2"/>
  <c r="Q134" i="2"/>
  <c r="V134" i="2"/>
  <c r="V137" i="2" s="1"/>
  <c r="V135" i="2"/>
  <c r="G136" i="2"/>
  <c r="V136" i="2"/>
  <c r="H137" i="2"/>
  <c r="I137" i="2"/>
  <c r="J137" i="2"/>
  <c r="K137" i="2"/>
  <c r="L137" i="2"/>
  <c r="M137" i="2"/>
  <c r="N137" i="2"/>
  <c r="O137" i="2"/>
  <c r="P137" i="2"/>
  <c r="R137" i="2"/>
  <c r="S137" i="2"/>
  <c r="T137" i="2"/>
  <c r="V140" i="2"/>
  <c r="V141" i="2"/>
  <c r="V142" i="2" s="1"/>
  <c r="H142" i="2"/>
  <c r="I142" i="2"/>
  <c r="J142" i="2"/>
  <c r="K142" i="2"/>
  <c r="L142" i="2"/>
  <c r="M142" i="2"/>
  <c r="N142" i="2"/>
  <c r="O142" i="2"/>
  <c r="P142" i="2"/>
  <c r="Q142" i="2"/>
  <c r="R142" i="2"/>
  <c r="S142" i="2"/>
  <c r="T142" i="2"/>
  <c r="V145" i="2"/>
  <c r="V147" i="2" s="1"/>
  <c r="W147" i="2" s="1"/>
  <c r="V146" i="2"/>
  <c r="H147" i="2"/>
  <c r="I147" i="2"/>
  <c r="J147" i="2"/>
  <c r="K147" i="2"/>
  <c r="L147" i="2"/>
  <c r="M147" i="2"/>
  <c r="N147" i="2"/>
  <c r="O147" i="2"/>
  <c r="P147" i="2"/>
  <c r="Q147" i="2"/>
  <c r="R147" i="2"/>
  <c r="S147" i="2"/>
  <c r="T147" i="2"/>
  <c r="V150" i="2"/>
  <c r="V151" i="2"/>
  <c r="V152" i="2"/>
  <c r="H153" i="2"/>
  <c r="V156" i="2"/>
  <c r="V157" i="2"/>
  <c r="H158" i="2"/>
  <c r="V159" i="2"/>
  <c r="V160" i="2"/>
  <c r="H161" i="2"/>
  <c r="I161" i="2"/>
  <c r="J161" i="2"/>
  <c r="K161" i="2"/>
  <c r="L161" i="2"/>
  <c r="M161" i="2"/>
  <c r="O161" i="2"/>
  <c r="P161" i="2"/>
  <c r="P168" i="2" s="1"/>
  <c r="Q161" i="2"/>
  <c r="R161" i="2"/>
  <c r="H162" i="2"/>
  <c r="M162" i="2"/>
  <c r="Q162" i="2"/>
  <c r="H163" i="2"/>
  <c r="V164" i="2"/>
  <c r="V165" i="2"/>
  <c r="H166" i="2"/>
  <c r="I166" i="2"/>
  <c r="J166" i="2"/>
  <c r="K166" i="2"/>
  <c r="M166" i="2"/>
  <c r="O166" i="2"/>
  <c r="P166" i="2"/>
  <c r="Q166" i="2"/>
  <c r="V167" i="2"/>
  <c r="I168" i="2"/>
  <c r="N168" i="2"/>
  <c r="S168" i="2"/>
  <c r="T168" i="2"/>
  <c r="V171" i="2"/>
  <c r="V172" i="2"/>
  <c r="V173" i="2"/>
  <c r="V174" i="2"/>
  <c r="V175" i="2"/>
  <c r="V176" i="2"/>
  <c r="V177" i="2"/>
  <c r="V178" i="2"/>
  <c r="V179" i="2"/>
  <c r="V180" i="2"/>
  <c r="V181" i="2"/>
  <c r="V182" i="2"/>
  <c r="J186" i="2"/>
  <c r="K186" i="2"/>
  <c r="L186" i="2"/>
  <c r="M186" i="2"/>
  <c r="M192" i="2" s="1"/>
  <c r="I187" i="2"/>
  <c r="V188" i="2"/>
  <c r="V189" i="2"/>
  <c r="I190" i="2"/>
  <c r="V190" i="2"/>
  <c r="V191" i="2"/>
  <c r="H192" i="2"/>
  <c r="N192" i="2"/>
  <c r="O192" i="2"/>
  <c r="P192" i="2"/>
  <c r="Q192" i="2"/>
  <c r="R192" i="2"/>
  <c r="S192" i="2"/>
  <c r="T192" i="2"/>
  <c r="V195" i="2"/>
  <c r="V196" i="2"/>
  <c r="W196" i="2" s="1"/>
  <c r="H196" i="2"/>
  <c r="I196" i="2"/>
  <c r="J196" i="2"/>
  <c r="K196" i="2"/>
  <c r="L196" i="2"/>
  <c r="M196" i="2"/>
  <c r="N196" i="2"/>
  <c r="O196" i="2"/>
  <c r="P196" i="2"/>
  <c r="Q196" i="2"/>
  <c r="R196" i="2"/>
  <c r="S196" i="2"/>
  <c r="T196" i="2"/>
  <c r="H199" i="2"/>
  <c r="G200" i="2"/>
  <c r="V200" i="2"/>
  <c r="V201" i="2"/>
  <c r="H202" i="2"/>
  <c r="I202" i="2"/>
  <c r="J202" i="2"/>
  <c r="K202" i="2"/>
  <c r="L202" i="2"/>
  <c r="M202" i="2"/>
  <c r="N202" i="2"/>
  <c r="O202" i="2"/>
  <c r="P202" i="2"/>
  <c r="Q202" i="2"/>
  <c r="R202" i="2"/>
  <c r="S202" i="2"/>
  <c r="T202" i="2"/>
  <c r="H6" i="1"/>
  <c r="H7" i="1" s="1"/>
  <c r="V6" i="1"/>
  <c r="I7" i="1"/>
  <c r="J7" i="1"/>
  <c r="K7" i="1"/>
  <c r="L7" i="1"/>
  <c r="M7" i="1"/>
  <c r="N7" i="1"/>
  <c r="O7" i="1"/>
  <c r="P7" i="1"/>
  <c r="Q7" i="1"/>
  <c r="R7" i="1"/>
  <c r="S7" i="1"/>
  <c r="T7" i="1"/>
  <c r="V7" i="1"/>
  <c r="W7" i="1" s="1"/>
  <c r="V10" i="1"/>
  <c r="P11" i="1"/>
  <c r="V12" i="1"/>
  <c r="H13" i="1"/>
  <c r="I13" i="1"/>
  <c r="J13" i="1"/>
  <c r="K13" i="1"/>
  <c r="L13" i="1"/>
  <c r="M13" i="1"/>
  <c r="N13" i="1"/>
  <c r="O13" i="1"/>
  <c r="Q13" i="1"/>
  <c r="R13" i="1"/>
  <c r="S13" i="1"/>
  <c r="T13" i="1"/>
  <c r="Q16" i="1"/>
  <c r="H17" i="1"/>
  <c r="K17" i="1"/>
  <c r="H18" i="1"/>
  <c r="R18" i="1"/>
  <c r="H19" i="1"/>
  <c r="I19" i="1"/>
  <c r="J19" i="1"/>
  <c r="L19" i="1"/>
  <c r="M19" i="1"/>
  <c r="N19" i="1"/>
  <c r="O19" i="1"/>
  <c r="P19" i="1"/>
  <c r="S19" i="1"/>
  <c r="T19" i="1"/>
  <c r="H22" i="1"/>
  <c r="I22" i="1"/>
  <c r="Q22" i="1"/>
  <c r="V22" i="1"/>
  <c r="V24" i="1" s="1"/>
  <c r="V23" i="1"/>
  <c r="H24" i="1"/>
  <c r="J24" i="1"/>
  <c r="K24" i="1"/>
  <c r="L24" i="1"/>
  <c r="M24" i="1"/>
  <c r="N24" i="1"/>
  <c r="O24" i="1"/>
  <c r="P24" i="1"/>
  <c r="Q24" i="1"/>
  <c r="R24" i="1"/>
  <c r="S24" i="1"/>
  <c r="T24" i="1"/>
  <c r="H27" i="1"/>
  <c r="M27" i="1"/>
  <c r="O27" i="1"/>
  <c r="P27" i="1"/>
  <c r="V27" i="1" s="1"/>
  <c r="V28" i="1" s="1"/>
  <c r="W28" i="1" s="1"/>
  <c r="Q27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V31" i="1"/>
  <c r="V32" i="1"/>
  <c r="H33" i="1"/>
  <c r="H34" i="1"/>
  <c r="I34" i="1"/>
  <c r="J34" i="1"/>
  <c r="K34" i="1"/>
  <c r="L34" i="1"/>
  <c r="M34" i="1"/>
  <c r="N34" i="1"/>
  <c r="O34" i="1"/>
  <c r="P34" i="1"/>
  <c r="Q34" i="1"/>
  <c r="R34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V38" i="1"/>
  <c r="V39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V40" i="1"/>
  <c r="W40" i="1" s="1"/>
  <c r="V43" i="1"/>
  <c r="V45" i="1" s="1"/>
  <c r="W45" i="1" s="1"/>
  <c r="V44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V48" i="1"/>
  <c r="V49" i="1"/>
  <c r="V50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V54" i="1"/>
  <c r="V55" i="1"/>
  <c r="V56" i="1" s="1"/>
  <c r="W56" i="1" s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V59" i="1"/>
  <c r="I60" i="1"/>
  <c r="J60" i="1"/>
  <c r="K60" i="1"/>
  <c r="V60" i="1" s="1"/>
  <c r="V62" i="1" s="1"/>
  <c r="L60" i="1"/>
  <c r="M60" i="1"/>
  <c r="V61" i="1"/>
  <c r="H62" i="1"/>
  <c r="I62" i="1"/>
  <c r="J62" i="1"/>
  <c r="L62" i="1"/>
  <c r="M62" i="1"/>
  <c r="N62" i="1"/>
  <c r="O62" i="1"/>
  <c r="P62" i="1"/>
  <c r="Q62" i="1"/>
  <c r="R62" i="1"/>
  <c r="S62" i="1"/>
  <c r="T62" i="1"/>
  <c r="AA62" i="1"/>
  <c r="AB62" i="1"/>
  <c r="AC62" i="1"/>
  <c r="AD62" i="1"/>
  <c r="AE62" i="1"/>
  <c r="AF62" i="1"/>
  <c r="AG62" i="1"/>
  <c r="V65" i="1"/>
  <c r="V66" i="1" s="1"/>
  <c r="W66" i="1" s="1"/>
  <c r="H66" i="1"/>
  <c r="I66" i="1"/>
  <c r="J66" i="1"/>
  <c r="K66" i="1"/>
  <c r="L66" i="1"/>
  <c r="M66" i="1"/>
  <c r="N66" i="1"/>
  <c r="O66" i="1"/>
  <c r="P66" i="1"/>
  <c r="Q66" i="1"/>
  <c r="R66" i="1"/>
  <c r="S66" i="1"/>
  <c r="T66" i="1"/>
  <c r="V69" i="1"/>
  <c r="O70" i="1"/>
  <c r="V70" i="1" s="1"/>
  <c r="V71" i="1" s="1"/>
  <c r="W71" i="1" s="1"/>
  <c r="S70" i="1"/>
  <c r="H71" i="1"/>
  <c r="I71" i="1"/>
  <c r="J71" i="1"/>
  <c r="K71" i="1"/>
  <c r="L71" i="1"/>
  <c r="M71" i="1"/>
  <c r="N71" i="1"/>
  <c r="O71" i="1"/>
  <c r="P71" i="1"/>
  <c r="Q71" i="1"/>
  <c r="R71" i="1"/>
  <c r="S71" i="1"/>
  <c r="T71" i="1"/>
  <c r="V74" i="1"/>
  <c r="G75" i="1"/>
  <c r="V75" i="1"/>
  <c r="V76" i="1"/>
  <c r="V77" i="1"/>
  <c r="V78" i="1"/>
  <c r="V79" i="1"/>
  <c r="H80" i="1"/>
  <c r="I80" i="1"/>
  <c r="J80" i="1"/>
  <c r="K80" i="1"/>
  <c r="L80" i="1"/>
  <c r="M80" i="1"/>
  <c r="N80" i="1"/>
  <c r="O80" i="1"/>
  <c r="P80" i="1"/>
  <c r="Q80" i="1"/>
  <c r="R80" i="1"/>
  <c r="S80" i="1"/>
  <c r="T80" i="1"/>
  <c r="N83" i="1"/>
  <c r="P83" i="1"/>
  <c r="S83" i="1"/>
  <c r="N84" i="1"/>
  <c r="V84" i="1"/>
  <c r="V85" i="1"/>
  <c r="H86" i="1"/>
  <c r="I86" i="1"/>
  <c r="J86" i="1"/>
  <c r="K86" i="1"/>
  <c r="L86" i="1"/>
  <c r="M86" i="1"/>
  <c r="N86" i="1"/>
  <c r="O86" i="1"/>
  <c r="Q86" i="1"/>
  <c r="R86" i="1"/>
  <c r="S86" i="1"/>
  <c r="T86" i="1"/>
  <c r="V89" i="1"/>
  <c r="V90" i="1"/>
  <c r="V91" i="1" s="1"/>
  <c r="W91" i="1" s="1"/>
  <c r="H91" i="1"/>
  <c r="I91" i="1"/>
  <c r="J91" i="1"/>
  <c r="K91" i="1"/>
  <c r="L91" i="1"/>
  <c r="M91" i="1"/>
  <c r="N91" i="1"/>
  <c r="O91" i="1"/>
  <c r="P91" i="1"/>
  <c r="Q91" i="1"/>
  <c r="R91" i="1"/>
  <c r="S91" i="1"/>
  <c r="T91" i="1"/>
  <c r="K94" i="1"/>
  <c r="V94" i="1"/>
  <c r="V95" i="1"/>
  <c r="L96" i="1"/>
  <c r="V97" i="1"/>
  <c r="V98" i="1"/>
  <c r="V99" i="1"/>
  <c r="V101" i="1"/>
  <c r="V102" i="1"/>
  <c r="V103" i="1"/>
  <c r="V104" i="1"/>
  <c r="G105" i="1"/>
  <c r="V105" i="1"/>
  <c r="V106" i="1"/>
  <c r="H107" i="1"/>
  <c r="I107" i="1"/>
  <c r="J107" i="1"/>
  <c r="K107" i="1"/>
  <c r="L107" i="1"/>
  <c r="M107" i="1"/>
  <c r="N107" i="1"/>
  <c r="O107" i="1"/>
  <c r="P107" i="1"/>
  <c r="Q107" i="1"/>
  <c r="R107" i="1"/>
  <c r="S107" i="1"/>
  <c r="T107" i="1"/>
  <c r="V110" i="1"/>
  <c r="V111" i="1"/>
  <c r="H112" i="1"/>
  <c r="I112" i="1"/>
  <c r="J112" i="1"/>
  <c r="K112" i="1"/>
  <c r="L112" i="1"/>
  <c r="M112" i="1"/>
  <c r="N112" i="1"/>
  <c r="O112" i="1"/>
  <c r="P112" i="1"/>
  <c r="Q112" i="1"/>
  <c r="R112" i="1"/>
  <c r="S112" i="1"/>
  <c r="T112" i="1"/>
  <c r="V112" i="1"/>
  <c r="W112" i="1" s="1"/>
  <c r="V115" i="1"/>
  <c r="V116" i="1"/>
  <c r="V117" i="1"/>
  <c r="V118" i="1"/>
  <c r="V119" i="1"/>
  <c r="V120" i="1"/>
  <c r="V121" i="1"/>
  <c r="V122" i="1"/>
  <c r="J123" i="1"/>
  <c r="V124" i="1"/>
  <c r="H125" i="1"/>
  <c r="I125" i="1"/>
  <c r="K125" i="1"/>
  <c r="L125" i="1"/>
  <c r="M125" i="1"/>
  <c r="N125" i="1"/>
  <c r="O125" i="1"/>
  <c r="P125" i="1"/>
  <c r="Q125" i="1"/>
  <c r="R125" i="1"/>
  <c r="S125" i="1"/>
  <c r="T125" i="1"/>
  <c r="V128" i="1"/>
  <c r="V130" i="1" s="1"/>
  <c r="W130" i="1" s="1"/>
  <c r="V129" i="1"/>
  <c r="H130" i="1"/>
  <c r="I130" i="1"/>
  <c r="J130" i="1"/>
  <c r="K130" i="1"/>
  <c r="L130" i="1"/>
  <c r="M130" i="1"/>
  <c r="N130" i="1"/>
  <c r="O130" i="1"/>
  <c r="P130" i="1"/>
  <c r="Q130" i="1"/>
  <c r="R130" i="1"/>
  <c r="S130" i="1"/>
  <c r="T130" i="1"/>
  <c r="V133" i="1"/>
  <c r="V134" i="1"/>
  <c r="N135" i="1"/>
  <c r="V135" i="1"/>
  <c r="V136" i="1"/>
  <c r="K137" i="1"/>
  <c r="N137" i="1"/>
  <c r="R137" i="1"/>
  <c r="S137" i="1"/>
  <c r="V138" i="1"/>
  <c r="V139" i="1"/>
  <c r="H140" i="1"/>
  <c r="I140" i="1"/>
  <c r="J140" i="1"/>
  <c r="L140" i="1"/>
  <c r="M140" i="1"/>
  <c r="N140" i="1"/>
  <c r="O140" i="1"/>
  <c r="P140" i="1"/>
  <c r="Q140" i="1"/>
  <c r="S140" i="1"/>
  <c r="T140" i="1"/>
  <c r="V143" i="1"/>
  <c r="V147" i="1" s="1"/>
  <c r="W147" i="1" s="1"/>
  <c r="V144" i="1"/>
  <c r="V145" i="1"/>
  <c r="V146" i="1"/>
  <c r="H147" i="1"/>
  <c r="I147" i="1"/>
  <c r="J147" i="1"/>
  <c r="K147" i="1"/>
  <c r="L147" i="1"/>
  <c r="M147" i="1"/>
  <c r="N147" i="1"/>
  <c r="O147" i="1"/>
  <c r="P147" i="1"/>
  <c r="Q147" i="1"/>
  <c r="R147" i="1"/>
  <c r="S147" i="1"/>
  <c r="T147" i="1"/>
  <c r="I150" i="1"/>
  <c r="V151" i="1"/>
  <c r="L152" i="1"/>
  <c r="M152" i="1"/>
  <c r="P152" i="1"/>
  <c r="Q152" i="1"/>
  <c r="V153" i="1"/>
  <c r="H154" i="1"/>
  <c r="J154" i="1"/>
  <c r="K154" i="1"/>
  <c r="M154" i="1"/>
  <c r="N154" i="1"/>
  <c r="O154" i="1"/>
  <c r="Q154" i="1"/>
  <c r="R154" i="1"/>
  <c r="S154" i="1"/>
  <c r="T154" i="1"/>
  <c r="V157" i="1"/>
  <c r="V162" i="1" s="1"/>
  <c r="W162" i="1" s="1"/>
  <c r="V158" i="1"/>
  <c r="V159" i="1"/>
  <c r="V160" i="1"/>
  <c r="V161" i="1"/>
  <c r="H162" i="1"/>
  <c r="I162" i="1"/>
  <c r="J162" i="1"/>
  <c r="K162" i="1"/>
  <c r="L162" i="1"/>
  <c r="M162" i="1"/>
  <c r="N162" i="1"/>
  <c r="O162" i="1"/>
  <c r="P162" i="1"/>
  <c r="Q162" i="1"/>
  <c r="R162" i="1"/>
  <c r="S162" i="1"/>
  <c r="T162" i="1"/>
  <c r="V165" i="1"/>
  <c r="V171" i="1" s="1"/>
  <c r="W171" i="1" s="1"/>
  <c r="V166" i="1"/>
  <c r="V167" i="1"/>
  <c r="V168" i="1"/>
  <c r="V169" i="1"/>
  <c r="V170" i="1"/>
  <c r="H171" i="1"/>
  <c r="I171" i="1"/>
  <c r="J171" i="1"/>
  <c r="K171" i="1"/>
  <c r="L171" i="1"/>
  <c r="M171" i="1"/>
  <c r="N171" i="1"/>
  <c r="O171" i="1"/>
  <c r="P171" i="1"/>
  <c r="Q171" i="1"/>
  <c r="R171" i="1"/>
  <c r="S171" i="1"/>
  <c r="T171" i="1"/>
  <c r="V174" i="1"/>
  <c r="R175" i="1"/>
  <c r="Q176" i="1"/>
  <c r="H177" i="1"/>
  <c r="V178" i="1"/>
  <c r="V179" i="1"/>
  <c r="H180" i="1"/>
  <c r="I180" i="1"/>
  <c r="J180" i="1"/>
  <c r="K180" i="1"/>
  <c r="L180" i="1"/>
  <c r="N180" i="1"/>
  <c r="V180" i="1"/>
  <c r="H181" i="1"/>
  <c r="V181" i="1"/>
  <c r="H182" i="1"/>
  <c r="V182" i="1"/>
  <c r="V183" i="1"/>
  <c r="H184" i="1"/>
  <c r="V185" i="1"/>
  <c r="H186" i="1"/>
  <c r="I186" i="1"/>
  <c r="L186" i="1"/>
  <c r="V186" i="1"/>
  <c r="I187" i="1"/>
  <c r="K187" i="1"/>
  <c r="M187" i="1"/>
  <c r="N187" i="1"/>
  <c r="O187" i="1"/>
  <c r="P187" i="1"/>
  <c r="Q187" i="1"/>
  <c r="S187" i="1"/>
  <c r="T187" i="1"/>
  <c r="V190" i="1"/>
  <c r="V191" i="1"/>
  <c r="V192" i="1"/>
  <c r="V209" i="1" s="1"/>
  <c r="W209" i="1" s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H209" i="1"/>
  <c r="I209" i="1"/>
  <c r="J209" i="1"/>
  <c r="K209" i="1"/>
  <c r="L209" i="1"/>
  <c r="M209" i="1"/>
  <c r="N209" i="1"/>
  <c r="O209" i="1"/>
  <c r="P209" i="1"/>
  <c r="Q209" i="1"/>
  <c r="R209" i="1"/>
  <c r="S209" i="1"/>
  <c r="T209" i="1"/>
  <c r="V212" i="1"/>
  <c r="V213" i="1"/>
  <c r="V214" i="1"/>
  <c r="V215" i="1"/>
  <c r="V216" i="1"/>
  <c r="V217" i="1"/>
  <c r="V218" i="1"/>
  <c r="V219" i="1"/>
  <c r="S220" i="1"/>
  <c r="V221" i="1"/>
  <c r="H222" i="1"/>
  <c r="I222" i="1"/>
  <c r="J222" i="1"/>
  <c r="K222" i="1"/>
  <c r="L222" i="1"/>
  <c r="M222" i="1"/>
  <c r="N222" i="1"/>
  <c r="O222" i="1"/>
  <c r="P222" i="1"/>
  <c r="Q222" i="1"/>
  <c r="R222" i="1"/>
  <c r="S222" i="1"/>
  <c r="T222" i="1"/>
  <c r="V225" i="1"/>
  <c r="V226" i="1"/>
  <c r="W226" i="1" s="1"/>
  <c r="H226" i="1"/>
  <c r="I226" i="1"/>
  <c r="J226" i="1"/>
  <c r="K226" i="1"/>
  <c r="L226" i="1"/>
  <c r="M226" i="1"/>
  <c r="N226" i="1"/>
  <c r="O226" i="1"/>
  <c r="P226" i="1"/>
  <c r="Q226" i="1"/>
  <c r="R226" i="1"/>
  <c r="S226" i="1"/>
  <c r="T226" i="1"/>
  <c r="V229" i="1"/>
  <c r="V230" i="1"/>
  <c r="V231" i="1" s="1"/>
  <c r="W231" i="1" s="1"/>
  <c r="H231" i="1"/>
  <c r="I231" i="1"/>
  <c r="J231" i="1"/>
  <c r="K231" i="1"/>
  <c r="L231" i="1"/>
  <c r="M231" i="1"/>
  <c r="N231" i="1"/>
  <c r="O231" i="1"/>
  <c r="P231" i="1"/>
  <c r="Q231" i="1"/>
  <c r="R231" i="1"/>
  <c r="S231" i="1"/>
  <c r="T231" i="1"/>
  <c r="V190" i="9"/>
  <c r="V48" i="9"/>
  <c r="V50" i="9" s="1"/>
  <c r="V14" i="9"/>
  <c r="V16" i="9" s="1"/>
  <c r="W16" i="9" s="1"/>
  <c r="V6" i="9"/>
  <c r="V7" i="9" s="1"/>
  <c r="W7" i="9" s="1"/>
  <c r="V183" i="9"/>
  <c r="V106" i="4"/>
  <c r="W106" i="4"/>
  <c r="J71" i="8"/>
  <c r="V47" i="8"/>
  <c r="W47" i="8"/>
  <c r="V105" i="8"/>
  <c r="W105" i="8" s="1"/>
  <c r="W67" i="8"/>
  <c r="W52" i="8"/>
  <c r="S13" i="8"/>
  <c r="V118" i="8"/>
  <c r="W118" i="8"/>
  <c r="W84" i="8"/>
  <c r="H80" i="8"/>
  <c r="V10" i="8"/>
  <c r="V13" i="8" s="1"/>
  <c r="W13" i="8" s="1"/>
  <c r="V79" i="8"/>
  <c r="V80" i="8"/>
  <c r="W80" i="8" s="1"/>
  <c r="H13" i="8"/>
  <c r="W75" i="8"/>
  <c r="W21" i="8"/>
  <c r="O112" i="8"/>
  <c r="K39" i="8"/>
  <c r="W33" i="8"/>
  <c r="V90" i="8"/>
  <c r="V91" i="8"/>
  <c r="W91" i="8" s="1"/>
  <c r="V87" i="8"/>
  <c r="V36" i="8"/>
  <c r="V39" i="8"/>
  <c r="H7" i="8"/>
  <c r="V100" i="6"/>
  <c r="W100" i="6"/>
  <c r="V189" i="6"/>
  <c r="W189" i="6" s="1"/>
  <c r="V198" i="4"/>
  <c r="W198" i="4" s="1"/>
  <c r="V178" i="7"/>
  <c r="W178" i="7" s="1"/>
  <c r="V167" i="6"/>
  <c r="W167" i="6" s="1"/>
  <c r="V72" i="6"/>
  <c r="W72" i="6" s="1"/>
  <c r="V118" i="5"/>
  <c r="W118" i="5" s="1"/>
  <c r="V53" i="5"/>
  <c r="W53" i="5" s="1"/>
  <c r="W188" i="4"/>
  <c r="V168" i="3"/>
  <c r="W168" i="3" s="1"/>
  <c r="V75" i="2"/>
  <c r="W75" i="2"/>
  <c r="V80" i="1"/>
  <c r="W80" i="1" s="1"/>
  <c r="T57" i="2"/>
  <c r="S811" i="10"/>
  <c r="S789" i="10"/>
  <c r="S480" i="10"/>
  <c r="S757" i="10"/>
  <c r="S379" i="10"/>
  <c r="S760" i="10"/>
  <c r="S759" i="10"/>
  <c r="S590" i="10"/>
  <c r="S618" i="10"/>
  <c r="W35" i="6"/>
  <c r="W27" i="4"/>
  <c r="W36" i="2"/>
  <c r="W51" i="4"/>
  <c r="W85" i="5"/>
  <c r="W12" i="5"/>
  <c r="W133" i="7"/>
  <c r="V199" i="2"/>
  <c r="V202" i="2"/>
  <c r="W202" i="2" s="1"/>
  <c r="L192" i="2"/>
  <c r="V186" i="2"/>
  <c r="O168" i="2"/>
  <c r="V158" i="2"/>
  <c r="H131" i="2"/>
  <c r="V56" i="2"/>
  <c r="V57" i="2" s="1"/>
  <c r="W57" i="2" s="1"/>
  <c r="V99" i="2"/>
  <c r="M57" i="2"/>
  <c r="Q131" i="2"/>
  <c r="R92" i="10"/>
  <c r="V187" i="7"/>
  <c r="W187" i="7"/>
  <c r="V206" i="9"/>
  <c r="V213" i="9" s="1"/>
  <c r="W213" i="9" s="1"/>
  <c r="N199" i="9"/>
  <c r="J199" i="9"/>
  <c r="V19" i="9"/>
  <c r="V20" i="9" s="1"/>
  <c r="J50" i="9"/>
  <c r="S195" i="10" l="1"/>
  <c r="S707" i="10"/>
  <c r="S114" i="10"/>
  <c r="S247" i="10"/>
  <c r="S790" i="11"/>
  <c r="U790" i="11" s="1"/>
  <c r="S378" i="10"/>
  <c r="S313" i="10"/>
  <c r="S157" i="10"/>
  <c r="S52" i="10"/>
  <c r="S31" i="10"/>
  <c r="S235" i="10"/>
  <c r="S223" i="10"/>
  <c r="S407" i="10"/>
  <c r="S179" i="10"/>
  <c r="S30" i="10"/>
  <c r="R661" i="10"/>
  <c r="R499" i="10"/>
  <c r="R248" i="10"/>
  <c r="R633" i="10"/>
  <c r="R32" i="10"/>
  <c r="S196" i="11"/>
  <c r="U196" i="11" s="1"/>
  <c r="S132" i="10"/>
  <c r="S707" i="11"/>
  <c r="U707" i="11" s="1"/>
  <c r="S180" i="11"/>
  <c r="U180" i="11" s="1"/>
  <c r="V168" i="2"/>
  <c r="V199" i="9"/>
  <c r="W199" i="9" s="1"/>
  <c r="H167" i="4"/>
  <c r="V160" i="4"/>
  <c r="L187" i="1"/>
  <c r="H187" i="1"/>
  <c r="V177" i="1"/>
  <c r="V175" i="1"/>
  <c r="P154" i="1"/>
  <c r="L154" i="1"/>
  <c r="I154" i="1"/>
  <c r="R140" i="1"/>
  <c r="J125" i="1"/>
  <c r="V34" i="1"/>
  <c r="R19" i="1"/>
  <c r="V18" i="1"/>
  <c r="V161" i="2"/>
  <c r="O131" i="2"/>
  <c r="V42" i="2"/>
  <c r="W42" i="2" s="1"/>
  <c r="I139" i="3"/>
  <c r="V101" i="4"/>
  <c r="W101" i="4" s="1"/>
  <c r="V170" i="6"/>
  <c r="J177" i="6"/>
  <c r="V16" i="6"/>
  <c r="V18" i="6" s="1"/>
  <c r="W18" i="6" s="1"/>
  <c r="R18" i="6"/>
  <c r="W191" i="7"/>
  <c r="V85" i="2"/>
  <c r="V86" i="2" s="1"/>
  <c r="W86" i="2" s="1"/>
  <c r="Q86" i="2"/>
  <c r="W150" i="4"/>
  <c r="J119" i="4"/>
  <c r="V114" i="4"/>
  <c r="W71" i="8"/>
  <c r="M105" i="2"/>
  <c r="W105" i="2" s="1"/>
  <c r="V220" i="1"/>
  <c r="V222" i="1" s="1"/>
  <c r="W222" i="1" s="1"/>
  <c r="R187" i="1"/>
  <c r="J187" i="1"/>
  <c r="V184" i="1"/>
  <c r="V176" i="1"/>
  <c r="V150" i="1"/>
  <c r="V123" i="1"/>
  <c r="W125" i="1" s="1"/>
  <c r="V96" i="1"/>
  <c r="V107" i="1" s="1"/>
  <c r="W107" i="1" s="1"/>
  <c r="P86" i="1"/>
  <c r="V51" i="1"/>
  <c r="W51" i="1" s="1"/>
  <c r="V33" i="1"/>
  <c r="V11" i="1"/>
  <c r="V13" i="1" s="1"/>
  <c r="W13" i="1" s="1"/>
  <c r="P13" i="1"/>
  <c r="V187" i="2"/>
  <c r="V192" i="2" s="1"/>
  <c r="I192" i="2"/>
  <c r="J192" i="2"/>
  <c r="W183" i="2"/>
  <c r="H168" i="2"/>
  <c r="W153" i="2"/>
  <c r="L131" i="2"/>
  <c r="W75" i="4"/>
  <c r="W50" i="9"/>
  <c r="V137" i="1"/>
  <c r="V140" i="1" s="1"/>
  <c r="W140" i="1" s="1"/>
  <c r="K168" i="2"/>
  <c r="N31" i="6"/>
  <c r="V30" i="6"/>
  <c r="V31" i="6" s="1"/>
  <c r="V152" i="1"/>
  <c r="K140" i="1"/>
  <c r="V83" i="1"/>
  <c r="V86" i="1" s="1"/>
  <c r="W86" i="1" s="1"/>
  <c r="K62" i="1"/>
  <c r="W62" i="1" s="1"/>
  <c r="V17" i="1"/>
  <c r="V166" i="2"/>
  <c r="V163" i="2"/>
  <c r="R168" i="2"/>
  <c r="M168" i="2"/>
  <c r="W142" i="2"/>
  <c r="W47" i="2"/>
  <c r="O127" i="3"/>
  <c r="K127" i="3"/>
  <c r="V123" i="3"/>
  <c r="V121" i="3"/>
  <c r="V127" i="3" s="1"/>
  <c r="W127" i="3" s="1"/>
  <c r="Q127" i="3"/>
  <c r="W28" i="3"/>
  <c r="W62" i="6"/>
  <c r="Q19" i="1"/>
  <c r="Q168" i="2"/>
  <c r="J168" i="2"/>
  <c r="K131" i="2"/>
  <c r="W131" i="2" s="1"/>
  <c r="W32" i="2"/>
  <c r="N175" i="3"/>
  <c r="Q111" i="3"/>
  <c r="W47" i="3"/>
  <c r="W43" i="3"/>
  <c r="K14" i="3"/>
  <c r="Q145" i="4"/>
  <c r="M145" i="4"/>
  <c r="V143" i="4"/>
  <c r="V145" i="4" s="1"/>
  <c r="V124" i="4"/>
  <c r="W124" i="4" s="1"/>
  <c r="H119" i="4"/>
  <c r="W87" i="4"/>
  <c r="V21" i="4"/>
  <c r="V23" i="4" s="1"/>
  <c r="V14" i="4"/>
  <c r="W14" i="4" s="1"/>
  <c r="V6" i="4"/>
  <c r="V7" i="4" s="1"/>
  <c r="H7" i="4"/>
  <c r="M76" i="5"/>
  <c r="V75" i="5"/>
  <c r="V76" i="5" s="1"/>
  <c r="W76" i="5" s="1"/>
  <c r="W44" i="5"/>
  <c r="J44" i="5"/>
  <c r="V20" i="5"/>
  <c r="V22" i="5" s="1"/>
  <c r="W22" i="5" s="1"/>
  <c r="I22" i="5"/>
  <c r="V6" i="5"/>
  <c r="V7" i="5" s="1"/>
  <c r="W7" i="5" s="1"/>
  <c r="W181" i="6"/>
  <c r="O143" i="6"/>
  <c r="W83" i="6"/>
  <c r="W49" i="6"/>
  <c r="I24" i="1"/>
  <c r="W24" i="1" s="1"/>
  <c r="K19" i="1"/>
  <c r="V16" i="1"/>
  <c r="V19" i="1" s="1"/>
  <c r="W19" i="1" s="1"/>
  <c r="K192" i="2"/>
  <c r="V162" i="2"/>
  <c r="L168" i="2"/>
  <c r="Q137" i="2"/>
  <c r="W137" i="2" s="1"/>
  <c r="R131" i="2"/>
  <c r="L100" i="2"/>
  <c r="W100" i="2" s="1"/>
  <c r="V21" i="2"/>
  <c r="V23" i="2" s="1"/>
  <c r="W23" i="2" s="1"/>
  <c r="Q23" i="2"/>
  <c r="W14" i="2"/>
  <c r="W184" i="3"/>
  <c r="W24" i="3"/>
  <c r="N167" i="4"/>
  <c r="W80" i="4"/>
  <c r="W41" i="4"/>
  <c r="W134" i="5"/>
  <c r="V126" i="5"/>
  <c r="W126" i="5" s="1"/>
  <c r="V98" i="5"/>
  <c r="H104" i="5"/>
  <c r="L177" i="6"/>
  <c r="V172" i="6"/>
  <c r="W111" i="6"/>
  <c r="V95" i="6"/>
  <c r="W95" i="6" s="1"/>
  <c r="M58" i="6"/>
  <c r="W53" i="6"/>
  <c r="W77" i="7"/>
  <c r="V26" i="2"/>
  <c r="V27" i="2" s="1"/>
  <c r="W27" i="2" s="1"/>
  <c r="L27" i="2"/>
  <c r="Q167" i="4"/>
  <c r="L167" i="4"/>
  <c r="V156" i="4"/>
  <c r="W156" i="4" s="1"/>
  <c r="W140" i="4"/>
  <c r="L57" i="4"/>
  <c r="W38" i="5"/>
  <c r="K152" i="6"/>
  <c r="H152" i="6"/>
  <c r="W132" i="6"/>
  <c r="V123" i="6"/>
  <c r="I126" i="6"/>
  <c r="H39" i="6"/>
  <c r="V38" i="6"/>
  <c r="V39" i="6" s="1"/>
  <c r="R128" i="7"/>
  <c r="V124" i="7"/>
  <c r="V128" i="7" s="1"/>
  <c r="W128" i="7" s="1"/>
  <c r="J128" i="7"/>
  <c r="W116" i="3"/>
  <c r="W51" i="3"/>
  <c r="W34" i="3"/>
  <c r="V181" i="4"/>
  <c r="V166" i="4"/>
  <c r="V148" i="6"/>
  <c r="V142" i="6"/>
  <c r="V122" i="6"/>
  <c r="V26" i="6"/>
  <c r="V27" i="6" s="1"/>
  <c r="W27" i="6" s="1"/>
  <c r="W133" i="3"/>
  <c r="L56" i="3"/>
  <c r="W38" i="3"/>
  <c r="M119" i="4"/>
  <c r="V138" i="6"/>
  <c r="W138" i="6" s="1"/>
  <c r="W116" i="6"/>
  <c r="V56" i="6"/>
  <c r="V58" i="6" s="1"/>
  <c r="Q27" i="6"/>
  <c r="W7" i="6"/>
  <c r="H83" i="7"/>
  <c r="V81" i="7"/>
  <c r="V83" i="7" s="1"/>
  <c r="H8" i="2"/>
  <c r="W8" i="2" s="1"/>
  <c r="L139" i="3"/>
  <c r="V138" i="3"/>
  <c r="V71" i="3"/>
  <c r="W71" i="3" s="1"/>
  <c r="H7" i="3"/>
  <c r="W7" i="3" s="1"/>
  <c r="N178" i="4"/>
  <c r="V176" i="4"/>
  <c r="V178" i="4" s="1"/>
  <c r="W178" i="4" s="1"/>
  <c r="P167" i="4"/>
  <c r="V154" i="4"/>
  <c r="P119" i="4"/>
  <c r="R101" i="4"/>
  <c r="V94" i="4"/>
  <c r="M57" i="4"/>
  <c r="V55" i="4"/>
  <c r="V57" i="4" s="1"/>
  <c r="W57" i="4" s="1"/>
  <c r="H23" i="4"/>
  <c r="V96" i="5"/>
  <c r="V94" i="5"/>
  <c r="V104" i="5" s="1"/>
  <c r="W104" i="5" s="1"/>
  <c r="V65" i="5"/>
  <c r="W71" i="5" s="1"/>
  <c r="V56" i="5"/>
  <c r="V58" i="5" s="1"/>
  <c r="W58" i="5" s="1"/>
  <c r="L152" i="6"/>
  <c r="L143" i="6"/>
  <c r="V143" i="6"/>
  <c r="S126" i="6"/>
  <c r="N126" i="6"/>
  <c r="L58" i="6"/>
  <c r="P13" i="6"/>
  <c r="V181" i="7"/>
  <c r="L162" i="7"/>
  <c r="H162" i="7"/>
  <c r="V159" i="7"/>
  <c r="V154" i="7"/>
  <c r="M128" i="7"/>
  <c r="O97" i="7"/>
  <c r="V88" i="7"/>
  <c r="V97" i="7" s="1"/>
  <c r="W26" i="7"/>
  <c r="W7" i="8"/>
  <c r="W60" i="9"/>
  <c r="W34" i="9"/>
  <c r="L54" i="7"/>
  <c r="I40" i="7"/>
  <c r="V12" i="7"/>
  <c r="V14" i="7" s="1"/>
  <c r="W14" i="7" s="1"/>
  <c r="N112" i="8"/>
  <c r="I39" i="8"/>
  <c r="W39" i="8" s="1"/>
  <c r="V16" i="8"/>
  <c r="V17" i="8" s="1"/>
  <c r="W17" i="8" s="1"/>
  <c r="H199" i="9"/>
  <c r="V153" i="9"/>
  <c r="V145" i="9"/>
  <c r="W167" i="9" s="1"/>
  <c r="V66" i="9"/>
  <c r="W66" i="9" s="1"/>
  <c r="R20" i="9"/>
  <c r="W20" i="9" s="1"/>
  <c r="V53" i="7"/>
  <c r="V54" i="7" s="1"/>
  <c r="V38" i="7"/>
  <c r="V40" i="7" s="1"/>
  <c r="H8" i="7"/>
  <c r="W8" i="7" s="1"/>
  <c r="I199" i="9"/>
  <c r="V156" i="9"/>
  <c r="W70" i="9"/>
  <c r="W54" i="9"/>
  <c r="W24" i="9"/>
  <c r="J54" i="7"/>
  <c r="K45" i="7"/>
  <c r="V44" i="7"/>
  <c r="V45" i="7" s="1"/>
  <c r="K40" i="7"/>
  <c r="Q22" i="7"/>
  <c r="V21" i="7"/>
  <c r="V22" i="7" s="1"/>
  <c r="H112" i="8"/>
  <c r="L39" i="8"/>
  <c r="V189" i="9"/>
  <c r="V178" i="9"/>
  <c r="W178" i="9" s="1"/>
  <c r="V173" i="9"/>
  <c r="V45" i="9"/>
  <c r="W45" i="9" s="1"/>
  <c r="R314" i="10"/>
  <c r="R761" i="10"/>
  <c r="R133" i="10"/>
  <c r="R54" i="10"/>
  <c r="R180" i="10"/>
  <c r="R236" i="10"/>
  <c r="R380" i="10"/>
  <c r="R591" i="10"/>
  <c r="R620" i="10"/>
  <c r="R708" i="10"/>
  <c r="R791" i="10"/>
  <c r="V39" i="9"/>
  <c r="V40" i="9" s="1"/>
  <c r="R408" i="10"/>
  <c r="K199" i="9"/>
  <c r="J40" i="9"/>
  <c r="R557" i="10"/>
  <c r="R158" i="10"/>
  <c r="R224" i="10"/>
  <c r="N152" i="6"/>
  <c r="V151" i="6"/>
  <c r="I152" i="6"/>
  <c r="W77" i="6"/>
  <c r="R152" i="6"/>
  <c r="J152" i="6"/>
  <c r="V150" i="6"/>
  <c r="V152" i="6" s="1"/>
  <c r="W152" i="6" s="1"/>
  <c r="P126" i="6"/>
  <c r="O77" i="6"/>
  <c r="O23" i="6"/>
  <c r="N13" i="6"/>
  <c r="V12" i="6"/>
  <c r="V13" i="6" s="1"/>
  <c r="V120" i="6"/>
  <c r="V126" i="6" s="1"/>
  <c r="R115" i="10"/>
  <c r="R813" i="10"/>
  <c r="V173" i="3"/>
  <c r="V110" i="3"/>
  <c r="V111" i="3" s="1"/>
  <c r="W111" i="3" s="1"/>
  <c r="V92" i="3"/>
  <c r="V93" i="3" s="1"/>
  <c r="V75" i="3"/>
  <c r="V76" i="3" s="1"/>
  <c r="W76" i="3" s="1"/>
  <c r="M60" i="3"/>
  <c r="V54" i="3"/>
  <c r="V56" i="3" s="1"/>
  <c r="W56" i="3" s="1"/>
  <c r="V11" i="3"/>
  <c r="V10" i="3"/>
  <c r="K56" i="3"/>
  <c r="V137" i="3"/>
  <c r="V98" i="3"/>
  <c r="V101" i="3" s="1"/>
  <c r="W101" i="3" s="1"/>
  <c r="I93" i="3"/>
  <c r="V59" i="3"/>
  <c r="V60" i="3" s="1"/>
  <c r="O175" i="3"/>
  <c r="V171" i="3"/>
  <c r="H152" i="3"/>
  <c r="W152" i="3" s="1"/>
  <c r="V142" i="3"/>
  <c r="V144" i="3" s="1"/>
  <c r="W144" i="3" s="1"/>
  <c r="V14" i="3" l="1"/>
  <c r="W14" i="3" s="1"/>
  <c r="W45" i="7"/>
  <c r="W83" i="7"/>
  <c r="W39" i="6"/>
  <c r="W7" i="4"/>
  <c r="W145" i="4"/>
  <c r="W31" i="6"/>
  <c r="V154" i="1"/>
  <c r="W154" i="1" s="1"/>
  <c r="V167" i="4"/>
  <c r="W167" i="4" s="1"/>
  <c r="W168" i="2"/>
  <c r="V139" i="3"/>
  <c r="W139" i="3" s="1"/>
  <c r="W22" i="7"/>
  <c r="V162" i="7"/>
  <c r="W162" i="7" s="1"/>
  <c r="W192" i="2"/>
  <c r="V35" i="1"/>
  <c r="W35" i="1" s="1"/>
  <c r="W112" i="8"/>
  <c r="V177" i="6"/>
  <c r="W177" i="6" s="1"/>
  <c r="V187" i="1"/>
  <c r="W187" i="1" s="1"/>
  <c r="W54" i="7"/>
  <c r="W60" i="3"/>
  <c r="W13" i="6"/>
  <c r="W40" i="9"/>
  <c r="W40" i="7"/>
  <c r="W97" i="7"/>
  <c r="W143" i="6"/>
  <c r="W58" i="6"/>
  <c r="W23" i="4"/>
  <c r="W119" i="4"/>
  <c r="W174" i="9"/>
  <c r="W179" i="9"/>
  <c r="W126" i="6"/>
  <c r="W23" i="6"/>
  <c r="V175" i="3"/>
  <c r="W175" i="3" s="1"/>
  <c r="W93" i="3"/>
  <c r="S143" i="10" l="1"/>
  <c r="I32" i="10"/>
  <c r="S118" i="10" l="1"/>
  <c r="S69" i="10"/>
  <c r="S169" i="10"/>
  <c r="S130" i="10"/>
  <c r="S109" i="10"/>
  <c r="M94" i="10"/>
  <c r="S163" i="10"/>
  <c r="S68" i="10"/>
  <c r="O115" i="10"/>
  <c r="I94" i="10" l="1"/>
  <c r="J158" i="10"/>
  <c r="G32" i="10"/>
  <c r="S16" i="10"/>
  <c r="M32" i="10"/>
  <c r="G133" i="10"/>
  <c r="S127" i="10"/>
  <c r="Q180" i="10"/>
  <c r="S75" i="10"/>
  <c r="N92" i="10"/>
  <c r="N115" i="10"/>
  <c r="S46" i="10"/>
  <c r="G54" i="10"/>
  <c r="H32" i="10"/>
  <c r="S106" i="10"/>
  <c r="S124" i="10"/>
  <c r="S61" i="10"/>
  <c r="O54" i="10"/>
  <c r="F115" i="10"/>
  <c r="S146" i="10"/>
  <c r="S38" i="10"/>
  <c r="N54" i="10"/>
  <c r="S140" i="10"/>
  <c r="F158" i="10"/>
  <c r="L92" i="10"/>
  <c r="S144" i="10"/>
  <c r="S147" i="10"/>
  <c r="H224" i="10"/>
  <c r="H54" i="10"/>
  <c r="K92" i="10"/>
  <c r="S48" i="10"/>
  <c r="G115" i="10"/>
  <c r="S42" i="10"/>
  <c r="S112" i="10"/>
  <c r="S105" i="10"/>
  <c r="H115" i="10"/>
  <c r="S119" i="10"/>
  <c r="P115" i="10"/>
  <c r="S207" i="10"/>
  <c r="F94" i="10"/>
  <c r="J115" i="10"/>
  <c r="P133" i="10"/>
  <c r="S273" i="10"/>
  <c r="S282" i="10"/>
  <c r="F54" i="10"/>
  <c r="S316" i="10"/>
  <c r="S49" i="10"/>
  <c r="Q32" i="10"/>
  <c r="S263" i="10"/>
  <c r="S17" i="10"/>
  <c r="L196" i="10"/>
  <c r="S21" i="10"/>
  <c r="S100" i="10"/>
  <c r="S320" i="10"/>
  <c r="S152" i="10"/>
  <c r="M158" i="10"/>
  <c r="S162" i="10"/>
  <c r="S192" i="10"/>
  <c r="S137" i="10"/>
  <c r="J133" i="10"/>
  <c r="S51" i="10"/>
  <c r="S86" i="10"/>
  <c r="S121" i="10"/>
  <c r="M224" i="10"/>
  <c r="N248" i="10"/>
  <c r="S161" i="10"/>
  <c r="Q380" i="10"/>
  <c r="S117" i="10"/>
  <c r="S220" i="10"/>
  <c r="Q248" i="10"/>
  <c r="S265" i="10"/>
  <c r="S111" i="10"/>
  <c r="S173" i="10"/>
  <c r="S77" i="10"/>
  <c r="S252" i="10"/>
  <c r="I92" i="10"/>
  <c r="S262" i="10"/>
  <c r="S110" i="10"/>
  <c r="S138" i="10"/>
  <c r="M54" i="10"/>
  <c r="I54" i="10"/>
  <c r="S135" i="10"/>
  <c r="S84" i="10"/>
  <c r="O158" i="10"/>
  <c r="K54" i="10"/>
  <c r="P94" i="10"/>
  <c r="Q92" i="10"/>
  <c r="H158" i="10"/>
  <c r="H133" i="10"/>
  <c r="S160" i="10"/>
  <c r="K196" i="10"/>
  <c r="N94" i="10"/>
  <c r="S307" i="10"/>
  <c r="I380" i="10"/>
  <c r="S79" i="10"/>
  <c r="F180" i="10"/>
  <c r="R196" i="10"/>
  <c r="S279" i="10"/>
  <c r="S358" i="10"/>
  <c r="Q236" i="10"/>
  <c r="S168" i="10"/>
  <c r="M314" i="10"/>
  <c r="S283" i="10"/>
  <c r="S155" i="10"/>
  <c r="S102" i="10"/>
  <c r="I158" i="10"/>
  <c r="S305" i="10"/>
  <c r="S201" i="10"/>
  <c r="L180" i="10"/>
  <c r="S44" i="10"/>
  <c r="M180" i="10"/>
  <c r="S76" i="10"/>
  <c r="S350" i="10"/>
  <c r="S310" i="10"/>
  <c r="O92" i="10"/>
  <c r="S468" i="10"/>
  <c r="S26" i="10"/>
  <c r="S172" i="10"/>
  <c r="G248" i="10"/>
  <c r="S107" i="10"/>
  <c r="S129" i="10"/>
  <c r="I224" i="10"/>
  <c r="S50" i="10"/>
  <c r="J94" i="10"/>
  <c r="S41" i="10"/>
  <c r="K158" i="10"/>
  <c r="S394" i="10"/>
  <c r="M115" i="10"/>
  <c r="S28" i="10"/>
  <c r="S63" i="10"/>
  <c r="G94" i="10"/>
  <c r="S14" i="10"/>
  <c r="S22" i="10"/>
  <c r="S37" i="10"/>
  <c r="K133" i="10"/>
  <c r="S171" i="10"/>
  <c r="P196" i="10"/>
  <c r="S125" i="10"/>
  <c r="S98" i="10"/>
  <c r="S101" i="10"/>
  <c r="S165" i="10"/>
  <c r="K32" i="10"/>
  <c r="J54" i="10"/>
  <c r="K180" i="10"/>
  <c r="L248" i="10"/>
  <c r="P158" i="10"/>
  <c r="G92" i="10"/>
  <c r="H196" i="10"/>
  <c r="H236" i="10"/>
  <c r="S15" i="10"/>
  <c r="O196" i="10"/>
  <c r="S128" i="10"/>
  <c r="N380" i="10"/>
  <c r="F92" i="10"/>
  <c r="S386" i="10"/>
  <c r="Q54" i="10"/>
  <c r="S150" i="10"/>
  <c r="S82" i="10"/>
  <c r="S228" i="10"/>
  <c r="S264" i="10"/>
  <c r="F196" i="10"/>
  <c r="J32" i="10"/>
  <c r="N196" i="10"/>
  <c r="S11" i="10"/>
  <c r="Q115" i="10"/>
  <c r="S227" i="10"/>
  <c r="S483" i="10"/>
  <c r="K248" i="10"/>
  <c r="S85" i="10"/>
  <c r="S187" i="10"/>
  <c r="S229" i="10"/>
  <c r="S8" i="10"/>
  <c r="H92" i="10"/>
  <c r="S78" i="10"/>
  <c r="S23" i="10"/>
  <c r="F236" i="10"/>
  <c r="S88" i="10"/>
  <c r="J224" i="10"/>
  <c r="J92" i="10"/>
  <c r="S183" i="10"/>
  <c r="F314" i="10"/>
  <c r="J236" i="10"/>
  <c r="S80" i="10"/>
  <c r="N224" i="10"/>
  <c r="P54" i="10"/>
  <c r="S67" i="10"/>
  <c r="M133" i="10"/>
  <c r="S131" i="10"/>
  <c r="O180" i="10"/>
  <c r="L32" i="10"/>
  <c r="H94" i="10"/>
  <c r="S43" i="10"/>
  <c r="S5" i="10"/>
  <c r="E32" i="10"/>
  <c r="S134" i="10"/>
  <c r="E158" i="10"/>
  <c r="E133" i="10"/>
  <c r="S116" i="10"/>
  <c r="F32" i="10"/>
  <c r="S55" i="10"/>
  <c r="S33" i="10"/>
  <c r="E54" i="10"/>
  <c r="E94" i="10"/>
  <c r="S93" i="10"/>
  <c r="S94" i="10" s="1"/>
  <c r="E196" i="10"/>
  <c r="S181" i="10"/>
  <c r="E92" i="10"/>
  <c r="S95" i="10"/>
  <c r="E115" i="10"/>
  <c r="E180" i="10"/>
  <c r="S159" i="10"/>
  <c r="S122" i="10"/>
  <c r="G196" i="10"/>
  <c r="S308" i="10"/>
  <c r="S400" i="10"/>
  <c r="N158" i="10"/>
  <c r="P92" i="10"/>
  <c r="M196" i="10"/>
  <c r="N180" i="10"/>
  <c r="N32" i="10"/>
  <c r="S47" i="10"/>
  <c r="S12" i="10"/>
  <c r="K314" i="10"/>
  <c r="S258" i="10"/>
  <c r="K115" i="10"/>
  <c r="S370" i="10"/>
  <c r="M92" i="10"/>
  <c r="S73" i="10"/>
  <c r="S65" i="10"/>
  <c r="S99" i="10"/>
  <c r="P32" i="10"/>
  <c r="S149" i="10"/>
  <c r="O32" i="10"/>
  <c r="S27" i="10"/>
  <c r="S497" i="10"/>
  <c r="L158" i="10"/>
  <c r="G236" i="10"/>
  <c r="F224" i="10"/>
  <c r="J380" i="10"/>
  <c r="S154" i="10"/>
  <c r="S36" i="10"/>
  <c r="L133" i="10"/>
  <c r="S304" i="10"/>
  <c r="S89" i="10"/>
  <c r="S319" i="10"/>
  <c r="S166" i="10"/>
  <c r="L54" i="10"/>
  <c r="H248" i="10"/>
  <c r="S126" i="10"/>
  <c r="I180" i="10"/>
  <c r="S7" i="10"/>
  <c r="S108" i="10"/>
  <c r="S177" i="10"/>
  <c r="S328" i="10"/>
  <c r="L115" i="10"/>
  <c r="S280" i="10"/>
  <c r="S492" i="10"/>
  <c r="G158" i="10"/>
  <c r="S219" i="10"/>
  <c r="S254" i="10"/>
  <c r="S193" i="10"/>
  <c r="O224" i="10"/>
  <c r="S19" i="10"/>
  <c r="I196" i="10"/>
  <c r="S241" i="10"/>
  <c r="S260" i="10"/>
  <c r="Q133" i="10"/>
  <c r="S123" i="10"/>
  <c r="S104" i="10"/>
  <c r="Q224" i="10"/>
  <c r="G224" i="10"/>
  <c r="I115" i="10"/>
  <c r="S174" i="10"/>
  <c r="G180" i="10"/>
  <c r="S246" i="10"/>
  <c r="S24" i="10"/>
  <c r="S245" i="10"/>
  <c r="F380" i="10"/>
  <c r="L94" i="10"/>
  <c r="S25" i="10"/>
  <c r="S120" i="10"/>
  <c r="Q158" i="10"/>
  <c r="J196" i="10"/>
  <c r="S226" i="10"/>
  <c r="I236" i="10"/>
  <c r="S495" i="10"/>
  <c r="I408" i="10"/>
  <c r="N236" i="10"/>
  <c r="S552" i="10"/>
  <c r="M236" i="10"/>
  <c r="S354" i="10"/>
  <c r="G481" i="10"/>
  <c r="S277" i="10"/>
  <c r="S421" i="10"/>
  <c r="S271" i="10"/>
  <c r="S204" i="10"/>
  <c r="Q94" i="10"/>
  <c r="I133" i="10"/>
  <c r="S175" i="10"/>
  <c r="S249" i="10"/>
  <c r="N481" i="10"/>
  <c r="J481" i="10"/>
  <c r="S302" i="10"/>
  <c r="S253" i="10"/>
  <c r="S475" i="10"/>
  <c r="S519" i="10"/>
  <c r="S472" i="10"/>
  <c r="S396" i="10"/>
  <c r="S372" i="10"/>
  <c r="S352" i="10"/>
  <c r="S330" i="10"/>
  <c r="S371" i="10"/>
  <c r="S543" i="10"/>
  <c r="F248" i="10"/>
  <c r="S299" i="10"/>
  <c r="H180" i="10"/>
  <c r="S83" i="10"/>
  <c r="K94" i="10"/>
  <c r="S45" i="10"/>
  <c r="J180" i="10"/>
  <c r="S403" i="10"/>
  <c r="S257" i="10"/>
  <c r="S357" i="10"/>
  <c r="Q196" i="10"/>
  <c r="I591" i="10"/>
  <c r="S392" i="10"/>
  <c r="S391" i="10"/>
  <c r="N314" i="10"/>
  <c r="S103" i="10"/>
  <c r="S74" i="10"/>
  <c r="S288" i="10"/>
  <c r="S426" i="10"/>
  <c r="S274" i="10"/>
  <c r="S341" i="10"/>
  <c r="S473" i="10"/>
  <c r="S322" i="10"/>
  <c r="S362" i="10"/>
  <c r="S261" i="10"/>
  <c r="P380" i="10"/>
  <c r="S270" i="10"/>
  <c r="N408" i="10"/>
  <c r="S349" i="10"/>
  <c r="S397" i="10"/>
  <c r="L481" i="10"/>
  <c r="S424" i="10"/>
  <c r="S360" i="10"/>
  <c r="S250" i="10"/>
  <c r="N133" i="10"/>
  <c r="S389" i="10"/>
  <c r="S40" i="10"/>
  <c r="M248" i="10"/>
  <c r="S170" i="10"/>
  <c r="S469" i="10"/>
  <c r="S141" i="10"/>
  <c r="O133" i="10"/>
  <c r="K224" i="10"/>
  <c r="S333" i="10"/>
  <c r="O380" i="10"/>
  <c r="P314" i="10"/>
  <c r="O314" i="10"/>
  <c r="S466" i="10"/>
  <c r="J248" i="10"/>
  <c r="S387" i="10"/>
  <c r="S501" i="10"/>
  <c r="E557" i="10"/>
  <c r="S356" i="10"/>
  <c r="S476" i="10"/>
  <c r="S96" i="10"/>
  <c r="S59" i="10"/>
  <c r="S216" i="10"/>
  <c r="S323" i="10"/>
  <c r="S206" i="10"/>
  <c r="S442" i="10"/>
  <c r="L236" i="10"/>
  <c r="S311" i="10"/>
  <c r="S453" i="10"/>
  <c r="M380" i="10"/>
  <c r="S346" i="10"/>
  <c r="S203" i="10"/>
  <c r="S259" i="10"/>
  <c r="S444" i="10"/>
  <c r="S450" i="10"/>
  <c r="S164" i="10"/>
  <c r="S221" i="10"/>
  <c r="S189" i="10"/>
  <c r="S191" i="10"/>
  <c r="S9" i="10"/>
  <c r="L224" i="10"/>
  <c r="S244" i="10"/>
  <c r="S167" i="10"/>
  <c r="P180" i="10"/>
  <c r="S276" i="10"/>
  <c r="S366" i="10"/>
  <c r="S422" i="10"/>
  <c r="F133" i="10"/>
  <c r="S185" i="10"/>
  <c r="S285" i="10"/>
  <c r="S427" i="10"/>
  <c r="O94" i="10"/>
  <c r="S410" i="10"/>
  <c r="S233" i="10"/>
  <c r="S242" i="10"/>
  <c r="S317" i="10"/>
  <c r="S335" i="10"/>
  <c r="S526" i="10"/>
  <c r="L380" i="10"/>
  <c r="G380" i="10"/>
  <c r="S457" i="10"/>
  <c r="S292" i="10"/>
  <c r="S329" i="10"/>
  <c r="S213" i="10"/>
  <c r="S225" i="10"/>
  <c r="E236" i="10"/>
  <c r="O236" i="10"/>
  <c r="S297" i="10"/>
  <c r="S232" i="10"/>
  <c r="S243" i="10"/>
  <c r="O499" i="10"/>
  <c r="S231" i="10"/>
  <c r="S230" i="10"/>
  <c r="S383" i="10"/>
  <c r="S239" i="10"/>
  <c r="S240" i="10"/>
  <c r="P633" i="10"/>
  <c r="S404" i="10"/>
  <c r="S198" i="10"/>
  <c r="S384" i="10"/>
  <c r="S197" i="10"/>
  <c r="E224" i="10"/>
  <c r="P224" i="10"/>
  <c r="S218" i="10"/>
  <c r="J408" i="10"/>
  <c r="S210" i="10"/>
  <c r="J314" i="10"/>
  <c r="Q481" i="10"/>
  <c r="I248" i="10"/>
  <c r="H481" i="10"/>
  <c r="S286" i="10"/>
  <c r="S451" i="10"/>
  <c r="S367" i="10"/>
  <c r="S405" i="10"/>
  <c r="K591" i="10"/>
  <c r="N557" i="10"/>
  <c r="O408" i="10"/>
  <c r="S431" i="10"/>
  <c r="K380" i="10"/>
  <c r="S351" i="10"/>
  <c r="I481" i="10"/>
  <c r="S255" i="10"/>
  <c r="P248" i="10"/>
  <c r="F408" i="10"/>
  <c r="O248" i="10"/>
  <c r="S238" i="10"/>
  <c r="O481" i="10"/>
  <c r="S327" i="10"/>
  <c r="S209" i="10"/>
  <c r="Q314" i="10"/>
  <c r="I314" i="10"/>
  <c r="S324" i="10"/>
  <c r="S402" i="10"/>
  <c r="S200" i="10"/>
  <c r="S340" i="10"/>
  <c r="S416" i="10"/>
  <c r="S465" i="10"/>
  <c r="S438" i="10"/>
  <c r="S467" i="10"/>
  <c r="S448" i="10"/>
  <c r="S364" i="10"/>
  <c r="S454" i="10"/>
  <c r="S355" i="10"/>
  <c r="S300" i="10"/>
  <c r="S256" i="10"/>
  <c r="S423" i="10"/>
  <c r="S529" i="10"/>
  <c r="S267" i="10"/>
  <c r="S290" i="10"/>
  <c r="G314" i="10"/>
  <c r="F481" i="10"/>
  <c r="S463" i="10"/>
  <c r="S251" i="10"/>
  <c r="E248" i="10"/>
  <c r="S237" i="10"/>
  <c r="S376" i="10"/>
  <c r="L408" i="10"/>
  <c r="S331" i="10"/>
  <c r="S418" i="10"/>
  <c r="S498" i="10"/>
  <c r="S522" i="10"/>
  <c r="S516" i="10"/>
  <c r="S365" i="10"/>
  <c r="P236" i="10"/>
  <c r="K236" i="10"/>
  <c r="S339" i="10"/>
  <c r="L499" i="10"/>
  <c r="Q408" i="10"/>
  <c r="M481" i="10"/>
  <c r="K481" i="10"/>
  <c r="S215" i="10"/>
  <c r="S373" i="10"/>
  <c r="S212" i="10"/>
  <c r="E314" i="10"/>
  <c r="S296" i="10"/>
  <c r="S478" i="10"/>
  <c r="M408" i="10"/>
  <c r="S368" i="10"/>
  <c r="S443" i="10"/>
  <c r="S325" i="10"/>
  <c r="H380" i="10"/>
  <c r="S446" i="10"/>
  <c r="S510" i="10"/>
  <c r="S440" i="10"/>
  <c r="S375" i="10"/>
  <c r="S434" i="10"/>
  <c r="H314" i="10"/>
  <c r="S489" i="10"/>
  <c r="S464" i="10"/>
  <c r="S176" i="10"/>
  <c r="K408" i="10"/>
  <c r="G557" i="10"/>
  <c r="H408" i="10"/>
  <c r="S482" i="10"/>
  <c r="E499" i="10"/>
  <c r="S318" i="10"/>
  <c r="S471" i="10"/>
  <c r="S447" i="10"/>
  <c r="E481" i="10"/>
  <c r="S409" i="10"/>
  <c r="L314" i="10"/>
  <c r="S411" i="10"/>
  <c r="S336" i="10"/>
  <c r="S439" i="10"/>
  <c r="S334" i="10"/>
  <c r="S432" i="10"/>
  <c r="G499" i="10"/>
  <c r="S455" i="10"/>
  <c r="S494" i="10"/>
  <c r="S548" i="10"/>
  <c r="S338" i="10"/>
  <c r="S361" i="10"/>
  <c r="S477" i="10"/>
  <c r="J557" i="10"/>
  <c r="S343" i="10"/>
  <c r="S459" i="10"/>
  <c r="S544" i="10"/>
  <c r="S369" i="10"/>
  <c r="S553" i="10"/>
  <c r="J499" i="10"/>
  <c r="S540" i="10"/>
  <c r="M557" i="10"/>
  <c r="S413" i="10"/>
  <c r="S430" i="10"/>
  <c r="S546" i="10"/>
  <c r="S520" i="10"/>
  <c r="O633" i="10"/>
  <c r="K499" i="10"/>
  <c r="S538" i="10"/>
  <c r="S315" i="10"/>
  <c r="E380" i="10"/>
  <c r="L620" i="10"/>
  <c r="J620" i="10"/>
  <c r="E408" i="10"/>
  <c r="S381" i="10"/>
  <c r="P408" i="10"/>
  <c r="G408" i="10"/>
  <c r="S420" i="10"/>
  <c r="S412" i="10"/>
  <c r="S345" i="10"/>
  <c r="S344" i="10"/>
  <c r="S359" i="10"/>
  <c r="S566" i="10"/>
  <c r="S530" i="10"/>
  <c r="S433" i="10"/>
  <c r="S348" i="10"/>
  <c r="S460" i="10"/>
  <c r="S488" i="10"/>
  <c r="S436" i="10"/>
  <c r="S414" i="10"/>
  <c r="S326" i="10"/>
  <c r="Q499" i="10"/>
  <c r="S579" i="10"/>
  <c r="S539" i="10"/>
  <c r="S577" i="10"/>
  <c r="S615" i="10"/>
  <c r="S597" i="10"/>
  <c r="L557" i="10"/>
  <c r="P499" i="10"/>
  <c r="S399" i="10"/>
  <c r="S511" i="10"/>
  <c r="H499" i="10"/>
  <c r="S458" i="10"/>
  <c r="S470" i="10"/>
  <c r="S500" i="10"/>
  <c r="S415" i="10"/>
  <c r="S485" i="10"/>
  <c r="S603" i="10"/>
  <c r="S486" i="10"/>
  <c r="M499" i="10"/>
  <c r="Q557" i="10"/>
  <c r="P557" i="10"/>
  <c r="S474" i="10"/>
  <c r="J591" i="10"/>
  <c r="S509" i="10"/>
  <c r="S571" i="10"/>
  <c r="S547" i="10"/>
  <c r="S437" i="10"/>
  <c r="S388" i="10"/>
  <c r="S429" i="10"/>
  <c r="P481" i="10"/>
  <c r="L591" i="10"/>
  <c r="S347" i="10"/>
  <c r="S563" i="10"/>
  <c r="O557" i="10"/>
  <c r="S572" i="10"/>
  <c r="S567" i="10"/>
  <c r="S518" i="10"/>
  <c r="S449" i="10"/>
  <c r="N499" i="10"/>
  <c r="Q591" i="10"/>
  <c r="S508" i="10"/>
  <c r="S528" i="10"/>
  <c r="S574" i="10"/>
  <c r="O591" i="10"/>
  <c r="S632" i="10"/>
  <c r="S417" i="10"/>
  <c r="S491" i="10"/>
  <c r="S462" i="10"/>
  <c r="S456" i="10"/>
  <c r="F499" i="10"/>
  <c r="I499" i="10"/>
  <c r="F557" i="10"/>
  <c r="S586" i="10"/>
  <c r="S578" i="10"/>
  <c r="S602" i="10"/>
  <c r="S527" i="10"/>
  <c r="S515" i="10"/>
  <c r="S513" i="10"/>
  <c r="I557" i="10"/>
  <c r="S541" i="10"/>
  <c r="S584" i="10"/>
  <c r="G708" i="10"/>
  <c r="S684" i="10"/>
  <c r="S606" i="10"/>
  <c r="S703" i="10"/>
  <c r="S524" i="10"/>
  <c r="S564" i="10"/>
  <c r="S558" i="10"/>
  <c r="E591" i="10"/>
  <c r="S616" i="10"/>
  <c r="K661" i="10"/>
  <c r="N620" i="10"/>
  <c r="S693" i="10"/>
  <c r="F633" i="10"/>
  <c r="S554" i="10"/>
  <c r="S521" i="10"/>
  <c r="S441" i="10"/>
  <c r="S435" i="10"/>
  <c r="S535" i="10"/>
  <c r="S533" i="10"/>
  <c r="S600" i="10"/>
  <c r="S681" i="10"/>
  <c r="M620" i="10"/>
  <c r="P620" i="10"/>
  <c r="K557" i="10"/>
  <c r="S659" i="10"/>
  <c r="S677" i="10"/>
  <c r="S545" i="10"/>
  <c r="S672" i="10"/>
  <c r="I633" i="10"/>
  <c r="S581" i="10"/>
  <c r="H708" i="10"/>
  <c r="S536" i="10"/>
  <c r="S653" i="10"/>
  <c r="S690" i="10"/>
  <c r="S512" i="10"/>
  <c r="S721" i="10"/>
  <c r="I620" i="10"/>
  <c r="S601" i="10"/>
  <c r="S627" i="10"/>
  <c r="S551" i="10"/>
  <c r="S660" i="10"/>
  <c r="S503" i="10"/>
  <c r="S568" i="10"/>
  <c r="S622" i="10"/>
  <c r="S626" i="10"/>
  <c r="H620" i="10"/>
  <c r="S610" i="10"/>
  <c r="E620" i="10"/>
  <c r="S592" i="10"/>
  <c r="S695" i="10"/>
  <c r="S691" i="10"/>
  <c r="S575" i="10"/>
  <c r="S504" i="10"/>
  <c r="H633" i="10"/>
  <c r="G591" i="10"/>
  <c r="K620" i="10"/>
  <c r="F591" i="10"/>
  <c r="N591" i="10"/>
  <c r="S689" i="10"/>
  <c r="S609" i="10"/>
  <c r="S692" i="10"/>
  <c r="M591" i="10"/>
  <c r="L761" i="10"/>
  <c r="S675" i="10"/>
  <c r="H557" i="10"/>
  <c r="S549" i="10"/>
  <c r="S506" i="10"/>
  <c r="S425" i="10"/>
  <c r="H591" i="10"/>
  <c r="S537" i="10"/>
  <c r="S611" i="10"/>
  <c r="S595" i="10"/>
  <c r="F620" i="10"/>
  <c r="Q620" i="10"/>
  <c r="S634" i="10"/>
  <c r="E661" i="10"/>
  <c r="S752" i="10"/>
  <c r="P591" i="10"/>
  <c r="S505" i="10"/>
  <c r="S598" i="10"/>
  <c r="S679" i="10"/>
  <c r="J633" i="10"/>
  <c r="S613" i="10"/>
  <c r="K633" i="10"/>
  <c r="S517" i="10"/>
  <c r="S623" i="10"/>
  <c r="S532" i="10"/>
  <c r="S731" i="10"/>
  <c r="S665" i="10"/>
  <c r="S560" i="10"/>
  <c r="G661" i="10"/>
  <c r="S663" i="10"/>
  <c r="S743" i="10"/>
  <c r="S559" i="10"/>
  <c r="F661" i="10"/>
  <c r="N708" i="10"/>
  <c r="S525" i="10"/>
  <c r="G620" i="10"/>
  <c r="S582" i="10"/>
  <c r="S607" i="10"/>
  <c r="O620" i="10"/>
  <c r="S676" i="10"/>
  <c r="S686" i="10"/>
  <c r="G633" i="10"/>
  <c r="S685" i="10"/>
  <c r="S599" i="10"/>
  <c r="L633" i="10"/>
  <c r="S657" i="10"/>
  <c r="N661" i="10"/>
  <c r="S748" i="10"/>
  <c r="S648" i="10"/>
  <c r="S704" i="10"/>
  <c r="F708" i="10"/>
  <c r="S502" i="10"/>
  <c r="I661" i="10"/>
  <c r="S699" i="10"/>
  <c r="S608" i="10"/>
  <c r="O661" i="10"/>
  <c r="S638" i="10"/>
  <c r="S649" i="10"/>
  <c r="F791" i="10"/>
  <c r="J708" i="10"/>
  <c r="Q633" i="10"/>
  <c r="S624" i="10"/>
  <c r="S650" i="10"/>
  <c r="S705" i="10"/>
  <c r="S641" i="10"/>
  <c r="S664" i="10"/>
  <c r="S605" i="10"/>
  <c r="S570" i="10"/>
  <c r="S562" i="10"/>
  <c r="M661" i="10"/>
  <c r="H661" i="10"/>
  <c r="S604" i="10"/>
  <c r="S788" i="10"/>
  <c r="F761" i="10"/>
  <c r="S698" i="10"/>
  <c r="S671" i="10"/>
  <c r="N761" i="10"/>
  <c r="E633" i="10"/>
  <c r="S621" i="10"/>
  <c r="S651" i="10"/>
  <c r="S722" i="10"/>
  <c r="S645" i="10"/>
  <c r="M633" i="10"/>
  <c r="S588" i="10"/>
  <c r="L661" i="10"/>
  <c r="P761" i="10"/>
  <c r="S628" i="10"/>
  <c r="S643" i="10"/>
  <c r="S593" i="10"/>
  <c r="S587" i="10"/>
  <c r="S666" i="10"/>
  <c r="S710" i="10"/>
  <c r="S751" i="10"/>
  <c r="S654" i="10"/>
  <c r="S719" i="10"/>
  <c r="S697" i="10"/>
  <c r="S631" i="10"/>
  <c r="S625" i="10"/>
  <c r="S750" i="10"/>
  <c r="S614" i="10"/>
  <c r="I761" i="10"/>
  <c r="S696" i="10"/>
  <c r="M761" i="10"/>
  <c r="S682" i="10"/>
  <c r="S612" i="10"/>
  <c r="S749" i="10"/>
  <c r="S640" i="10"/>
  <c r="J661" i="10"/>
  <c r="S656" i="10"/>
  <c r="S724" i="10"/>
  <c r="S701" i="10"/>
  <c r="P661" i="10"/>
  <c r="Q708" i="10"/>
  <c r="S596" i="10"/>
  <c r="S723" i="10"/>
  <c r="K708" i="10"/>
  <c r="M708" i="10"/>
  <c r="S745" i="10"/>
  <c r="S687" i="10"/>
  <c r="H761" i="10"/>
  <c r="I791" i="10"/>
  <c r="S636" i="10"/>
  <c r="S714" i="10"/>
  <c r="S737" i="10"/>
  <c r="S637" i="10"/>
  <c r="S647" i="10"/>
  <c r="S808" i="10"/>
  <c r="S712" i="10"/>
  <c r="S755" i="10"/>
  <c r="S753" i="10"/>
  <c r="S725" i="10"/>
  <c r="S646" i="10"/>
  <c r="S709" i="10"/>
  <c r="E761" i="10"/>
  <c r="S754" i="10"/>
  <c r="S629" i="10"/>
  <c r="S736" i="10"/>
  <c r="J791" i="10"/>
  <c r="S713" i="10"/>
  <c r="S741" i="10"/>
  <c r="S765" i="10"/>
  <c r="L791" i="10"/>
  <c r="S720" i="10"/>
  <c r="S729" i="10"/>
  <c r="N633" i="10"/>
  <c r="S680" i="10"/>
  <c r="P708" i="10"/>
  <c r="S652" i="10"/>
  <c r="E791" i="10"/>
  <c r="S762" i="10"/>
  <c r="S742" i="10"/>
  <c r="S658" i="10"/>
  <c r="S747" i="10"/>
  <c r="S635" i="10"/>
  <c r="S668" i="10"/>
  <c r="S746" i="10"/>
  <c r="S717" i="10"/>
  <c r="S662" i="10"/>
  <c r="E708" i="10"/>
  <c r="O708" i="10"/>
  <c r="S740" i="10"/>
  <c r="O761" i="10"/>
  <c r="N791" i="10"/>
  <c r="P791" i="10"/>
  <c r="H791" i="10"/>
  <c r="S766" i="10"/>
  <c r="S726" i="10"/>
  <c r="S644" i="10"/>
  <c r="S728" i="10"/>
  <c r="K761" i="10"/>
  <c r="S711" i="10"/>
  <c r="S784" i="10"/>
  <c r="S769" i="10"/>
  <c r="S770" i="10"/>
  <c r="Q761" i="10"/>
  <c r="S733" i="10"/>
  <c r="S738" i="10"/>
  <c r="S739" i="10"/>
  <c r="S674" i="10"/>
  <c r="Q661" i="10"/>
  <c r="S670" i="10"/>
  <c r="M791" i="10"/>
  <c r="G761" i="10"/>
  <c r="S669" i="10"/>
  <c r="S730" i="10"/>
  <c r="S797" i="10"/>
  <c r="S777" i="10"/>
  <c r="S716" i="10"/>
  <c r="Q791" i="10"/>
  <c r="I708" i="10"/>
  <c r="S775" i="10"/>
  <c r="S774" i="10"/>
  <c r="L708" i="10"/>
  <c r="S642" i="10"/>
  <c r="S732" i="10"/>
  <c r="S735" i="10"/>
  <c r="S781" i="10"/>
  <c r="G813" i="10"/>
  <c r="J761" i="10"/>
  <c r="S715" i="10"/>
  <c r="S744" i="10"/>
  <c r="S771" i="10"/>
  <c r="S786" i="10"/>
  <c r="I813" i="10"/>
  <c r="K813" i="10"/>
  <c r="S772" i="10"/>
  <c r="N813" i="10"/>
  <c r="S806" i="10"/>
  <c r="S795" i="10"/>
  <c r="S809" i="10"/>
  <c r="S805" i="10"/>
  <c r="G791" i="10"/>
  <c r="S718" i="10"/>
  <c r="S796" i="10"/>
  <c r="F813" i="10"/>
  <c r="S783" i="10"/>
  <c r="S801" i="10"/>
  <c r="P813" i="10"/>
  <c r="O813" i="10"/>
  <c r="S804" i="10"/>
  <c r="S794" i="10"/>
  <c r="M813" i="10"/>
  <c r="S800" i="10"/>
  <c r="K791" i="10"/>
  <c r="H813" i="10"/>
  <c r="S763" i="10"/>
  <c r="S798" i="10"/>
  <c r="S780" i="10"/>
  <c r="Q813" i="10"/>
  <c r="S803" i="10"/>
  <c r="S768" i="10"/>
  <c r="S802" i="10"/>
  <c r="S793" i="10"/>
  <c r="S799" i="10"/>
  <c r="L813" i="10"/>
  <c r="E813" i="10"/>
  <c r="S792" i="10"/>
  <c r="J813" i="10"/>
  <c r="S807" i="10"/>
  <c r="S727" i="10"/>
  <c r="S734" i="10"/>
  <c r="O791" i="10"/>
  <c r="S778" i="10"/>
  <c r="S92" i="10" l="1"/>
  <c r="V92" i="10" s="1"/>
  <c r="X92" i="11" s="1"/>
  <c r="S32" i="10"/>
  <c r="S813" i="10"/>
  <c r="S314" i="10"/>
  <c r="S248" i="10"/>
  <c r="V248" i="10" s="1"/>
  <c r="X248" i="11" s="1"/>
  <c r="S633" i="10"/>
  <c r="S620" i="10"/>
  <c r="S557" i="10"/>
  <c r="V557" i="10" s="1"/>
  <c r="X556" i="11" s="1"/>
  <c r="S269" i="10"/>
  <c r="V269" i="10" s="1"/>
  <c r="X268" i="11" s="1"/>
  <c r="S180" i="10"/>
  <c r="V180" i="10" s="1"/>
  <c r="X180" i="11" s="1"/>
  <c r="S133" i="10"/>
  <c r="V133" i="10" s="1"/>
  <c r="X133" i="11" s="1"/>
  <c r="S708" i="10"/>
  <c r="S791" i="10"/>
  <c r="V791" i="10" s="1"/>
  <c r="X790" i="11" s="1"/>
  <c r="S481" i="10"/>
  <c r="S761" i="10"/>
  <c r="V761" i="10" s="1"/>
  <c r="X760" i="11" s="1"/>
  <c r="S661" i="10"/>
  <c r="S591" i="10"/>
  <c r="V591" i="10" s="1"/>
  <c r="X590" i="11" s="1"/>
  <c r="S408" i="10"/>
  <c r="V408" i="10" s="1"/>
  <c r="X407" i="11" s="1"/>
  <c r="S71" i="10"/>
  <c r="V71" i="10" s="1"/>
  <c r="X71" i="11" s="1"/>
  <c r="S196" i="10"/>
  <c r="V196" i="10" s="1"/>
  <c r="X196" i="11" s="1"/>
  <c r="S380" i="10"/>
  <c r="V380" i="10" s="1"/>
  <c r="X379" i="11" s="1"/>
  <c r="S499" i="10"/>
  <c r="V499" i="10" s="1"/>
  <c r="X498" i="11" s="1"/>
  <c r="S224" i="10"/>
  <c r="V224" i="10" s="1"/>
  <c r="X224" i="11" s="1"/>
  <c r="S236" i="10"/>
  <c r="V236" i="10" s="1"/>
  <c r="S295" i="10"/>
  <c r="V295" i="10" s="1"/>
  <c r="X294" i="11" s="1"/>
  <c r="S115" i="10"/>
  <c r="V115" i="10" s="1"/>
  <c r="X115" i="11" s="1"/>
  <c r="S54" i="10"/>
  <c r="V54" i="10" s="1"/>
  <c r="X54" i="11" s="1"/>
  <c r="S158" i="10"/>
  <c r="V94" i="10"/>
  <c r="X94" i="11" s="1"/>
  <c r="T32" i="10"/>
  <c r="T708" i="10"/>
  <c r="T115" i="10"/>
  <c r="T408" i="10"/>
  <c r="T180" i="10"/>
  <c r="T158" i="10"/>
  <c r="T314" i="10"/>
  <c r="T224" i="10"/>
  <c r="T133" i="10"/>
  <c r="T94" i="10"/>
  <c r="T813" i="10"/>
  <c r="T620" i="10"/>
  <c r="T481" i="10"/>
  <c r="T71" i="10"/>
  <c r="T661" i="10"/>
  <c r="T54" i="10"/>
  <c r="T633" i="10"/>
  <c r="V708" i="10" l="1"/>
  <c r="X707" i="11" s="1"/>
  <c r="V813" i="10"/>
  <c r="X812" i="11" s="1"/>
  <c r="V661" i="10"/>
  <c r="X660" i="11" s="1"/>
  <c r="V633" i="10"/>
  <c r="X632" i="11" s="1"/>
  <c r="V620" i="10"/>
  <c r="X619" i="11" s="1"/>
  <c r="V481" i="10"/>
  <c r="X480" i="11" s="1"/>
  <c r="V314" i="10"/>
  <c r="X313" i="11" s="1"/>
  <c r="V158" i="10"/>
  <c r="X158" i="11" s="1"/>
  <c r="V32" i="10"/>
  <c r="X32" i="11" s="1"/>
  <c r="T236" i="10"/>
  <c r="T791" i="10"/>
  <c r="T196" i="10"/>
  <c r="T269" i="10"/>
  <c r="T295" i="10"/>
  <c r="T499" i="10"/>
  <c r="T92" i="10"/>
  <c r="T248" i="10"/>
  <c r="T380" i="10"/>
  <c r="T557" i="10"/>
  <c r="T761" i="10"/>
  <c r="T591" i="10"/>
  <c r="X3" i="11" l="1"/>
</calcChain>
</file>

<file path=xl/comments1.xml><?xml version="1.0" encoding="utf-8"?>
<comments xmlns="http://schemas.openxmlformats.org/spreadsheetml/2006/main">
  <authors>
    <author>CHU</author>
  </authors>
  <commentList>
    <comment ref="L93" authorId="0">
      <text>
        <r>
          <rPr>
            <b/>
            <sz val="9"/>
            <color indexed="81"/>
            <rFont val="Tahoma"/>
            <family val="2"/>
          </rPr>
          <t>CHU:</t>
        </r>
        <r>
          <rPr>
            <sz val="9"/>
            <color indexed="81"/>
            <rFont val="Tahoma"/>
            <family val="2"/>
          </rPr>
          <t xml:space="preserve">
concerne bdx 482,09*3</t>
        </r>
      </text>
    </comment>
    <comment ref="L99" authorId="0">
      <text>
        <r>
          <rPr>
            <b/>
            <sz val="9"/>
            <color indexed="81"/>
            <rFont val="Tahoma"/>
            <family val="2"/>
          </rPr>
          <t>CHU:</t>
        </r>
        <r>
          <rPr>
            <sz val="9"/>
            <color indexed="81"/>
            <rFont val="Tahoma"/>
            <family val="2"/>
          </rPr>
          <t xml:space="preserve">
482,08 concerne bdx</t>
        </r>
      </text>
    </comment>
  </commentList>
</comments>
</file>

<file path=xl/comments2.xml><?xml version="1.0" encoding="utf-8"?>
<comments xmlns="http://schemas.openxmlformats.org/spreadsheetml/2006/main">
  <authors>
    <author>Pauline DUSSAUCOY</author>
    <author>Le Corre-Bossant, Blandine</author>
    <author>Rachel Reali</author>
  </authors>
  <commentList>
    <comment ref="L10" authorId="0">
      <text>
        <r>
          <rPr>
            <b/>
            <sz val="9"/>
            <color indexed="81"/>
            <rFont val="Tahoma"/>
            <family val="2"/>
          </rPr>
          <t>Pauline DUSSAUCOY:</t>
        </r>
        <r>
          <rPr>
            <sz val="9"/>
            <color indexed="81"/>
            <rFont val="Tahoma"/>
            <family val="2"/>
          </rPr>
          <t xml:space="preserve">
On ne travaille plus avec SAMSIC
</t>
        </r>
      </text>
    </comment>
    <comment ref="O11" authorId="1">
      <text>
        <r>
          <rPr>
            <b/>
            <sz val="9"/>
            <color indexed="81"/>
            <rFont val="Tahoma"/>
            <family val="2"/>
          </rPr>
          <t>Le Corre-Bossant, Blandine:</t>
        </r>
        <r>
          <rPr>
            <sz val="9"/>
            <color indexed="81"/>
            <rFont val="Tahoma"/>
            <family val="2"/>
          </rPr>
          <t xml:space="preserve">
2 FDI -&gt; 2134€ + 818€ pour S20 à S30</t>
        </r>
      </text>
    </comment>
    <comment ref="R11" authorId="1">
      <text>
        <r>
          <rPr>
            <b/>
            <sz val="9"/>
            <color indexed="81"/>
            <rFont val="Tahoma"/>
            <family val="2"/>
          </rPr>
          <t>Le Corre-Bossant, Blandine:</t>
        </r>
        <r>
          <rPr>
            <sz val="9"/>
            <color indexed="81"/>
            <rFont val="Tahoma"/>
            <family val="2"/>
          </rPr>
          <t xml:space="preserve">
2 FDI 2542€ (GT) + 976€ (le calvez)</t>
        </r>
      </text>
    </comment>
    <comment ref="T85" authorId="2">
      <text>
        <r>
          <rPr>
            <b/>
            <sz val="9"/>
            <color indexed="81"/>
            <rFont val="Tahoma"/>
            <family val="2"/>
          </rPr>
          <t>Rachel Reali:</t>
        </r>
        <r>
          <rPr>
            <sz val="9"/>
            <color indexed="81"/>
            <rFont val="Tahoma"/>
            <family val="2"/>
          </rPr>
          <t xml:space="preserve">
novembre
</t>
        </r>
      </text>
    </comment>
    <comment ref="L137" authorId="0">
      <text>
        <r>
          <rPr>
            <b/>
            <sz val="9"/>
            <color indexed="81"/>
            <rFont val="Tahoma"/>
            <family val="2"/>
          </rPr>
          <t>Pauline DUSSAUCOY:</t>
        </r>
        <r>
          <rPr>
            <sz val="9"/>
            <color indexed="81"/>
            <rFont val="Tahoma"/>
            <family val="2"/>
          </rPr>
          <t xml:space="preserve">
On ne travaille plus avec EI </t>
        </r>
      </text>
    </comment>
    <comment ref="P147" authorId="0">
      <text>
        <r>
          <rPr>
            <b/>
            <sz val="9"/>
            <color indexed="81"/>
            <rFont val="Tahoma"/>
            <family val="2"/>
          </rPr>
          <t>Pauline DUSSAUCOY:</t>
        </r>
        <r>
          <rPr>
            <sz val="9"/>
            <color indexed="81"/>
            <rFont val="Tahoma"/>
            <family val="2"/>
          </rPr>
          <t xml:space="preserve">
Ne plus provisionner  (Info : Adrien 30/08/2017)
</t>
        </r>
      </text>
    </comment>
    <comment ref="Q173" authorId="2">
      <text>
        <r>
          <rPr>
            <b/>
            <sz val="9"/>
            <color indexed="81"/>
            <rFont val="Tahoma"/>
            <family val="2"/>
          </rPr>
          <t>Rachel Reali:</t>
        </r>
        <r>
          <rPr>
            <sz val="9"/>
            <color indexed="81"/>
            <rFont val="Tahoma"/>
            <family val="2"/>
          </rPr>
          <t xml:space="preserve">
du 13/8 au 13/11
</t>
        </r>
      </text>
    </comment>
  </commentList>
</comments>
</file>

<file path=xl/comments3.xml><?xml version="1.0" encoding="utf-8"?>
<comments xmlns="http://schemas.openxmlformats.org/spreadsheetml/2006/main">
  <authors>
    <author>CHU</author>
  </authors>
  <commentList>
    <comment ref="L172" authorId="0">
      <text>
        <r>
          <rPr>
            <b/>
            <sz val="9"/>
            <color indexed="81"/>
            <rFont val="Tahoma"/>
            <family val="2"/>
          </rPr>
          <t>CHU:</t>
        </r>
        <r>
          <rPr>
            <sz val="9"/>
            <color indexed="81"/>
            <rFont val="Tahoma"/>
            <family val="2"/>
          </rPr>
          <t xml:space="preserve">
480€ frais d'installation</t>
        </r>
      </text>
    </comment>
  </commentList>
</comments>
</file>

<file path=xl/comments4.xml><?xml version="1.0" encoding="utf-8"?>
<comments xmlns="http://schemas.openxmlformats.org/spreadsheetml/2006/main">
  <authors>
    <author>Rachel Reali</author>
  </authors>
  <commentList>
    <comment ref="T10" authorId="0">
      <text>
        <r>
          <rPr>
            <b/>
            <sz val="9"/>
            <color indexed="81"/>
            <rFont val="Tahoma"/>
            <family val="2"/>
          </rPr>
          <t>Rachel Reali:</t>
        </r>
        <r>
          <rPr>
            <sz val="9"/>
            <color indexed="81"/>
            <rFont val="Tahoma"/>
            <family val="2"/>
          </rPr>
          <t xml:space="preserve">
Remplacé par Fraikin
</t>
        </r>
      </text>
    </comment>
  </commentList>
</comments>
</file>

<file path=xl/comments5.xml><?xml version="1.0" encoding="utf-8"?>
<comments xmlns="http://schemas.openxmlformats.org/spreadsheetml/2006/main">
  <authors>
    <author>Le Corre-Bossant, Blandine</author>
    <author>Pauline DUSSAUCOY</author>
    <author>CHU</author>
  </authors>
  <commentList>
    <comment ref="M38" authorId="0">
      <text>
        <r>
          <rPr>
            <b/>
            <sz val="9"/>
            <color indexed="81"/>
            <rFont val="Tahoma"/>
            <family val="2"/>
          </rPr>
          <t>Le Corre-Bossant, Blandine:</t>
        </r>
        <r>
          <rPr>
            <sz val="9"/>
            <color indexed="81"/>
            <rFont val="Tahoma"/>
            <family val="2"/>
          </rPr>
          <t xml:space="preserve">
on ne travaille plus avec ce prestataire</t>
        </r>
      </text>
    </comment>
    <comment ref="O75" authorId="0">
      <text>
        <r>
          <rPr>
            <b/>
            <sz val="9"/>
            <color indexed="81"/>
            <rFont val="Tahoma"/>
            <family val="2"/>
          </rPr>
          <t>Le Corre-Bossant, Blandine:</t>
        </r>
        <r>
          <rPr>
            <sz val="9"/>
            <color indexed="81"/>
            <rFont val="Tahoma"/>
            <family val="2"/>
          </rPr>
          <t xml:space="preserve">
ne plus provisionner</t>
        </r>
      </text>
    </comment>
    <comment ref="H166" authorId="0">
      <text>
        <r>
          <rPr>
            <b/>
            <sz val="9"/>
            <color indexed="81"/>
            <rFont val="Tahoma"/>
            <family val="2"/>
          </rPr>
          <t>Le Corre-Bossant, Blandine:</t>
        </r>
        <r>
          <rPr>
            <sz val="9"/>
            <color indexed="81"/>
            <rFont val="Tahoma"/>
            <family val="2"/>
          </rPr>
          <t xml:space="preserve">
reprise fnp 2016 -&gt; overlap 2100€</t>
        </r>
      </text>
    </comment>
    <comment ref="N166" authorId="1">
      <text>
        <r>
          <rPr>
            <b/>
            <sz val="9"/>
            <color indexed="81"/>
            <rFont val="Tahoma"/>
            <family val="2"/>
          </rPr>
          <t>Pauline DUSSAUCOY:</t>
        </r>
        <r>
          <rPr>
            <sz val="9"/>
            <color indexed="81"/>
            <rFont val="Tahoma"/>
            <family val="2"/>
          </rPr>
          <t xml:space="preserve">
104DIT symbole 999999 dans la compta </t>
        </r>
      </text>
    </comment>
    <comment ref="N173" authorId="1">
      <text>
        <r>
          <rPr>
            <b/>
            <sz val="9"/>
            <color indexed="81"/>
            <rFont val="Tahoma"/>
            <family val="2"/>
          </rPr>
          <t>Pauline DUSSAUCOY:</t>
        </r>
        <r>
          <rPr>
            <sz val="9"/>
            <color indexed="81"/>
            <rFont val="Tahoma"/>
            <family val="2"/>
          </rPr>
          <t xml:space="preserve">
présent en compta mais pas de ligne dans le tableau </t>
        </r>
      </text>
    </comment>
    <comment ref="Q173" authorId="2">
      <text>
        <r>
          <rPr>
            <b/>
            <sz val="9"/>
            <color indexed="81"/>
            <rFont val="Tahoma"/>
            <family val="2"/>
          </rPr>
          <t>CHU:</t>
        </r>
        <r>
          <rPr>
            <sz val="9"/>
            <color indexed="81"/>
            <rFont val="Tahoma"/>
            <family val="2"/>
          </rPr>
          <t xml:space="preserve">
erreur de compte correction sur octobre
</t>
        </r>
      </text>
    </comment>
    <comment ref="I190" authorId="0">
      <text>
        <r>
          <rPr>
            <b/>
            <sz val="9"/>
            <color indexed="81"/>
            <rFont val="Tahoma"/>
            <family val="2"/>
          </rPr>
          <t>Le Corre-Bossant, Blandine:</t>
        </r>
        <r>
          <rPr>
            <sz val="9"/>
            <color indexed="81"/>
            <rFont val="Tahoma"/>
            <family val="2"/>
          </rPr>
          <t xml:space="preserve">
facture du 11/11 au 10/02</t>
        </r>
      </text>
    </comment>
    <comment ref="J190" authorId="0">
      <text>
        <r>
          <rPr>
            <b/>
            <sz val="9"/>
            <color indexed="81"/>
            <rFont val="Tahoma"/>
            <family val="2"/>
          </rPr>
          <t>Le Corre-Bossant, Blandine:</t>
        </r>
        <r>
          <rPr>
            <sz val="9"/>
            <color indexed="81"/>
            <rFont val="Tahoma"/>
            <family val="2"/>
          </rPr>
          <t xml:space="preserve">
du 10/02 au 10/05</t>
        </r>
      </text>
    </comment>
    <comment ref="M190" authorId="0">
      <text>
        <r>
          <rPr>
            <b/>
            <sz val="9"/>
            <color indexed="81"/>
            <rFont val="Tahoma"/>
            <family val="2"/>
          </rPr>
          <t>Le Corre-Bossant, Blandine:</t>
        </r>
        <r>
          <rPr>
            <sz val="9"/>
            <color indexed="81"/>
            <rFont val="Tahoma"/>
            <family val="2"/>
          </rPr>
          <t xml:space="preserve">
relevé au 10/08/2017</t>
        </r>
      </text>
    </comment>
    <comment ref="P190" authorId="0">
      <text>
        <r>
          <rPr>
            <b/>
            <sz val="9"/>
            <color indexed="81"/>
            <rFont val="Tahoma"/>
            <family val="2"/>
          </rPr>
          <t>Le Corre-Bossant, Blandine:</t>
        </r>
        <r>
          <rPr>
            <sz val="9"/>
            <color indexed="81"/>
            <rFont val="Tahoma"/>
            <family val="2"/>
          </rPr>
          <t xml:space="preserve">
du 10/08 au 10/11</t>
        </r>
      </text>
    </comment>
    <comment ref="I191" authorId="0">
      <text>
        <r>
          <rPr>
            <b/>
            <sz val="9"/>
            <color indexed="81"/>
            <rFont val="Tahoma"/>
            <family val="2"/>
          </rPr>
          <t>Le Corre-Bossant, Blandine:</t>
        </r>
        <r>
          <rPr>
            <sz val="9"/>
            <color indexed="81"/>
            <rFont val="Tahoma"/>
            <family val="2"/>
          </rPr>
          <t xml:space="preserve">
du 10/12/16 au 21/03/17</t>
        </r>
      </text>
    </comment>
    <comment ref="L192" authorId="0">
      <text>
        <r>
          <rPr>
            <b/>
            <sz val="9"/>
            <color indexed="81"/>
            <rFont val="Tahoma"/>
            <family val="2"/>
          </rPr>
          <t>Le Corre-Bossant, Blandine:</t>
        </r>
        <r>
          <rPr>
            <sz val="9"/>
            <color indexed="81"/>
            <rFont val="Tahoma"/>
            <family val="2"/>
          </rPr>
          <t xml:space="preserve">
DU 10/04 au 10/07</t>
        </r>
      </text>
    </comment>
    <comment ref="N196" authorId="0">
      <text>
        <r>
          <rPr>
            <b/>
            <sz val="9"/>
            <color indexed="81"/>
            <rFont val="Tahoma"/>
            <family val="2"/>
          </rPr>
          <t>Le Corre-Bossant, Blandine:</t>
        </r>
        <r>
          <rPr>
            <sz val="9"/>
            <color indexed="81"/>
            <rFont val="Tahoma"/>
            <family val="2"/>
          </rPr>
          <t xml:space="preserve">
du 13/06 au 11/08</t>
        </r>
      </text>
    </comment>
  </commentList>
</comments>
</file>

<file path=xl/sharedStrings.xml><?xml version="1.0" encoding="utf-8"?>
<sst xmlns="http://schemas.openxmlformats.org/spreadsheetml/2006/main" count="7130" uniqueCount="885">
  <si>
    <t>FOURNISSEUR</t>
  </si>
  <si>
    <t>DESIGNATION</t>
  </si>
  <si>
    <t>PERIODE</t>
  </si>
  <si>
    <t>COMPTE</t>
  </si>
  <si>
    <t>Mensualité</t>
  </si>
  <si>
    <t>MARS</t>
  </si>
  <si>
    <t>AVRIL</t>
  </si>
  <si>
    <t>MAI</t>
  </si>
  <si>
    <t>JUIN</t>
  </si>
  <si>
    <t>615200 / ENT. BUREAUX</t>
  </si>
  <si>
    <t xml:space="preserve"> </t>
  </si>
  <si>
    <t xml:space="preserve">S/TOTAL </t>
  </si>
  <si>
    <t>615220 / MAINT. INFORM.</t>
  </si>
  <si>
    <t>Maint. exceptionnelle</t>
  </si>
  <si>
    <t>615230 / MAINT. EQUIP. BUR.</t>
  </si>
  <si>
    <t>COMMUTEL</t>
  </si>
  <si>
    <t>628500 / GARDIENNAGE</t>
  </si>
  <si>
    <t>SIRELCOM</t>
  </si>
  <si>
    <t>Nettoyage bureaux</t>
  </si>
  <si>
    <t>SAGE</t>
  </si>
  <si>
    <t>615230 / MAINT. EQUIP.</t>
  </si>
  <si>
    <t>Mens.</t>
  </si>
  <si>
    <t>ANNUELLE</t>
  </si>
  <si>
    <t>615140 /  COOLING SYST.</t>
  </si>
  <si>
    <t>TRIMEST.</t>
  </si>
  <si>
    <t>615170 / STAT. ESS. LAVAGE</t>
  </si>
  <si>
    <t>EMU</t>
  </si>
  <si>
    <t>Entretien</t>
  </si>
  <si>
    <t>615180 / ENT. ESP. VERTS</t>
  </si>
  <si>
    <t>Entretien espaces verts</t>
  </si>
  <si>
    <t>MENSUEL</t>
  </si>
  <si>
    <t>Entretien des bureaux</t>
  </si>
  <si>
    <t>Nettoyage des locaux</t>
  </si>
  <si>
    <t>ELIS</t>
  </si>
  <si>
    <t>626300 / AFFRANCHISS.</t>
  </si>
  <si>
    <t>POSTE</t>
  </si>
  <si>
    <t>Collecte courrier</t>
  </si>
  <si>
    <t>Gardiennage</t>
  </si>
  <si>
    <t>Gardiennage exceptionnel</t>
  </si>
  <si>
    <t xml:space="preserve">POSTE </t>
  </si>
  <si>
    <t>Maintenance entrepot /Except.</t>
  </si>
  <si>
    <t>615111 / HYGIENNE /s traitant</t>
  </si>
  <si>
    <t>626300 / COLLECTE COURRIER</t>
  </si>
  <si>
    <t>SIEMENS</t>
  </si>
  <si>
    <t>SECURITAS</t>
  </si>
  <si>
    <t>IBM</t>
  </si>
  <si>
    <t>TSIP</t>
  </si>
  <si>
    <t>IPLS</t>
  </si>
  <si>
    <t>SERRAND PAYSAGISTE</t>
  </si>
  <si>
    <t>SEPT</t>
  </si>
  <si>
    <t>OCT</t>
  </si>
  <si>
    <t>DEC</t>
  </si>
  <si>
    <t>INITIAL</t>
  </si>
  <si>
    <t>gardiennage jour/nuit</t>
  </si>
  <si>
    <t>615150 / ENTRETIEN AUTOLAVEUSE</t>
  </si>
  <si>
    <t>JANV</t>
  </si>
  <si>
    <t>FEV</t>
  </si>
  <si>
    <t xml:space="preserve">HARDIS </t>
  </si>
  <si>
    <t>MA SECURITE</t>
  </si>
  <si>
    <t>NOV</t>
  </si>
  <si>
    <t>maitre chien</t>
  </si>
  <si>
    <t>615160 / ENT NACELLE</t>
  </si>
  <si>
    <t>052STK</t>
  </si>
  <si>
    <t>054ADM</t>
  </si>
  <si>
    <t>AOÛT</t>
  </si>
  <si>
    <t>JUIL</t>
  </si>
  <si>
    <t>TOTAL</t>
  </si>
  <si>
    <t>042STK</t>
  </si>
  <si>
    <t>044ADM</t>
  </si>
  <si>
    <t>gardiennage exceptionnel</t>
  </si>
  <si>
    <t>021TRS</t>
  </si>
  <si>
    <t>022STK</t>
  </si>
  <si>
    <t>024ADM</t>
  </si>
  <si>
    <t>032STK</t>
  </si>
  <si>
    <t>034ADM</t>
  </si>
  <si>
    <t>031TRS</t>
  </si>
  <si>
    <t>014ADM</t>
  </si>
  <si>
    <t>011TRS</t>
  </si>
  <si>
    <t>012STK</t>
  </si>
  <si>
    <t>104ADM</t>
  </si>
  <si>
    <t>062STK</t>
  </si>
  <si>
    <t>064ADM</t>
  </si>
  <si>
    <t>615155/LUTTE NUISIBLE</t>
  </si>
  <si>
    <t>AMBOILE/sanitation</t>
  </si>
  <si>
    <t>615180/Entretien espace vert</t>
  </si>
  <si>
    <t>CAUDA</t>
  </si>
  <si>
    <t>615193 /CONTRÔLE TECHNIQUE</t>
  </si>
  <si>
    <t>LYOVEL</t>
  </si>
  <si>
    <t>Distributeur boissons et denrées</t>
  </si>
  <si>
    <t>615195 /ENTRETIEN BATIMENT</t>
  </si>
  <si>
    <t>615150 / ENT MATERIEL DE NETTOYAGE</t>
  </si>
  <si>
    <t>615190 / SECURITE  INCENDIE</t>
  </si>
  <si>
    <t>615170 / ENTR. STATION CARBURANT</t>
  </si>
  <si>
    <t>615193 / CONTRÔLE TECHNIQUE</t>
  </si>
  <si>
    <t>615196 /ENTRTIEN SECURITE</t>
  </si>
  <si>
    <t>615150 / ENT MATERIEL NETTOY.</t>
  </si>
  <si>
    <t>615190 /SECURITE  INCENDIE</t>
  </si>
  <si>
    <t>entretien de l'installation</t>
  </si>
  <si>
    <t>615195 /ENTRETIEN  batiment</t>
  </si>
  <si>
    <t>APAVE</t>
  </si>
  <si>
    <t>systeme Gencod</t>
  </si>
  <si>
    <t>615205/ ENT. CHAUFFAGE</t>
  </si>
  <si>
    <t>Semestriel</t>
  </si>
  <si>
    <t>GEA MATAL</t>
  </si>
  <si>
    <t>AAI</t>
  </si>
  <si>
    <t>FAURA</t>
  </si>
  <si>
    <t>VIDEO</t>
  </si>
  <si>
    <t>INTRUS</t>
  </si>
  <si>
    <t>023MAN</t>
  </si>
  <si>
    <t>615194 / ENTRETIEN PALETTIER</t>
  </si>
  <si>
    <t>hygiène sous traitée</t>
  </si>
  <si>
    <t>production de froid</t>
  </si>
  <si>
    <t>entr. mat. de nettoyage</t>
  </si>
  <si>
    <t>lutte nuisible</t>
  </si>
  <si>
    <t>entretien nacelle</t>
  </si>
  <si>
    <t>entr.station carburant</t>
  </si>
  <si>
    <t>entr. des espaces verts</t>
  </si>
  <si>
    <t>mainten. sécu. incendie</t>
  </si>
  <si>
    <t>contrôle technique</t>
  </si>
  <si>
    <t>entretien bâtiment</t>
  </si>
  <si>
    <t>entretien sécurité</t>
  </si>
  <si>
    <t>entretien bureau/plantes</t>
  </si>
  <si>
    <t>entretien chauffage</t>
  </si>
  <si>
    <t>maintenance EDP</t>
  </si>
  <si>
    <t>mainten. equip.bureau</t>
  </si>
  <si>
    <t>gardiennage</t>
  </si>
  <si>
    <t>MANEV</t>
  </si>
  <si>
    <t>615191 / ENTR. INSTALL. ELECTRIQUE</t>
  </si>
  <si>
    <t>615194 / ENTRETIEN PALETTIERS</t>
  </si>
  <si>
    <t>615145 /NETTOY. VETEMENT</t>
  </si>
  <si>
    <t>043MAN</t>
  </si>
  <si>
    <t>615190 / SECURITE INCENDIE</t>
  </si>
  <si>
    <t>615193 / CONTRÔLE TECHN.</t>
  </si>
  <si>
    <t>nettoyage vêtements</t>
  </si>
  <si>
    <t>entr. instal. électriques</t>
  </si>
  <si>
    <t>entretien palettiers</t>
  </si>
  <si>
    <t>615210 /ENTRETIEN COMPACTEUR</t>
  </si>
  <si>
    <t>015CAR</t>
  </si>
  <si>
    <t>entretien compacteur</t>
  </si>
  <si>
    <t>CEGID</t>
  </si>
  <si>
    <t>EUROPE SURVEILLANCE</t>
  </si>
  <si>
    <t>PRESSE</t>
  </si>
  <si>
    <t>COMPACTEUR</t>
  </si>
  <si>
    <t>063MAN</t>
  </si>
  <si>
    <t>entretien onduleurs</t>
  </si>
  <si>
    <t>013MAN</t>
  </si>
  <si>
    <t>abonn.intervention et rondes</t>
  </si>
  <si>
    <t>035CAR</t>
  </si>
  <si>
    <t>606801 / REPAS</t>
  </si>
  <si>
    <t>606801 / Repas</t>
  </si>
  <si>
    <t>615196 /ENTRETIEN SECURITE</t>
  </si>
  <si>
    <t>APAVE ( appareils de levage)</t>
  </si>
  <si>
    <t>Distributeur café</t>
  </si>
  <si>
    <t>053MAN</t>
  </si>
  <si>
    <t>MESSAGERS SERVICES</t>
  </si>
  <si>
    <t>084ADM</t>
  </si>
  <si>
    <t>082STK</t>
  </si>
  <si>
    <t>083MAN</t>
  </si>
  <si>
    <t>AZUR DIFFUSION</t>
  </si>
  <si>
    <t>commutel</t>
  </si>
  <si>
    <t>ARCADE SECURITE</t>
  </si>
  <si>
    <t>lyovel</t>
  </si>
  <si>
    <t>615111 / HYGIENE SOUS TRAITEE</t>
  </si>
  <si>
    <t>033MAN</t>
  </si>
  <si>
    <t>exceptionnel</t>
  </si>
  <si>
    <t>Divers</t>
  </si>
  <si>
    <t>divers</t>
  </si>
  <si>
    <t>INTERWAY</t>
  </si>
  <si>
    <t>APAVE (compacteur presse)</t>
  </si>
  <si>
    <t>615155/LUTTE NUISILE</t>
  </si>
  <si>
    <t>presse</t>
  </si>
  <si>
    <t>RAYONNANCE DISTRIBUTION</t>
  </si>
  <si>
    <t>452STK</t>
  </si>
  <si>
    <t>ANTEEO</t>
  </si>
  <si>
    <t>ERYMA</t>
  </si>
  <si>
    <t>ADP France</t>
  </si>
  <si>
    <t>606801/ REPAS</t>
  </si>
  <si>
    <t>selecta</t>
  </si>
  <si>
    <t>V ingienerie</t>
  </si>
  <si>
    <t>CONTRA</t>
  </si>
  <si>
    <t>VERESPACE</t>
  </si>
  <si>
    <t>ADETEC</t>
  </si>
  <si>
    <t>CINTRU</t>
  </si>
  <si>
    <t>AINTRU</t>
  </si>
  <si>
    <t>CPORTE</t>
  </si>
  <si>
    <t>APORTE</t>
  </si>
  <si>
    <t>SATUJO</t>
  </si>
  <si>
    <t>CCOURS</t>
  </si>
  <si>
    <t>ACOURS</t>
  </si>
  <si>
    <t>CCOMPA</t>
  </si>
  <si>
    <t>APAVE ( portes)</t>
  </si>
  <si>
    <t>CELECT</t>
  </si>
  <si>
    <t>AUTRE</t>
  </si>
  <si>
    <t>Ent. Exceptionnel</t>
  </si>
  <si>
    <t>051TRS</t>
  </si>
  <si>
    <t>stef</t>
  </si>
  <si>
    <t>CDETEC</t>
  </si>
  <si>
    <t>CSPRIN</t>
  </si>
  <si>
    <t>CEXT</t>
  </si>
  <si>
    <t>AEXT</t>
  </si>
  <si>
    <t>ASPRIN</t>
  </si>
  <si>
    <t>CPONT</t>
  </si>
  <si>
    <t>APAVE  (analyse des eaux)</t>
  </si>
  <si>
    <t>APONT</t>
  </si>
  <si>
    <t>CPRES</t>
  </si>
  <si>
    <t>453MAN</t>
  </si>
  <si>
    <t>TOSHIBA</t>
  </si>
  <si>
    <t>SICLI</t>
  </si>
  <si>
    <t>CDETECT</t>
  </si>
  <si>
    <t>INTITULE</t>
  </si>
  <si>
    <t>SECTION</t>
  </si>
  <si>
    <t>SYMBOLE</t>
  </si>
  <si>
    <t>Eryma/abonn telesurveillance</t>
  </si>
  <si>
    <t>réseau G3 ADSL 2mb avec back up ADSL</t>
  </si>
  <si>
    <t>ABATI</t>
  </si>
  <si>
    <t>615175/ ENTR. MAT LECTURE OPTIQUE</t>
  </si>
  <si>
    <t>Interventions ponctuelles</t>
  </si>
  <si>
    <t xml:space="preserve">Intervention </t>
  </si>
  <si>
    <t>exceptionnelle</t>
  </si>
  <si>
    <t>Intervention INTRU</t>
  </si>
  <si>
    <t>Maintenance Mat + Visio</t>
  </si>
  <si>
    <t>Rayonnance</t>
  </si>
  <si>
    <t>EXCEPTIONNEL</t>
  </si>
  <si>
    <t xml:space="preserve">012STK </t>
  </si>
  <si>
    <t>Exceptionnelle</t>
  </si>
  <si>
    <t>EATON</t>
  </si>
  <si>
    <t>615176/ENT. LECTURE OPTIQUE CASSE</t>
  </si>
  <si>
    <t>ENT. LECTURE OPT. CASSE</t>
  </si>
  <si>
    <t>615176/ EN. MAT LECTURE OPT. CASSE</t>
  </si>
  <si>
    <t xml:space="preserve">abt télésurveillance </t>
  </si>
  <si>
    <t>Contrat entretien</t>
  </si>
  <si>
    <t>615135 / REP PALETTE</t>
  </si>
  <si>
    <t>EPALIA</t>
  </si>
  <si>
    <t>maintenance frigorifique</t>
  </si>
  <si>
    <t>041TRS</t>
  </si>
  <si>
    <t>061TRS</t>
  </si>
  <si>
    <t>081TRS</t>
  </si>
  <si>
    <t>451TRS</t>
  </si>
  <si>
    <t>v ingenierie</t>
  </si>
  <si>
    <t>V Ingenierie</t>
  </si>
  <si>
    <t>Durelec</t>
  </si>
  <si>
    <t>SALES FORCE</t>
  </si>
  <si>
    <t>ateliers verdelais/ferme des coteaux</t>
  </si>
  <si>
    <t>CCHAR</t>
  </si>
  <si>
    <t>615130 /  GROS TRAVAUX</t>
  </si>
  <si>
    <t>BMC SOFWARE</t>
  </si>
  <si>
    <t>Maintenance control M</t>
  </si>
  <si>
    <t>615130 / GROS TRAVAUX</t>
  </si>
  <si>
    <t>BBATI</t>
  </si>
  <si>
    <t>sécuriteam option sécurité</t>
  </si>
  <si>
    <t>615140 / PRODUCTION DE FROID</t>
  </si>
  <si>
    <t xml:space="preserve">Maintenance detection intrusion </t>
  </si>
  <si>
    <t>esat ateliers du therain</t>
  </si>
  <si>
    <t>loiseleur</t>
  </si>
  <si>
    <t>Maintenance prologiciel TBT/400</t>
  </si>
  <si>
    <t>Ent. Esp. Verts/AUTRE</t>
  </si>
  <si>
    <t>615220 / MAINT INFO</t>
  </si>
  <si>
    <t>Maintenance Réflex "standard"</t>
  </si>
  <si>
    <t>maintenance mapping-mapout</t>
  </si>
  <si>
    <t>Prestation info</t>
  </si>
  <si>
    <t>SERVI PRESS/SAVN</t>
  </si>
  <si>
    <t>Maintenance gestion des temps</t>
  </si>
  <si>
    <t>Contrat assistance paie</t>
  </si>
  <si>
    <t>copies</t>
  </si>
  <si>
    <t>Extincteurs</t>
  </si>
  <si>
    <t>615176/ ENTR. MAT LECTURE OPTIQUE</t>
  </si>
  <si>
    <t>ELMO/RADIOSPARES</t>
  </si>
  <si>
    <t>PARAGON</t>
  </si>
  <si>
    <t>CHANDI</t>
  </si>
  <si>
    <t>HANDI</t>
  </si>
  <si>
    <t>MAINTENANCE ONDULEURS</t>
  </si>
  <si>
    <t xml:space="preserve">COFELY </t>
  </si>
  <si>
    <t>Interv verif Sites</t>
  </si>
  <si>
    <t xml:space="preserve">co2 richaud </t>
  </si>
  <si>
    <t>CJM INTERNATIONAL</t>
  </si>
  <si>
    <t>TIDF TOSHIBA</t>
  </si>
  <si>
    <t>bat-man</t>
  </si>
  <si>
    <t xml:space="preserve">MIND GENIUS </t>
  </si>
  <si>
    <t>MAINT MINDGENIUS BUSINESS</t>
  </si>
  <si>
    <t xml:space="preserve">ERYMA </t>
  </si>
  <si>
    <t>abt télésurveillance</t>
  </si>
  <si>
    <t>LA POSTE</t>
  </si>
  <si>
    <t xml:space="preserve">AXIMA  </t>
  </si>
  <si>
    <t xml:space="preserve">AAI Contrat </t>
  </si>
  <si>
    <t xml:space="preserve">abt permanence telephonique </t>
  </si>
  <si>
    <t xml:space="preserve">RUMBA </t>
  </si>
  <si>
    <t>TECHVAL</t>
  </si>
  <si>
    <t>CLIM BUREAU</t>
  </si>
  <si>
    <t xml:space="preserve">Maintenance strategic system </t>
  </si>
  <si>
    <t xml:space="preserve">ORACLE </t>
  </si>
  <si>
    <t xml:space="preserve">INFOR </t>
  </si>
  <si>
    <t>Asset adk</t>
  </si>
  <si>
    <t xml:space="preserve">Anael finance </t>
  </si>
  <si>
    <t>Web sphere application</t>
  </si>
  <si>
    <t>RAYONNANCE</t>
  </si>
  <si>
    <t>TIDF</t>
  </si>
  <si>
    <t>CONNEXION E-WAY</t>
  </si>
  <si>
    <t>Interventions</t>
  </si>
  <si>
    <t>gros travaux</t>
  </si>
  <si>
    <t>STANLEY</t>
  </si>
  <si>
    <t>Mailbox</t>
  </si>
  <si>
    <t>mensuelle</t>
  </si>
  <si>
    <t>LICENCES force com adm - force com one-service cloud-sate storage</t>
  </si>
  <si>
    <t>SCHNEIDER</t>
  </si>
  <si>
    <t>CPI</t>
  </si>
  <si>
    <t>L'EA</t>
  </si>
  <si>
    <t>PSION</t>
  </si>
  <si>
    <t>2AM OUVERTURE</t>
  </si>
  <si>
    <t>STEIBE</t>
  </si>
  <si>
    <t>454ADM</t>
  </si>
  <si>
    <t>entretien entrepot</t>
  </si>
  <si>
    <t>lavage camion</t>
  </si>
  <si>
    <t xml:space="preserve">DELTA </t>
  </si>
  <si>
    <t>DECI</t>
  </si>
  <si>
    <t>entretien</t>
  </si>
  <si>
    <t xml:space="preserve">Backup ADSL  </t>
  </si>
  <si>
    <t>Maintenance Réflex specifique</t>
  </si>
  <si>
    <t>,</t>
  </si>
  <si>
    <t xml:space="preserve">Gardiennage </t>
  </si>
  <si>
    <t>104KOM</t>
  </si>
  <si>
    <t>COPIES</t>
  </si>
  <si>
    <t>connexion e-way</t>
  </si>
  <si>
    <t>Maintenance ADELIA IWS VISUAL STUDIO</t>
  </si>
  <si>
    <t>MAINT TEKSPEECH</t>
  </si>
  <si>
    <t>IBM &gt; STERLING</t>
  </si>
  <si>
    <t>securitas</t>
  </si>
  <si>
    <t>615175/ENT.LECTURE OPTIQUE</t>
  </si>
  <si>
    <t>615175/ENT. LECTURE OPTIQUE</t>
  </si>
  <si>
    <t>615175/ENTR. LECTURE OPTIQUE</t>
  </si>
  <si>
    <t>615175/ENT. MAT LECTURE OPTIQUE</t>
  </si>
  <si>
    <t>615175/ENT MAT LECTURE OPTIQUE</t>
  </si>
  <si>
    <t>ENT LECTURE OPTIQUE</t>
  </si>
  <si>
    <t>DIVERS</t>
  </si>
  <si>
    <t>connexion E-WAY</t>
  </si>
  <si>
    <t>multi services anti parasitaires</t>
  </si>
  <si>
    <t>Securiteam</t>
  </si>
  <si>
    <t>PTV</t>
  </si>
  <si>
    <t>MapGuide</t>
  </si>
  <si>
    <t>MAINT OPEN</t>
  </si>
  <si>
    <t>maintenance</t>
  </si>
  <si>
    <t>AFCO</t>
  </si>
  <si>
    <t>CAMION NET</t>
  </si>
  <si>
    <t>GEA /matal</t>
  </si>
  <si>
    <t>ladylis</t>
  </si>
  <si>
    <t>BARMATIC</t>
  </si>
  <si>
    <t>CONSO</t>
  </si>
  <si>
    <t>CLEANOR</t>
  </si>
  <si>
    <t>ANETT</t>
  </si>
  <si>
    <t>FUSION</t>
  </si>
  <si>
    <t>ABER PROP BRET NET CHANTEPIE</t>
  </si>
  <si>
    <t>LEZIER</t>
  </si>
  <si>
    <t>TOSHIBA copie</t>
  </si>
  <si>
    <t>réparations palettes</t>
  </si>
  <si>
    <t>alarmes</t>
  </si>
  <si>
    <t>contrat 50001153</t>
  </si>
  <si>
    <t xml:space="preserve">ERYMA        </t>
  </si>
  <si>
    <t>JLL INFO</t>
  </si>
  <si>
    <t>intervention</t>
  </si>
  <si>
    <t>CHUBB</t>
  </si>
  <si>
    <t>Detection incendie</t>
  </si>
  <si>
    <t>depannage</t>
  </si>
  <si>
    <t>AW PROPRETE</t>
  </si>
  <si>
    <t xml:space="preserve">JLL </t>
  </si>
  <si>
    <t>SIAL</t>
  </si>
  <si>
    <t>EGNYTE</t>
  </si>
  <si>
    <t>131TRS</t>
  </si>
  <si>
    <t>133MAN</t>
  </si>
  <si>
    <t>132STK</t>
  </si>
  <si>
    <t>134ADM</t>
  </si>
  <si>
    <t>615136 /  REPARATIONS DOLLIES</t>
  </si>
  <si>
    <t>atelier verdelais</t>
  </si>
  <si>
    <t>réparations dollies</t>
  </si>
  <si>
    <t>615137 / REP DIVERSES</t>
  </si>
  <si>
    <t>réparations diverses</t>
  </si>
  <si>
    <t>615137 /  REPARATIONS DIVERSES</t>
  </si>
  <si>
    <t>LIQUIDPLANNER</t>
  </si>
  <si>
    <t>V INGENIERIE</t>
  </si>
  <si>
    <t>615136 /REPARATION DOLLIES</t>
  </si>
  <si>
    <t>APF - ESAT</t>
  </si>
  <si>
    <t>TECHLOC</t>
  </si>
  <si>
    <t>TIDF (contrat copies)</t>
  </si>
  <si>
    <t>144ADM</t>
  </si>
  <si>
    <t>PANOVI</t>
  </si>
  <si>
    <t>ATELIER VIEUX CHATRES</t>
  </si>
  <si>
    <t>NEOPOST</t>
  </si>
  <si>
    <t xml:space="preserve">ECOLAB </t>
  </si>
  <si>
    <t>MT France</t>
  </si>
  <si>
    <t>OVH</t>
  </si>
  <si>
    <t>GEM /ACTIS LOCATION</t>
  </si>
  <si>
    <t>NACELLE</t>
  </si>
  <si>
    <t>au passage</t>
  </si>
  <si>
    <t>rayonnance</t>
  </si>
  <si>
    <t>ALARME</t>
  </si>
  <si>
    <t>AIMIP</t>
  </si>
  <si>
    <t>contrat assistance ALX</t>
  </si>
  <si>
    <t>085CAR</t>
  </si>
  <si>
    <t>025CAR</t>
  </si>
  <si>
    <t>ADAPEI 60</t>
  </si>
  <si>
    <t>halles so</t>
  </si>
  <si>
    <t>L'ENTRETIEN IMMOBILIER</t>
  </si>
  <si>
    <t>LOGICIEL CILIARIS</t>
  </si>
  <si>
    <t>securisation raccord réseau</t>
  </si>
  <si>
    <t>GEA</t>
  </si>
  <si>
    <t>nettoyage frigo</t>
  </si>
  <si>
    <t>CCOUR</t>
  </si>
  <si>
    <t>copie CNA 153113</t>
  </si>
  <si>
    <t>APAVE ( analyses eaux)</t>
  </si>
  <si>
    <t>MANUTAN</t>
  </si>
  <si>
    <t>cna153128</t>
  </si>
  <si>
    <t>12/13&gt;11/2014</t>
  </si>
  <si>
    <t xml:space="preserve">prod </t>
  </si>
  <si>
    <t>ASPIE</t>
  </si>
  <si>
    <t>CAPVISION</t>
  </si>
  <si>
    <t>E TRACS</t>
  </si>
  <si>
    <t>scandrive</t>
  </si>
  <si>
    <t>trimestre</t>
  </si>
  <si>
    <t>RENTOKIL</t>
  </si>
  <si>
    <t>DALTYS</t>
  </si>
  <si>
    <t>RENTOKIL/sanitation</t>
  </si>
  <si>
    <t xml:space="preserve">RENTOKIL </t>
  </si>
  <si>
    <t>sanitaire</t>
  </si>
  <si>
    <t>RENTOKIL DEIV</t>
  </si>
  <si>
    <t>honeywell</t>
  </si>
  <si>
    <t xml:space="preserve"> cf bc</t>
  </si>
  <si>
    <t>collecte courrier</t>
  </si>
  <si>
    <t>COMPAREX</t>
  </si>
  <si>
    <t>615137 /REPARATION DIVERS</t>
  </si>
  <si>
    <t>TIDF copie</t>
  </si>
  <si>
    <t>BRISTLECONE</t>
  </si>
  <si>
    <t>AZURIAL</t>
  </si>
  <si>
    <t>Pavoni</t>
  </si>
  <si>
    <t>extinteur</t>
  </si>
  <si>
    <t>rep imprimante</t>
  </si>
  <si>
    <t>cgb210955</t>
  </si>
  <si>
    <t>24 37 020/contrat 50000462</t>
  </si>
  <si>
    <t>AELECT</t>
  </si>
  <si>
    <t>Halles du S-O</t>
  </si>
  <si>
    <t>SALESFORCE</t>
  </si>
  <si>
    <t>maint frigo</t>
  </si>
  <si>
    <t>PELIMEX</t>
  </si>
  <si>
    <t>615210 / ENT. COMPACTEUR</t>
  </si>
  <si>
    <t>PAPREC</t>
  </si>
  <si>
    <t>455CAR</t>
  </si>
  <si>
    <t>contrat e way C2AD20925</t>
  </si>
  <si>
    <t>615150 / ENT MAT NETTOYAGE</t>
  </si>
  <si>
    <t>redevance</t>
  </si>
  <si>
    <t>Eryma</t>
  </si>
  <si>
    <t>ASSA ABLOY</t>
  </si>
  <si>
    <t>contrat 375 /00rn134/ver</t>
  </si>
  <si>
    <t>ELIOR</t>
  </si>
  <si>
    <t>rentokil</t>
  </si>
  <si>
    <t>fourniture</t>
  </si>
  <si>
    <t>FREQUENTIEL</t>
  </si>
  <si>
    <t>ARUBA</t>
  </si>
  <si>
    <t>KONECRANES</t>
  </si>
  <si>
    <t>copie C2AD20925</t>
  </si>
  <si>
    <t>PSION/FREQUENTIEL</t>
  </si>
  <si>
    <t>STEF</t>
  </si>
  <si>
    <t>maint embarqués classique</t>
  </si>
  <si>
    <t>maint. Embarqués classiques</t>
  </si>
  <si>
    <t>maint.embarqués classiques</t>
  </si>
  <si>
    <t>maint embarqués classiques</t>
  </si>
  <si>
    <t>GILLARD</t>
  </si>
  <si>
    <t>20BLOC</t>
  </si>
  <si>
    <t>lavage + transport</t>
  </si>
  <si>
    <t>TECLEAN</t>
  </si>
  <si>
    <t>maint Voice Client/Console</t>
  </si>
  <si>
    <t>VOICE CLIENT/CONSOLE</t>
  </si>
  <si>
    <t>APF</t>
  </si>
  <si>
    <t>adapei</t>
  </si>
  <si>
    <t>maint.integrator+control manager</t>
  </si>
  <si>
    <t>11/14&gt;10/2015</t>
  </si>
  <si>
    <t>hardware</t>
  </si>
  <si>
    <t>voice client/console</t>
  </si>
  <si>
    <t>smartnet cisco</t>
  </si>
  <si>
    <t>10/14&gt;09/2017</t>
  </si>
  <si>
    <t>Copies C2HC56615</t>
  </si>
  <si>
    <t>12/14&gt;08/2017</t>
  </si>
  <si>
    <t>virtual desktop</t>
  </si>
  <si>
    <t>visioconférence</t>
  </si>
  <si>
    <t>12/14&gt;11/2017</t>
  </si>
  <si>
    <t>lavage</t>
  </si>
  <si>
    <t>annuel</t>
  </si>
  <si>
    <t>JLL</t>
  </si>
  <si>
    <t xml:space="preserve">SMARNET </t>
  </si>
  <si>
    <t>SMARNET</t>
  </si>
  <si>
    <t>smartnet</t>
  </si>
  <si>
    <t>smarnet</t>
  </si>
  <si>
    <t>maint termainal vh10</t>
  </si>
  <si>
    <t>contrat sourcig DSN link</t>
  </si>
  <si>
    <t>CEDAF</t>
  </si>
  <si>
    <t>PELIMEX/PSION</t>
  </si>
  <si>
    <t xml:space="preserve">CAD ECOSIMA </t>
  </si>
  <si>
    <t>RECLST COGNOS</t>
  </si>
  <si>
    <t>CROSSTALENT</t>
  </si>
  <si>
    <t>MBH/INFOR</t>
  </si>
  <si>
    <t>v ingenerie</t>
  </si>
  <si>
    <t>applications</t>
  </si>
  <si>
    <t>logiciel harmonie</t>
  </si>
  <si>
    <t xml:space="preserve">RAYONNANCE </t>
  </si>
  <si>
    <t>maintenancE OMNII XT15</t>
  </si>
  <si>
    <t>LMI</t>
  </si>
  <si>
    <t>Aruba</t>
  </si>
  <si>
    <t>DDA GRENAY/DALTYS</t>
  </si>
  <si>
    <t>T5E210010</t>
  </si>
  <si>
    <t>salles Londres</t>
  </si>
  <si>
    <t>PAVONI</t>
  </si>
  <si>
    <t>D12/C/00081379</t>
  </si>
  <si>
    <t>Intervention/fourn</t>
  </si>
  <si>
    <t>E-TRACS</t>
  </si>
  <si>
    <t>TX BOX</t>
  </si>
  <si>
    <t>SMARTNET</t>
  </si>
  <si>
    <t>5/2015&gt;4/2018</t>
  </si>
  <si>
    <t>1/5/15&gt;30/4/2018</t>
  </si>
  <si>
    <t>Luminos</t>
  </si>
  <si>
    <t>06/15&gt;05/2018</t>
  </si>
  <si>
    <t>contrat C2HC56574</t>
  </si>
  <si>
    <t xml:space="preserve">SCHEINDER </t>
  </si>
  <si>
    <t>01/15&gt;12/2017</t>
  </si>
  <si>
    <t>615113 / Lavage + TRS dollies</t>
  </si>
  <si>
    <t>LAVAGE + TRS DOLLIES</t>
  </si>
  <si>
    <t>1/6/15&gt;31/5/18</t>
  </si>
  <si>
    <t>hardware / casse</t>
  </si>
  <si>
    <t>LE CALVEZ</t>
  </si>
  <si>
    <t>615175/ EN. MAT LECTURE OPT</t>
  </si>
  <si>
    <t>07/15&gt;06/16</t>
  </si>
  <si>
    <t>maint Comet S31 15 kva</t>
  </si>
  <si>
    <t>teckspeech</t>
  </si>
  <si>
    <t>2015&gt;2017</t>
  </si>
  <si>
    <t>techspeech</t>
  </si>
  <si>
    <t>05/15&gt;04/18</t>
  </si>
  <si>
    <t>your cegid fiscalité</t>
  </si>
  <si>
    <t>06/15&gt;05/18</t>
  </si>
  <si>
    <t>trimestrielle</t>
  </si>
  <si>
    <t>615114 / REPARATION EQUIPEMENT EDP</t>
  </si>
  <si>
    <t>REPARATION EQUIPEMENT EDP</t>
  </si>
  <si>
    <t>ceae59857</t>
  </si>
  <si>
    <t>COPIES c2d231205 / ckb210201</t>
  </si>
  <si>
    <t>CARRIER</t>
  </si>
  <si>
    <t>maintenance embarqués classiques</t>
  </si>
  <si>
    <t>LAV'MOBIL HP</t>
  </si>
  <si>
    <t>E WAY CEGE 28769</t>
  </si>
  <si>
    <t>11/15&gt;10/2018</t>
  </si>
  <si>
    <t>01/2015&gt;12/2017</t>
  </si>
  <si>
    <t>11/15&gt;10/2016</t>
  </si>
  <si>
    <t>LODESTAR</t>
  </si>
  <si>
    <t>tekterm VH10</t>
  </si>
  <si>
    <t>11/2015&gt;10/2018</t>
  </si>
  <si>
    <t>ESAT VERDELAIS</t>
  </si>
  <si>
    <t>OMNII XT 15</t>
  </si>
  <si>
    <t>vestiaire</t>
  </si>
  <si>
    <t>CONTRACTSIDE</t>
  </si>
  <si>
    <t>12/2015&gt;11/2018</t>
  </si>
  <si>
    <t>omnii xt15</t>
  </si>
  <si>
    <t>contrat CECE64163</t>
  </si>
  <si>
    <t>production</t>
  </si>
  <si>
    <t>12/15&gt;11/2016</t>
  </si>
  <si>
    <t>secours</t>
  </si>
  <si>
    <t>IBM maintenance hardware et software</t>
  </si>
  <si>
    <t>REDEVANCE</t>
  </si>
  <si>
    <t>DOC'UP /FRAMA</t>
  </si>
  <si>
    <t>ENGIE /COFELY GDF SUEZ /P2  maintenance 70%</t>
  </si>
  <si>
    <t>ENGIE/COFELY GDF SUEZ /P3 assurance  70%</t>
  </si>
  <si>
    <t>ENGIE/COFELY GDF SUEZ /P2  maintenance  30%</t>
  </si>
  <si>
    <t>ENGIE/COFELY GDF SUEZ /P3 assurance  30%</t>
  </si>
  <si>
    <t>DELTA</t>
  </si>
  <si>
    <t>paragon</t>
  </si>
  <si>
    <t>DELTA IND SERVICES</t>
  </si>
  <si>
    <t xml:space="preserve">APAVE </t>
  </si>
  <si>
    <t>Le Calvez</t>
  </si>
  <si>
    <t>CHUBB / Delta security</t>
  </si>
  <si>
    <t>contrat n°154276/S/75</t>
  </si>
  <si>
    <t>Copies CEGE28769</t>
  </si>
  <si>
    <t>03/16&gt;02/2017</t>
  </si>
  <si>
    <t>maintenance appareil</t>
  </si>
  <si>
    <t>locaux/cloisons vitrees / baies vitrées</t>
  </si>
  <si>
    <t>ISE</t>
  </si>
  <si>
    <t>hebergement fiches de paie</t>
  </si>
  <si>
    <t>1/an</t>
  </si>
  <si>
    <t>ccb</t>
  </si>
  <si>
    <t>frequentiel</t>
  </si>
  <si>
    <t>ATELIER DE LA NACELLE</t>
  </si>
  <si>
    <t>APAVE (analyses eaux)</t>
  </si>
  <si>
    <t>DALLMAYR</t>
  </si>
  <si>
    <t>TIDF contrat  CABF31620</t>
  </si>
  <si>
    <t>04/16&gt; 03/2017</t>
  </si>
  <si>
    <t>05/16&gt;04/2017</t>
  </si>
  <si>
    <t>ABT SECURITE</t>
  </si>
  <si>
    <t>maint. Detec° anti intrusion</t>
  </si>
  <si>
    <t>Maint. Detec° anti intrusion</t>
  </si>
  <si>
    <t>maint. Dete° anti intrusion</t>
  </si>
  <si>
    <t>SAMSIC</t>
  </si>
  <si>
    <t>Surveillance</t>
  </si>
  <si>
    <t>maint PTV</t>
  </si>
  <si>
    <t>LICENCE CUBICUS GLOBAL</t>
  </si>
  <si>
    <t>2015&gt;12/2017</t>
  </si>
  <si>
    <t>maint.terminal vh10</t>
  </si>
  <si>
    <t>IBM cognos business</t>
  </si>
  <si>
    <t>03/16&gt;02/17</t>
  </si>
  <si>
    <t>fichier fiscal</t>
  </si>
  <si>
    <t>software update license &amp; support</t>
  </si>
  <si>
    <t>hebergement domaine</t>
  </si>
  <si>
    <t>options</t>
  </si>
  <si>
    <t>FA7</t>
  </si>
  <si>
    <t>BDU licence adm + protail</t>
  </si>
  <si>
    <t>REPARATION EQUIPEMENT</t>
  </si>
  <si>
    <t>ALTAVEN</t>
  </si>
  <si>
    <t>etafi</t>
  </si>
  <si>
    <t>Rrayonnance</t>
  </si>
  <si>
    <t>connexion e-way/CEAE60367</t>
  </si>
  <si>
    <t>Copies /CEAE60367</t>
  </si>
  <si>
    <t>contrat e way CEBF57804</t>
  </si>
  <si>
    <t>copies/ceae59863</t>
  </si>
  <si>
    <t>Connexion e-way CECF61882</t>
  </si>
  <si>
    <t>06/16&gt;05/2017</t>
  </si>
  <si>
    <t>06/16&gt;05/17</t>
  </si>
  <si>
    <t>CONN° E-WAY CECE64163</t>
  </si>
  <si>
    <t>vitres+locaux+bureaux</t>
  </si>
  <si>
    <t>MDK211831</t>
  </si>
  <si>
    <t>07/16&gt;06/2017</t>
  </si>
  <si>
    <t>fournisseur except</t>
  </si>
  <si>
    <t>semestre</t>
  </si>
  <si>
    <t>VOITEQ</t>
  </si>
  <si>
    <t>07/16&gt;06/2019</t>
  </si>
  <si>
    <t>CONCUR</t>
  </si>
  <si>
    <t>07/2016&gt;06/2017</t>
  </si>
  <si>
    <t>05/2016&gt;04/2017</t>
  </si>
  <si>
    <t>SOLEN</t>
  </si>
  <si>
    <t>ACOMPA</t>
  </si>
  <si>
    <t>08/16&gt;07/17</t>
  </si>
  <si>
    <t>contrat CABF31620</t>
  </si>
  <si>
    <t>CECF61882</t>
  </si>
  <si>
    <t>ANETYS</t>
  </si>
  <si>
    <t>08/16&gt;07/2017</t>
  </si>
  <si>
    <t>contrat 1254265</t>
  </si>
  <si>
    <t>contrat 1254266</t>
  </si>
  <si>
    <t>connexion E-WAY cgef15650</t>
  </si>
  <si>
    <t>ESSAI GROUP</t>
  </si>
  <si>
    <t>2/SEM</t>
  </si>
  <si>
    <t>copie CEBF57804</t>
  </si>
  <si>
    <t>12/15&gt;11/18</t>
  </si>
  <si>
    <t>clauger</t>
  </si>
  <si>
    <t>kf30038</t>
  </si>
  <si>
    <t>ELISA13/IPSIS</t>
  </si>
  <si>
    <t>barillec</t>
  </si>
  <si>
    <t>mise en place technicien</t>
  </si>
  <si>
    <t>09/16&gt;08/2017</t>
  </si>
  <si>
    <t>10/16&gt;05/2017</t>
  </si>
  <si>
    <t>10/16&gt;09/2017</t>
  </si>
  <si>
    <t>10/16&gt;09/2019</t>
  </si>
  <si>
    <t>08/16&gt;07/2019</t>
  </si>
  <si>
    <t>AXIMA / ENGIE</t>
  </si>
  <si>
    <t>Chauffage/clim</t>
  </si>
  <si>
    <t>standard</t>
  </si>
  <si>
    <t>CGEF15650/copies</t>
  </si>
  <si>
    <t>70156PLM11T9R</t>
  </si>
  <si>
    <t xml:space="preserve">DN AMENAGEMENT </t>
  </si>
  <si>
    <t>iCluster maintenance</t>
  </si>
  <si>
    <t>045CAR</t>
  </si>
  <si>
    <t>CONNEXION E-WAY/C2HC56574</t>
  </si>
  <si>
    <t>12/16&gt;11/2017</t>
  </si>
  <si>
    <t>SHI</t>
  </si>
  <si>
    <t>maintenance tableau</t>
  </si>
  <si>
    <t>tableau on line</t>
  </si>
  <si>
    <t>2016&gt;12/2019</t>
  </si>
  <si>
    <t>maint.terminal OMNI XT 15</t>
  </si>
  <si>
    <t>12/16&gt;11/17</t>
  </si>
  <si>
    <t>12/16&gt;12/2017</t>
  </si>
  <si>
    <t>ORANGE</t>
  </si>
  <si>
    <t>TABLEAU SOFTWARE</t>
  </si>
  <si>
    <t>FLEURY 2017</t>
  </si>
  <si>
    <t>TOULOUSE 2017</t>
  </si>
  <si>
    <t>AIX 2017</t>
  </si>
  <si>
    <t>LYON 2017</t>
  </si>
  <si>
    <t>BORDEAUX 2017</t>
  </si>
  <si>
    <t>NANCY 2017</t>
  </si>
  <si>
    <t>RENNES 2017</t>
  </si>
  <si>
    <t>BEAUVAIS 2017</t>
  </si>
  <si>
    <t>LISSES 2017</t>
  </si>
  <si>
    <t>mars/juin/sept/dec</t>
  </si>
  <si>
    <t>1/1/17 &gt;30/4/17</t>
  </si>
  <si>
    <t>audio conérence</t>
  </si>
  <si>
    <t>1/1/17&gt;30/4/17</t>
  </si>
  <si>
    <t>Maintenance hdx7000</t>
  </si>
  <si>
    <t>2017&gt;2019</t>
  </si>
  <si>
    <t>detectien incendie</t>
  </si>
  <si>
    <t>redevance annuelle</t>
  </si>
  <si>
    <t>customer community</t>
  </si>
  <si>
    <t>02&gt;05</t>
  </si>
  <si>
    <t>02&gt;12/2017</t>
  </si>
  <si>
    <t>LEVE Conteneur</t>
  </si>
  <si>
    <t>janv/avril/juil/oct</t>
  </si>
  <si>
    <t>ts les trimestre</t>
  </si>
  <si>
    <t>104DIT</t>
  </si>
  <si>
    <t>MOLLAR</t>
  </si>
  <si>
    <t>fuel / cuve sprincklage</t>
  </si>
  <si>
    <t>RENEXT</t>
  </si>
  <si>
    <t>GS1</t>
  </si>
  <si>
    <t>03/17&gt;02/18</t>
  </si>
  <si>
    <t>03/17&gt;02/2018</t>
  </si>
  <si>
    <t>FILM</t>
  </si>
  <si>
    <t>015BBE</t>
  </si>
  <si>
    <t>025BBE</t>
  </si>
  <si>
    <t>035BBE</t>
  </si>
  <si>
    <t>045BBE</t>
  </si>
  <si>
    <t>055BBE</t>
  </si>
  <si>
    <t>055CAR</t>
  </si>
  <si>
    <t>065BBE</t>
  </si>
  <si>
    <t>065CAR</t>
  </si>
  <si>
    <t>085BBE</t>
  </si>
  <si>
    <t>455BBE</t>
  </si>
  <si>
    <t>Enlevement compacteur</t>
  </si>
  <si>
    <t>615215 /ENLEVEMENT COMPACTEUR</t>
  </si>
  <si>
    <t>SEMAER</t>
  </si>
  <si>
    <t>BIONERVAL</t>
  </si>
  <si>
    <t>TAIS / veolia</t>
  </si>
  <si>
    <t>PAPREC Idf Sud</t>
  </si>
  <si>
    <t>collecte geobox</t>
  </si>
  <si>
    <t>bac roulant 660l</t>
  </si>
  <si>
    <t>enlèvement sur palettes</t>
  </si>
  <si>
    <t>BENNE 30m3</t>
  </si>
  <si>
    <t>Matiere organic</t>
  </si>
  <si>
    <t xml:space="preserve">Benne ampli 31m3 </t>
  </si>
  <si>
    <t>Compacteur platique 30m3</t>
  </si>
  <si>
    <t>benne 15 m3</t>
  </si>
  <si>
    <t>trs carton</t>
  </si>
  <si>
    <t>DOLLIE</t>
  </si>
  <si>
    <t>MELKO PALETTES</t>
  </si>
  <si>
    <t>florette</t>
  </si>
  <si>
    <t>SARVAL/SECANIM</t>
  </si>
  <si>
    <t>PAPREC 13</t>
  </si>
  <si>
    <t>ONYX /veolia</t>
  </si>
  <si>
    <t>loc bacs 660L</t>
  </si>
  <si>
    <t>ferraille</t>
  </si>
  <si>
    <t>BIO dechet</t>
  </si>
  <si>
    <t>plastiques</t>
  </si>
  <si>
    <t>dollies</t>
  </si>
  <si>
    <t>chantilly</t>
  </si>
  <si>
    <t>cartons+/semi</t>
  </si>
  <si>
    <t>Loc. except.</t>
  </si>
  <si>
    <t>Plastiques</t>
  </si>
  <si>
    <t>30 m3 Cartons</t>
  </si>
  <si>
    <t>SITA</t>
  </si>
  <si>
    <t>VEOLIA</t>
  </si>
  <si>
    <t>PAPREC (Bennes)</t>
  </si>
  <si>
    <t>PAPREC D3E</t>
  </si>
  <si>
    <t>biodechet 15M3</t>
  </si>
  <si>
    <t xml:space="preserve">dechet alimentaire bacs 400l </t>
  </si>
  <si>
    <t>Biodechet caisse 500L</t>
  </si>
  <si>
    <t>caisse 660L+traitement dechet</t>
  </si>
  <si>
    <t>Cartons</t>
  </si>
  <si>
    <t>veolia</t>
  </si>
  <si>
    <t>sita lorraine</t>
  </si>
  <si>
    <t>CARTONS</t>
  </si>
  <si>
    <t>PLASTIQUE</t>
  </si>
  <si>
    <t>DIB</t>
  </si>
  <si>
    <t>Benne BIO dechets GEC</t>
  </si>
  <si>
    <t>BAC BIO 400 litres</t>
  </si>
  <si>
    <t>BAC 750 litres</t>
  </si>
  <si>
    <t>BAC 1000 litres</t>
  </si>
  <si>
    <t>BAC 660 litres</t>
  </si>
  <si>
    <t>BIO DECHETS TERRALYS</t>
  </si>
  <si>
    <t>palette saches sauce</t>
  </si>
  <si>
    <t>BIODECHET</t>
  </si>
  <si>
    <t>paprec nord VGF</t>
  </si>
  <si>
    <t>DECAMP DUBOS</t>
  </si>
  <si>
    <t>BAC 660L BIO DECHET</t>
  </si>
  <si>
    <t>bombes chantilly</t>
  </si>
  <si>
    <t>615215 / ENLEVEMENT COMPACTEUR</t>
  </si>
  <si>
    <t>MIN TOULOUSE</t>
  </si>
  <si>
    <t>25912-10757113-2716</t>
  </si>
  <si>
    <t>22537-10753659-3482</t>
  </si>
  <si>
    <t>RTEK</t>
  </si>
  <si>
    <t>ajustement</t>
  </si>
  <si>
    <t>ok problème de formule</t>
  </si>
  <si>
    <t>04/17&gt;03/2018</t>
  </si>
  <si>
    <t>LICENCES force com adm - force com one-service cloud-sate storage+customer community</t>
  </si>
  <si>
    <t>06/17&gt;05/2018</t>
  </si>
  <si>
    <t>3/17&gt;12/2017</t>
  </si>
  <si>
    <t>protection incendie</t>
  </si>
  <si>
    <t>GFI</t>
  </si>
  <si>
    <t>05/17&gt;04/18</t>
  </si>
  <si>
    <t>10/16&gt;03/2017</t>
  </si>
  <si>
    <t>ext rennes</t>
  </si>
  <si>
    <t>05/17&gt;04/2018</t>
  </si>
  <si>
    <t>installations electriques</t>
  </si>
  <si>
    <t>CLAUGER</t>
  </si>
  <si>
    <t>615210 / ENT. BUREAUX</t>
  </si>
  <si>
    <t>AIMIP /SANITRA/SUEZ</t>
  </si>
  <si>
    <t>CHUBB / DELTA SECURITY/AITEC</t>
  </si>
  <si>
    <t>sarp ouest</t>
  </si>
  <si>
    <t>z63n207032354</t>
  </si>
  <si>
    <t>leve conteneur/GILLARD</t>
  </si>
  <si>
    <t>06/17&gt;05/18</t>
  </si>
  <si>
    <t>DIB/GEC/DA/BOIS</t>
  </si>
  <si>
    <t>AI TEC</t>
  </si>
  <si>
    <t xml:space="preserve">AAI </t>
  </si>
  <si>
    <t>AP2R</t>
  </si>
  <si>
    <t>Ariware</t>
  </si>
  <si>
    <t>essais hebdo spricklage</t>
  </si>
  <si>
    <t>AGEI</t>
  </si>
  <si>
    <t>contra trimestriel</t>
  </si>
  <si>
    <t>check &amp; go</t>
  </si>
  <si>
    <t>MASTERNAUT</t>
  </si>
  <si>
    <t>interface paragon</t>
  </si>
  <si>
    <t>LEAD</t>
  </si>
  <si>
    <t>premium support</t>
  </si>
  <si>
    <t>08/17&gt;07/2020</t>
  </si>
  <si>
    <t>SEVIA</t>
  </si>
  <si>
    <t>ELIS-MAJ</t>
  </si>
  <si>
    <t>DIB / DU/ VERRE</t>
  </si>
  <si>
    <t>VITI EXPERT</t>
  </si>
  <si>
    <t>09/18&gt;02/18</t>
  </si>
  <si>
    <t>SOLEN / anated</t>
  </si>
  <si>
    <t>10/17&gt;01/2018</t>
  </si>
  <si>
    <t>10/17&gt;09/2018</t>
  </si>
  <si>
    <t>A.I.TEC</t>
  </si>
  <si>
    <t>10/17&gt;09/18</t>
  </si>
  <si>
    <t>janv/sept</t>
  </si>
  <si>
    <t>mars/sept</t>
  </si>
  <si>
    <t>ferraille&gt;bbe</t>
  </si>
  <si>
    <t>STANLEY/AITEC</t>
  </si>
  <si>
    <t>VITRE NETTOYAGE SERV</t>
  </si>
  <si>
    <t>LAVAGE IND PLASTIQUE</t>
  </si>
  <si>
    <t>DOLLIES</t>
  </si>
  <si>
    <t>08/17&gt;07/18</t>
  </si>
  <si>
    <t>12/16&gt;12/17</t>
  </si>
  <si>
    <t>03/15&gt;03/18</t>
  </si>
  <si>
    <t>05/15&gt;05/18</t>
  </si>
  <si>
    <t>10/16 &gt;09/17</t>
  </si>
  <si>
    <t>07/16&gt;06/19</t>
  </si>
  <si>
    <t>01/15&gt;12/17</t>
  </si>
  <si>
    <t>10/16&gt;09/19</t>
  </si>
  <si>
    <t>workflow avec PDF</t>
  </si>
  <si>
    <t>LOGRE</t>
  </si>
  <si>
    <t>11/17&gt;10/2018</t>
  </si>
  <si>
    <t>PAPREC NORD</t>
  </si>
  <si>
    <t>plastique PE</t>
  </si>
  <si>
    <t>11/17 &gt;12/17</t>
  </si>
  <si>
    <t>ROTFER</t>
  </si>
  <si>
    <t>TRDIB</t>
  </si>
  <si>
    <t>ROPVC</t>
  </si>
  <si>
    <t>11&gt;12/17</t>
  </si>
  <si>
    <t>PP</t>
  </si>
  <si>
    <t>02/17&gt;01/18</t>
  </si>
  <si>
    <t>07/17&gt;06/18</t>
  </si>
  <si>
    <t>janv/mai/aout/nov</t>
  </si>
  <si>
    <t>envoie des voyages par SMS</t>
  </si>
  <si>
    <t>mesure bruit/vibration</t>
  </si>
  <si>
    <t>transport</t>
  </si>
  <si>
    <t>sti</t>
  </si>
  <si>
    <t>barillec/jimelec</t>
  </si>
  <si>
    <t>actemium</t>
  </si>
  <si>
    <t>ok 29/11 chu</t>
  </si>
  <si>
    <t>AITEC</t>
  </si>
  <si>
    <t>contrat n°165145/S/43</t>
  </si>
  <si>
    <t>12/2017&gt;11/2018</t>
  </si>
  <si>
    <t>12/17&gt;11/2018</t>
  </si>
  <si>
    <t>fev/mai/aout/nov</t>
  </si>
  <si>
    <t>11/15&gt;10/18</t>
  </si>
  <si>
    <t>11/16&gt;10/2017</t>
  </si>
  <si>
    <t>12/15&gt;11/2017</t>
  </si>
  <si>
    <t>20/04/2017&gt;19/04/2018</t>
  </si>
  <si>
    <t>07/16&gt;06/17</t>
  </si>
  <si>
    <t>customer community plus</t>
  </si>
  <si>
    <t>12/17&gt;04/2018</t>
  </si>
  <si>
    <t>DEC PROV</t>
  </si>
  <si>
    <t>e-way CGHG28954</t>
  </si>
  <si>
    <t>11/2017&gt;10/2018</t>
  </si>
  <si>
    <t>12/17&gt;11/18</t>
  </si>
  <si>
    <t>12/18&gt;12/18</t>
  </si>
  <si>
    <t>DOC'UP</t>
  </si>
  <si>
    <t>mise a jour</t>
  </si>
  <si>
    <t>615180 / ENTRETIEN ESPACES VERTS</t>
  </si>
  <si>
    <t>Site</t>
  </si>
  <si>
    <t>Analytiques</t>
  </si>
  <si>
    <t>FLEURY</t>
  </si>
  <si>
    <t>AIX</t>
  </si>
  <si>
    <t>LYON</t>
  </si>
  <si>
    <t>BORDEAUX</t>
  </si>
  <si>
    <t>NANCY</t>
  </si>
  <si>
    <t>RENNES</t>
  </si>
  <si>
    <t>BEAUVAIS</t>
  </si>
  <si>
    <t>TOULOUSE</t>
  </si>
  <si>
    <t>SIEGE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</si>
</sst>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_(* #,##0.00_);_(* \(#,##0.00\);_(* &quot;-&quot;??_);_(@_)"/>
    <numFmt numFmtId="165" formatCode="#,##0.00\ &quot;F&quot;;[Red]\-#,##0.00\ &quot;F&quot;"/>
    <numFmt numFmtId="166" formatCode="#,##0.00;[Red]\-#,##0.00"/>
    <numFmt numFmtId="167" formatCode="#\ ###.00"/>
    <numFmt numFmtId="168" formatCode="#,##0.00_ ;[Red]\-#,##0.00\ "/>
    <numFmt numFmtId="169" formatCode="_-* #,##0.00\ [$€-40C]_-;\-* #,##0.00\ [$€-40C]_-;_-* &quot;-&quot;??\ [$€-40C]_-;_-@_-"/>
    <numFmt numFmtId="170" formatCode="#,##0.00\ _€"/>
    <numFmt numFmtId="171" formatCode="0_ ;[Red]\-0\ "/>
  </numFmts>
  <fonts count="28" x14ac:knownFonts="1">
    <font>
      <sz val="10"/>
      <name val="MS Sans Serif"/>
    </font>
    <font>
      <sz val="10"/>
      <name val="MS Sans Serif"/>
      <family val="2"/>
    </font>
    <font>
      <sz val="8"/>
      <name val="Tahoma"/>
      <family val="2"/>
    </font>
    <font>
      <sz val="10"/>
      <name val="Tahoma"/>
      <family val="2"/>
    </font>
    <font>
      <b/>
      <sz val="10"/>
      <name val="Tahoma"/>
      <family val="2"/>
    </font>
    <font>
      <b/>
      <sz val="8"/>
      <name val="Tahoma"/>
      <family val="2"/>
    </font>
    <font>
      <sz val="9"/>
      <name val="Tahoma"/>
      <family val="2"/>
    </font>
    <font>
      <b/>
      <sz val="9"/>
      <name val="Tahoma"/>
      <family val="2"/>
    </font>
    <font>
      <i/>
      <sz val="8"/>
      <name val="Tahoma"/>
      <family val="2"/>
    </font>
    <font>
      <b/>
      <sz val="10"/>
      <color indexed="12"/>
      <name val="Tahoma"/>
      <family val="2"/>
    </font>
    <font>
      <b/>
      <sz val="8"/>
      <color indexed="12"/>
      <name val="Tahoma"/>
      <family val="2"/>
    </font>
    <font>
      <b/>
      <i/>
      <sz val="8"/>
      <name val="Tahoma"/>
      <family val="2"/>
    </font>
    <font>
      <b/>
      <sz val="8"/>
      <color indexed="9"/>
      <name val="Tahoma"/>
      <family val="2"/>
    </font>
    <font>
      <b/>
      <sz val="8"/>
      <color indexed="10"/>
      <name val="Tahoma"/>
      <family val="2"/>
    </font>
    <font>
      <sz val="8"/>
      <color indexed="12"/>
      <name val="Tahoma"/>
      <family val="2"/>
    </font>
    <font>
      <b/>
      <u/>
      <sz val="10"/>
      <name val="Tahoma"/>
      <family val="2"/>
    </font>
    <font>
      <sz val="8"/>
      <color indexed="10"/>
      <name val="Tahoma"/>
      <family val="2"/>
    </font>
    <font>
      <b/>
      <sz val="8"/>
      <color indexed="56"/>
      <name val="Tahoma"/>
      <family val="2"/>
    </font>
    <font>
      <b/>
      <sz val="8"/>
      <color indexed="10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theme="1"/>
      <name val="Tahoma"/>
      <family val="2"/>
    </font>
    <font>
      <b/>
      <sz val="8"/>
      <color rgb="FF0000FF"/>
      <name val="Tahoma"/>
      <family val="2"/>
    </font>
    <font>
      <sz val="8"/>
      <color theme="0"/>
      <name val="Tahoma"/>
      <family val="2"/>
    </font>
    <font>
      <b/>
      <sz val="10"/>
      <color theme="1"/>
      <name val="Tahoma"/>
      <family val="2"/>
    </font>
    <font>
      <sz val="8"/>
      <color theme="8" tint="0.39997558519241921"/>
      <name val="Tahoma"/>
      <family val="2"/>
    </font>
    <font>
      <sz val="8"/>
      <color rgb="FFFF0000"/>
      <name val="Tahoma"/>
      <family val="2"/>
    </font>
    <font>
      <sz val="8"/>
      <color rgb="FF00B0F0"/>
      <name val="Tahoma"/>
      <family val="2"/>
    </font>
  </fonts>
  <fills count="23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  <bgColor indexed="64"/>
      </patternFill>
    </fill>
    <fill>
      <patternFill patternType="gray0625"/>
    </fill>
    <fill>
      <patternFill patternType="solid">
        <fgColor indexed="65"/>
        <bgColor indexed="64"/>
      </patternFill>
    </fill>
    <fill>
      <patternFill patternType="lightGray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gray0625">
        <bgColor theme="0" tint="-0.34998626667073579"/>
      </patternFill>
    </fill>
    <fill>
      <patternFill patternType="solid">
        <fgColor rgb="FFFFFF00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690">
    <xf numFmtId="0" fontId="0" fillId="0" borderId="0" xfId="0"/>
    <xf numFmtId="0" fontId="3" fillId="0" borderId="0" xfId="0" applyFont="1" applyAlignment="1">
      <alignment horizontal="center"/>
    </xf>
    <xf numFmtId="167" fontId="5" fillId="0" borderId="0" xfId="0" applyNumberFormat="1" applyFont="1" applyAlignment="1">
      <alignment horizontal="right"/>
    </xf>
    <xf numFmtId="0" fontId="4" fillId="0" borderId="0" xfId="0" applyFont="1"/>
    <xf numFmtId="167" fontId="5" fillId="0" borderId="0" xfId="0" applyNumberFormat="1" applyFont="1"/>
    <xf numFmtId="4" fontId="2" fillId="0" borderId="0" xfId="0" applyNumberFormat="1" applyFont="1" applyFill="1" applyBorder="1"/>
    <xf numFmtId="4" fontId="2" fillId="0" borderId="0" xfId="0" applyNumberFormat="1" applyFont="1"/>
    <xf numFmtId="4" fontId="5" fillId="0" borderId="0" xfId="0" applyNumberFormat="1" applyFont="1" applyBorder="1"/>
    <xf numFmtId="4" fontId="5" fillId="0" borderId="0" xfId="0" applyNumberFormat="1" applyFont="1" applyFill="1" applyBorder="1"/>
    <xf numFmtId="4" fontId="2" fillId="2" borderId="0" xfId="0" applyNumberFormat="1" applyFont="1" applyFill="1" applyBorder="1"/>
    <xf numFmtId="4" fontId="2" fillId="2" borderId="0" xfId="0" applyNumberFormat="1" applyFont="1" applyFill="1" applyBorder="1" applyAlignment="1">
      <alignment horizontal="right"/>
    </xf>
    <xf numFmtId="4" fontId="5" fillId="0" borderId="1" xfId="0" applyNumberFormat="1" applyFont="1" applyBorder="1"/>
    <xf numFmtId="4" fontId="5" fillId="0" borderId="2" xfId="0" applyNumberFormat="1" applyFont="1" applyBorder="1"/>
    <xf numFmtId="4" fontId="5" fillId="0" borderId="3" xfId="0" applyNumberFormat="1" applyFont="1" applyBorder="1"/>
    <xf numFmtId="167" fontId="2" fillId="0" borderId="0" xfId="0" applyNumberFormat="1" applyFont="1"/>
    <xf numFmtId="0" fontId="4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167" fontId="2" fillId="0" borderId="0" xfId="0" applyNumberFormat="1" applyFont="1" applyBorder="1" applyAlignment="1">
      <alignment horizontal="centerContinuous"/>
    </xf>
    <xf numFmtId="0" fontId="2" fillId="0" borderId="4" xfId="0" applyFont="1" applyBorder="1" applyAlignment="1">
      <alignment vertical="center"/>
    </xf>
    <xf numFmtId="0" fontId="2" fillId="0" borderId="5" xfId="0" applyFont="1" applyBorder="1" applyAlignment="1">
      <alignment vertical="center"/>
    </xf>
    <xf numFmtId="0" fontId="2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167" fontId="2" fillId="0" borderId="7" xfId="0" applyNumberFormat="1" applyFont="1" applyBorder="1" applyAlignment="1">
      <alignment horizontal="center" vertical="center"/>
    </xf>
    <xf numFmtId="167" fontId="2" fillId="0" borderId="8" xfId="0" applyNumberFormat="1" applyFont="1" applyBorder="1" applyAlignment="1">
      <alignment horizontal="center" vertical="center"/>
    </xf>
    <xf numFmtId="0" fontId="11" fillId="2" borderId="9" xfId="0" applyFont="1" applyFill="1" applyBorder="1"/>
    <xf numFmtId="0" fontId="2" fillId="2" borderId="9" xfId="0" applyFont="1" applyFill="1" applyBorder="1"/>
    <xf numFmtId="0" fontId="2" fillId="2" borderId="10" xfId="0" applyFont="1" applyFill="1" applyBorder="1" applyAlignment="1">
      <alignment horizontal="center"/>
    </xf>
    <xf numFmtId="0" fontId="5" fillId="2" borderId="10" xfId="0" applyFont="1" applyFill="1" applyBorder="1" applyAlignment="1">
      <alignment horizontal="left"/>
    </xf>
    <xf numFmtId="0" fontId="5" fillId="2" borderId="0" xfId="0" applyFont="1" applyFill="1" applyBorder="1" applyAlignment="1">
      <alignment horizontal="left"/>
    </xf>
    <xf numFmtId="167" fontId="2" fillId="2" borderId="11" xfId="0" applyNumberFormat="1" applyFont="1" applyFill="1" applyBorder="1"/>
    <xf numFmtId="0" fontId="5" fillId="0" borderId="9" xfId="0" applyFont="1" applyBorder="1"/>
    <xf numFmtId="0" fontId="5" fillId="0" borderId="10" xfId="0" applyFont="1" applyBorder="1" applyAlignment="1">
      <alignment horizontal="center"/>
    </xf>
    <xf numFmtId="0" fontId="5" fillId="0" borderId="0" xfId="0" applyFont="1" applyBorder="1" applyAlignment="1">
      <alignment horizontal="left"/>
    </xf>
    <xf numFmtId="0" fontId="5" fillId="0" borderId="9" xfId="0" applyFont="1" applyBorder="1" applyAlignment="1">
      <alignment horizontal="left"/>
    </xf>
    <xf numFmtId="0" fontId="5" fillId="0" borderId="0" xfId="0" applyFont="1"/>
    <xf numFmtId="0" fontId="2" fillId="0" borderId="12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2" fillId="0" borderId="9" xfId="0" applyFont="1" applyBorder="1" applyAlignment="1">
      <alignment horizontal="center" vertical="center"/>
    </xf>
    <xf numFmtId="0" fontId="2" fillId="0" borderId="9" xfId="0" applyFont="1" applyBorder="1" applyAlignment="1">
      <alignment horizontal="left" vertical="center"/>
    </xf>
    <xf numFmtId="0" fontId="2" fillId="0" borderId="13" xfId="0" applyFont="1" applyBorder="1" applyAlignment="1">
      <alignment horizontal="left" vertical="center"/>
    </xf>
    <xf numFmtId="0" fontId="5" fillId="0" borderId="12" xfId="0" applyFont="1" applyBorder="1"/>
    <xf numFmtId="0" fontId="5" fillId="0" borderId="13" xfId="0" applyFont="1" applyBorder="1" applyAlignment="1">
      <alignment horizontal="left"/>
    </xf>
    <xf numFmtId="0" fontId="2" fillId="0" borderId="12" xfId="0" applyFont="1" applyBorder="1"/>
    <xf numFmtId="0" fontId="2" fillId="0" borderId="9" xfId="0" applyFont="1" applyBorder="1"/>
    <xf numFmtId="0" fontId="2" fillId="0" borderId="10" xfId="0" applyFont="1" applyBorder="1" applyAlignment="1">
      <alignment horizontal="center"/>
    </xf>
    <xf numFmtId="0" fontId="2" fillId="0" borderId="0" xfId="0" applyFont="1" applyBorder="1" applyAlignment="1">
      <alignment horizontal="left"/>
    </xf>
    <xf numFmtId="0" fontId="2" fillId="0" borderId="9" xfId="0" applyFont="1" applyBorder="1" applyAlignment="1">
      <alignment horizontal="left"/>
    </xf>
    <xf numFmtId="0" fontId="5" fillId="0" borderId="12" xfId="0" applyFont="1" applyFill="1" applyBorder="1"/>
    <xf numFmtId="0" fontId="5" fillId="0" borderId="9" xfId="0" applyFont="1" applyFill="1" applyBorder="1"/>
    <xf numFmtId="0" fontId="5" fillId="0" borderId="1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left"/>
    </xf>
    <xf numFmtId="0" fontId="5" fillId="0" borderId="9" xfId="0" applyFont="1" applyFill="1" applyBorder="1" applyAlignment="1">
      <alignment horizontal="left"/>
    </xf>
    <xf numFmtId="167" fontId="5" fillId="0" borderId="0" xfId="0" applyNumberFormat="1" applyFont="1" applyFill="1"/>
    <xf numFmtId="0" fontId="5" fillId="0" borderId="0" xfId="0" applyFont="1" applyFill="1"/>
    <xf numFmtId="0" fontId="2" fillId="0" borderId="13" xfId="0" applyFont="1" applyBorder="1" applyAlignment="1">
      <alignment horizontal="left"/>
    </xf>
    <xf numFmtId="0" fontId="5" fillId="0" borderId="0" xfId="0" applyFont="1" applyAlignment="1">
      <alignment horizontal="left"/>
    </xf>
    <xf numFmtId="167" fontId="5" fillId="0" borderId="0" xfId="0" applyNumberFormat="1" applyFont="1" applyBorder="1" applyAlignment="1">
      <alignment horizontal="centerContinuous"/>
    </xf>
    <xf numFmtId="167" fontId="2" fillId="0" borderId="0" xfId="0" applyNumberFormat="1" applyFont="1" applyBorder="1" applyAlignment="1">
      <alignment horizontal="left"/>
    </xf>
    <xf numFmtId="167" fontId="5" fillId="0" borderId="0" xfId="0" applyNumberFormat="1" applyFont="1" applyAlignment="1"/>
    <xf numFmtId="0" fontId="5" fillId="0" borderId="14" xfId="0" applyFont="1" applyBorder="1" applyAlignment="1">
      <alignment vertical="center"/>
    </xf>
    <xf numFmtId="0" fontId="5" fillId="0" borderId="14" xfId="0" applyFont="1" applyBorder="1" applyAlignment="1">
      <alignment horizontal="center" vertical="center"/>
    </xf>
    <xf numFmtId="0" fontId="5" fillId="0" borderId="14" xfId="0" applyFont="1" applyBorder="1" applyAlignment="1">
      <alignment horizontal="left" vertical="center"/>
    </xf>
    <xf numFmtId="167" fontId="5" fillId="0" borderId="14" xfId="0" applyNumberFormat="1" applyFont="1" applyBorder="1" applyAlignment="1">
      <alignment horizontal="center" vertical="center"/>
    </xf>
    <xf numFmtId="167" fontId="5" fillId="0" borderId="15" xfId="0" applyNumberFormat="1" applyFont="1" applyBorder="1" applyAlignment="1">
      <alignment horizontal="center" vertical="center"/>
    </xf>
    <xf numFmtId="167" fontId="5" fillId="0" borderId="16" xfId="0" applyNumberFormat="1" applyFont="1" applyBorder="1" applyAlignment="1">
      <alignment horizontal="center" vertical="center"/>
    </xf>
    <xf numFmtId="0" fontId="2" fillId="0" borderId="17" xfId="0" applyFont="1" applyBorder="1"/>
    <xf numFmtId="0" fontId="2" fillId="0" borderId="17" xfId="0" applyFont="1" applyBorder="1" applyAlignment="1">
      <alignment horizontal="center"/>
    </xf>
    <xf numFmtId="0" fontId="5" fillId="0" borderId="17" xfId="0" applyFont="1" applyBorder="1" applyAlignment="1">
      <alignment horizontal="left"/>
    </xf>
    <xf numFmtId="0" fontId="5" fillId="0" borderId="18" xfId="0" applyFont="1" applyBorder="1" applyAlignment="1">
      <alignment horizontal="left"/>
    </xf>
    <xf numFmtId="167" fontId="2" fillId="0" borderId="19" xfId="0" applyNumberFormat="1" applyFont="1" applyBorder="1"/>
    <xf numFmtId="167" fontId="2" fillId="0" borderId="19" xfId="0" applyNumberFormat="1" applyFont="1" applyBorder="1" applyAlignment="1">
      <alignment horizontal="right"/>
    </xf>
    <xf numFmtId="167" fontId="2" fillId="0" borderId="20" xfId="0" applyNumberFormat="1" applyFont="1" applyBorder="1"/>
    <xf numFmtId="0" fontId="5" fillId="0" borderId="13" xfId="0" applyFont="1" applyBorder="1" applyAlignment="1">
      <alignment vertical="center"/>
    </xf>
    <xf numFmtId="0" fontId="12" fillId="3" borderId="9" xfId="0" applyFont="1" applyFill="1" applyBorder="1"/>
    <xf numFmtId="0" fontId="11" fillId="0" borderId="9" xfId="0" applyFont="1" applyBorder="1" applyAlignment="1">
      <alignment horizontal="center"/>
    </xf>
    <xf numFmtId="0" fontId="5" fillId="0" borderId="21" xfId="0" applyFont="1" applyBorder="1"/>
    <xf numFmtId="0" fontId="2" fillId="0" borderId="21" xfId="0" applyFont="1" applyBorder="1"/>
    <xf numFmtId="0" fontId="2" fillId="0" borderId="21" xfId="0" applyFont="1" applyBorder="1" applyAlignment="1">
      <alignment horizontal="center"/>
    </xf>
    <xf numFmtId="0" fontId="5" fillId="0" borderId="21" xfId="0" applyFont="1" applyBorder="1" applyAlignment="1">
      <alignment horizontal="left"/>
    </xf>
    <xf numFmtId="4" fontId="2" fillId="0" borderId="2" xfId="0" applyNumberFormat="1" applyFont="1" applyBorder="1"/>
    <xf numFmtId="4" fontId="2" fillId="0" borderId="2" xfId="0" applyNumberFormat="1" applyFont="1" applyBorder="1" applyAlignment="1">
      <alignment horizontal="right"/>
    </xf>
    <xf numFmtId="4" fontId="13" fillId="0" borderId="2" xfId="0" applyNumberFormat="1" applyFont="1" applyBorder="1"/>
    <xf numFmtId="167" fontId="2" fillId="0" borderId="3" xfId="0" applyNumberFormat="1" applyFont="1" applyBorder="1"/>
    <xf numFmtId="0" fontId="5" fillId="0" borderId="12" xfId="0" applyFont="1" applyBorder="1" applyAlignment="1">
      <alignment vertical="center"/>
    </xf>
    <xf numFmtId="0" fontId="5" fillId="0" borderId="9" xfId="0" applyFont="1" applyBorder="1" applyAlignment="1">
      <alignment vertical="center"/>
    </xf>
    <xf numFmtId="0" fontId="5" fillId="0" borderId="9" xfId="0" applyFont="1" applyBorder="1" applyAlignment="1">
      <alignment horizontal="center" vertical="center"/>
    </xf>
    <xf numFmtId="0" fontId="5" fillId="0" borderId="9" xfId="0" applyFont="1" applyBorder="1" applyAlignment="1">
      <alignment horizontal="left" vertical="center"/>
    </xf>
    <xf numFmtId="0" fontId="5" fillId="0" borderId="13" xfId="0" applyFont="1" applyBorder="1" applyAlignment="1">
      <alignment horizontal="left" vertical="center"/>
    </xf>
    <xf numFmtId="167" fontId="5" fillId="0" borderId="0" xfId="0" applyNumberFormat="1" applyFont="1" applyBorder="1" applyAlignment="1">
      <alignment horizontal="center" vertical="center"/>
    </xf>
    <xf numFmtId="167" fontId="5" fillId="0" borderId="8" xfId="0" applyNumberFormat="1" applyFont="1" applyBorder="1" applyAlignment="1">
      <alignment horizontal="center" vertical="center"/>
    </xf>
    <xf numFmtId="0" fontId="5" fillId="0" borderId="10" xfId="0" applyFont="1" applyBorder="1"/>
    <xf numFmtId="0" fontId="5" fillId="0" borderId="10" xfId="0" applyFont="1" applyBorder="1" applyAlignment="1">
      <alignment horizontal="left"/>
    </xf>
    <xf numFmtId="0" fontId="11" fillId="0" borderId="12" xfId="0" applyFont="1" applyFill="1" applyBorder="1"/>
    <xf numFmtId="0" fontId="2" fillId="0" borderId="10" xfId="0" applyFont="1" applyBorder="1"/>
    <xf numFmtId="167" fontId="13" fillId="0" borderId="0" xfId="0" applyNumberFormat="1" applyFont="1" applyFill="1" applyAlignment="1">
      <alignment horizontal="center"/>
    </xf>
    <xf numFmtId="0" fontId="2" fillId="0" borderId="0" xfId="0" applyFont="1" applyFill="1"/>
    <xf numFmtId="167" fontId="10" fillId="0" borderId="22" xfId="0" applyNumberFormat="1" applyFont="1" applyBorder="1" applyAlignment="1">
      <alignment horizontal="center" vertical="center"/>
    </xf>
    <xf numFmtId="167" fontId="10" fillId="0" borderId="9" xfId="0" applyNumberFormat="1" applyFont="1" applyBorder="1"/>
    <xf numFmtId="167" fontId="10" fillId="2" borderId="9" xfId="0" applyNumberFormat="1" applyFont="1" applyFill="1" applyBorder="1"/>
    <xf numFmtId="167" fontId="10" fillId="0" borderId="0" xfId="0" applyNumberFormat="1" applyFont="1" applyBorder="1" applyAlignment="1">
      <alignment horizontal="centerContinuous"/>
    </xf>
    <xf numFmtId="167" fontId="10" fillId="0" borderId="0" xfId="0" applyNumberFormat="1" applyFont="1" applyAlignment="1"/>
    <xf numFmtId="167" fontId="10" fillId="0" borderId="5" xfId="0" applyNumberFormat="1" applyFont="1" applyBorder="1"/>
    <xf numFmtId="167" fontId="10" fillId="0" borderId="21" xfId="0" applyNumberFormat="1" applyFont="1" applyBorder="1"/>
    <xf numFmtId="0" fontId="10" fillId="0" borderId="0" xfId="0" applyFont="1"/>
    <xf numFmtId="0" fontId="10" fillId="0" borderId="9" xfId="0" applyFont="1" applyBorder="1" applyAlignment="1">
      <alignment horizontal="center"/>
    </xf>
    <xf numFmtId="167" fontId="10" fillId="0" borderId="9" xfId="0" applyNumberFormat="1" applyFont="1" applyFill="1" applyBorder="1"/>
    <xf numFmtId="167" fontId="10" fillId="0" borderId="0" xfId="0" applyNumberFormat="1" applyFont="1"/>
    <xf numFmtId="167" fontId="10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167" fontId="5" fillId="0" borderId="13" xfId="0" applyNumberFormat="1" applyFont="1" applyBorder="1" applyAlignment="1">
      <alignment horizontal="center" vertical="center"/>
    </xf>
    <xf numFmtId="167" fontId="5" fillId="0" borderId="11" xfId="0" applyNumberFormat="1" applyFont="1" applyBorder="1" applyAlignment="1">
      <alignment horizontal="center" vertical="center"/>
    </xf>
    <xf numFmtId="0" fontId="5" fillId="0" borderId="0" xfId="0" applyFont="1" applyBorder="1"/>
    <xf numFmtId="0" fontId="2" fillId="0" borderId="23" xfId="0" applyFont="1" applyBorder="1" applyAlignment="1">
      <alignment vertical="center"/>
    </xf>
    <xf numFmtId="0" fontId="2" fillId="0" borderId="24" xfId="0" applyFont="1" applyBorder="1"/>
    <xf numFmtId="0" fontId="2" fillId="0" borderId="25" xfId="0" applyFont="1" applyBorder="1" applyAlignment="1">
      <alignment horizontal="left"/>
    </xf>
    <xf numFmtId="0" fontId="2" fillId="0" borderId="21" xfId="0" applyFont="1" applyBorder="1" applyAlignment="1">
      <alignment horizontal="left"/>
    </xf>
    <xf numFmtId="0" fontId="5" fillId="0" borderId="10" xfId="0" applyFont="1" applyBorder="1" applyAlignment="1">
      <alignment horizontal="center" vertical="center"/>
    </xf>
    <xf numFmtId="0" fontId="5" fillId="0" borderId="10" xfId="0" applyFont="1" applyFill="1" applyBorder="1" applyAlignment="1">
      <alignment horizontal="left"/>
    </xf>
    <xf numFmtId="167" fontId="10" fillId="0" borderId="5" xfId="0" applyNumberFormat="1" applyFont="1" applyBorder="1" applyAlignment="1">
      <alignment horizontal="center" vertical="center"/>
    </xf>
    <xf numFmtId="167" fontId="10" fillId="0" borderId="9" xfId="0" applyNumberFormat="1" applyFont="1" applyBorder="1" applyAlignment="1">
      <alignment horizontal="center" vertical="center"/>
    </xf>
    <xf numFmtId="0" fontId="5" fillId="0" borderId="9" xfId="0" applyFont="1" applyFill="1" applyBorder="1" applyAlignment="1">
      <alignment horizontal="center"/>
    </xf>
    <xf numFmtId="0" fontId="5" fillId="0" borderId="9" xfId="0" applyFont="1" applyBorder="1" applyAlignment="1">
      <alignment horizontal="center"/>
    </xf>
    <xf numFmtId="167" fontId="2" fillId="0" borderId="0" xfId="0" applyNumberFormat="1" applyFont="1" applyFill="1"/>
    <xf numFmtId="4" fontId="5" fillId="0" borderId="0" xfId="0" applyNumberFormat="1" applyFont="1"/>
    <xf numFmtId="0" fontId="5" fillId="4" borderId="9" xfId="0" applyFont="1" applyFill="1" applyBorder="1"/>
    <xf numFmtId="0" fontId="5" fillId="4" borderId="0" xfId="0" applyFont="1" applyFill="1" applyBorder="1" applyAlignment="1">
      <alignment horizontal="left"/>
    </xf>
    <xf numFmtId="0" fontId="5" fillId="4" borderId="9" xfId="0" applyFont="1" applyFill="1" applyBorder="1" applyAlignment="1">
      <alignment horizontal="left"/>
    </xf>
    <xf numFmtId="167" fontId="10" fillId="4" borderId="9" xfId="0" applyNumberFormat="1" applyFont="1" applyFill="1" applyBorder="1"/>
    <xf numFmtId="0" fontId="2" fillId="0" borderId="1" xfId="0" applyFont="1" applyBorder="1" applyAlignment="1">
      <alignment horizontal="left"/>
    </xf>
    <xf numFmtId="0" fontId="2" fillId="2" borderId="10" xfId="0" applyFont="1" applyFill="1" applyBorder="1" applyAlignment="1">
      <alignment horizontal="left"/>
    </xf>
    <xf numFmtId="0" fontId="5" fillId="4" borderId="26" xfId="0" applyFont="1" applyFill="1" applyBorder="1" applyAlignment="1">
      <alignment horizontal="left"/>
    </xf>
    <xf numFmtId="0" fontId="5" fillId="2" borderId="10" xfId="0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5" fillId="0" borderId="10" xfId="0" applyFont="1" applyFill="1" applyBorder="1"/>
    <xf numFmtId="167" fontId="10" fillId="0" borderId="0" xfId="0" applyNumberFormat="1" applyFont="1" applyFill="1" applyBorder="1"/>
    <xf numFmtId="0" fontId="5" fillId="0" borderId="0" xfId="0" applyFont="1" applyBorder="1" applyAlignment="1">
      <alignment horizontal="left" vertical="center"/>
    </xf>
    <xf numFmtId="2" fontId="2" fillId="0" borderId="0" xfId="0" applyNumberFormat="1" applyFont="1"/>
    <xf numFmtId="167" fontId="2" fillId="0" borderId="0" xfId="0" applyNumberFormat="1" applyFont="1" applyFill="1" applyBorder="1"/>
    <xf numFmtId="0" fontId="2" fillId="0" borderId="27" xfId="0" applyFont="1" applyBorder="1"/>
    <xf numFmtId="0" fontId="2" fillId="0" borderId="27" xfId="0" applyFont="1" applyBorder="1" applyAlignment="1">
      <alignment horizontal="center"/>
    </xf>
    <xf numFmtId="0" fontId="2" fillId="0" borderId="27" xfId="0" applyFont="1" applyBorder="1" applyAlignment="1">
      <alignment horizontal="left"/>
    </xf>
    <xf numFmtId="0" fontId="5" fillId="0" borderId="0" xfId="0" applyFont="1" applyAlignment="1">
      <alignment horizontal="center"/>
    </xf>
    <xf numFmtId="0" fontId="9" fillId="0" borderId="27" xfId="0" applyFont="1" applyBorder="1"/>
    <xf numFmtId="0" fontId="3" fillId="0" borderId="27" xfId="0" applyFont="1" applyBorder="1" applyAlignment="1">
      <alignment horizontal="center"/>
    </xf>
    <xf numFmtId="0" fontId="5" fillId="0" borderId="28" xfId="0" applyFont="1" applyBorder="1" applyAlignment="1">
      <alignment horizontal="center" vertical="center"/>
    </xf>
    <xf numFmtId="167" fontId="5" fillId="0" borderId="0" xfId="0" applyNumberFormat="1" applyFont="1" applyAlignment="1">
      <alignment horizontal="center"/>
    </xf>
    <xf numFmtId="0" fontId="2" fillId="0" borderId="0" xfId="0" applyFont="1" applyFill="1" applyBorder="1" applyAlignment="1">
      <alignment horizontal="left"/>
    </xf>
    <xf numFmtId="0" fontId="5" fillId="0" borderId="13" xfId="0" applyFont="1" applyFill="1" applyBorder="1" applyAlignment="1">
      <alignment vertical="center"/>
    </xf>
    <xf numFmtId="0" fontId="2" fillId="0" borderId="10" xfId="0" applyFont="1" applyFill="1" applyBorder="1" applyAlignment="1">
      <alignment horizontal="left"/>
    </xf>
    <xf numFmtId="0" fontId="2" fillId="0" borderId="13" xfId="0" applyFont="1" applyFill="1" applyBorder="1" applyAlignment="1">
      <alignment vertical="center"/>
    </xf>
    <xf numFmtId="0" fontId="10" fillId="2" borderId="0" xfId="0" applyFont="1" applyFill="1" applyBorder="1" applyAlignment="1">
      <alignment horizontal="left"/>
    </xf>
    <xf numFmtId="0" fontId="10" fillId="0" borderId="10" xfId="0" applyFont="1" applyFill="1" applyBorder="1" applyAlignment="1">
      <alignment horizontal="left"/>
    </xf>
    <xf numFmtId="167" fontId="2" fillId="0" borderId="0" xfId="0" applyNumberFormat="1" applyFont="1" applyAlignment="1">
      <alignment horizontal="center"/>
    </xf>
    <xf numFmtId="0" fontId="10" fillId="0" borderId="0" xfId="0" applyFont="1" applyFill="1" applyAlignment="1">
      <alignment vertical="center"/>
    </xf>
    <xf numFmtId="0" fontId="4" fillId="0" borderId="27" xfId="0" applyFont="1" applyFill="1" applyBorder="1" applyAlignment="1">
      <alignment horizontal="center"/>
    </xf>
    <xf numFmtId="0" fontId="4" fillId="0" borderId="27" xfId="0" applyFont="1" applyFill="1" applyBorder="1"/>
    <xf numFmtId="167" fontId="4" fillId="4" borderId="27" xfId="0" applyNumberFormat="1" applyFont="1" applyFill="1" applyBorder="1" applyAlignment="1">
      <alignment horizontal="center" vertical="center"/>
    </xf>
    <xf numFmtId="0" fontId="15" fillId="0" borderId="0" xfId="0" applyFont="1" applyAlignment="1">
      <alignment horizontal="left"/>
    </xf>
    <xf numFmtId="167" fontId="10" fillId="0" borderId="27" xfId="0" applyNumberFormat="1" applyFont="1" applyFill="1" applyBorder="1"/>
    <xf numFmtId="167" fontId="10" fillId="0" borderId="17" xfId="0" applyNumberFormat="1" applyFont="1" applyFill="1" applyBorder="1"/>
    <xf numFmtId="167" fontId="10" fillId="0" borderId="27" xfId="0" applyNumberFormat="1" applyFont="1" applyBorder="1"/>
    <xf numFmtId="167" fontId="10" fillId="0" borderId="21" xfId="0" applyNumberFormat="1" applyFont="1" applyBorder="1" applyAlignment="1">
      <alignment horizontal="right"/>
    </xf>
    <xf numFmtId="4" fontId="10" fillId="3" borderId="27" xfId="0" applyNumberFormat="1" applyFont="1" applyFill="1" applyBorder="1"/>
    <xf numFmtId="0" fontId="2" fillId="0" borderId="29" xfId="0" applyFont="1" applyBorder="1" applyAlignment="1">
      <alignment horizontal="left"/>
    </xf>
    <xf numFmtId="167" fontId="10" fillId="0" borderId="17" xfId="0" applyNumberFormat="1" applyFont="1" applyBorder="1"/>
    <xf numFmtId="0" fontId="2" fillId="0" borderId="27" xfId="0" applyFont="1" applyFill="1" applyBorder="1"/>
    <xf numFmtId="0" fontId="2" fillId="0" borderId="18" xfId="0" applyFont="1" applyBorder="1" applyAlignment="1">
      <alignment horizontal="left"/>
    </xf>
    <xf numFmtId="0" fontId="2" fillId="0" borderId="17" xfId="0" applyFont="1" applyBorder="1" applyAlignment="1">
      <alignment horizontal="left"/>
    </xf>
    <xf numFmtId="0" fontId="2" fillId="0" borderId="10" xfId="0" applyFont="1" applyBorder="1" applyAlignment="1">
      <alignment horizontal="left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2" fillId="0" borderId="9" xfId="0" applyFont="1" applyFill="1" applyBorder="1"/>
    <xf numFmtId="0" fontId="2" fillId="0" borderId="10" xfId="0" applyFont="1" applyFill="1" applyBorder="1" applyAlignment="1">
      <alignment horizontal="center"/>
    </xf>
    <xf numFmtId="0" fontId="2" fillId="0" borderId="10" xfId="0" applyFont="1" applyFill="1" applyBorder="1"/>
    <xf numFmtId="0" fontId="2" fillId="0" borderId="9" xfId="0" applyFont="1" applyFill="1" applyBorder="1" applyAlignment="1">
      <alignment horizontal="left"/>
    </xf>
    <xf numFmtId="167" fontId="16" fillId="0" borderId="0" xfId="0" applyNumberFormat="1" applyFont="1" applyFill="1" applyAlignment="1">
      <alignment horizontal="center"/>
    </xf>
    <xf numFmtId="0" fontId="4" fillId="0" borderId="27" xfId="0" applyFont="1" applyFill="1" applyBorder="1" applyAlignment="1">
      <alignment horizontal="center" vertical="center"/>
    </xf>
    <xf numFmtId="0" fontId="7" fillId="0" borderId="27" xfId="0" applyFont="1" applyFill="1" applyBorder="1" applyAlignment="1">
      <alignment vertical="center"/>
    </xf>
    <xf numFmtId="0" fontId="3" fillId="0" borderId="27" xfId="0" applyFont="1" applyFill="1" applyBorder="1" applyAlignment="1">
      <alignment horizontal="center" vertical="center"/>
    </xf>
    <xf numFmtId="0" fontId="3" fillId="0" borderId="0" xfId="0" applyFont="1" applyFill="1" applyBorder="1"/>
    <xf numFmtId="0" fontId="4" fillId="0" borderId="0" xfId="0" applyFont="1" applyFill="1" applyBorder="1" applyAlignment="1">
      <alignment vertical="center"/>
    </xf>
    <xf numFmtId="4" fontId="3" fillId="0" borderId="0" xfId="0" applyNumberFormat="1" applyFont="1" applyFill="1" applyBorder="1"/>
    <xf numFmtId="4" fontId="10" fillId="3" borderId="18" xfId="0" applyNumberFormat="1" applyFont="1" applyFill="1" applyBorder="1"/>
    <xf numFmtId="0" fontId="2" fillId="0" borderId="26" xfId="0" applyFont="1" applyBorder="1" applyAlignment="1">
      <alignment horizontal="left"/>
    </xf>
    <xf numFmtId="4" fontId="10" fillId="3" borderId="9" xfId="0" applyNumberFormat="1" applyFont="1" applyFill="1" applyBorder="1"/>
    <xf numFmtId="0" fontId="10" fillId="0" borderId="9" xfId="0" applyFont="1" applyFill="1" applyBorder="1" applyAlignment="1">
      <alignment horizontal="left"/>
    </xf>
    <xf numFmtId="0" fontId="3" fillId="0" borderId="0" xfId="0" applyFont="1"/>
    <xf numFmtId="1" fontId="3" fillId="0" borderId="0" xfId="0" applyNumberFormat="1" applyFont="1" applyFill="1" applyBorder="1"/>
    <xf numFmtId="167" fontId="3" fillId="0" borderId="0" xfId="0" applyNumberFormat="1" applyFont="1" applyFill="1" applyBorder="1" applyAlignment="1">
      <alignment vertical="center"/>
    </xf>
    <xf numFmtId="1" fontId="2" fillId="0" borderId="0" xfId="0" applyNumberFormat="1" applyFont="1" applyFill="1" applyBorder="1" applyAlignment="1">
      <alignment horizontal="center"/>
    </xf>
    <xf numFmtId="167" fontId="2" fillId="0" borderId="0" xfId="0" applyNumberFormat="1" applyFont="1" applyFill="1" applyBorder="1" applyAlignment="1">
      <alignment horizontal="center"/>
    </xf>
    <xf numFmtId="166" fontId="9" fillId="0" borderId="0" xfId="1" applyFont="1" applyFill="1" applyBorder="1" applyAlignment="1">
      <alignment horizontal="right" vertical="center"/>
    </xf>
    <xf numFmtId="166" fontId="3" fillId="0" borderId="0" xfId="1" applyFont="1" applyFill="1" applyBorder="1" applyAlignment="1">
      <alignment horizontal="right" vertical="center"/>
    </xf>
    <xf numFmtId="1" fontId="2" fillId="0" borderId="27" xfId="0" applyNumberFormat="1" applyFont="1" applyFill="1" applyBorder="1"/>
    <xf numFmtId="167" fontId="2" fillId="0" borderId="27" xfId="0" applyNumberFormat="1" applyFont="1" applyFill="1" applyBorder="1" applyAlignment="1">
      <alignment vertical="center"/>
    </xf>
    <xf numFmtId="1" fontId="2" fillId="0" borderId="27" xfId="0" applyNumberFormat="1" applyFont="1" applyFill="1" applyBorder="1" applyAlignment="1">
      <alignment horizontal="center"/>
    </xf>
    <xf numFmtId="167" fontId="2" fillId="0" borderId="27" xfId="0" applyNumberFormat="1" applyFont="1" applyFill="1" applyBorder="1" applyAlignment="1">
      <alignment horizontal="center"/>
    </xf>
    <xf numFmtId="166" fontId="2" fillId="0" borderId="27" xfId="1" applyFont="1" applyFill="1" applyBorder="1" applyAlignment="1">
      <alignment horizontal="right" vertical="center"/>
    </xf>
    <xf numFmtId="0" fontId="2" fillId="0" borderId="0" xfId="0" applyFont="1" applyBorder="1"/>
    <xf numFmtId="1" fontId="3" fillId="0" borderId="9" xfId="0" applyNumberFormat="1" applyFont="1" applyFill="1" applyBorder="1"/>
    <xf numFmtId="167" fontId="3" fillId="0" borderId="9" xfId="0" applyNumberFormat="1" applyFont="1" applyFill="1" applyBorder="1" applyAlignment="1">
      <alignment vertical="center"/>
    </xf>
    <xf numFmtId="1" fontId="2" fillId="0" borderId="9" xfId="0" applyNumberFormat="1" applyFont="1" applyFill="1" applyBorder="1" applyAlignment="1">
      <alignment horizontal="center"/>
    </xf>
    <xf numFmtId="0" fontId="3" fillId="0" borderId="10" xfId="0" applyFont="1" applyBorder="1"/>
    <xf numFmtId="167" fontId="2" fillId="0" borderId="10" xfId="0" applyNumberFormat="1" applyFont="1" applyFill="1" applyBorder="1" applyAlignment="1">
      <alignment horizontal="center"/>
    </xf>
    <xf numFmtId="0" fontId="2" fillId="0" borderId="30" xfId="0" applyFont="1" applyBorder="1"/>
    <xf numFmtId="0" fontId="8" fillId="0" borderId="0" xfId="0" applyFont="1"/>
    <xf numFmtId="4" fontId="17" fillId="0" borderId="27" xfId="0" applyNumberFormat="1" applyFont="1" applyFill="1" applyBorder="1"/>
    <xf numFmtId="4" fontId="4" fillId="0" borderId="0" xfId="0" applyNumberFormat="1" applyFont="1" applyFill="1" applyBorder="1" applyAlignment="1">
      <alignment vertical="center"/>
    </xf>
    <xf numFmtId="167" fontId="10" fillId="2" borderId="10" xfId="0" applyNumberFormat="1" applyFont="1" applyFill="1" applyBorder="1"/>
    <xf numFmtId="167" fontId="10" fillId="0" borderId="10" xfId="0" applyNumberFormat="1" applyFont="1" applyBorder="1"/>
    <xf numFmtId="167" fontId="10" fillId="0" borderId="10" xfId="0" applyNumberFormat="1" applyFont="1" applyFill="1" applyBorder="1"/>
    <xf numFmtId="167" fontId="10" fillId="0" borderId="31" xfId="0" applyNumberFormat="1" applyFont="1" applyBorder="1"/>
    <xf numFmtId="167" fontId="10" fillId="0" borderId="32" xfId="0" applyNumberFormat="1" applyFont="1" applyBorder="1"/>
    <xf numFmtId="0" fontId="2" fillId="0" borderId="27" xfId="0" applyFont="1" applyBorder="1" applyAlignment="1">
      <alignment horizontal="right"/>
    </xf>
    <xf numFmtId="168" fontId="2" fillId="0" borderId="0" xfId="0" applyNumberFormat="1" applyFont="1"/>
    <xf numFmtId="168" fontId="5" fillId="0" borderId="0" xfId="0" applyNumberFormat="1" applyFont="1" applyBorder="1" applyAlignment="1">
      <alignment horizontal="centerContinuous"/>
    </xf>
    <xf numFmtId="168" fontId="5" fillId="0" borderId="0" xfId="0" applyNumberFormat="1" applyFont="1"/>
    <xf numFmtId="168" fontId="5" fillId="0" borderId="14" xfId="0" applyNumberFormat="1" applyFont="1" applyBorder="1" applyAlignment="1">
      <alignment horizontal="center" vertical="center"/>
    </xf>
    <xf numFmtId="168" fontId="5" fillId="0" borderId="0" xfId="0" applyNumberFormat="1" applyFont="1" applyBorder="1" applyAlignment="1">
      <alignment horizontal="center" vertical="center"/>
    </xf>
    <xf numFmtId="168" fontId="2" fillId="2" borderId="0" xfId="0" applyNumberFormat="1" applyFont="1" applyFill="1" applyBorder="1"/>
    <xf numFmtId="168" fontId="2" fillId="0" borderId="17" xfId="0" applyNumberFormat="1" applyFont="1" applyFill="1" applyBorder="1"/>
    <xf numFmtId="168" fontId="2" fillId="0" borderId="27" xfId="0" applyNumberFormat="1" applyFont="1" applyFill="1" applyBorder="1"/>
    <xf numFmtId="168" fontId="2" fillId="0" borderId="19" xfId="0" applyNumberFormat="1" applyFont="1" applyFill="1" applyBorder="1"/>
    <xf numFmtId="168" fontId="5" fillId="0" borderId="0" xfId="0" applyNumberFormat="1" applyFont="1" applyFill="1" applyBorder="1"/>
    <xf numFmtId="168" fontId="5" fillId="0" borderId="0" xfId="0" applyNumberFormat="1" applyFont="1" applyBorder="1"/>
    <xf numFmtId="168" fontId="5" fillId="0" borderId="0" xfId="0" applyNumberFormat="1" applyFont="1" applyBorder="1" applyAlignment="1">
      <alignment horizontal="right"/>
    </xf>
    <xf numFmtId="168" fontId="2" fillId="0" borderId="0" xfId="0" applyNumberFormat="1" applyFont="1" applyFill="1" applyBorder="1"/>
    <xf numFmtId="168" fontId="5" fillId="4" borderId="0" xfId="0" applyNumberFormat="1" applyFont="1" applyFill="1" applyBorder="1"/>
    <xf numFmtId="168" fontId="2" fillId="0" borderId="2" xfId="0" applyNumberFormat="1" applyFont="1" applyBorder="1"/>
    <xf numFmtId="168" fontId="2" fillId="3" borderId="27" xfId="0" applyNumberFormat="1" applyFont="1" applyFill="1" applyBorder="1"/>
    <xf numFmtId="0" fontId="4" fillId="0" borderId="27" xfId="0" applyFont="1" applyBorder="1"/>
    <xf numFmtId="168" fontId="3" fillId="0" borderId="0" xfId="0" applyNumberFormat="1" applyFont="1"/>
    <xf numFmtId="168" fontId="3" fillId="0" borderId="10" xfId="0" applyNumberFormat="1" applyFont="1" applyBorder="1"/>
    <xf numFmtId="168" fontId="4" fillId="0" borderId="0" xfId="0" applyNumberFormat="1" applyFont="1" applyBorder="1"/>
    <xf numFmtId="168" fontId="4" fillId="4" borderId="27" xfId="0" applyNumberFormat="1" applyFont="1" applyFill="1" applyBorder="1" applyAlignment="1">
      <alignment horizontal="center" vertical="center"/>
    </xf>
    <xf numFmtId="168" fontId="3" fillId="0" borderId="27" xfId="0" applyNumberFormat="1" applyFont="1" applyBorder="1"/>
    <xf numFmtId="168" fontId="3" fillId="0" borderId="27" xfId="0" applyNumberFormat="1" applyFont="1" applyFill="1" applyBorder="1"/>
    <xf numFmtId="168" fontId="4" fillId="0" borderId="27" xfId="0" applyNumberFormat="1" applyFont="1" applyBorder="1"/>
    <xf numFmtId="168" fontId="4" fillId="0" borderId="27" xfId="0" applyNumberFormat="1" applyFont="1" applyFill="1" applyBorder="1" applyAlignment="1">
      <alignment vertical="center"/>
    </xf>
    <xf numFmtId="168" fontId="3" fillId="0" borderId="27" xfId="0" applyNumberFormat="1" applyFont="1" applyFill="1" applyBorder="1" applyAlignment="1">
      <alignment vertical="center"/>
    </xf>
    <xf numFmtId="168" fontId="4" fillId="0" borderId="27" xfId="0" applyNumberFormat="1" applyFont="1" applyFill="1" applyBorder="1"/>
    <xf numFmtId="168" fontId="2" fillId="0" borderId="0" xfId="0" applyNumberFormat="1" applyFont="1" applyBorder="1"/>
    <xf numFmtId="168" fontId="2" fillId="0" borderId="0" xfId="0" applyNumberFormat="1" applyFont="1" applyBorder="1" applyAlignment="1">
      <alignment horizontal="centerContinuous"/>
    </xf>
    <xf numFmtId="168" fontId="5" fillId="0" borderId="0" xfId="0" applyNumberFormat="1" applyFont="1" applyAlignment="1">
      <alignment horizontal="right"/>
    </xf>
    <xf numFmtId="168" fontId="5" fillId="0" borderId="33" xfId="0" applyNumberFormat="1" applyFont="1" applyBorder="1" applyAlignment="1">
      <alignment horizontal="center" vertical="center"/>
    </xf>
    <xf numFmtId="168" fontId="5" fillId="0" borderId="10" xfId="0" applyNumberFormat="1" applyFont="1" applyBorder="1" applyAlignment="1">
      <alignment horizontal="center" vertical="center"/>
    </xf>
    <xf numFmtId="168" fontId="2" fillId="2" borderId="0" xfId="0" applyNumberFormat="1" applyFont="1" applyFill="1" applyBorder="1" applyAlignment="1">
      <alignment horizontal="right"/>
    </xf>
    <xf numFmtId="168" fontId="2" fillId="2" borderId="11" xfId="0" applyNumberFormat="1" applyFont="1" applyFill="1" applyBorder="1"/>
    <xf numFmtId="168" fontId="2" fillId="0" borderId="17" xfId="0" applyNumberFormat="1" applyFont="1" applyBorder="1"/>
    <xf numFmtId="168" fontId="2" fillId="0" borderId="10" xfId="0" applyNumberFormat="1" applyFont="1" applyBorder="1" applyAlignment="1">
      <alignment horizontal="right" vertical="center"/>
    </xf>
    <xf numFmtId="168" fontId="2" fillId="0" borderId="27" xfId="0" applyNumberFormat="1" applyFont="1" applyBorder="1"/>
    <xf numFmtId="168" fontId="5" fillId="0" borderId="34" xfId="0" applyNumberFormat="1" applyFont="1" applyBorder="1"/>
    <xf numFmtId="168" fontId="5" fillId="3" borderId="0" xfId="0" applyNumberFormat="1" applyFont="1" applyFill="1" applyBorder="1"/>
    <xf numFmtId="168" fontId="5" fillId="0" borderId="11" xfId="0" applyNumberFormat="1" applyFont="1" applyBorder="1"/>
    <xf numFmtId="168" fontId="5" fillId="0" borderId="10" xfId="0" applyNumberFormat="1" applyFont="1" applyBorder="1" applyAlignment="1">
      <alignment horizontal="right"/>
    </xf>
    <xf numFmtId="168" fontId="5" fillId="0" borderId="9" xfId="0" applyNumberFormat="1" applyFont="1" applyBorder="1" applyAlignment="1">
      <alignment horizontal="right"/>
    </xf>
    <xf numFmtId="168" fontId="2" fillId="0" borderId="0" xfId="0" applyNumberFormat="1" applyFont="1" applyFill="1"/>
    <xf numFmtId="168" fontId="5" fillId="4" borderId="11" xfId="0" applyNumberFormat="1" applyFont="1" applyFill="1" applyBorder="1"/>
    <xf numFmtId="168" fontId="5" fillId="0" borderId="35" xfId="0" applyNumberFormat="1" applyFont="1" applyBorder="1"/>
    <xf numFmtId="168" fontId="2" fillId="0" borderId="2" xfId="0" applyNumberFormat="1" applyFont="1" applyBorder="1" applyAlignment="1">
      <alignment horizontal="right"/>
    </xf>
    <xf numFmtId="168" fontId="2" fillId="0" borderId="32" xfId="0" applyNumberFormat="1" applyFont="1" applyBorder="1"/>
    <xf numFmtId="0" fontId="4" fillId="0" borderId="27" xfId="0" applyFont="1" applyFill="1" applyBorder="1" applyAlignment="1">
      <alignment vertical="center"/>
    </xf>
    <xf numFmtId="0" fontId="4" fillId="5" borderId="27" xfId="0" applyFont="1" applyFill="1" applyBorder="1" applyAlignment="1">
      <alignment horizontal="center" vertical="center"/>
    </xf>
    <xf numFmtId="0" fontId="7" fillId="5" borderId="27" xfId="0" applyFont="1" applyFill="1" applyBorder="1" applyAlignment="1">
      <alignment vertical="center"/>
    </xf>
    <xf numFmtId="168" fontId="4" fillId="5" borderId="27" xfId="0" applyNumberFormat="1" applyFont="1" applyFill="1" applyBorder="1" applyAlignment="1">
      <alignment vertical="center"/>
    </xf>
    <xf numFmtId="0" fontId="4" fillId="0" borderId="27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3" fillId="0" borderId="27" xfId="0" applyFont="1" applyFill="1" applyBorder="1" applyAlignment="1">
      <alignment horizontal="center"/>
    </xf>
    <xf numFmtId="168" fontId="3" fillId="0" borderId="0" xfId="0" applyNumberFormat="1" applyFont="1" applyFill="1" applyBorder="1"/>
    <xf numFmtId="4" fontId="10" fillId="0" borderId="27" xfId="0" applyNumberFormat="1" applyFont="1" applyFill="1" applyBorder="1"/>
    <xf numFmtId="3" fontId="2" fillId="0" borderId="0" xfId="0" applyNumberFormat="1" applyFont="1"/>
    <xf numFmtId="3" fontId="2" fillId="0" borderId="0" xfId="0" applyNumberFormat="1" applyFont="1" applyBorder="1"/>
    <xf numFmtId="3" fontId="2" fillId="0" borderId="0" xfId="0" applyNumberFormat="1" applyFont="1" applyAlignment="1">
      <alignment horizontal="left"/>
    </xf>
    <xf numFmtId="168" fontId="2" fillId="0" borderId="11" xfId="0" applyNumberFormat="1" applyFont="1" applyBorder="1"/>
    <xf numFmtId="168" fontId="5" fillId="0" borderId="36" xfId="0" applyNumberFormat="1" applyFont="1" applyFill="1" applyBorder="1"/>
    <xf numFmtId="168" fontId="2" fillId="0" borderId="0" xfId="0" applyNumberFormat="1" applyFont="1" applyBorder="1" applyAlignment="1">
      <alignment horizontal="right"/>
    </xf>
    <xf numFmtId="168" fontId="5" fillId="0" borderId="37" xfId="0" applyNumberFormat="1" applyFont="1" applyFill="1" applyBorder="1"/>
    <xf numFmtId="168" fontId="5" fillId="3" borderId="11" xfId="0" applyNumberFormat="1" applyFont="1" applyFill="1" applyBorder="1"/>
    <xf numFmtId="168" fontId="5" fillId="0" borderId="11" xfId="0" applyNumberFormat="1" applyFont="1" applyFill="1" applyBorder="1"/>
    <xf numFmtId="168" fontId="2" fillId="0" borderId="0" xfId="0" applyNumberFormat="1" applyFont="1" applyBorder="1" applyAlignment="1">
      <alignment horizontal="center" vertical="center"/>
    </xf>
    <xf numFmtId="168" fontId="2" fillId="0" borderId="11" xfId="0" applyNumberFormat="1" applyFont="1" applyBorder="1" applyAlignment="1">
      <alignment horizontal="center" vertical="center"/>
    </xf>
    <xf numFmtId="168" fontId="2" fillId="0" borderId="0" xfId="0" applyNumberFormat="1" applyFont="1" applyBorder="1" applyAlignment="1">
      <alignment horizontal="right" vertical="center"/>
    </xf>
    <xf numFmtId="168" fontId="2" fillId="0" borderId="11" xfId="0" applyNumberFormat="1" applyFont="1" applyBorder="1" applyAlignment="1">
      <alignment horizontal="right" vertical="center"/>
    </xf>
    <xf numFmtId="168" fontId="5" fillId="3" borderId="37" xfId="0" applyNumberFormat="1" applyFont="1" applyFill="1" applyBorder="1"/>
    <xf numFmtId="168" fontId="2" fillId="0" borderId="0" xfId="0" applyNumberFormat="1" applyFont="1" applyFill="1" applyBorder="1" applyAlignment="1">
      <alignment horizontal="right"/>
    </xf>
    <xf numFmtId="168" fontId="2" fillId="0" borderId="11" xfId="0" applyNumberFormat="1" applyFont="1" applyFill="1" applyBorder="1"/>
    <xf numFmtId="168" fontId="2" fillId="0" borderId="37" xfId="0" applyNumberFormat="1" applyFont="1" applyBorder="1"/>
    <xf numFmtId="168" fontId="5" fillId="0" borderId="8" xfId="0" applyNumberFormat="1" applyFont="1" applyBorder="1" applyAlignment="1">
      <alignment horizontal="center" vertical="center"/>
    </xf>
    <xf numFmtId="168" fontId="5" fillId="0" borderId="0" xfId="0" applyNumberFormat="1" applyFont="1" applyFill="1" applyBorder="1" applyAlignment="1">
      <alignment horizontal="center" vertical="center"/>
    </xf>
    <xf numFmtId="168" fontId="2" fillId="0" borderId="0" xfId="0" applyNumberFormat="1" applyFont="1" applyFill="1" applyBorder="1" applyAlignment="1">
      <alignment horizontal="center" vertical="center"/>
    </xf>
    <xf numFmtId="168" fontId="2" fillId="0" borderId="38" xfId="0" applyNumberFormat="1" applyFont="1" applyBorder="1"/>
    <xf numFmtId="168" fontId="2" fillId="0" borderId="27" xfId="0" applyNumberFormat="1" applyFont="1" applyFill="1" applyBorder="1" applyAlignment="1">
      <alignment horizontal="center"/>
    </xf>
    <xf numFmtId="168" fontId="2" fillId="0" borderId="27" xfId="0" applyNumberFormat="1" applyFont="1" applyFill="1" applyBorder="1" applyAlignment="1"/>
    <xf numFmtId="168" fontId="2" fillId="0" borderId="30" xfId="0" applyNumberFormat="1" applyFont="1" applyFill="1" applyBorder="1" applyAlignment="1">
      <alignment horizontal="right"/>
    </xf>
    <xf numFmtId="168" fontId="2" fillId="0" borderId="27" xfId="0" applyNumberFormat="1" applyFont="1" applyFill="1" applyBorder="1" applyAlignment="1">
      <alignment horizontal="right"/>
    </xf>
    <xf numFmtId="168" fontId="2" fillId="0" borderId="30" xfId="0" applyNumberFormat="1" applyFont="1" applyFill="1" applyBorder="1" applyAlignment="1"/>
    <xf numFmtId="168" fontId="21" fillId="9" borderId="27" xfId="0" applyNumberFormat="1" applyFont="1" applyFill="1" applyBorder="1"/>
    <xf numFmtId="0" fontId="11" fillId="10" borderId="9" xfId="0" applyFont="1" applyFill="1" applyBorder="1"/>
    <xf numFmtId="0" fontId="5" fillId="10" borderId="9" xfId="0" applyFont="1" applyFill="1" applyBorder="1"/>
    <xf numFmtId="0" fontId="5" fillId="10" borderId="10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left"/>
    </xf>
    <xf numFmtId="0" fontId="5" fillId="10" borderId="9" xfId="0" applyFont="1" applyFill="1" applyBorder="1" applyAlignment="1">
      <alignment horizontal="left"/>
    </xf>
    <xf numFmtId="167" fontId="10" fillId="10" borderId="9" xfId="0" applyNumberFormat="1" applyFont="1" applyFill="1" applyBorder="1"/>
    <xf numFmtId="168" fontId="2" fillId="10" borderId="0" xfId="0" applyNumberFormat="1" applyFont="1" applyFill="1" applyBorder="1"/>
    <xf numFmtId="168" fontId="2" fillId="10" borderId="0" xfId="0" applyNumberFormat="1" applyFont="1" applyFill="1"/>
    <xf numFmtId="168" fontId="2" fillId="10" borderId="11" xfId="0" applyNumberFormat="1" applyFont="1" applyFill="1" applyBorder="1"/>
    <xf numFmtId="0" fontId="5" fillId="9" borderId="9" xfId="0" applyFont="1" applyFill="1" applyBorder="1" applyAlignment="1">
      <alignment horizontal="left"/>
    </xf>
    <xf numFmtId="0" fontId="5" fillId="9" borderId="9" xfId="0" applyFont="1" applyFill="1" applyBorder="1"/>
    <xf numFmtId="0" fontId="5" fillId="9" borderId="10" xfId="0" applyFont="1" applyFill="1" applyBorder="1" applyAlignment="1">
      <alignment horizontal="center"/>
    </xf>
    <xf numFmtId="0" fontId="5" fillId="9" borderId="0" xfId="0" applyFont="1" applyFill="1" applyBorder="1" applyAlignment="1">
      <alignment horizontal="left"/>
    </xf>
    <xf numFmtId="0" fontId="5" fillId="9" borderId="10" xfId="0" applyFont="1" applyFill="1" applyBorder="1" applyAlignment="1">
      <alignment horizontal="left"/>
    </xf>
    <xf numFmtId="167" fontId="10" fillId="9" borderId="10" xfId="0" applyNumberFormat="1" applyFont="1" applyFill="1" applyBorder="1"/>
    <xf numFmtId="167" fontId="13" fillId="9" borderId="0" xfId="0" applyNumberFormat="1" applyFont="1" applyFill="1" applyAlignment="1">
      <alignment horizontal="center"/>
    </xf>
    <xf numFmtId="0" fontId="5" fillId="9" borderId="0" xfId="0" applyFont="1" applyFill="1"/>
    <xf numFmtId="0" fontId="5" fillId="0" borderId="27" xfId="0" applyFont="1" applyBorder="1" applyAlignment="1">
      <alignment horizontal="left"/>
    </xf>
    <xf numFmtId="0" fontId="18" fillId="0" borderId="27" xfId="0" applyFont="1" applyBorder="1"/>
    <xf numFmtId="0" fontId="5" fillId="0" borderId="27" xfId="0" applyFont="1" applyBorder="1" applyAlignment="1">
      <alignment horizontal="center"/>
    </xf>
    <xf numFmtId="0" fontId="2" fillId="0" borderId="26" xfId="0" applyFont="1" applyBorder="1" applyAlignment="1">
      <alignment vertical="center"/>
    </xf>
    <xf numFmtId="168" fontId="2" fillId="9" borderId="27" xfId="0" applyNumberFormat="1" applyFont="1" applyFill="1" applyBorder="1"/>
    <xf numFmtId="168" fontId="2" fillId="0" borderId="27" xfId="1" applyNumberFormat="1" applyFont="1" applyFill="1" applyBorder="1" applyAlignment="1">
      <alignment horizontal="right" vertical="center"/>
    </xf>
    <xf numFmtId="168" fontId="2" fillId="0" borderId="27" xfId="1" applyNumberFormat="1" applyFont="1" applyFill="1" applyBorder="1" applyAlignment="1">
      <alignment horizontal="center" vertical="center"/>
    </xf>
    <xf numFmtId="168" fontId="2" fillId="0" borderId="39" xfId="0" applyNumberFormat="1" applyFont="1" applyFill="1" applyBorder="1" applyAlignment="1"/>
    <xf numFmtId="168" fontId="2" fillId="0" borderId="31" xfId="0" applyNumberFormat="1" applyFont="1" applyFill="1" applyBorder="1" applyAlignment="1"/>
    <xf numFmtId="168" fontId="5" fillId="0" borderId="10" xfId="0" applyNumberFormat="1" applyFont="1" applyBorder="1"/>
    <xf numFmtId="168" fontId="2" fillId="0" borderId="39" xfId="0" applyNumberFormat="1" applyFont="1" applyFill="1" applyBorder="1" applyAlignment="1">
      <alignment horizontal="right"/>
    </xf>
    <xf numFmtId="4" fontId="5" fillId="0" borderId="0" xfId="0" applyNumberFormat="1" applyFont="1" applyFill="1"/>
    <xf numFmtId="168" fontId="0" fillId="0" borderId="0" xfId="0" applyNumberFormat="1"/>
    <xf numFmtId="169" fontId="3" fillId="0" borderId="0" xfId="2" applyNumberFormat="1" applyFont="1" applyFill="1" applyBorder="1"/>
    <xf numFmtId="169" fontId="4" fillId="0" borderId="0" xfId="2" applyNumberFormat="1" applyFont="1" applyFill="1" applyBorder="1" applyAlignment="1">
      <alignment horizontal="center"/>
    </xf>
    <xf numFmtId="169" fontId="4" fillId="0" borderId="0" xfId="2" applyNumberFormat="1" applyFont="1" applyFill="1" applyBorder="1" applyAlignment="1">
      <alignment vertical="center"/>
    </xf>
    <xf numFmtId="169" fontId="3" fillId="0" borderId="0" xfId="2" applyNumberFormat="1" applyFont="1" applyFill="1" applyBorder="1" applyAlignment="1">
      <alignment vertical="center"/>
    </xf>
    <xf numFmtId="168" fontId="9" fillId="0" borderId="27" xfId="0" applyNumberFormat="1" applyFont="1" applyBorder="1"/>
    <xf numFmtId="168" fontId="2" fillId="0" borderId="0" xfId="0" applyNumberFormat="1" applyFont="1" applyAlignment="1">
      <alignment horizontal="center"/>
    </xf>
    <xf numFmtId="168" fontId="5" fillId="0" borderId="0" xfId="0" applyNumberFormat="1" applyFont="1" applyAlignment="1">
      <alignment horizontal="left"/>
    </xf>
    <xf numFmtId="168" fontId="10" fillId="0" borderId="0" xfId="0" applyNumberFormat="1" applyFont="1" applyBorder="1" applyAlignment="1">
      <alignment horizontal="centerContinuous"/>
    </xf>
    <xf numFmtId="168" fontId="2" fillId="0" borderId="0" xfId="0" applyNumberFormat="1" applyFont="1" applyBorder="1" applyAlignment="1">
      <alignment horizontal="left"/>
    </xf>
    <xf numFmtId="168" fontId="10" fillId="0" borderId="0" xfId="0" applyNumberFormat="1" applyFont="1" applyAlignment="1"/>
    <xf numFmtId="168" fontId="5" fillId="0" borderId="0" xfId="0" applyNumberFormat="1" applyFont="1" applyAlignment="1"/>
    <xf numFmtId="168" fontId="10" fillId="0" borderId="22" xfId="0" applyNumberFormat="1" applyFont="1" applyBorder="1" applyAlignment="1">
      <alignment horizontal="center" vertical="center"/>
    </xf>
    <xf numFmtId="168" fontId="5" fillId="0" borderId="15" xfId="0" applyNumberFormat="1" applyFont="1" applyBorder="1" applyAlignment="1">
      <alignment horizontal="center" vertical="center"/>
    </xf>
    <xf numFmtId="168" fontId="5" fillId="0" borderId="16" xfId="0" applyNumberFormat="1" applyFont="1" applyBorder="1" applyAlignment="1">
      <alignment horizontal="center" vertical="center"/>
    </xf>
    <xf numFmtId="168" fontId="2" fillId="0" borderId="17" xfId="0" applyNumberFormat="1" applyFont="1" applyBorder="1" applyAlignment="1">
      <alignment horizontal="center"/>
    </xf>
    <xf numFmtId="168" fontId="5" fillId="0" borderId="17" xfId="0" applyNumberFormat="1" applyFont="1" applyBorder="1" applyAlignment="1">
      <alignment horizontal="left"/>
    </xf>
    <xf numFmtId="168" fontId="10" fillId="0" borderId="5" xfId="0" applyNumberFormat="1" applyFont="1" applyBorder="1"/>
    <xf numFmtId="168" fontId="2" fillId="0" borderId="19" xfId="0" applyNumberFormat="1" applyFont="1" applyBorder="1"/>
    <xf numFmtId="168" fontId="2" fillId="0" borderId="19" xfId="0" applyNumberFormat="1" applyFont="1" applyBorder="1" applyAlignment="1">
      <alignment horizontal="right"/>
    </xf>
    <xf numFmtId="168" fontId="2" fillId="0" borderId="20" xfId="0" applyNumberFormat="1" applyFont="1" applyBorder="1"/>
    <xf numFmtId="168" fontId="11" fillId="2" borderId="9" xfId="0" applyNumberFormat="1" applyFont="1" applyFill="1" applyBorder="1"/>
    <xf numFmtId="168" fontId="2" fillId="2" borderId="9" xfId="0" applyNumberFormat="1" applyFont="1" applyFill="1" applyBorder="1"/>
    <xf numFmtId="168" fontId="2" fillId="2" borderId="10" xfId="0" applyNumberFormat="1" applyFont="1" applyFill="1" applyBorder="1" applyAlignment="1">
      <alignment horizontal="center"/>
    </xf>
    <xf numFmtId="168" fontId="5" fillId="2" borderId="10" xfId="0" applyNumberFormat="1" applyFont="1" applyFill="1" applyBorder="1" applyAlignment="1">
      <alignment horizontal="left"/>
    </xf>
    <xf numFmtId="168" fontId="10" fillId="2" borderId="9" xfId="0" applyNumberFormat="1" applyFont="1" applyFill="1" applyBorder="1"/>
    <xf numFmtId="168" fontId="2" fillId="0" borderId="27" xfId="0" applyNumberFormat="1" applyFont="1" applyBorder="1" applyAlignment="1">
      <alignment horizontal="left"/>
    </xf>
    <xf numFmtId="168" fontId="2" fillId="0" borderId="17" xfId="0" applyNumberFormat="1" applyFont="1" applyBorder="1" applyAlignment="1">
      <alignment horizontal="left"/>
    </xf>
    <xf numFmtId="168" fontId="10" fillId="0" borderId="17" xfId="0" applyNumberFormat="1" applyFont="1" applyFill="1" applyBorder="1"/>
    <xf numFmtId="168" fontId="13" fillId="0" borderId="0" xfId="0" applyNumberFormat="1" applyFont="1" applyFill="1" applyAlignment="1">
      <alignment horizontal="center"/>
    </xf>
    <xf numFmtId="168" fontId="5" fillId="0" borderId="9" xfId="0" applyNumberFormat="1" applyFont="1" applyBorder="1"/>
    <xf numFmtId="168" fontId="5" fillId="0" borderId="10" xfId="0" applyNumberFormat="1" applyFont="1" applyBorder="1" applyAlignment="1">
      <alignment horizontal="center"/>
    </xf>
    <xf numFmtId="168" fontId="5" fillId="0" borderId="9" xfId="0" applyNumberFormat="1" applyFont="1" applyBorder="1" applyAlignment="1">
      <alignment horizontal="left"/>
    </xf>
    <xf numFmtId="168" fontId="10" fillId="0" borderId="9" xfId="0" applyNumberFormat="1" applyFont="1" applyBorder="1"/>
    <xf numFmtId="168" fontId="2" fillId="0" borderId="9" xfId="0" applyNumberFormat="1" applyFont="1" applyFill="1" applyBorder="1"/>
    <xf numFmtId="168" fontId="2" fillId="0" borderId="10" xfId="0" applyNumberFormat="1" applyFont="1" applyFill="1" applyBorder="1" applyAlignment="1">
      <alignment horizontal="center"/>
    </xf>
    <xf numFmtId="168" fontId="10" fillId="0" borderId="9" xfId="0" applyNumberFormat="1" applyFont="1" applyFill="1" applyBorder="1"/>
    <xf numFmtId="168" fontId="2" fillId="0" borderId="27" xfId="0" applyNumberFormat="1" applyFont="1" applyBorder="1" applyAlignment="1">
      <alignment horizontal="center"/>
    </xf>
    <xf numFmtId="168" fontId="10" fillId="0" borderId="27" xfId="0" applyNumberFormat="1" applyFont="1" applyFill="1" applyBorder="1"/>
    <xf numFmtId="168" fontId="5" fillId="0" borderId="13" xfId="0" applyNumberFormat="1" applyFont="1" applyBorder="1" applyAlignment="1">
      <alignment vertical="center"/>
    </xf>
    <xf numFmtId="168" fontId="5" fillId="0" borderId="9" xfId="0" applyNumberFormat="1" applyFont="1" applyBorder="1" applyAlignment="1">
      <alignment horizontal="center" vertical="center"/>
    </xf>
    <xf numFmtId="168" fontId="5" fillId="0" borderId="9" xfId="0" applyNumberFormat="1" applyFont="1" applyBorder="1" applyAlignment="1">
      <alignment horizontal="left" vertical="center"/>
    </xf>
    <xf numFmtId="168" fontId="10" fillId="0" borderId="9" xfId="0" applyNumberFormat="1" applyFont="1" applyBorder="1" applyAlignment="1">
      <alignment horizontal="center" vertical="center"/>
    </xf>
    <xf numFmtId="168" fontId="8" fillId="0" borderId="0" xfId="0" applyNumberFormat="1" applyFont="1" applyAlignment="1">
      <alignment horizontal="center"/>
    </xf>
    <xf numFmtId="168" fontId="11" fillId="0" borderId="9" xfId="0" applyNumberFormat="1" applyFont="1" applyFill="1" applyBorder="1"/>
    <xf numFmtId="168" fontId="2" fillId="0" borderId="10" xfId="0" applyNumberFormat="1" applyFont="1" applyBorder="1" applyAlignment="1">
      <alignment horizontal="left"/>
    </xf>
    <xf numFmtId="168" fontId="2" fillId="0" borderId="9" xfId="0" applyNumberFormat="1" applyFont="1" applyBorder="1"/>
    <xf numFmtId="168" fontId="2" fillId="0" borderId="10" xfId="0" applyNumberFormat="1" applyFont="1" applyBorder="1" applyAlignment="1">
      <alignment horizontal="center"/>
    </xf>
    <xf numFmtId="168" fontId="2" fillId="0" borderId="9" xfId="0" applyNumberFormat="1" applyFont="1" applyBorder="1" applyAlignment="1">
      <alignment horizontal="left"/>
    </xf>
    <xf numFmtId="168" fontId="5" fillId="0" borderId="9" xfId="0" applyNumberFormat="1" applyFont="1" applyFill="1" applyBorder="1" applyAlignment="1">
      <alignment horizontal="left"/>
    </xf>
    <xf numFmtId="168" fontId="5" fillId="0" borderId="9" xfId="0" applyNumberFormat="1" applyFont="1" applyFill="1" applyBorder="1"/>
    <xf numFmtId="168" fontId="5" fillId="0" borderId="10" xfId="0" applyNumberFormat="1" applyFont="1" applyFill="1" applyBorder="1" applyAlignment="1">
      <alignment horizontal="center"/>
    </xf>
    <xf numFmtId="168" fontId="5" fillId="0" borderId="10" xfId="0" applyNumberFormat="1" applyFont="1" applyFill="1" applyBorder="1" applyAlignment="1">
      <alignment horizontal="left"/>
    </xf>
    <xf numFmtId="168" fontId="5" fillId="0" borderId="10" xfId="0" applyNumberFormat="1" applyFont="1" applyBorder="1" applyAlignment="1">
      <alignment horizontal="left"/>
    </xf>
    <xf numFmtId="168" fontId="5" fillId="0" borderId="21" xfId="0" applyNumberFormat="1" applyFont="1" applyBorder="1"/>
    <xf numFmtId="168" fontId="2" fillId="0" borderId="21" xfId="0" applyNumberFormat="1" applyFont="1" applyBorder="1"/>
    <xf numFmtId="168" fontId="2" fillId="0" borderId="21" xfId="0" applyNumberFormat="1" applyFont="1" applyBorder="1" applyAlignment="1">
      <alignment horizontal="center"/>
    </xf>
    <xf numFmtId="168" fontId="5" fillId="0" borderId="21" xfId="0" applyNumberFormat="1" applyFont="1" applyBorder="1" applyAlignment="1">
      <alignment horizontal="left"/>
    </xf>
    <xf numFmtId="168" fontId="10" fillId="0" borderId="21" xfId="0" applyNumberFormat="1" applyFont="1" applyBorder="1"/>
    <xf numFmtId="168" fontId="13" fillId="0" borderId="2" xfId="0" applyNumberFormat="1" applyFont="1" applyBorder="1"/>
    <xf numFmtId="168" fontId="2" fillId="0" borderId="3" xfId="0" applyNumberFormat="1" applyFont="1" applyBorder="1"/>
    <xf numFmtId="168" fontId="10" fillId="0" borderId="0" xfId="0" applyNumberFormat="1" applyFont="1"/>
    <xf numFmtId="168" fontId="2" fillId="0" borderId="0" xfId="0" applyNumberFormat="1" applyFont="1" applyAlignment="1">
      <alignment horizontal="left"/>
    </xf>
    <xf numFmtId="168" fontId="5" fillId="0" borderId="5" xfId="0" applyNumberFormat="1" applyFont="1" applyBorder="1" applyAlignment="1">
      <alignment horizontal="center" vertical="center"/>
    </xf>
    <xf numFmtId="168" fontId="5" fillId="0" borderId="5" xfId="0" applyNumberFormat="1" applyFont="1" applyBorder="1" applyAlignment="1">
      <alignment horizontal="left" vertical="center"/>
    </xf>
    <xf numFmtId="168" fontId="10" fillId="0" borderId="5" xfId="0" applyNumberFormat="1" applyFont="1" applyBorder="1" applyAlignment="1">
      <alignment horizontal="center" vertical="center"/>
    </xf>
    <xf numFmtId="168" fontId="8" fillId="0" borderId="0" xfId="0" applyNumberFormat="1" applyFont="1"/>
    <xf numFmtId="168" fontId="5" fillId="0" borderId="13" xfId="0" applyNumberFormat="1" applyFont="1" applyFill="1" applyBorder="1"/>
    <xf numFmtId="168" fontId="5" fillId="0" borderId="9" xfId="0" applyNumberFormat="1" applyFont="1" applyFill="1" applyBorder="1" applyAlignment="1">
      <alignment horizontal="center"/>
    </xf>
    <xf numFmtId="168" fontId="2" fillId="0" borderId="0" xfId="0" applyNumberFormat="1" applyFont="1" applyFill="1" applyAlignment="1">
      <alignment horizontal="center"/>
    </xf>
    <xf numFmtId="168" fontId="5" fillId="0" borderId="13" xfId="0" applyNumberFormat="1" applyFont="1" applyBorder="1"/>
    <xf numFmtId="168" fontId="5" fillId="0" borderId="9" xfId="0" applyNumberFormat="1" applyFont="1" applyBorder="1" applyAlignment="1">
      <alignment horizontal="center"/>
    </xf>
    <xf numFmtId="168" fontId="5" fillId="0" borderId="1" xfId="0" applyNumberFormat="1" applyFont="1" applyBorder="1"/>
    <xf numFmtId="168" fontId="2" fillId="0" borderId="1" xfId="0" applyNumberFormat="1" applyFont="1" applyBorder="1"/>
    <xf numFmtId="168" fontId="5" fillId="0" borderId="21" xfId="0" applyNumberFormat="1" applyFont="1" applyBorder="1" applyAlignment="1">
      <alignment horizontal="center"/>
    </xf>
    <xf numFmtId="168" fontId="5" fillId="0" borderId="2" xfId="0" applyNumberFormat="1" applyFont="1" applyBorder="1"/>
    <xf numFmtId="0" fontId="2" fillId="0" borderId="0" xfId="0" applyNumberFormat="1" applyFont="1" applyAlignment="1">
      <alignment horizontal="left"/>
    </xf>
    <xf numFmtId="0" fontId="5" fillId="0" borderId="14" xfId="0" applyNumberFormat="1" applyFont="1" applyBorder="1" applyAlignment="1">
      <alignment horizontal="center" vertical="center"/>
    </xf>
    <xf numFmtId="0" fontId="5" fillId="0" borderId="5" xfId="0" applyNumberFormat="1" applyFont="1" applyBorder="1" applyAlignment="1">
      <alignment horizontal="left" vertical="center"/>
    </xf>
    <xf numFmtId="0" fontId="5" fillId="2" borderId="10" xfId="0" applyNumberFormat="1" applyFont="1" applyFill="1" applyBorder="1" applyAlignment="1">
      <alignment horizontal="left"/>
    </xf>
    <xf numFmtId="0" fontId="2" fillId="0" borderId="0" xfId="0" applyNumberFormat="1" applyFont="1" applyBorder="1" applyAlignment="1">
      <alignment horizontal="left"/>
    </xf>
    <xf numFmtId="0" fontId="2" fillId="0" borderId="27" xfId="0" applyNumberFormat="1" applyFont="1" applyBorder="1" applyAlignment="1">
      <alignment horizontal="left"/>
    </xf>
    <xf numFmtId="0" fontId="5" fillId="0" borderId="9" xfId="0" applyNumberFormat="1" applyFont="1" applyBorder="1" applyAlignment="1">
      <alignment horizontal="left" vertical="center"/>
    </xf>
    <xf numFmtId="0" fontId="5" fillId="0" borderId="0" xfId="0" applyNumberFormat="1" applyFont="1" applyBorder="1" applyAlignment="1">
      <alignment horizontal="left"/>
    </xf>
    <xf numFmtId="0" fontId="5" fillId="0" borderId="9" xfId="0" applyNumberFormat="1" applyFont="1" applyFill="1" applyBorder="1" applyAlignment="1">
      <alignment horizontal="left"/>
    </xf>
    <xf numFmtId="0" fontId="5" fillId="0" borderId="9" xfId="0" applyNumberFormat="1" applyFont="1" applyBorder="1" applyAlignment="1">
      <alignment horizontal="left"/>
    </xf>
    <xf numFmtId="0" fontId="5" fillId="0" borderId="21" xfId="0" applyNumberFormat="1" applyFont="1" applyBorder="1" applyAlignment="1">
      <alignment horizontal="left"/>
    </xf>
    <xf numFmtId="0" fontId="5" fillId="2" borderId="0" xfId="0" applyNumberFormat="1" applyFont="1" applyFill="1" applyBorder="1" applyAlignment="1">
      <alignment horizontal="left"/>
    </xf>
    <xf numFmtId="0" fontId="5" fillId="0" borderId="0" xfId="0" applyNumberFormat="1" applyFont="1" applyAlignment="1">
      <alignment horizontal="left"/>
    </xf>
    <xf numFmtId="0" fontId="5" fillId="0" borderId="17" xfId="0" applyNumberFormat="1" applyFont="1" applyBorder="1" applyAlignment="1">
      <alignment horizontal="left"/>
    </xf>
    <xf numFmtId="0" fontId="5" fillId="0" borderId="0" xfId="0" applyNumberFormat="1" applyFont="1" applyFill="1" applyBorder="1" applyAlignment="1">
      <alignment horizontal="left"/>
    </xf>
    <xf numFmtId="168" fontId="5" fillId="0" borderId="28" xfId="0" applyNumberFormat="1" applyFont="1" applyBorder="1" applyAlignment="1">
      <alignment horizontal="center" vertical="center"/>
    </xf>
    <xf numFmtId="168" fontId="5" fillId="0" borderId="12" xfId="0" applyNumberFormat="1" applyFont="1" applyBorder="1" applyAlignment="1">
      <alignment vertical="center"/>
    </xf>
    <xf numFmtId="168" fontId="5" fillId="0" borderId="9" xfId="0" applyNumberFormat="1" applyFont="1" applyBorder="1" applyAlignment="1">
      <alignment vertical="center"/>
    </xf>
    <xf numFmtId="168" fontId="5" fillId="0" borderId="13" xfId="0" applyNumberFormat="1" applyFont="1" applyBorder="1" applyAlignment="1">
      <alignment horizontal="left" vertical="center"/>
    </xf>
    <xf numFmtId="168" fontId="5" fillId="0" borderId="13" xfId="0" applyNumberFormat="1" applyFont="1" applyBorder="1" applyAlignment="1">
      <alignment horizontal="center" vertical="center"/>
    </xf>
    <xf numFmtId="168" fontId="5" fillId="0" borderId="11" xfId="0" applyNumberFormat="1" applyFont="1" applyBorder="1" applyAlignment="1">
      <alignment horizontal="center" vertical="center"/>
    </xf>
    <xf numFmtId="168" fontId="10" fillId="0" borderId="27" xfId="0" applyNumberFormat="1" applyFont="1" applyBorder="1"/>
    <xf numFmtId="168" fontId="5" fillId="0" borderId="10" xfId="0" applyNumberFormat="1" applyFont="1" applyBorder="1" applyAlignment="1">
      <alignment vertical="center"/>
    </xf>
    <xf numFmtId="168" fontId="5" fillId="0" borderId="0" xfId="0" applyNumberFormat="1" applyFont="1" applyBorder="1" applyAlignment="1">
      <alignment horizontal="left" vertical="center"/>
    </xf>
    <xf numFmtId="168" fontId="5" fillId="0" borderId="0" xfId="0" applyNumberFormat="1" applyFont="1" applyFill="1"/>
    <xf numFmtId="168" fontId="2" fillId="0" borderId="10" xfId="0" applyNumberFormat="1" applyFont="1" applyFill="1" applyBorder="1" applyAlignment="1">
      <alignment horizontal="left"/>
    </xf>
    <xf numFmtId="168" fontId="10" fillId="0" borderId="17" xfId="0" applyNumberFormat="1" applyFont="1" applyBorder="1"/>
    <xf numFmtId="168" fontId="2" fillId="0" borderId="12" xfId="0" applyNumberFormat="1" applyFont="1" applyBorder="1"/>
    <xf numFmtId="168" fontId="10" fillId="0" borderId="9" xfId="0" applyNumberFormat="1" applyFont="1" applyBorder="1" applyAlignment="1">
      <alignment horizontal="right" vertical="center"/>
    </xf>
    <xf numFmtId="168" fontId="10" fillId="0" borderId="9" xfId="0" applyNumberFormat="1" applyFont="1" applyBorder="1" applyAlignment="1">
      <alignment horizontal="right"/>
    </xf>
    <xf numFmtId="168" fontId="2" fillId="0" borderId="13" xfId="0" applyNumberFormat="1" applyFont="1" applyBorder="1"/>
    <xf numFmtId="168" fontId="2" fillId="0" borderId="24" xfId="0" applyNumberFormat="1" applyFont="1" applyBorder="1"/>
    <xf numFmtId="168" fontId="2" fillId="0" borderId="25" xfId="0" applyNumberFormat="1" applyFont="1" applyBorder="1" applyAlignment="1">
      <alignment horizontal="left"/>
    </xf>
    <xf numFmtId="168" fontId="10" fillId="0" borderId="21" xfId="0" applyNumberFormat="1" applyFont="1" applyBorder="1" applyAlignment="1">
      <alignment horizontal="right"/>
    </xf>
    <xf numFmtId="168" fontId="5" fillId="0" borderId="3" xfId="0" applyNumberFormat="1" applyFont="1" applyBorder="1"/>
    <xf numFmtId="0" fontId="5" fillId="0" borderId="13" xfId="0" applyNumberFormat="1" applyFont="1" applyBorder="1" applyAlignment="1">
      <alignment horizontal="left" vertical="center"/>
    </xf>
    <xf numFmtId="0" fontId="5" fillId="0" borderId="0" xfId="0" applyNumberFormat="1" applyFont="1" applyBorder="1" applyAlignment="1">
      <alignment horizontal="left" vertical="center"/>
    </xf>
    <xf numFmtId="0" fontId="2" fillId="0" borderId="10" xfId="0" applyNumberFormat="1" applyFont="1" applyFill="1" applyBorder="1" applyAlignment="1">
      <alignment horizontal="left"/>
    </xf>
    <xf numFmtId="0" fontId="5" fillId="0" borderId="10" xfId="0" applyNumberFormat="1" applyFont="1" applyFill="1" applyBorder="1" applyAlignment="1">
      <alignment horizontal="left"/>
    </xf>
    <xf numFmtId="0" fontId="2" fillId="0" borderId="9" xfId="0" applyNumberFormat="1" applyFont="1" applyBorder="1" applyAlignment="1">
      <alignment horizontal="left"/>
    </xf>
    <xf numFmtId="0" fontId="2" fillId="0" borderId="25" xfId="0" applyNumberFormat="1" applyFont="1" applyBorder="1" applyAlignment="1">
      <alignment horizontal="left"/>
    </xf>
    <xf numFmtId="0" fontId="2" fillId="0" borderId="0" xfId="0" applyNumberFormat="1" applyFont="1" applyFill="1" applyBorder="1" applyAlignment="1">
      <alignment horizontal="left"/>
    </xf>
    <xf numFmtId="0" fontId="2" fillId="0" borderId="29" xfId="0" applyNumberFormat="1" applyFont="1" applyBorder="1" applyAlignment="1">
      <alignment horizontal="left"/>
    </xf>
    <xf numFmtId="0" fontId="2" fillId="0" borderId="21" xfId="0" applyNumberFormat="1" applyFont="1" applyBorder="1" applyAlignment="1">
      <alignment horizontal="left"/>
    </xf>
    <xf numFmtId="0" fontId="2" fillId="0" borderId="0" xfId="0" applyNumberFormat="1" applyFont="1" applyAlignment="1">
      <alignment horizontal="center"/>
    </xf>
    <xf numFmtId="0" fontId="5" fillId="0" borderId="9" xfId="0" applyNumberFormat="1" applyFont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center"/>
    </xf>
    <xf numFmtId="0" fontId="2" fillId="0" borderId="27" xfId="0" applyNumberFormat="1" applyFont="1" applyBorder="1" applyAlignment="1">
      <alignment horizontal="center"/>
    </xf>
    <xf numFmtId="0" fontId="5" fillId="0" borderId="10" xfId="0" applyNumberFormat="1" applyFont="1" applyBorder="1" applyAlignment="1">
      <alignment horizontal="center" vertical="center"/>
    </xf>
    <xf numFmtId="0" fontId="5" fillId="0" borderId="10" xfId="0" applyNumberFormat="1" applyFont="1" applyFill="1" applyBorder="1" applyAlignment="1">
      <alignment horizontal="center"/>
    </xf>
    <xf numFmtId="0" fontId="5" fillId="0" borderId="10" xfId="0" applyNumberFormat="1" applyFont="1" applyBorder="1" applyAlignment="1">
      <alignment horizontal="center"/>
    </xf>
    <xf numFmtId="0" fontId="2" fillId="0" borderId="10" xfId="0" applyNumberFormat="1" applyFont="1" applyFill="1" applyBorder="1" applyAlignment="1">
      <alignment horizontal="center"/>
    </xf>
    <xf numFmtId="0" fontId="2" fillId="0" borderId="17" xfId="0" applyNumberFormat="1" applyFont="1" applyBorder="1" applyAlignment="1">
      <alignment horizontal="center"/>
    </xf>
    <xf numFmtId="0" fontId="2" fillId="0" borderId="9" xfId="0" applyNumberFormat="1" applyFont="1" applyBorder="1"/>
    <xf numFmtId="0" fontId="2" fillId="0" borderId="21" xfId="0" applyNumberFormat="1" applyFont="1" applyBorder="1" applyAlignment="1">
      <alignment horizontal="center"/>
    </xf>
    <xf numFmtId="0" fontId="2" fillId="0" borderId="0" xfId="0" applyNumberFormat="1" applyFont="1"/>
    <xf numFmtId="3" fontId="2" fillId="0" borderId="0" xfId="0" applyNumberFormat="1" applyFont="1" applyFill="1"/>
    <xf numFmtId="0" fontId="5" fillId="0" borderId="18" xfId="0" applyNumberFormat="1" applyFont="1" applyBorder="1" applyAlignment="1">
      <alignment horizontal="left"/>
    </xf>
    <xf numFmtId="0" fontId="5" fillId="0" borderId="1" xfId="0" applyNumberFormat="1" applyFont="1" applyBorder="1" applyAlignment="1">
      <alignment horizontal="left"/>
    </xf>
    <xf numFmtId="0" fontId="5" fillId="0" borderId="13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17" xfId="0" applyFont="1" applyBorder="1" applyAlignment="1">
      <alignment vertical="center"/>
    </xf>
    <xf numFmtId="168" fontId="2" fillId="0" borderId="17" xfId="0" applyNumberFormat="1" applyFont="1" applyBorder="1" applyAlignment="1">
      <alignment vertical="center"/>
    </xf>
    <xf numFmtId="168" fontId="2" fillId="0" borderId="26" xfId="0" applyNumberFormat="1" applyFont="1" applyBorder="1" applyAlignment="1">
      <alignment vertical="center"/>
    </xf>
    <xf numFmtId="167" fontId="22" fillId="0" borderId="40" xfId="0" applyNumberFormat="1" applyFont="1" applyBorder="1" applyAlignment="1">
      <alignment horizontal="center" vertical="center"/>
    </xf>
    <xf numFmtId="166" fontId="22" fillId="0" borderId="30" xfId="1" applyFont="1" applyFill="1" applyBorder="1" applyAlignment="1">
      <alignment horizontal="right" vertical="center"/>
    </xf>
    <xf numFmtId="168" fontId="23" fillId="0" borderId="27" xfId="0" applyNumberFormat="1" applyFont="1" applyFill="1" applyBorder="1"/>
    <xf numFmtId="0" fontId="10" fillId="0" borderId="27" xfId="0" applyFont="1" applyBorder="1" applyAlignment="1">
      <alignment horizontal="left"/>
    </xf>
    <xf numFmtId="0" fontId="2" fillId="0" borderId="27" xfId="0" applyFont="1" applyFill="1" applyBorder="1" applyAlignment="1">
      <alignment horizontal="left"/>
    </xf>
    <xf numFmtId="166" fontId="22" fillId="0" borderId="27" xfId="1" applyFont="1" applyFill="1" applyBorder="1" applyAlignment="1">
      <alignment horizontal="right" vertical="center"/>
    </xf>
    <xf numFmtId="0" fontId="2" fillId="0" borderId="27" xfId="1" applyNumberFormat="1" applyFont="1" applyBorder="1" applyAlignment="1">
      <alignment horizontal="center"/>
    </xf>
    <xf numFmtId="0" fontId="2" fillId="0" borderId="10" xfId="0" applyNumberFormat="1" applyFont="1" applyBorder="1" applyAlignment="1">
      <alignment horizontal="center"/>
    </xf>
    <xf numFmtId="168" fontId="2" fillId="0" borderId="30" xfId="0" applyNumberFormat="1" applyFont="1" applyFill="1" applyBorder="1"/>
    <xf numFmtId="0" fontId="2" fillId="11" borderId="27" xfId="0" applyFont="1" applyFill="1" applyBorder="1"/>
    <xf numFmtId="168" fontId="2" fillId="0" borderId="26" xfId="0" applyNumberFormat="1" applyFont="1" applyBorder="1"/>
    <xf numFmtId="168" fontId="2" fillId="2" borderId="26" xfId="0" applyNumberFormat="1" applyFont="1" applyFill="1" applyBorder="1"/>
    <xf numFmtId="0" fontId="1" fillId="0" borderId="0" xfId="0" applyFont="1"/>
    <xf numFmtId="0" fontId="2" fillId="0" borderId="13" xfId="0" applyFont="1" applyBorder="1"/>
    <xf numFmtId="0" fontId="2" fillId="0" borderId="13" xfId="0" applyFont="1" applyFill="1" applyBorder="1"/>
    <xf numFmtId="0" fontId="2" fillId="0" borderId="13" xfId="0" applyFont="1" applyFill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30" xfId="0" applyFont="1" applyBorder="1" applyAlignment="1">
      <alignment horizontal="left"/>
    </xf>
    <xf numFmtId="0" fontId="2" fillId="0" borderId="41" xfId="0" applyFont="1" applyFill="1" applyBorder="1"/>
    <xf numFmtId="0" fontId="2" fillId="0" borderId="41" xfId="0" applyFont="1" applyFill="1" applyBorder="1" applyAlignment="1">
      <alignment horizontal="center"/>
    </xf>
    <xf numFmtId="0" fontId="2" fillId="0" borderId="26" xfId="0" applyFont="1" applyFill="1" applyBorder="1" applyAlignment="1">
      <alignment horizontal="left"/>
    </xf>
    <xf numFmtId="0" fontId="5" fillId="4" borderId="10" xfId="0" applyFont="1" applyFill="1" applyBorder="1" applyAlignment="1">
      <alignment horizontal="center"/>
    </xf>
    <xf numFmtId="0" fontId="5" fillId="0" borderId="27" xfId="0" applyFont="1" applyFill="1" applyBorder="1" applyAlignment="1">
      <alignment horizontal="left"/>
    </xf>
    <xf numFmtId="0" fontId="5" fillId="0" borderId="27" xfId="0" applyFont="1" applyFill="1" applyBorder="1"/>
    <xf numFmtId="0" fontId="5" fillId="0" borderId="27" xfId="0" applyFont="1" applyFill="1" applyBorder="1" applyAlignment="1">
      <alignment horizontal="center"/>
    </xf>
    <xf numFmtId="0" fontId="2" fillId="0" borderId="27" xfId="0" applyFont="1" applyFill="1" applyBorder="1" applyAlignment="1">
      <alignment horizontal="center"/>
    </xf>
    <xf numFmtId="0" fontId="5" fillId="0" borderId="0" xfId="0" applyFont="1" applyFill="1" applyAlignment="1">
      <alignment horizontal="center"/>
    </xf>
    <xf numFmtId="0" fontId="5" fillId="0" borderId="10" xfId="0" applyNumberFormat="1" applyFont="1" applyBorder="1" applyAlignment="1">
      <alignment horizontal="left" vertical="center"/>
    </xf>
    <xf numFmtId="168" fontId="5" fillId="0" borderId="10" xfId="0" applyNumberFormat="1" applyFont="1" applyBorder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168" fontId="2" fillId="0" borderId="27" xfId="1" applyNumberFormat="1" applyFont="1" applyFill="1" applyBorder="1"/>
    <xf numFmtId="168" fontId="3" fillId="0" borderId="0" xfId="1" applyNumberFormat="1" applyFont="1" applyFill="1" applyBorder="1" applyAlignment="1">
      <alignment horizontal="right" vertical="center"/>
    </xf>
    <xf numFmtId="168" fontId="3" fillId="0" borderId="0" xfId="1" applyNumberFormat="1" applyFont="1" applyFill="1" applyBorder="1" applyAlignment="1">
      <alignment horizontal="center" vertical="center"/>
    </xf>
    <xf numFmtId="168" fontId="2" fillId="0" borderId="0" xfId="1" applyNumberFormat="1" applyFont="1" applyFill="1" applyBorder="1"/>
    <xf numFmtId="168" fontId="3" fillId="0" borderId="9" xfId="1" applyNumberFormat="1" applyFont="1" applyFill="1" applyBorder="1" applyAlignment="1">
      <alignment horizontal="right" vertical="center"/>
    </xf>
    <xf numFmtId="168" fontId="14" fillId="0" borderId="27" xfId="0" applyNumberFormat="1" applyFont="1" applyBorder="1"/>
    <xf numFmtId="168" fontId="10" fillId="0" borderId="0" xfId="0" applyNumberFormat="1" applyFont="1" applyFill="1" applyBorder="1"/>
    <xf numFmtId="168" fontId="5" fillId="9" borderId="0" xfId="0" applyNumberFormat="1" applyFont="1" applyFill="1" applyBorder="1"/>
    <xf numFmtId="168" fontId="4" fillId="0" borderId="0" xfId="0" applyNumberFormat="1" applyFont="1" applyFill="1" applyBorder="1" applyAlignment="1">
      <alignment vertical="center"/>
    </xf>
    <xf numFmtId="168" fontId="2" fillId="12" borderId="27" xfId="0" applyNumberFormat="1" applyFont="1" applyFill="1" applyBorder="1"/>
    <xf numFmtId="0" fontId="2" fillId="0" borderId="9" xfId="0" applyFont="1" applyFill="1" applyBorder="1" applyAlignment="1">
      <alignment horizontal="center"/>
    </xf>
    <xf numFmtId="0" fontId="2" fillId="0" borderId="26" xfId="0" applyFont="1" applyFill="1" applyBorder="1" applyAlignment="1">
      <alignment horizontal="center"/>
    </xf>
    <xf numFmtId="0" fontId="2" fillId="0" borderId="13" xfId="0" applyFont="1" applyFill="1" applyBorder="1" applyAlignment="1">
      <alignment horizontal="left"/>
    </xf>
    <xf numFmtId="168" fontId="5" fillId="0" borderId="27" xfId="0" applyNumberFormat="1" applyFont="1" applyFill="1" applyBorder="1"/>
    <xf numFmtId="167" fontId="10" fillId="4" borderId="27" xfId="0" applyNumberFormat="1" applyFont="1" applyFill="1" applyBorder="1"/>
    <xf numFmtId="0" fontId="5" fillId="13" borderId="42" xfId="0" applyFont="1" applyFill="1" applyBorder="1" applyAlignment="1">
      <alignment horizontal="left"/>
    </xf>
    <xf numFmtId="0" fontId="5" fillId="13" borderId="42" xfId="0" applyFont="1" applyFill="1" applyBorder="1"/>
    <xf numFmtId="0" fontId="5" fillId="13" borderId="42" xfId="0" applyFont="1" applyFill="1" applyBorder="1" applyAlignment="1">
      <alignment horizontal="center"/>
    </xf>
    <xf numFmtId="0" fontId="5" fillId="13" borderId="43" xfId="0" applyFont="1" applyFill="1" applyBorder="1" applyAlignment="1">
      <alignment horizontal="left"/>
    </xf>
    <xf numFmtId="0" fontId="5" fillId="13" borderId="44" xfId="0" applyFont="1" applyFill="1" applyBorder="1" applyAlignment="1">
      <alignment horizontal="left"/>
    </xf>
    <xf numFmtId="167" fontId="10" fillId="13" borderId="42" xfId="0" applyNumberFormat="1" applyFont="1" applyFill="1" applyBorder="1"/>
    <xf numFmtId="168" fontId="5" fillId="13" borderId="45" xfId="0" applyNumberFormat="1" applyFont="1" applyFill="1" applyBorder="1"/>
    <xf numFmtId="168" fontId="5" fillId="13" borderId="46" xfId="0" applyNumberFormat="1" applyFont="1" applyFill="1" applyBorder="1"/>
    <xf numFmtId="0" fontId="5" fillId="13" borderId="44" xfId="0" applyFont="1" applyFill="1" applyBorder="1" applyAlignment="1">
      <alignment horizontal="center"/>
    </xf>
    <xf numFmtId="0" fontId="5" fillId="13" borderId="45" xfId="0" applyFont="1" applyFill="1" applyBorder="1" applyAlignment="1">
      <alignment horizontal="center"/>
    </xf>
    <xf numFmtId="0" fontId="5" fillId="13" borderId="45" xfId="0" applyFont="1" applyFill="1" applyBorder="1" applyAlignment="1">
      <alignment horizontal="left"/>
    </xf>
    <xf numFmtId="0" fontId="5" fillId="13" borderId="47" xfId="0" applyFont="1" applyFill="1" applyBorder="1"/>
    <xf numFmtId="0" fontId="5" fillId="13" borderId="48" xfId="0" applyFont="1" applyFill="1" applyBorder="1" applyAlignment="1">
      <alignment horizontal="center"/>
    </xf>
    <xf numFmtId="0" fontId="5" fillId="13" borderId="49" xfId="0" applyFont="1" applyFill="1" applyBorder="1" applyAlignment="1">
      <alignment horizontal="left"/>
    </xf>
    <xf numFmtId="168" fontId="5" fillId="13" borderId="50" xfId="0" applyNumberFormat="1" applyFont="1" applyFill="1" applyBorder="1"/>
    <xf numFmtId="0" fontId="5" fillId="13" borderId="43" xfId="0" applyFont="1" applyFill="1" applyBorder="1" applyAlignment="1">
      <alignment horizontal="center"/>
    </xf>
    <xf numFmtId="168" fontId="5" fillId="13" borderId="42" xfId="0" applyNumberFormat="1" applyFont="1" applyFill="1" applyBorder="1"/>
    <xf numFmtId="0" fontId="5" fillId="13" borderId="47" xfId="0" applyFont="1" applyFill="1" applyBorder="1" applyAlignment="1">
      <alignment horizontal="center"/>
    </xf>
    <xf numFmtId="0" fontId="5" fillId="13" borderId="48" xfId="0" applyFont="1" applyFill="1" applyBorder="1" applyAlignment="1">
      <alignment horizontal="left"/>
    </xf>
    <xf numFmtId="167" fontId="10" fillId="13" borderId="47" xfId="0" applyNumberFormat="1" applyFont="1" applyFill="1" applyBorder="1"/>
    <xf numFmtId="168" fontId="5" fillId="13" borderId="42" xfId="0" applyNumberFormat="1" applyFont="1" applyFill="1" applyBorder="1" applyAlignment="1">
      <alignment horizontal="left"/>
    </xf>
    <xf numFmtId="0" fontId="5" fillId="13" borderId="42" xfId="0" applyNumberFormat="1" applyFont="1" applyFill="1" applyBorder="1" applyAlignment="1">
      <alignment horizontal="center"/>
    </xf>
    <xf numFmtId="0" fontId="5" fillId="13" borderId="43" xfId="0" applyNumberFormat="1" applyFont="1" applyFill="1" applyBorder="1" applyAlignment="1">
      <alignment horizontal="left"/>
    </xf>
    <xf numFmtId="0" fontId="5" fillId="13" borderId="44" xfId="0" applyNumberFormat="1" applyFont="1" applyFill="1" applyBorder="1" applyAlignment="1">
      <alignment horizontal="left"/>
    </xf>
    <xf numFmtId="168" fontId="10" fillId="13" borderId="42" xfId="0" applyNumberFormat="1" applyFont="1" applyFill="1" applyBorder="1"/>
    <xf numFmtId="168" fontId="8" fillId="0" borderId="0" xfId="0" applyNumberFormat="1" applyFont="1" applyFill="1"/>
    <xf numFmtId="168" fontId="5" fillId="13" borderId="42" xfId="0" applyNumberFormat="1" applyFont="1" applyFill="1" applyBorder="1" applyAlignment="1">
      <alignment horizontal="center"/>
    </xf>
    <xf numFmtId="0" fontId="2" fillId="13" borderId="43" xfId="0" applyNumberFormat="1" applyFont="1" applyFill="1" applyBorder="1" applyAlignment="1">
      <alignment horizontal="left"/>
    </xf>
    <xf numFmtId="168" fontId="2" fillId="13" borderId="42" xfId="0" applyNumberFormat="1" applyFont="1" applyFill="1" applyBorder="1" applyAlignment="1">
      <alignment horizontal="left"/>
    </xf>
    <xf numFmtId="0" fontId="2" fillId="13" borderId="44" xfId="0" applyNumberFormat="1" applyFont="1" applyFill="1" applyBorder="1" applyAlignment="1">
      <alignment horizontal="left"/>
    </xf>
    <xf numFmtId="168" fontId="5" fillId="13" borderId="47" xfId="0" applyNumberFormat="1" applyFont="1" applyFill="1" applyBorder="1"/>
    <xf numFmtId="0" fontId="5" fillId="13" borderId="48" xfId="0" applyNumberFormat="1" applyFont="1" applyFill="1" applyBorder="1" applyAlignment="1">
      <alignment horizontal="left"/>
    </xf>
    <xf numFmtId="0" fontId="5" fillId="13" borderId="49" xfId="0" applyNumberFormat="1" applyFont="1" applyFill="1" applyBorder="1" applyAlignment="1">
      <alignment horizontal="left"/>
    </xf>
    <xf numFmtId="168" fontId="10" fillId="13" borderId="42" xfId="0" applyNumberFormat="1" applyFont="1" applyFill="1" applyBorder="1" applyAlignment="1">
      <alignment horizontal="left"/>
    </xf>
    <xf numFmtId="0" fontId="5" fillId="13" borderId="47" xfId="0" applyFont="1" applyFill="1" applyBorder="1" applyAlignment="1">
      <alignment horizontal="left"/>
    </xf>
    <xf numFmtId="0" fontId="10" fillId="13" borderId="49" xfId="0" applyFont="1" applyFill="1" applyBorder="1" applyAlignment="1">
      <alignment horizontal="left"/>
    </xf>
    <xf numFmtId="0" fontId="10" fillId="13" borderId="44" xfId="0" applyFont="1" applyFill="1" applyBorder="1" applyAlignment="1">
      <alignment horizontal="left"/>
    </xf>
    <xf numFmtId="167" fontId="10" fillId="13" borderId="44" xfId="0" applyNumberFormat="1" applyFont="1" applyFill="1" applyBorder="1"/>
    <xf numFmtId="0" fontId="10" fillId="13" borderId="42" xfId="0" applyFont="1" applyFill="1" applyBorder="1" applyAlignment="1">
      <alignment horizontal="left"/>
    </xf>
    <xf numFmtId="0" fontId="4" fillId="4" borderId="27" xfId="0" applyNumberFormat="1" applyFont="1" applyFill="1" applyBorder="1" applyAlignment="1">
      <alignment horizontal="center" vertical="center"/>
    </xf>
    <xf numFmtId="0" fontId="5" fillId="0" borderId="14" xfId="1" applyNumberFormat="1" applyFont="1" applyBorder="1" applyAlignment="1">
      <alignment horizontal="center" vertical="center"/>
    </xf>
    <xf numFmtId="0" fontId="2" fillId="0" borderId="27" xfId="0" applyNumberFormat="1" applyFont="1" applyBorder="1" applyAlignment="1">
      <alignment horizontal="center" vertical="center"/>
    </xf>
    <xf numFmtId="170" fontId="4" fillId="0" borderId="0" xfId="0" applyNumberFormat="1" applyFont="1" applyFill="1" applyBorder="1" applyAlignment="1">
      <alignment vertical="center"/>
    </xf>
    <xf numFmtId="168" fontId="2" fillId="14" borderId="27" xfId="0" applyNumberFormat="1" applyFont="1" applyFill="1" applyBorder="1"/>
    <xf numFmtId="168" fontId="2" fillId="14" borderId="0" xfId="0" applyNumberFormat="1" applyFont="1" applyFill="1" applyBorder="1"/>
    <xf numFmtId="168" fontId="5" fillId="14" borderId="0" xfId="0" applyNumberFormat="1" applyFont="1" applyFill="1" applyBorder="1"/>
    <xf numFmtId="168" fontId="2" fillId="14" borderId="19" xfId="0" applyNumberFormat="1" applyFont="1" applyFill="1" applyBorder="1"/>
    <xf numFmtId="168" fontId="2" fillId="14" borderId="0" xfId="0" applyNumberFormat="1" applyFont="1" applyFill="1" applyBorder="1" applyAlignment="1">
      <alignment horizontal="right"/>
    </xf>
    <xf numFmtId="168" fontId="2" fillId="14" borderId="0" xfId="0" applyNumberFormat="1" applyFont="1" applyFill="1"/>
    <xf numFmtId="168" fontId="2" fillId="14" borderId="17" xfId="0" applyNumberFormat="1" applyFont="1" applyFill="1" applyBorder="1"/>
    <xf numFmtId="168" fontId="2" fillId="14" borderId="27" xfId="1" applyNumberFormat="1" applyFont="1" applyFill="1" applyBorder="1" applyAlignment="1">
      <alignment horizontal="right" vertical="center"/>
    </xf>
    <xf numFmtId="168" fontId="14" fillId="14" borderId="27" xfId="0" applyNumberFormat="1" applyFont="1" applyFill="1" applyBorder="1"/>
    <xf numFmtId="0" fontId="2" fillId="14" borderId="27" xfId="0" applyFont="1" applyFill="1" applyBorder="1"/>
    <xf numFmtId="169" fontId="4" fillId="0" borderId="0" xfId="0" applyNumberFormat="1" applyFont="1" applyFill="1" applyBorder="1" applyAlignment="1">
      <alignment vertical="center"/>
    </xf>
    <xf numFmtId="0" fontId="2" fillId="11" borderId="17" xfId="0" applyFont="1" applyFill="1" applyBorder="1"/>
    <xf numFmtId="0" fontId="2" fillId="0" borderId="0" xfId="0" applyNumberFormat="1" applyFont="1" applyBorder="1" applyAlignment="1">
      <alignment horizontal="center"/>
    </xf>
    <xf numFmtId="168" fontId="2" fillId="6" borderId="27" xfId="0" applyNumberFormat="1" applyFont="1" applyFill="1" applyBorder="1"/>
    <xf numFmtId="0" fontId="2" fillId="0" borderId="18" xfId="0" applyFont="1" applyBorder="1" applyAlignment="1">
      <alignment horizontal="center"/>
    </xf>
    <xf numFmtId="168" fontId="24" fillId="0" borderId="27" xfId="0" applyNumberFormat="1" applyFont="1" applyFill="1" applyBorder="1"/>
    <xf numFmtId="2" fontId="2" fillId="14" borderId="27" xfId="0" applyNumberFormat="1" applyFont="1" applyFill="1" applyBorder="1"/>
    <xf numFmtId="2" fontId="2" fillId="0" borderId="27" xfId="0" applyNumberFormat="1" applyFont="1" applyFill="1" applyBorder="1"/>
    <xf numFmtId="2" fontId="5" fillId="13" borderId="45" xfId="0" applyNumberFormat="1" applyFont="1" applyFill="1" applyBorder="1"/>
    <xf numFmtId="168" fontId="2" fillId="0" borderId="39" xfId="0" applyNumberFormat="1" applyFont="1" applyFill="1" applyBorder="1" applyAlignment="1">
      <alignment horizontal="center"/>
    </xf>
    <xf numFmtId="0" fontId="2" fillId="12" borderId="27" xfId="0" applyFont="1" applyFill="1" applyBorder="1"/>
    <xf numFmtId="4" fontId="2" fillId="0" borderId="27" xfId="0" applyNumberFormat="1" applyFont="1" applyFill="1" applyBorder="1"/>
    <xf numFmtId="168" fontId="25" fillId="15" borderId="27" xfId="0" applyNumberFormat="1" applyFont="1" applyFill="1" applyBorder="1"/>
    <xf numFmtId="168" fontId="2" fillId="16" borderId="27" xfId="0" applyNumberFormat="1" applyFont="1" applyFill="1" applyBorder="1"/>
    <xf numFmtId="168" fontId="2" fillId="17" borderId="27" xfId="0" applyNumberFormat="1" applyFont="1" applyFill="1" applyBorder="1"/>
    <xf numFmtId="168" fontId="2" fillId="18" borderId="27" xfId="0" applyNumberFormat="1" applyFont="1" applyFill="1" applyBorder="1"/>
    <xf numFmtId="168" fontId="2" fillId="16" borderId="27" xfId="0" applyNumberFormat="1" applyFont="1" applyFill="1" applyBorder="1" applyAlignment="1"/>
    <xf numFmtId="168" fontId="2" fillId="16" borderId="27" xfId="1" applyNumberFormat="1" applyFont="1" applyFill="1" applyBorder="1" applyAlignment="1">
      <alignment horizontal="right" vertical="center"/>
    </xf>
    <xf numFmtId="168" fontId="26" fillId="0" borderId="27" xfId="0" applyNumberFormat="1" applyFont="1" applyBorder="1" applyAlignment="1">
      <alignment horizontal="center"/>
    </xf>
    <xf numFmtId="168" fontId="27" fillId="0" borderId="27" xfId="0" applyNumberFormat="1" applyFont="1" applyFill="1" applyBorder="1"/>
    <xf numFmtId="168" fontId="2" fillId="1" borderId="27" xfId="0" applyNumberFormat="1" applyFont="1" applyFill="1" applyBorder="1"/>
    <xf numFmtId="168" fontId="3" fillId="0" borderId="0" xfId="0" applyNumberFormat="1" applyFont="1" applyFill="1" applyBorder="1" applyAlignment="1">
      <alignment horizontal="right" vertical="center"/>
    </xf>
    <xf numFmtId="1" fontId="2" fillId="0" borderId="51" xfId="0" applyNumberFormat="1" applyFont="1" applyFill="1" applyBorder="1" applyAlignment="1">
      <alignment horizontal="center"/>
    </xf>
    <xf numFmtId="1" fontId="3" fillId="19" borderId="10" xfId="0" applyNumberFormat="1" applyFont="1" applyFill="1" applyBorder="1" applyAlignment="1">
      <alignment horizontal="left"/>
    </xf>
    <xf numFmtId="0" fontId="2" fillId="0" borderId="0" xfId="0" applyFont="1" applyFill="1" applyBorder="1"/>
    <xf numFmtId="166" fontId="2" fillId="0" borderId="27" xfId="1" applyFont="1" applyFill="1" applyBorder="1"/>
    <xf numFmtId="166" fontId="2" fillId="9" borderId="0" xfId="1" applyFont="1" applyFill="1"/>
    <xf numFmtId="166" fontId="2" fillId="0" borderId="27" xfId="1" applyFont="1" applyBorder="1" applyAlignment="1">
      <alignment horizontal="left"/>
    </xf>
    <xf numFmtId="168" fontId="5" fillId="0" borderId="27" xfId="0" applyNumberFormat="1" applyFont="1" applyBorder="1"/>
    <xf numFmtId="168" fontId="5" fillId="3" borderId="27" xfId="0" applyNumberFormat="1" applyFont="1" applyFill="1" applyBorder="1"/>
    <xf numFmtId="168" fontId="5" fillId="13" borderId="27" xfId="0" applyNumberFormat="1" applyFont="1" applyFill="1" applyBorder="1"/>
    <xf numFmtId="168" fontId="10" fillId="0" borderId="0" xfId="0" applyNumberFormat="1" applyFont="1" applyFill="1" applyAlignment="1">
      <alignment vertical="center"/>
    </xf>
    <xf numFmtId="49" fontId="10" fillId="0" borderId="0" xfId="0" applyNumberFormat="1" applyFont="1" applyFill="1" applyAlignment="1">
      <alignment vertical="center"/>
    </xf>
    <xf numFmtId="0" fontId="0" fillId="0" borderId="0" xfId="0" applyFill="1"/>
    <xf numFmtId="168" fontId="2" fillId="16" borderId="27" xfId="0" applyNumberFormat="1" applyFont="1" applyFill="1" applyBorder="1" applyAlignment="1">
      <alignment horizontal="right"/>
    </xf>
    <xf numFmtId="0" fontId="2" fillId="0" borderId="17" xfId="0" applyFont="1" applyFill="1" applyBorder="1"/>
    <xf numFmtId="164" fontId="2" fillId="0" borderId="27" xfId="0" applyNumberFormat="1" applyFont="1" applyFill="1" applyBorder="1"/>
    <xf numFmtId="14" fontId="2" fillId="0" borderId="27" xfId="0" applyNumberFormat="1" applyFont="1" applyBorder="1"/>
    <xf numFmtId="168" fontId="2" fillId="7" borderId="27" xfId="0" applyNumberFormat="1" applyFont="1" applyFill="1" applyBorder="1"/>
    <xf numFmtId="168" fontId="2" fillId="8" borderId="27" xfId="0" applyNumberFormat="1" applyFont="1" applyFill="1" applyBorder="1"/>
    <xf numFmtId="168" fontId="2" fillId="9" borderId="27" xfId="1" applyNumberFormat="1" applyFont="1" applyFill="1" applyBorder="1" applyAlignment="1">
      <alignment horizontal="right" vertical="center"/>
    </xf>
    <xf numFmtId="0" fontId="26" fillId="0" borderId="27" xfId="0" applyFont="1" applyBorder="1"/>
    <xf numFmtId="168" fontId="2" fillId="16" borderId="27" xfId="1" applyNumberFormat="1" applyFont="1" applyFill="1" applyBorder="1" applyAlignment="1">
      <alignment horizontal="center" vertical="center"/>
    </xf>
    <xf numFmtId="168" fontId="2" fillId="14" borderId="39" xfId="0" applyNumberFormat="1" applyFont="1" applyFill="1" applyBorder="1"/>
    <xf numFmtId="1" fontId="2" fillId="11" borderId="27" xfId="0" applyNumberFormat="1" applyFont="1" applyFill="1" applyBorder="1"/>
    <xf numFmtId="0" fontId="5" fillId="0" borderId="27" xfId="0" applyFont="1" applyBorder="1"/>
    <xf numFmtId="168" fontId="2" fillId="20" borderId="27" xfId="0" applyNumberFormat="1" applyFont="1" applyFill="1" applyBorder="1"/>
    <xf numFmtId="168" fontId="2" fillId="12" borderId="39" xfId="0" applyNumberFormat="1" applyFont="1" applyFill="1" applyBorder="1" applyAlignment="1"/>
    <xf numFmtId="168" fontId="2" fillId="20" borderId="27" xfId="0" applyNumberFormat="1" applyFont="1" applyFill="1" applyBorder="1" applyAlignment="1"/>
    <xf numFmtId="0" fontId="2" fillId="0" borderId="27" xfId="0" applyNumberFormat="1" applyFont="1" applyFill="1" applyBorder="1" applyAlignment="1">
      <alignment horizontal="left"/>
    </xf>
    <xf numFmtId="17" fontId="2" fillId="0" borderId="27" xfId="0" applyNumberFormat="1" applyFont="1" applyBorder="1" applyAlignment="1">
      <alignment horizontal="center"/>
    </xf>
    <xf numFmtId="168" fontId="2" fillId="17" borderId="27" xfId="0" applyNumberFormat="1" applyFont="1" applyFill="1" applyBorder="1" applyAlignment="1"/>
    <xf numFmtId="168" fontId="2" fillId="0" borderId="9" xfId="0" applyNumberFormat="1" applyFont="1" applyFill="1" applyBorder="1" applyAlignment="1">
      <alignment horizontal="left"/>
    </xf>
    <xf numFmtId="168" fontId="21" fillId="20" borderId="27" xfId="0" applyNumberFormat="1" applyFont="1" applyFill="1" applyBorder="1"/>
    <xf numFmtId="171" fontId="2" fillId="0" borderId="10" xfId="0" applyNumberFormat="1" applyFont="1" applyBorder="1" applyAlignment="1">
      <alignment horizontal="center"/>
    </xf>
    <xf numFmtId="0" fontId="5" fillId="0" borderId="0" xfId="0" applyFont="1" applyAlignment="1"/>
    <xf numFmtId="0" fontId="5" fillId="0" borderId="15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5" fillId="2" borderId="0" xfId="0" applyFont="1" applyFill="1" applyBorder="1" applyAlignment="1"/>
    <xf numFmtId="49" fontId="2" fillId="0" borderId="39" xfId="1" applyNumberFormat="1" applyFont="1" applyFill="1" applyBorder="1" applyAlignment="1">
      <alignment vertical="center"/>
    </xf>
    <xf numFmtId="0" fontId="5" fillId="13" borderId="48" xfId="0" applyFont="1" applyFill="1" applyBorder="1" applyAlignment="1"/>
    <xf numFmtId="166" fontId="3" fillId="0" borderId="0" xfId="1" applyFont="1" applyFill="1" applyBorder="1" applyAlignment="1">
      <alignment vertical="center"/>
    </xf>
    <xf numFmtId="166" fontId="2" fillId="0" borderId="39" xfId="1" applyFont="1" applyFill="1" applyBorder="1" applyAlignment="1">
      <alignment vertical="center"/>
    </xf>
    <xf numFmtId="0" fontId="5" fillId="0" borderId="0" xfId="0" applyFont="1" applyFill="1" applyBorder="1" applyAlignment="1"/>
    <xf numFmtId="0" fontId="2" fillId="0" borderId="27" xfId="0" applyFont="1" applyFill="1" applyBorder="1" applyAlignment="1"/>
    <xf numFmtId="0" fontId="5" fillId="13" borderId="45" xfId="0" applyFont="1" applyFill="1" applyBorder="1" applyAlignment="1"/>
    <xf numFmtId="0" fontId="2" fillId="0" borderId="27" xfId="0" applyFont="1" applyBorder="1" applyAlignment="1"/>
    <xf numFmtId="0" fontId="5" fillId="13" borderId="43" xfId="0" applyFont="1" applyFill="1" applyBorder="1" applyAlignment="1"/>
    <xf numFmtId="0" fontId="2" fillId="0" borderId="0" xfId="0" applyFont="1" applyBorder="1" applyAlignment="1"/>
    <xf numFmtId="0" fontId="5" fillId="13" borderId="44" xfId="0" applyFont="1" applyFill="1" applyBorder="1" applyAlignment="1"/>
    <xf numFmtId="0" fontId="5" fillId="0" borderId="0" xfId="0" applyFont="1" applyBorder="1" applyAlignment="1"/>
    <xf numFmtId="0" fontId="5" fillId="9" borderId="0" xfId="0" applyFont="1" applyFill="1" applyBorder="1" applyAlignment="1"/>
    <xf numFmtId="0" fontId="2" fillId="0" borderId="0" xfId="0" applyFont="1" applyFill="1" applyBorder="1" applyAlignment="1"/>
    <xf numFmtId="0" fontId="2" fillId="0" borderId="39" xfId="0" applyFont="1" applyBorder="1" applyAlignment="1"/>
    <xf numFmtId="0" fontId="5" fillId="0" borderId="1" xfId="0" applyFont="1" applyBorder="1" applyAlignment="1"/>
    <xf numFmtId="168" fontId="2" fillId="0" borderId="27" xfId="0" applyNumberFormat="1" applyFont="1" applyFill="1" applyBorder="1" applyAlignment="1">
      <alignment horizontal="left"/>
    </xf>
    <xf numFmtId="171" fontId="2" fillId="0" borderId="27" xfId="0" applyNumberFormat="1" applyFont="1" applyFill="1" applyBorder="1" applyAlignment="1">
      <alignment horizontal="center"/>
    </xf>
    <xf numFmtId="2" fontId="4" fillId="5" borderId="27" xfId="0" applyNumberFormat="1" applyFont="1" applyFill="1" applyBorder="1" applyAlignment="1">
      <alignment vertical="center"/>
    </xf>
    <xf numFmtId="168" fontId="2" fillId="16" borderId="0" xfId="0" applyNumberFormat="1" applyFont="1" applyFill="1" applyBorder="1"/>
    <xf numFmtId="168" fontId="2" fillId="16" borderId="17" xfId="0" applyNumberFormat="1" applyFont="1" applyFill="1" applyBorder="1"/>
    <xf numFmtId="168" fontId="2" fillId="16" borderId="19" xfId="0" applyNumberFormat="1" applyFont="1" applyFill="1" applyBorder="1"/>
    <xf numFmtId="168" fontId="2" fillId="0" borderId="30" xfId="0" applyNumberFormat="1" applyFont="1" applyFill="1" applyBorder="1" applyAlignment="1">
      <alignment horizontal="center"/>
    </xf>
    <xf numFmtId="2" fontId="2" fillId="16" borderId="27" xfId="0" applyNumberFormat="1" applyFont="1" applyFill="1" applyBorder="1"/>
    <xf numFmtId="168" fontId="2" fillId="17" borderId="27" xfId="0" applyNumberFormat="1" applyFont="1" applyFill="1" applyBorder="1" applyAlignment="1">
      <alignment horizontal="right"/>
    </xf>
    <xf numFmtId="168" fontId="2" fillId="21" borderId="27" xfId="0" applyNumberFormat="1" applyFont="1" applyFill="1" applyBorder="1"/>
    <xf numFmtId="168" fontId="2" fillId="17" borderId="30" xfId="0" applyNumberFormat="1" applyFont="1" applyFill="1" applyBorder="1" applyAlignment="1"/>
    <xf numFmtId="168" fontId="2" fillId="17" borderId="39" xfId="0" applyNumberFormat="1" applyFont="1" applyFill="1" applyBorder="1" applyAlignment="1"/>
    <xf numFmtId="168" fontId="5" fillId="17" borderId="0" xfId="0" applyNumberFormat="1" applyFont="1" applyFill="1" applyBorder="1"/>
    <xf numFmtId="168" fontId="2" fillId="17" borderId="27" xfId="1" applyNumberFormat="1" applyFont="1" applyFill="1" applyBorder="1" applyAlignment="1">
      <alignment horizontal="right" vertical="center"/>
    </xf>
    <xf numFmtId="167" fontId="5" fillId="0" borderId="0" xfId="0" applyNumberFormat="1" applyFont="1" applyBorder="1" applyAlignment="1"/>
    <xf numFmtId="169" fontId="3" fillId="0" borderId="0" xfId="0" applyNumberFormat="1" applyFont="1" applyFill="1" applyBorder="1"/>
    <xf numFmtId="0" fontId="5" fillId="0" borderId="17" xfId="0" applyFont="1" applyBorder="1"/>
    <xf numFmtId="0" fontId="5" fillId="0" borderId="29" xfId="0" applyFont="1" applyBorder="1" applyAlignment="1">
      <alignment horizontal="center"/>
    </xf>
    <xf numFmtId="0" fontId="5" fillId="0" borderId="19" xfId="0" applyFont="1" applyBorder="1" applyAlignment="1">
      <alignment horizontal="left"/>
    </xf>
    <xf numFmtId="0" fontId="2" fillId="0" borderId="19" xfId="0" applyFont="1" applyBorder="1" applyAlignment="1">
      <alignment horizontal="left"/>
    </xf>
    <xf numFmtId="168" fontId="2" fillId="16" borderId="29" xfId="0" applyNumberFormat="1" applyFont="1" applyFill="1" applyBorder="1"/>
    <xf numFmtId="0" fontId="2" fillId="0" borderId="26" xfId="0" applyFont="1" applyBorder="1"/>
    <xf numFmtId="0" fontId="5" fillId="0" borderId="26" xfId="0" applyFont="1" applyBorder="1"/>
    <xf numFmtId="0" fontId="5" fillId="0" borderId="52" xfId="0" applyFont="1" applyBorder="1" applyAlignment="1">
      <alignment horizontal="center"/>
    </xf>
    <xf numFmtId="0" fontId="5" fillId="0" borderId="53" xfId="0" applyFont="1" applyBorder="1" applyAlignment="1">
      <alignment horizontal="left"/>
    </xf>
    <xf numFmtId="0" fontId="2" fillId="0" borderId="52" xfId="0" applyFont="1" applyBorder="1" applyAlignment="1">
      <alignment horizontal="left"/>
    </xf>
    <xf numFmtId="0" fontId="2" fillId="0" borderId="53" xfId="0" applyFont="1" applyBorder="1" applyAlignment="1">
      <alignment horizontal="left"/>
    </xf>
    <xf numFmtId="167" fontId="10" fillId="0" borderId="26" xfId="0" applyNumberFormat="1" applyFont="1" applyBorder="1"/>
    <xf numFmtId="168" fontId="2" fillId="14" borderId="53" xfId="0" applyNumberFormat="1" applyFont="1" applyFill="1" applyBorder="1"/>
    <xf numFmtId="168" fontId="2" fillId="0" borderId="53" xfId="0" applyNumberFormat="1" applyFont="1" applyBorder="1"/>
    <xf numFmtId="168" fontId="2" fillId="0" borderId="53" xfId="0" applyNumberFormat="1" applyFont="1" applyFill="1" applyBorder="1"/>
    <xf numFmtId="168" fontId="2" fillId="11" borderId="53" xfId="0" applyNumberFormat="1" applyFont="1" applyFill="1" applyBorder="1"/>
    <xf numFmtId="168" fontId="2" fillId="16" borderId="52" xfId="0" applyNumberFormat="1" applyFont="1" applyFill="1" applyBorder="1"/>
    <xf numFmtId="168" fontId="2" fillId="0" borderId="27" xfId="0" applyNumberFormat="1" applyFont="1" applyFill="1" applyBorder="1" applyAlignment="1">
      <alignment horizontal="center"/>
    </xf>
    <xf numFmtId="167" fontId="2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168" fontId="2" fillId="0" borderId="39" xfId="0" applyNumberFormat="1" applyFont="1" applyFill="1" applyBorder="1" applyAlignment="1">
      <alignment horizontal="center"/>
    </xf>
    <xf numFmtId="168" fontId="2" fillId="0" borderId="30" xfId="0" applyNumberFormat="1" applyFont="1" applyFill="1" applyBorder="1" applyAlignment="1">
      <alignment horizontal="center"/>
    </xf>
    <xf numFmtId="167" fontId="5" fillId="0" borderId="0" xfId="0" applyNumberFormat="1" applyFont="1" applyBorder="1" applyAlignment="1">
      <alignment horizontal="center"/>
    </xf>
    <xf numFmtId="168" fontId="2" fillId="0" borderId="31" xfId="0" applyNumberFormat="1" applyFont="1" applyFill="1" applyBorder="1" applyAlignment="1">
      <alignment horizontal="center"/>
    </xf>
    <xf numFmtId="168" fontId="2" fillId="0" borderId="17" xfId="0" applyNumberFormat="1" applyFont="1" applyBorder="1" applyAlignment="1">
      <alignment vertical="center"/>
    </xf>
    <xf numFmtId="168" fontId="2" fillId="0" borderId="26" xfId="0" applyNumberFormat="1" applyFont="1" applyBorder="1" applyAlignment="1">
      <alignment vertical="center"/>
    </xf>
    <xf numFmtId="168" fontId="5" fillId="0" borderId="0" xfId="0" applyNumberFormat="1" applyFont="1" applyBorder="1" applyAlignment="1">
      <alignment horizontal="center"/>
    </xf>
    <xf numFmtId="168" fontId="2" fillId="0" borderId="0" xfId="0" applyNumberFormat="1" applyFont="1" applyBorder="1" applyAlignment="1">
      <alignment horizontal="center"/>
    </xf>
    <xf numFmtId="168" fontId="3" fillId="0" borderId="13" xfId="0" applyNumberFormat="1" applyFont="1" applyFill="1" applyBorder="1" applyAlignment="1">
      <alignment horizontal="center" vertical="center"/>
    </xf>
    <xf numFmtId="0" fontId="4" fillId="22" borderId="0" xfId="0" applyFont="1" applyFill="1" applyBorder="1" applyAlignment="1">
      <alignment vertical="center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180975</xdr:colOff>
          <xdr:row>0</xdr:row>
          <xdr:rowOff>161925</xdr:rowOff>
        </xdr:from>
        <xdr:to>
          <xdr:col>3</xdr:col>
          <xdr:colOff>0</xdr:colOff>
          <xdr:row>0</xdr:row>
          <xdr:rowOff>390525</xdr:rowOff>
        </xdr:to>
        <xdr:sp macro="" textlink="">
          <xdr:nvSpPr>
            <xdr:cNvPr id="12289" name="ComboBox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114300</xdr:colOff>
          <xdr:row>0</xdr:row>
          <xdr:rowOff>38100</xdr:rowOff>
        </xdr:from>
        <xdr:to>
          <xdr:col>2</xdr:col>
          <xdr:colOff>542925</xdr:colOff>
          <xdr:row>1</xdr:row>
          <xdr:rowOff>114300</xdr:rowOff>
        </xdr:to>
        <xdr:sp macro="" textlink="">
          <xdr:nvSpPr>
            <xdr:cNvPr id="7171" name="ComboBox1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190500</xdr:colOff>
          <xdr:row>0</xdr:row>
          <xdr:rowOff>9525</xdr:rowOff>
        </xdr:from>
        <xdr:to>
          <xdr:col>2</xdr:col>
          <xdr:colOff>152400</xdr:colOff>
          <xdr:row>1</xdr:row>
          <xdr:rowOff>85725</xdr:rowOff>
        </xdr:to>
        <xdr:sp macro="" textlink="">
          <xdr:nvSpPr>
            <xdr:cNvPr id="1040" name="ComboBox1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114300</xdr:colOff>
          <xdr:row>0</xdr:row>
          <xdr:rowOff>38100</xdr:rowOff>
        </xdr:from>
        <xdr:to>
          <xdr:col>2</xdr:col>
          <xdr:colOff>609600</xdr:colOff>
          <xdr:row>1</xdr:row>
          <xdr:rowOff>114300</xdr:rowOff>
        </xdr:to>
        <xdr:sp macro="" textlink="">
          <xdr:nvSpPr>
            <xdr:cNvPr id="13313" name="ComboBox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104775</xdr:colOff>
          <xdr:row>0</xdr:row>
          <xdr:rowOff>9525</xdr:rowOff>
        </xdr:from>
        <xdr:to>
          <xdr:col>2</xdr:col>
          <xdr:colOff>685800</xdr:colOff>
          <xdr:row>1</xdr:row>
          <xdr:rowOff>85725</xdr:rowOff>
        </xdr:to>
        <xdr:sp macro="" textlink="">
          <xdr:nvSpPr>
            <xdr:cNvPr id="14337" name="ComboBox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114300</xdr:colOff>
          <xdr:row>0</xdr:row>
          <xdr:rowOff>38100</xdr:rowOff>
        </xdr:from>
        <xdr:to>
          <xdr:col>2</xdr:col>
          <xdr:colOff>485775</xdr:colOff>
          <xdr:row>1</xdr:row>
          <xdr:rowOff>114300</xdr:rowOff>
        </xdr:to>
        <xdr:sp macro="" textlink="">
          <xdr:nvSpPr>
            <xdr:cNvPr id="4098" name="ComboBox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161925</xdr:colOff>
          <xdr:row>0</xdr:row>
          <xdr:rowOff>28575</xdr:rowOff>
        </xdr:from>
        <xdr:to>
          <xdr:col>3</xdr:col>
          <xdr:colOff>76200</xdr:colOff>
          <xdr:row>1</xdr:row>
          <xdr:rowOff>104775</xdr:rowOff>
        </xdr:to>
        <xdr:sp macro="" textlink="">
          <xdr:nvSpPr>
            <xdr:cNvPr id="15361" name="ComboBox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95250</xdr:colOff>
          <xdr:row>0</xdr:row>
          <xdr:rowOff>28575</xdr:rowOff>
        </xdr:from>
        <xdr:to>
          <xdr:col>2</xdr:col>
          <xdr:colOff>800100</xdr:colOff>
          <xdr:row>1</xdr:row>
          <xdr:rowOff>104775</xdr:rowOff>
        </xdr:to>
        <xdr:sp macro="" textlink="">
          <xdr:nvSpPr>
            <xdr:cNvPr id="8195" name="ComboBox1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152400</xdr:colOff>
          <xdr:row>0</xdr:row>
          <xdr:rowOff>38100</xdr:rowOff>
        </xdr:from>
        <xdr:to>
          <xdr:col>2</xdr:col>
          <xdr:colOff>790575</xdr:colOff>
          <xdr:row>1</xdr:row>
          <xdr:rowOff>114300</xdr:rowOff>
        </xdr:to>
        <xdr:sp macro="" textlink="">
          <xdr:nvSpPr>
            <xdr:cNvPr id="6161" name="ComboBox1" hidden="1">
              <a:extLst>
                <a:ext uri="{63B3BB69-23CF-44E3-9099-C40C66FF867C}">
                  <a14:compatExt spid="_x0000_s6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142875</xdr:colOff>
          <xdr:row>0</xdr:row>
          <xdr:rowOff>38100</xdr:rowOff>
        </xdr:from>
        <xdr:to>
          <xdr:col>2</xdr:col>
          <xdr:colOff>95250</xdr:colOff>
          <xdr:row>1</xdr:row>
          <xdr:rowOff>114300</xdr:rowOff>
        </xdr:to>
        <xdr:sp macro="" textlink="">
          <xdr:nvSpPr>
            <xdr:cNvPr id="16385" name="ComboBox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</xdr:col>
      <xdr:colOff>168089</xdr:colOff>
      <xdr:row>0</xdr:row>
      <xdr:rowOff>78441</xdr:rowOff>
    </xdr:from>
    <xdr:to>
      <xdr:col>3</xdr:col>
      <xdr:colOff>627530</xdr:colOff>
      <xdr:row>1</xdr:row>
      <xdr:rowOff>112059</xdr:rowOff>
    </xdr:to>
    <xdr:sp macro="[0]!Actualiser" textlink="">
      <xdr:nvSpPr>
        <xdr:cNvPr id="2" name="Rectangle 1"/>
        <xdr:cNvSpPr/>
      </xdr:nvSpPr>
      <xdr:spPr>
        <a:xfrm>
          <a:off x="2409265" y="78441"/>
          <a:ext cx="1042147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Actualiser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.xml"/><Relationship Id="rId3" Type="http://schemas.openxmlformats.org/officeDocument/2006/relationships/printerSettings" Target="../printerSettings/printerSettings3.bin"/><Relationship Id="rId7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Relationship Id="rId9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3" Type="http://schemas.openxmlformats.org/officeDocument/2006/relationships/printerSettings" Target="../printerSettings/printerSettings8.bin"/><Relationship Id="rId7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6" Type="http://schemas.openxmlformats.org/officeDocument/2006/relationships/drawing" Target="../drawings/drawing2.xml"/><Relationship Id="rId5" Type="http://schemas.openxmlformats.org/officeDocument/2006/relationships/printerSettings" Target="../printerSettings/printerSettings10.bin"/><Relationship Id="rId10" Type="http://schemas.openxmlformats.org/officeDocument/2006/relationships/comments" Target="../comments1.xml"/><Relationship Id="rId4" Type="http://schemas.openxmlformats.org/officeDocument/2006/relationships/printerSettings" Target="../printerSettings/printerSettings9.bin"/><Relationship Id="rId9" Type="http://schemas.openxmlformats.org/officeDocument/2006/relationships/image" Target="../media/image2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printerSettings" Target="../printerSettings/printerSettings13.bin"/><Relationship Id="rId7" Type="http://schemas.openxmlformats.org/officeDocument/2006/relationships/vmlDrawing" Target="../drawings/vmlDrawing3.vml"/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Relationship Id="rId6" Type="http://schemas.openxmlformats.org/officeDocument/2006/relationships/drawing" Target="../drawings/drawing3.xml"/><Relationship Id="rId5" Type="http://schemas.openxmlformats.org/officeDocument/2006/relationships/printerSettings" Target="../printerSettings/printerSettings15.bin"/><Relationship Id="rId10" Type="http://schemas.openxmlformats.org/officeDocument/2006/relationships/comments" Target="../comments2.xml"/><Relationship Id="rId4" Type="http://schemas.openxmlformats.org/officeDocument/2006/relationships/printerSettings" Target="../printerSettings/printerSettings14.bin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3" Type="http://schemas.openxmlformats.org/officeDocument/2006/relationships/printerSettings" Target="../printerSettings/printerSettings18.bin"/><Relationship Id="rId7" Type="http://schemas.openxmlformats.org/officeDocument/2006/relationships/vmlDrawing" Target="../drawings/vmlDrawing4.vml"/><Relationship Id="rId2" Type="http://schemas.openxmlformats.org/officeDocument/2006/relationships/printerSettings" Target="../printerSettings/printerSettings17.bin"/><Relationship Id="rId1" Type="http://schemas.openxmlformats.org/officeDocument/2006/relationships/printerSettings" Target="../printerSettings/printerSettings16.bin"/><Relationship Id="rId6" Type="http://schemas.openxmlformats.org/officeDocument/2006/relationships/drawing" Target="../drawings/drawing4.xml"/><Relationship Id="rId5" Type="http://schemas.openxmlformats.org/officeDocument/2006/relationships/printerSettings" Target="../printerSettings/printerSettings20.bin"/><Relationship Id="rId4" Type="http://schemas.openxmlformats.org/officeDocument/2006/relationships/printerSettings" Target="../printerSettings/printerSettings19.bin"/><Relationship Id="rId9" Type="http://schemas.openxmlformats.org/officeDocument/2006/relationships/image" Target="../media/image4.emf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printerSettings" Target="../printerSettings/printerSettings23.bin"/><Relationship Id="rId7" Type="http://schemas.openxmlformats.org/officeDocument/2006/relationships/vmlDrawing" Target="../drawings/vmlDrawing5.vml"/><Relationship Id="rId2" Type="http://schemas.openxmlformats.org/officeDocument/2006/relationships/printerSettings" Target="../printerSettings/printerSettings22.bin"/><Relationship Id="rId1" Type="http://schemas.openxmlformats.org/officeDocument/2006/relationships/printerSettings" Target="../printerSettings/printerSettings21.bin"/><Relationship Id="rId6" Type="http://schemas.openxmlformats.org/officeDocument/2006/relationships/drawing" Target="../drawings/drawing5.xml"/><Relationship Id="rId5" Type="http://schemas.openxmlformats.org/officeDocument/2006/relationships/printerSettings" Target="../printerSettings/printerSettings25.bin"/><Relationship Id="rId4" Type="http://schemas.openxmlformats.org/officeDocument/2006/relationships/printerSettings" Target="../printerSettings/printerSettings24.bin"/><Relationship Id="rId9" Type="http://schemas.openxmlformats.org/officeDocument/2006/relationships/image" Target="../media/image5.emf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printerSettings" Target="../printerSettings/printerSettings28.bin"/><Relationship Id="rId7" Type="http://schemas.openxmlformats.org/officeDocument/2006/relationships/vmlDrawing" Target="../drawings/vmlDrawing6.vml"/><Relationship Id="rId2" Type="http://schemas.openxmlformats.org/officeDocument/2006/relationships/printerSettings" Target="../printerSettings/printerSettings27.bin"/><Relationship Id="rId1" Type="http://schemas.openxmlformats.org/officeDocument/2006/relationships/printerSettings" Target="../printerSettings/printerSettings26.bin"/><Relationship Id="rId6" Type="http://schemas.openxmlformats.org/officeDocument/2006/relationships/drawing" Target="../drawings/drawing6.xml"/><Relationship Id="rId5" Type="http://schemas.openxmlformats.org/officeDocument/2006/relationships/printerSettings" Target="../printerSettings/printerSettings30.bin"/><Relationship Id="rId10" Type="http://schemas.openxmlformats.org/officeDocument/2006/relationships/comments" Target="../comments3.xml"/><Relationship Id="rId4" Type="http://schemas.openxmlformats.org/officeDocument/2006/relationships/printerSettings" Target="../printerSettings/printerSettings29.bin"/><Relationship Id="rId9" Type="http://schemas.openxmlformats.org/officeDocument/2006/relationships/image" Target="../media/image6.emf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3" Type="http://schemas.openxmlformats.org/officeDocument/2006/relationships/printerSettings" Target="../printerSettings/printerSettings33.bin"/><Relationship Id="rId7" Type="http://schemas.openxmlformats.org/officeDocument/2006/relationships/vmlDrawing" Target="../drawings/vmlDrawing7.vml"/><Relationship Id="rId2" Type="http://schemas.openxmlformats.org/officeDocument/2006/relationships/printerSettings" Target="../printerSettings/printerSettings32.bin"/><Relationship Id="rId1" Type="http://schemas.openxmlformats.org/officeDocument/2006/relationships/printerSettings" Target="../printerSettings/printerSettings31.bin"/><Relationship Id="rId6" Type="http://schemas.openxmlformats.org/officeDocument/2006/relationships/drawing" Target="../drawings/drawing7.xml"/><Relationship Id="rId5" Type="http://schemas.openxmlformats.org/officeDocument/2006/relationships/printerSettings" Target="../printerSettings/printerSettings35.bin"/><Relationship Id="rId4" Type="http://schemas.openxmlformats.org/officeDocument/2006/relationships/printerSettings" Target="../printerSettings/printerSettings34.bin"/><Relationship Id="rId9" Type="http://schemas.openxmlformats.org/officeDocument/2006/relationships/image" Target="../media/image7.emf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8.xml"/><Relationship Id="rId3" Type="http://schemas.openxmlformats.org/officeDocument/2006/relationships/printerSettings" Target="../printerSettings/printerSettings38.bin"/><Relationship Id="rId7" Type="http://schemas.openxmlformats.org/officeDocument/2006/relationships/vmlDrawing" Target="../drawings/vmlDrawing8.vml"/><Relationship Id="rId2" Type="http://schemas.openxmlformats.org/officeDocument/2006/relationships/printerSettings" Target="../printerSettings/printerSettings37.bin"/><Relationship Id="rId1" Type="http://schemas.openxmlformats.org/officeDocument/2006/relationships/printerSettings" Target="../printerSettings/printerSettings36.bin"/><Relationship Id="rId6" Type="http://schemas.openxmlformats.org/officeDocument/2006/relationships/drawing" Target="../drawings/drawing8.xml"/><Relationship Id="rId5" Type="http://schemas.openxmlformats.org/officeDocument/2006/relationships/printerSettings" Target="../printerSettings/printerSettings40.bin"/><Relationship Id="rId10" Type="http://schemas.openxmlformats.org/officeDocument/2006/relationships/comments" Target="../comments4.xml"/><Relationship Id="rId4" Type="http://schemas.openxmlformats.org/officeDocument/2006/relationships/printerSettings" Target="../printerSettings/printerSettings39.bin"/><Relationship Id="rId9" Type="http://schemas.openxmlformats.org/officeDocument/2006/relationships/image" Target="../media/image8.emf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9.xml"/><Relationship Id="rId3" Type="http://schemas.openxmlformats.org/officeDocument/2006/relationships/printerSettings" Target="../printerSettings/printerSettings43.bin"/><Relationship Id="rId7" Type="http://schemas.openxmlformats.org/officeDocument/2006/relationships/vmlDrawing" Target="../drawings/vmlDrawing9.vml"/><Relationship Id="rId2" Type="http://schemas.openxmlformats.org/officeDocument/2006/relationships/printerSettings" Target="../printerSettings/printerSettings42.bin"/><Relationship Id="rId1" Type="http://schemas.openxmlformats.org/officeDocument/2006/relationships/printerSettings" Target="../printerSettings/printerSettings41.bin"/><Relationship Id="rId6" Type="http://schemas.openxmlformats.org/officeDocument/2006/relationships/drawing" Target="../drawings/drawing9.xml"/><Relationship Id="rId5" Type="http://schemas.openxmlformats.org/officeDocument/2006/relationships/printerSettings" Target="../printerSettings/printerSettings45.bin"/><Relationship Id="rId10" Type="http://schemas.openxmlformats.org/officeDocument/2006/relationships/comments" Target="../comments5.xml"/><Relationship Id="rId4" Type="http://schemas.openxmlformats.org/officeDocument/2006/relationships/printerSettings" Target="../printerSettings/printerSettings44.bin"/><Relationship Id="rId9" Type="http://schemas.openxmlformats.org/officeDocument/2006/relationships/image" Target="../media/image9.emf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0.xml"/><Relationship Id="rId3" Type="http://schemas.openxmlformats.org/officeDocument/2006/relationships/printerSettings" Target="../printerSettings/printerSettings48.bin"/><Relationship Id="rId7" Type="http://schemas.openxmlformats.org/officeDocument/2006/relationships/vmlDrawing" Target="../drawings/vmlDrawing10.vml"/><Relationship Id="rId2" Type="http://schemas.openxmlformats.org/officeDocument/2006/relationships/printerSettings" Target="../printerSettings/printerSettings47.bin"/><Relationship Id="rId1" Type="http://schemas.openxmlformats.org/officeDocument/2006/relationships/printerSettings" Target="../printerSettings/printerSettings46.bin"/><Relationship Id="rId6" Type="http://schemas.openxmlformats.org/officeDocument/2006/relationships/drawing" Target="../drawings/drawing10.xml"/><Relationship Id="rId5" Type="http://schemas.openxmlformats.org/officeDocument/2006/relationships/printerSettings" Target="../printerSettings/printerSettings50.bin"/><Relationship Id="rId4" Type="http://schemas.openxmlformats.org/officeDocument/2006/relationships/printerSettings" Target="../printerSettings/printerSettings49.bin"/><Relationship Id="rId9" Type="http://schemas.openxmlformats.org/officeDocument/2006/relationships/image" Target="../media/image10.emf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G232"/>
  <sheetViews>
    <sheetView zoomScaleNormal="100" workbookViewId="0">
      <pane xSplit="7" ySplit="3" topLeftCell="H4" activePane="bottomRight" state="frozen"/>
      <selection pane="topRight" activeCell="H1" sqref="H1"/>
      <selection pane="bottomLeft" activeCell="A4" sqref="A4"/>
      <selection pane="bottomRight" activeCell="I29" sqref="I29"/>
    </sheetView>
  </sheetViews>
  <sheetFormatPr baseColWidth="10" defaultRowHeight="10.5" x14ac:dyDescent="0.15"/>
  <cols>
    <col min="1" max="1" width="18.42578125" style="16" customWidth="1"/>
    <col min="2" max="2" width="14.85546875" style="16" customWidth="1"/>
    <col min="3" max="3" width="11.7109375" style="16" customWidth="1"/>
    <col min="4" max="4" width="6.140625" style="58" customWidth="1"/>
    <col min="5" max="5" width="7.42578125" style="58" customWidth="1"/>
    <col min="6" max="6" width="8.85546875" style="58" bestFit="1" customWidth="1"/>
    <col min="7" max="7" width="9.42578125" style="106" customWidth="1"/>
    <col min="8" max="9" width="9.42578125" style="16" customWidth="1"/>
    <col min="10" max="10" width="9.85546875" style="16" customWidth="1"/>
    <col min="11" max="11" width="10.85546875" style="16" customWidth="1"/>
    <col min="12" max="18" width="10.28515625" style="16" customWidth="1"/>
    <col min="19" max="19" width="9.7109375" style="16" customWidth="1"/>
    <col min="20" max="21" width="10.140625" style="16" customWidth="1"/>
    <col min="22" max="22" width="11.7109375" style="16" customWidth="1"/>
    <col min="23" max="16384" width="11.42578125" style="16"/>
  </cols>
  <sheetData>
    <row r="1" spans="1:24" ht="48" customHeight="1" x14ac:dyDescent="0.2">
      <c r="A1" s="147" t="s">
        <v>670</v>
      </c>
      <c r="C1" s="17"/>
      <c r="G1" s="102"/>
      <c r="H1" s="59"/>
      <c r="I1" s="59"/>
      <c r="J1" s="19"/>
      <c r="K1" s="19"/>
      <c r="L1" s="658"/>
      <c r="M1" s="637"/>
      <c r="N1" s="60"/>
      <c r="O1" s="60"/>
      <c r="P1" s="60"/>
      <c r="Q1" s="60"/>
      <c r="R1" s="60"/>
      <c r="S1" s="14"/>
      <c r="T1" s="14"/>
      <c r="U1" s="14"/>
      <c r="V1" s="2"/>
    </row>
    <row r="2" spans="1:24" ht="11.25" thickBot="1" x14ac:dyDescent="0.2">
      <c r="A2" s="37"/>
      <c r="C2" s="17"/>
      <c r="G2" s="103"/>
      <c r="H2" s="61"/>
      <c r="I2" s="61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4"/>
    </row>
    <row r="3" spans="1:24" s="17" customFormat="1" ht="11.25" thickBot="1" x14ac:dyDescent="0.2">
      <c r="A3" s="63" t="s">
        <v>0</v>
      </c>
      <c r="B3" s="63" t="s">
        <v>1</v>
      </c>
      <c r="C3" s="63" t="s">
        <v>2</v>
      </c>
      <c r="D3" s="63"/>
      <c r="E3" s="63"/>
      <c r="F3" s="63"/>
      <c r="G3" s="99" t="s">
        <v>21</v>
      </c>
      <c r="H3" s="556">
        <v>2016</v>
      </c>
      <c r="I3" s="65" t="s">
        <v>55</v>
      </c>
      <c r="J3" s="65" t="s">
        <v>56</v>
      </c>
      <c r="K3" s="65" t="s">
        <v>5</v>
      </c>
      <c r="L3" s="65" t="s">
        <v>6</v>
      </c>
      <c r="M3" s="65" t="s">
        <v>7</v>
      </c>
      <c r="N3" s="65" t="s">
        <v>8</v>
      </c>
      <c r="O3" s="65" t="s">
        <v>65</v>
      </c>
      <c r="P3" s="65" t="s">
        <v>64</v>
      </c>
      <c r="Q3" s="65" t="s">
        <v>49</v>
      </c>
      <c r="R3" s="65" t="s">
        <v>50</v>
      </c>
      <c r="S3" s="65" t="s">
        <v>59</v>
      </c>
      <c r="T3" s="66" t="s">
        <v>51</v>
      </c>
      <c r="U3" s="66" t="s">
        <v>866</v>
      </c>
      <c r="V3" s="67" t="s">
        <v>66</v>
      </c>
    </row>
    <row r="4" spans="1:24" x14ac:dyDescent="0.15">
      <c r="A4" s="68"/>
      <c r="B4" s="68"/>
      <c r="C4" s="69"/>
      <c r="D4" s="70"/>
      <c r="E4" s="70"/>
      <c r="F4" s="71"/>
      <c r="G4" s="104"/>
      <c r="H4" s="72"/>
      <c r="I4" s="72"/>
      <c r="J4" s="73"/>
      <c r="K4" s="72"/>
      <c r="L4" s="72"/>
      <c r="M4" s="72"/>
      <c r="N4" s="72"/>
      <c r="O4" s="72"/>
      <c r="P4" s="72"/>
      <c r="Q4" s="72"/>
      <c r="R4" s="72"/>
      <c r="S4" s="72"/>
      <c r="T4" s="72"/>
      <c r="U4" s="72"/>
      <c r="V4" s="74"/>
    </row>
    <row r="5" spans="1:24" x14ac:dyDescent="0.15">
      <c r="A5" s="27" t="s">
        <v>148</v>
      </c>
      <c r="B5" s="28"/>
      <c r="C5" s="29"/>
      <c r="D5" s="30"/>
      <c r="E5" s="30"/>
      <c r="F5" s="31"/>
      <c r="G5" s="101"/>
      <c r="H5" s="9"/>
      <c r="I5" s="9"/>
      <c r="J5" s="10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32"/>
    </row>
    <row r="6" spans="1:24" x14ac:dyDescent="0.15">
      <c r="A6" s="143" t="s">
        <v>87</v>
      </c>
      <c r="B6" s="143" t="s">
        <v>88</v>
      </c>
      <c r="C6" s="144"/>
      <c r="D6" s="145">
        <v>606801</v>
      </c>
      <c r="E6" s="145" t="s">
        <v>76</v>
      </c>
      <c r="F6" s="145"/>
      <c r="G6" s="163">
        <v>2000</v>
      </c>
      <c r="H6" s="559">
        <f>2368.2-2000+12.6-12.6</f>
        <v>368.19999999999982</v>
      </c>
      <c r="I6" s="226">
        <v>2342.6</v>
      </c>
      <c r="J6" s="226">
        <v>2099.6</v>
      </c>
      <c r="K6" s="226">
        <v>2432</v>
      </c>
      <c r="L6" s="226">
        <v>2015.8</v>
      </c>
      <c r="M6" s="226">
        <v>2087.8000000000002</v>
      </c>
      <c r="N6" s="226">
        <v>1682</v>
      </c>
      <c r="O6" s="226">
        <v>1921.71</v>
      </c>
      <c r="P6" s="226">
        <v>1906.17</v>
      </c>
      <c r="Q6" s="226">
        <v>2195.7600000000002</v>
      </c>
      <c r="R6" s="226">
        <v>2535.96</v>
      </c>
      <c r="S6" s="582">
        <v>2500</v>
      </c>
      <c r="T6" s="226"/>
      <c r="U6" s="582"/>
      <c r="V6" s="255">
        <f>SUM(H6:T6)</f>
        <v>24087.599999999999</v>
      </c>
      <c r="W6" s="14"/>
    </row>
    <row r="7" spans="1:24" s="37" customFormat="1" ht="11.25" thickBot="1" x14ac:dyDescent="0.2">
      <c r="A7" s="516" t="s">
        <v>11</v>
      </c>
      <c r="B7" s="517"/>
      <c r="C7" s="518"/>
      <c r="D7" s="519"/>
      <c r="E7" s="516"/>
      <c r="F7" s="520"/>
      <c r="G7" s="521"/>
      <c r="H7" s="522">
        <f>SUM(H6:H6)</f>
        <v>368.19999999999982</v>
      </c>
      <c r="I7" s="522">
        <f t="shared" ref="I7:V7" si="0">SUM(I6:I6)</f>
        <v>2342.6</v>
      </c>
      <c r="J7" s="522">
        <f t="shared" si="0"/>
        <v>2099.6</v>
      </c>
      <c r="K7" s="522">
        <f t="shared" si="0"/>
        <v>2432</v>
      </c>
      <c r="L7" s="522">
        <f t="shared" si="0"/>
        <v>2015.8</v>
      </c>
      <c r="M7" s="522">
        <f t="shared" si="0"/>
        <v>2087.8000000000002</v>
      </c>
      <c r="N7" s="522">
        <f t="shared" si="0"/>
        <v>1682</v>
      </c>
      <c r="O7" s="522">
        <f t="shared" si="0"/>
        <v>1921.71</v>
      </c>
      <c r="P7" s="522">
        <f t="shared" si="0"/>
        <v>1906.17</v>
      </c>
      <c r="Q7" s="522">
        <f t="shared" si="0"/>
        <v>2195.7600000000002</v>
      </c>
      <c r="R7" s="522">
        <f t="shared" si="0"/>
        <v>2535.96</v>
      </c>
      <c r="S7" s="522">
        <f t="shared" si="0"/>
        <v>2500</v>
      </c>
      <c r="T7" s="522">
        <f t="shared" si="0"/>
        <v>0</v>
      </c>
      <c r="U7" s="522">
        <f t="shared" si="0"/>
        <v>0</v>
      </c>
      <c r="V7" s="523">
        <f t="shared" si="0"/>
        <v>24087.599999999999</v>
      </c>
      <c r="W7" s="97" t="str">
        <f>+IF(V7=SUM(H7:T7),"contrôle ok", "erreur")</f>
        <v>contrôle ok</v>
      </c>
      <c r="X7" s="210"/>
    </row>
    <row r="8" spans="1:24" ht="11.25" thickTop="1" x14ac:dyDescent="0.15">
      <c r="A8" s="33"/>
      <c r="B8" s="33"/>
      <c r="C8" s="34"/>
      <c r="D8" s="35"/>
      <c r="E8" s="36"/>
      <c r="F8" s="35"/>
      <c r="G8" s="100"/>
      <c r="H8" s="246"/>
      <c r="I8" s="246"/>
      <c r="J8" s="231"/>
      <c r="K8" s="231"/>
      <c r="L8" s="246"/>
      <c r="M8" s="246"/>
      <c r="N8" s="246"/>
      <c r="O8" s="246"/>
      <c r="P8" s="246"/>
      <c r="Q8" s="246"/>
      <c r="R8" s="246"/>
      <c r="S8" s="246"/>
      <c r="T8" s="231"/>
      <c r="U8" s="231"/>
      <c r="V8" s="278"/>
    </row>
    <row r="9" spans="1:24" x14ac:dyDescent="0.15">
      <c r="A9" s="27" t="s">
        <v>41</v>
      </c>
      <c r="B9" s="28"/>
      <c r="C9" s="29"/>
      <c r="D9" s="30"/>
      <c r="E9" s="30"/>
      <c r="F9" s="31"/>
      <c r="G9" s="101"/>
      <c r="H9" s="224"/>
      <c r="I9" s="224"/>
      <c r="J9" s="251"/>
      <c r="K9" s="224"/>
      <c r="L9" s="224"/>
      <c r="M9" s="224"/>
      <c r="N9" s="224"/>
      <c r="O9" s="224"/>
      <c r="P9" s="224"/>
      <c r="Q9" s="224"/>
      <c r="R9" s="224"/>
      <c r="S9" s="224"/>
      <c r="T9" s="224"/>
      <c r="U9" s="224"/>
      <c r="V9" s="252"/>
    </row>
    <row r="10" spans="1:24" x14ac:dyDescent="0.15">
      <c r="A10" s="143"/>
      <c r="B10" s="143"/>
      <c r="C10" s="144"/>
      <c r="D10" s="145">
        <v>615111</v>
      </c>
      <c r="E10" s="145" t="s">
        <v>77</v>
      </c>
      <c r="F10" s="145" t="s">
        <v>192</v>
      </c>
      <c r="G10" s="163"/>
      <c r="H10" s="226"/>
      <c r="I10" s="226"/>
      <c r="J10" s="226"/>
      <c r="K10" s="226"/>
      <c r="L10" s="226"/>
      <c r="M10" s="226"/>
      <c r="N10" s="226"/>
      <c r="O10" s="226"/>
      <c r="P10" s="226"/>
      <c r="Q10" s="226"/>
      <c r="R10" s="226"/>
      <c r="S10" s="226"/>
      <c r="T10" s="226"/>
      <c r="U10" s="582"/>
      <c r="V10" s="255">
        <f>SUM(H10:T10)</f>
        <v>0</v>
      </c>
    </row>
    <row r="11" spans="1:24" x14ac:dyDescent="0.15">
      <c r="A11" s="143" t="s">
        <v>341</v>
      </c>
      <c r="B11" s="143"/>
      <c r="C11" s="144"/>
      <c r="D11" s="145">
        <v>615111</v>
      </c>
      <c r="E11" s="145" t="s">
        <v>77</v>
      </c>
      <c r="F11" s="145" t="s">
        <v>179</v>
      </c>
      <c r="G11" s="163">
        <v>4000</v>
      </c>
      <c r="H11" s="559">
        <f>3179.8-3179.8-820.2+1</f>
        <v>-819.2</v>
      </c>
      <c r="I11" s="226">
        <v>2537.4</v>
      </c>
      <c r="J11" s="226">
        <v>3981</v>
      </c>
      <c r="K11" s="226">
        <v>3553.9</v>
      </c>
      <c r="L11" s="226">
        <v>3098.45</v>
      </c>
      <c r="M11" s="226">
        <v>3825.1</v>
      </c>
      <c r="N11" s="226">
        <v>3243.85</v>
      </c>
      <c r="O11" s="226">
        <v>3555.55</v>
      </c>
      <c r="P11" s="226">
        <f>4479.7-447.3</f>
        <v>4032.3999999999996</v>
      </c>
      <c r="Q11" s="226">
        <v>3774.3</v>
      </c>
      <c r="R11" s="226">
        <v>4268.8999999999996</v>
      </c>
      <c r="S11" s="226">
        <v>4001.95</v>
      </c>
      <c r="T11" s="226"/>
      <c r="U11" s="582"/>
      <c r="V11" s="255">
        <f>SUM(H11:T11)</f>
        <v>39053.599999999991</v>
      </c>
      <c r="W11" s="141"/>
    </row>
    <row r="12" spans="1:24" x14ac:dyDescent="0.15">
      <c r="A12" s="143"/>
      <c r="B12" s="143"/>
      <c r="C12" s="144"/>
      <c r="D12" s="145"/>
      <c r="E12" s="145"/>
      <c r="F12" s="145"/>
      <c r="G12" s="163"/>
      <c r="H12" s="559"/>
      <c r="I12" s="226"/>
      <c r="J12" s="226"/>
      <c r="K12" s="226"/>
      <c r="L12" s="226"/>
      <c r="M12" s="226"/>
      <c r="N12" s="226"/>
      <c r="O12" s="226"/>
      <c r="P12" s="226"/>
      <c r="Q12" s="226"/>
      <c r="R12" s="226"/>
      <c r="S12" s="226"/>
      <c r="T12" s="226"/>
      <c r="U12" s="582"/>
      <c r="V12" s="255">
        <f>SUM(H12:T12)</f>
        <v>0</v>
      </c>
      <c r="W12" s="14"/>
    </row>
    <row r="13" spans="1:24" s="37" customFormat="1" ht="11.25" thickBot="1" x14ac:dyDescent="0.2">
      <c r="A13" s="516" t="s">
        <v>11</v>
      </c>
      <c r="B13" s="517"/>
      <c r="C13" s="518"/>
      <c r="D13" s="519"/>
      <c r="E13" s="516"/>
      <c r="F13" s="520"/>
      <c r="G13" s="521"/>
      <c r="H13" s="522">
        <f>SUM(H10:H12)</f>
        <v>-819.2</v>
      </c>
      <c r="I13" s="522">
        <f t="shared" ref="I13:V13" si="1">SUM(I10:I12)</f>
        <v>2537.4</v>
      </c>
      <c r="J13" s="522">
        <f t="shared" si="1"/>
        <v>3981</v>
      </c>
      <c r="K13" s="522">
        <f t="shared" si="1"/>
        <v>3553.9</v>
      </c>
      <c r="L13" s="522">
        <f t="shared" si="1"/>
        <v>3098.45</v>
      </c>
      <c r="M13" s="522">
        <f t="shared" si="1"/>
        <v>3825.1</v>
      </c>
      <c r="N13" s="522">
        <f t="shared" si="1"/>
        <v>3243.85</v>
      </c>
      <c r="O13" s="522">
        <f t="shared" si="1"/>
        <v>3555.55</v>
      </c>
      <c r="P13" s="522">
        <f t="shared" si="1"/>
        <v>4032.3999999999996</v>
      </c>
      <c r="Q13" s="522">
        <f t="shared" si="1"/>
        <v>3774.3</v>
      </c>
      <c r="R13" s="522">
        <f t="shared" si="1"/>
        <v>4268.8999999999996</v>
      </c>
      <c r="S13" s="522">
        <f t="shared" si="1"/>
        <v>4001.95</v>
      </c>
      <c r="T13" s="522">
        <f t="shared" si="1"/>
        <v>0</v>
      </c>
      <c r="U13" s="522">
        <f t="shared" si="1"/>
        <v>0</v>
      </c>
      <c r="V13" s="522">
        <f t="shared" si="1"/>
        <v>39053.599999999991</v>
      </c>
      <c r="W13" s="97" t="str">
        <f>+IF(V13=SUM(H13:T13),"contrôle ok", "erreur")</f>
        <v>contrôle ok</v>
      </c>
      <c r="X13" s="16"/>
    </row>
    <row r="14" spans="1:24" s="56" customFormat="1" ht="11.25" thickTop="1" x14ac:dyDescent="0.15">
      <c r="A14" s="54"/>
      <c r="B14" s="51"/>
      <c r="C14" s="52"/>
      <c r="D14" s="53"/>
      <c r="E14" s="120"/>
      <c r="F14" s="53"/>
      <c r="G14" s="108"/>
      <c r="H14" s="228"/>
      <c r="I14" s="228"/>
      <c r="J14" s="228"/>
      <c r="K14" s="228"/>
      <c r="L14" s="228"/>
      <c r="M14" s="228"/>
      <c r="N14" s="228"/>
      <c r="O14" s="228"/>
      <c r="P14" s="228"/>
      <c r="Q14" s="228"/>
      <c r="R14" s="228"/>
      <c r="S14" s="228"/>
      <c r="T14" s="228"/>
      <c r="U14" s="228"/>
      <c r="V14" s="228"/>
      <c r="W14" s="97"/>
      <c r="X14" s="98"/>
    </row>
    <row r="15" spans="1:24" x14ac:dyDescent="0.15">
      <c r="A15" s="27" t="s">
        <v>519</v>
      </c>
      <c r="B15" s="28"/>
      <c r="C15" s="29"/>
      <c r="D15" s="30"/>
      <c r="E15" s="30"/>
      <c r="F15" s="31"/>
      <c r="G15" s="101"/>
      <c r="H15" s="224"/>
      <c r="I15" s="224"/>
      <c r="J15" s="251"/>
      <c r="K15" s="224"/>
      <c r="L15" s="224"/>
      <c r="M15" s="224"/>
      <c r="N15" s="224"/>
      <c r="O15" s="224"/>
      <c r="P15" s="224"/>
      <c r="Q15" s="224"/>
      <c r="R15" s="224"/>
      <c r="S15" s="224"/>
      <c r="T15" s="224"/>
      <c r="U15" s="224"/>
      <c r="V15" s="252"/>
    </row>
    <row r="16" spans="1:24" x14ac:dyDescent="0.15">
      <c r="A16" s="143" t="s">
        <v>850</v>
      </c>
      <c r="B16" s="143" t="s">
        <v>849</v>
      </c>
      <c r="C16" s="144"/>
      <c r="D16" s="145">
        <v>615113</v>
      </c>
      <c r="E16" s="145" t="s">
        <v>145</v>
      </c>
      <c r="F16" s="145" t="s">
        <v>192</v>
      </c>
      <c r="G16" s="163"/>
      <c r="H16" s="559"/>
      <c r="I16" s="226"/>
      <c r="J16" s="226"/>
      <c r="K16" s="226"/>
      <c r="L16" s="226"/>
      <c r="M16" s="226"/>
      <c r="N16" s="226"/>
      <c r="O16" s="226"/>
      <c r="P16" s="226"/>
      <c r="Q16" s="226">
        <f>600+600</f>
        <v>1200</v>
      </c>
      <c r="R16" s="226"/>
      <c r="S16" s="226"/>
      <c r="T16" s="226"/>
      <c r="U16" s="582"/>
      <c r="V16" s="255">
        <f>SUM(H16:T16)</f>
        <v>1200</v>
      </c>
    </row>
    <row r="17" spans="1:24" x14ac:dyDescent="0.15">
      <c r="A17" s="143" t="s">
        <v>383</v>
      </c>
      <c r="B17" s="143" t="s">
        <v>481</v>
      </c>
      <c r="C17" s="144"/>
      <c r="D17" s="145">
        <v>615113</v>
      </c>
      <c r="E17" s="145" t="s">
        <v>145</v>
      </c>
      <c r="F17" s="145" t="s">
        <v>269</v>
      </c>
      <c r="G17" s="163"/>
      <c r="H17" s="559">
        <f>2118.54-2500</f>
        <v>-381.46000000000004</v>
      </c>
      <c r="I17" s="226">
        <v>1815.09</v>
      </c>
      <c r="J17" s="226">
        <v>2081.25</v>
      </c>
      <c r="K17" s="226">
        <f>-2081.25+2892.8+2382.31</f>
        <v>3193.86</v>
      </c>
      <c r="L17" s="226">
        <v>2552.48</v>
      </c>
      <c r="M17" s="226">
        <v>1928.54</v>
      </c>
      <c r="N17" s="226">
        <v>3034.61</v>
      </c>
      <c r="O17" s="226">
        <v>1701.65</v>
      </c>
      <c r="P17" s="226">
        <v>1539.12</v>
      </c>
      <c r="Q17" s="226">
        <v>1239.51</v>
      </c>
      <c r="R17" s="226">
        <v>1559.69</v>
      </c>
      <c r="S17" s="582">
        <v>1500</v>
      </c>
      <c r="T17" s="226"/>
      <c r="U17" s="582"/>
      <c r="V17" s="255">
        <f>SUM(H17:T17)</f>
        <v>21764.339999999997</v>
      </c>
      <c r="W17" s="14"/>
    </row>
    <row r="18" spans="1:24" x14ac:dyDescent="0.15">
      <c r="A18" s="143" t="s">
        <v>581</v>
      </c>
      <c r="B18" s="143" t="s">
        <v>481</v>
      </c>
      <c r="C18" s="144"/>
      <c r="D18" s="145">
        <v>615113</v>
      </c>
      <c r="E18" s="145" t="s">
        <v>145</v>
      </c>
      <c r="F18" s="145" t="s">
        <v>269</v>
      </c>
      <c r="G18" s="163"/>
      <c r="H18" s="559">
        <f>1291.68-1000</f>
        <v>291.68000000000006</v>
      </c>
      <c r="I18" s="226">
        <v>1263.5999999999999</v>
      </c>
      <c r="J18" s="226">
        <v>1010.88</v>
      </c>
      <c r="K18" s="226">
        <v>1263.5999999999999</v>
      </c>
      <c r="L18" s="226">
        <v>758.16</v>
      </c>
      <c r="M18" s="226">
        <v>1516.32</v>
      </c>
      <c r="N18" s="226">
        <v>1010.88</v>
      </c>
      <c r="O18" s="226">
        <v>611.62</v>
      </c>
      <c r="P18" s="226">
        <f>252.72+758.16+505.44-252.72</f>
        <v>1263.5999999999999</v>
      </c>
      <c r="Q18" s="226">
        <v>1263.5999999999999</v>
      </c>
      <c r="R18" s="226">
        <f>1010.88+252.72</f>
        <v>1263.5999999999999</v>
      </c>
      <c r="S18" s="226">
        <v>1010.88</v>
      </c>
      <c r="T18" s="226"/>
      <c r="U18" s="582"/>
      <c r="V18" s="255">
        <f>SUM(H18:T18)</f>
        <v>12528.42</v>
      </c>
      <c r="W18" s="14"/>
    </row>
    <row r="19" spans="1:24" s="37" customFormat="1" ht="11.25" thickBot="1" x14ac:dyDescent="0.2">
      <c r="A19" s="516" t="s">
        <v>11</v>
      </c>
      <c r="B19" s="517"/>
      <c r="C19" s="518"/>
      <c r="D19" s="519"/>
      <c r="E19" s="516"/>
      <c r="F19" s="520"/>
      <c r="G19" s="521"/>
      <c r="H19" s="522">
        <f>SUM(H16:H18)</f>
        <v>-89.779999999999973</v>
      </c>
      <c r="I19" s="522">
        <f t="shared" ref="I19:V19" si="2">SUM(I16:I18)</f>
        <v>3078.6899999999996</v>
      </c>
      <c r="J19" s="522">
        <f t="shared" si="2"/>
        <v>3092.13</v>
      </c>
      <c r="K19" s="522">
        <f t="shared" si="2"/>
        <v>4457.46</v>
      </c>
      <c r="L19" s="522">
        <f t="shared" si="2"/>
        <v>3310.64</v>
      </c>
      <c r="M19" s="522">
        <f t="shared" si="2"/>
        <v>3444.8599999999997</v>
      </c>
      <c r="N19" s="522">
        <f t="shared" si="2"/>
        <v>4045.4900000000002</v>
      </c>
      <c r="O19" s="522">
        <f t="shared" si="2"/>
        <v>2313.27</v>
      </c>
      <c r="P19" s="522">
        <f t="shared" si="2"/>
        <v>2802.72</v>
      </c>
      <c r="Q19" s="522">
        <f t="shared" si="2"/>
        <v>3703.11</v>
      </c>
      <c r="R19" s="522">
        <f t="shared" si="2"/>
        <v>2823.29</v>
      </c>
      <c r="S19" s="522">
        <f t="shared" si="2"/>
        <v>2510.88</v>
      </c>
      <c r="T19" s="522">
        <f t="shared" si="2"/>
        <v>0</v>
      </c>
      <c r="U19" s="522">
        <f t="shared" si="2"/>
        <v>0</v>
      </c>
      <c r="V19" s="522">
        <f t="shared" si="2"/>
        <v>35492.759999999995</v>
      </c>
      <c r="W19" s="97" t="str">
        <f>+IF(V19=SUM(H19:T19),"contrôle ok", "erreur")</f>
        <v>contrôle ok</v>
      </c>
      <c r="X19" s="16"/>
    </row>
    <row r="20" spans="1:24" ht="9.6" customHeight="1" thickTop="1" x14ac:dyDescent="0.15">
      <c r="A20" s="33"/>
      <c r="B20" s="33"/>
      <c r="C20" s="34"/>
      <c r="D20" s="35"/>
      <c r="E20" s="36"/>
      <c r="F20" s="35"/>
      <c r="G20" s="100"/>
      <c r="H20" s="246"/>
      <c r="I20" s="246"/>
      <c r="J20" s="231"/>
      <c r="K20" s="231"/>
      <c r="L20" s="246"/>
      <c r="M20" s="246"/>
      <c r="N20" s="246"/>
      <c r="O20" s="246"/>
      <c r="P20" s="246"/>
      <c r="Q20" s="246"/>
      <c r="R20" s="246"/>
      <c r="S20" s="246"/>
      <c r="T20" s="231"/>
      <c r="U20" s="231"/>
      <c r="V20" s="278"/>
    </row>
    <row r="21" spans="1:24" s="56" customFormat="1" x14ac:dyDescent="0.15">
      <c r="A21" s="27" t="s">
        <v>534</v>
      </c>
      <c r="B21" s="28"/>
      <c r="C21" s="29"/>
      <c r="D21" s="134"/>
      <c r="E21" s="30"/>
      <c r="F21" s="31"/>
      <c r="G21" s="101"/>
      <c r="H21" s="224"/>
      <c r="I21" s="224"/>
      <c r="J21" s="251"/>
      <c r="K21" s="224"/>
      <c r="L21" s="224"/>
      <c r="M21" s="224"/>
      <c r="N21" s="224"/>
      <c r="O21" s="224"/>
      <c r="P21" s="224"/>
      <c r="Q21" s="224"/>
      <c r="R21" s="224"/>
      <c r="S21" s="224"/>
      <c r="T21" s="224"/>
      <c r="U21" s="224"/>
      <c r="V21" s="252"/>
      <c r="W21" s="97"/>
      <c r="X21" s="467"/>
    </row>
    <row r="22" spans="1:24" s="56" customFormat="1" x14ac:dyDescent="0.15">
      <c r="A22" s="493"/>
      <c r="B22" s="494"/>
      <c r="C22" s="495"/>
      <c r="D22" s="496">
        <v>615114</v>
      </c>
      <c r="E22" s="475" t="s">
        <v>77</v>
      </c>
      <c r="F22" s="475" t="s">
        <v>192</v>
      </c>
      <c r="G22" s="163"/>
      <c r="H22" s="559">
        <f>160-160-160-160</f>
        <v>-320</v>
      </c>
      <c r="I22" s="226">
        <f>480-160</f>
        <v>320</v>
      </c>
      <c r="J22" s="226"/>
      <c r="K22" s="226">
        <v>-160</v>
      </c>
      <c r="L22" s="226">
        <v>480</v>
      </c>
      <c r="M22" s="226"/>
      <c r="N22" s="226">
        <v>160</v>
      </c>
      <c r="O22" s="226">
        <v>480</v>
      </c>
      <c r="P22" s="226"/>
      <c r="Q22" s="226">
        <f>480-160</f>
        <v>320</v>
      </c>
      <c r="R22" s="226">
        <v>480</v>
      </c>
      <c r="S22" s="226">
        <v>480</v>
      </c>
      <c r="T22" s="226"/>
      <c r="U22" s="582"/>
      <c r="V22" s="255">
        <f>SUM(H22:T22)</f>
        <v>2240</v>
      </c>
      <c r="W22" s="97"/>
      <c r="X22" s="467"/>
    </row>
    <row r="23" spans="1:24" s="56" customFormat="1" x14ac:dyDescent="0.15">
      <c r="A23" s="493"/>
      <c r="B23" s="494"/>
      <c r="C23" s="495"/>
      <c r="D23" s="495"/>
      <c r="E23" s="493"/>
      <c r="F23" s="493"/>
      <c r="G23" s="163"/>
      <c r="H23" s="559"/>
      <c r="I23" s="226"/>
      <c r="J23" s="226"/>
      <c r="K23" s="226"/>
      <c r="L23" s="226"/>
      <c r="M23" s="226"/>
      <c r="N23" s="226"/>
      <c r="O23" s="226"/>
      <c r="P23" s="226"/>
      <c r="Q23" s="226"/>
      <c r="R23" s="226"/>
      <c r="S23" s="226"/>
      <c r="T23" s="226"/>
      <c r="U23" s="582"/>
      <c r="V23" s="255">
        <f>SUM(H23:T23)</f>
        <v>0</v>
      </c>
      <c r="W23" s="97"/>
      <c r="X23" s="467"/>
    </row>
    <row r="24" spans="1:24" s="56" customFormat="1" ht="11.25" thickBot="1" x14ac:dyDescent="0.2">
      <c r="A24" s="516" t="s">
        <v>11</v>
      </c>
      <c r="B24" s="517"/>
      <c r="C24" s="524"/>
      <c r="D24" s="525"/>
      <c r="E24" s="520"/>
      <c r="F24" s="526"/>
      <c r="G24" s="521"/>
      <c r="H24" s="522">
        <f>SUM(H22:H23)</f>
        <v>-320</v>
      </c>
      <c r="I24" s="522">
        <f>SUM(I22:I23)</f>
        <v>320</v>
      </c>
      <c r="J24" s="522">
        <f t="shared" ref="J24:V24" si="3">SUM(J22:J23)</f>
        <v>0</v>
      </c>
      <c r="K24" s="522">
        <f t="shared" si="3"/>
        <v>-160</v>
      </c>
      <c r="L24" s="522">
        <f t="shared" si="3"/>
        <v>480</v>
      </c>
      <c r="M24" s="522">
        <f t="shared" si="3"/>
        <v>0</v>
      </c>
      <c r="N24" s="522">
        <f t="shared" si="3"/>
        <v>160</v>
      </c>
      <c r="O24" s="522">
        <f t="shared" si="3"/>
        <v>480</v>
      </c>
      <c r="P24" s="522">
        <f t="shared" si="3"/>
        <v>0</v>
      </c>
      <c r="Q24" s="522">
        <f t="shared" si="3"/>
        <v>320</v>
      </c>
      <c r="R24" s="522">
        <f t="shared" si="3"/>
        <v>480</v>
      </c>
      <c r="S24" s="522">
        <f t="shared" si="3"/>
        <v>480</v>
      </c>
      <c r="T24" s="522">
        <f t="shared" si="3"/>
        <v>0</v>
      </c>
      <c r="U24" s="522">
        <f t="shared" si="3"/>
        <v>0</v>
      </c>
      <c r="V24" s="522">
        <f t="shared" si="3"/>
        <v>2240</v>
      </c>
      <c r="W24" s="97" t="str">
        <f>+IF(V24=SUM(H24:T24),"contrôle ok", "erreur")</f>
        <v>contrôle ok</v>
      </c>
      <c r="X24" s="497"/>
    </row>
    <row r="25" spans="1:24" s="56" customFormat="1" ht="11.25" thickTop="1" x14ac:dyDescent="0.15">
      <c r="A25" s="120"/>
      <c r="B25" s="51"/>
      <c r="C25" s="52"/>
      <c r="D25" s="136"/>
      <c r="E25" s="120"/>
      <c r="F25" s="53"/>
      <c r="G25" s="108"/>
      <c r="H25" s="228"/>
      <c r="I25" s="228"/>
      <c r="J25" s="228"/>
      <c r="K25" s="228"/>
      <c r="L25" s="228"/>
      <c r="M25" s="228"/>
      <c r="N25" s="228"/>
      <c r="O25" s="228"/>
      <c r="P25" s="228"/>
      <c r="Q25" s="228"/>
      <c r="R25" s="228"/>
      <c r="S25" s="228"/>
      <c r="T25" s="228"/>
      <c r="U25" s="228"/>
      <c r="V25" s="228"/>
      <c r="W25" s="97"/>
      <c r="X25" s="467"/>
    </row>
    <row r="26" spans="1:24" ht="9.6" customHeight="1" x14ac:dyDescent="0.15">
      <c r="A26" s="27" t="s">
        <v>244</v>
      </c>
      <c r="B26" s="28"/>
      <c r="C26" s="29"/>
      <c r="D26" s="30"/>
      <c r="E26" s="30"/>
      <c r="F26" s="31"/>
      <c r="G26" s="101"/>
      <c r="H26" s="224"/>
      <c r="I26" s="224"/>
      <c r="J26" s="251"/>
      <c r="K26" s="224"/>
      <c r="L26" s="224"/>
      <c r="M26" s="224"/>
      <c r="N26" s="224"/>
      <c r="O26" s="224"/>
      <c r="P26" s="224"/>
      <c r="Q26" s="224"/>
      <c r="R26" s="224"/>
      <c r="S26" s="224"/>
      <c r="T26" s="224"/>
      <c r="U26" s="224"/>
      <c r="V26" s="252"/>
    </row>
    <row r="27" spans="1:24" ht="9.6" customHeight="1" x14ac:dyDescent="0.15">
      <c r="A27" s="143"/>
      <c r="B27" s="143"/>
      <c r="C27" s="144"/>
      <c r="D27" s="145"/>
      <c r="E27" s="145" t="s">
        <v>78</v>
      </c>
      <c r="F27" s="145" t="s">
        <v>248</v>
      </c>
      <c r="G27" s="163"/>
      <c r="H27" s="559">
        <f>5297-4159</f>
        <v>1138</v>
      </c>
      <c r="I27" s="226"/>
      <c r="J27" s="226"/>
      <c r="K27" s="226"/>
      <c r="L27" s="226"/>
      <c r="M27" s="226">
        <f>4104+1500</f>
        <v>5604</v>
      </c>
      <c r="N27" s="226">
        <v>9084.66</v>
      </c>
      <c r="O27" s="226">
        <f>5462+3250+2500</f>
        <v>11212</v>
      </c>
      <c r="P27" s="226">
        <f>3080+6900+5448.58</f>
        <v>15428.58</v>
      </c>
      <c r="Q27" s="226">
        <f>1500+1450+3459.5+10840+6880</f>
        <v>24129.5</v>
      </c>
      <c r="R27" s="226">
        <f>6422.86+2564+3564+6325.46+1890</f>
        <v>20766.32</v>
      </c>
      <c r="S27" s="226">
        <f>3180+3145+7005.33+22037.77+3591.74+4634.12+4770+155+1347+480+3715</f>
        <v>54060.959999999999</v>
      </c>
      <c r="T27" s="226">
        <f>28516+6487+14511.83+2141+8745+7545.9+6578.49+4290.53+1618.65</f>
        <v>80434.399999999994</v>
      </c>
      <c r="U27" s="582"/>
      <c r="V27" s="255">
        <f>SUM(H27:T27)</f>
        <v>221858.41999999998</v>
      </c>
    </row>
    <row r="28" spans="1:24" s="37" customFormat="1" ht="11.25" customHeight="1" thickBot="1" x14ac:dyDescent="0.2">
      <c r="A28" s="516" t="s">
        <v>11</v>
      </c>
      <c r="B28" s="517"/>
      <c r="C28" s="518"/>
      <c r="D28" s="519"/>
      <c r="E28" s="516"/>
      <c r="F28" s="520"/>
      <c r="G28" s="521"/>
      <c r="H28" s="522">
        <f>SUM(H27:H27)</f>
        <v>1138</v>
      </c>
      <c r="I28" s="522">
        <f t="shared" ref="I28:V28" si="4">SUM(I27:I27)</f>
        <v>0</v>
      </c>
      <c r="J28" s="522">
        <f t="shared" si="4"/>
        <v>0</v>
      </c>
      <c r="K28" s="522">
        <f t="shared" si="4"/>
        <v>0</v>
      </c>
      <c r="L28" s="522">
        <f t="shared" si="4"/>
        <v>0</v>
      </c>
      <c r="M28" s="522">
        <f t="shared" si="4"/>
        <v>5604</v>
      </c>
      <c r="N28" s="522">
        <f t="shared" si="4"/>
        <v>9084.66</v>
      </c>
      <c r="O28" s="522">
        <f t="shared" si="4"/>
        <v>11212</v>
      </c>
      <c r="P28" s="522">
        <f>SUM(P27:P27)</f>
        <v>15428.58</v>
      </c>
      <c r="Q28" s="522">
        <f t="shared" si="4"/>
        <v>24129.5</v>
      </c>
      <c r="R28" s="522">
        <f t="shared" si="4"/>
        <v>20766.32</v>
      </c>
      <c r="S28" s="522">
        <f t="shared" si="4"/>
        <v>54060.959999999999</v>
      </c>
      <c r="T28" s="522">
        <f t="shared" si="4"/>
        <v>80434.399999999994</v>
      </c>
      <c r="U28" s="522">
        <f t="shared" si="4"/>
        <v>0</v>
      </c>
      <c r="V28" s="522">
        <f t="shared" si="4"/>
        <v>221858.41999999998</v>
      </c>
      <c r="W28" s="97" t="str">
        <f>+IF(V28=SUM(H28:T28),"contrôle ok", "erreur")</f>
        <v>contrôle ok</v>
      </c>
      <c r="X28" s="16"/>
    </row>
    <row r="29" spans="1:24" ht="9.6" customHeight="1" thickTop="1" x14ac:dyDescent="0.15">
      <c r="A29" s="33"/>
      <c r="B29" s="33"/>
      <c r="C29" s="34"/>
      <c r="D29" s="35"/>
      <c r="E29" s="36"/>
      <c r="F29" s="35"/>
      <c r="G29" s="100"/>
      <c r="H29" s="246"/>
      <c r="I29" s="246"/>
      <c r="J29" s="231"/>
      <c r="K29" s="231"/>
      <c r="L29" s="246"/>
      <c r="M29" s="246"/>
      <c r="N29" s="246"/>
      <c r="O29" s="246"/>
      <c r="P29" s="246"/>
      <c r="Q29" s="246"/>
      <c r="R29" s="246"/>
      <c r="S29" s="246"/>
      <c r="T29" s="231"/>
      <c r="U29" s="231"/>
      <c r="V29" s="278"/>
    </row>
    <row r="30" spans="1:24" x14ac:dyDescent="0.15">
      <c r="A30" s="27" t="s">
        <v>369</v>
      </c>
      <c r="B30" s="28"/>
      <c r="C30" s="29"/>
      <c r="D30" s="30"/>
      <c r="E30" s="30"/>
      <c r="F30" s="31"/>
      <c r="G30" s="101"/>
      <c r="H30" s="224"/>
      <c r="I30" s="224"/>
      <c r="J30" s="251"/>
      <c r="K30" s="224"/>
      <c r="L30" s="224"/>
      <c r="M30" s="224"/>
      <c r="N30" s="224"/>
      <c r="O30" s="224"/>
      <c r="P30" s="224"/>
      <c r="Q30" s="224"/>
      <c r="R30" s="224"/>
      <c r="S30" s="224"/>
      <c r="T30" s="224"/>
      <c r="U30" s="224"/>
      <c r="V30" s="252"/>
    </row>
    <row r="31" spans="1:24" x14ac:dyDescent="0.15">
      <c r="A31" s="143" t="s">
        <v>382</v>
      </c>
      <c r="B31" s="320"/>
      <c r="C31" s="321"/>
      <c r="D31" s="319"/>
      <c r="E31" s="145" t="s">
        <v>145</v>
      </c>
      <c r="F31" s="145" t="s">
        <v>192</v>
      </c>
      <c r="G31" s="165"/>
      <c r="H31" s="559"/>
      <c r="I31" s="226"/>
      <c r="J31" s="226"/>
      <c r="K31" s="226"/>
      <c r="L31" s="226"/>
      <c r="M31" s="226"/>
      <c r="N31" s="226"/>
      <c r="O31" s="226"/>
      <c r="P31" s="226"/>
      <c r="Q31" s="226"/>
      <c r="R31" s="226"/>
      <c r="S31" s="226"/>
      <c r="T31" s="226"/>
      <c r="U31" s="582"/>
      <c r="V31" s="255">
        <f>SUM(H31:T31)</f>
        <v>0</v>
      </c>
    </row>
    <row r="32" spans="1:24" ht="9.75" customHeight="1" x14ac:dyDescent="0.15">
      <c r="A32" s="143" t="s">
        <v>386</v>
      </c>
      <c r="B32" s="320"/>
      <c r="C32" s="321"/>
      <c r="D32" s="319"/>
      <c r="E32" s="145" t="s">
        <v>145</v>
      </c>
      <c r="F32" s="145" t="s">
        <v>192</v>
      </c>
      <c r="G32" s="165"/>
      <c r="H32" s="559"/>
      <c r="I32" s="226"/>
      <c r="J32" s="226"/>
      <c r="K32" s="226"/>
      <c r="L32" s="226"/>
      <c r="M32" s="226"/>
      <c r="N32" s="226"/>
      <c r="O32" s="226"/>
      <c r="P32" s="226"/>
      <c r="Q32" s="226"/>
      <c r="R32" s="226"/>
      <c r="S32" s="226"/>
      <c r="T32" s="226"/>
      <c r="U32" s="582"/>
      <c r="V32" s="255">
        <f>SUM(H32:T32)</f>
        <v>0</v>
      </c>
    </row>
    <row r="33" spans="1:24" x14ac:dyDescent="0.15">
      <c r="A33" s="143" t="s">
        <v>581</v>
      </c>
      <c r="B33" s="320"/>
      <c r="C33" s="321"/>
      <c r="D33" s="145">
        <v>615136</v>
      </c>
      <c r="E33" s="145" t="s">
        <v>145</v>
      </c>
      <c r="F33" s="145" t="s">
        <v>269</v>
      </c>
      <c r="G33" s="165"/>
      <c r="H33" s="559">
        <f>1123.6-1000</f>
        <v>123.59999999999991</v>
      </c>
      <c r="I33" s="226">
        <v>832.63</v>
      </c>
      <c r="J33" s="226">
        <v>705.96</v>
      </c>
      <c r="K33" s="226">
        <v>872.38</v>
      </c>
      <c r="L33" s="226">
        <v>527.35</v>
      </c>
      <c r="M33" s="226">
        <v>1142.68</v>
      </c>
      <c r="N33" s="226">
        <v>873.97</v>
      </c>
      <c r="O33" s="226">
        <v>1010.88</v>
      </c>
      <c r="P33" s="226">
        <f>154.76+484.42+346.62-173.84</f>
        <v>811.96</v>
      </c>
      <c r="Q33" s="226">
        <v>678.93</v>
      </c>
      <c r="R33" s="226">
        <f>632.29+170.13</f>
        <v>802.42</v>
      </c>
      <c r="S33" s="226">
        <v>687.41</v>
      </c>
      <c r="T33" s="226"/>
      <c r="U33" s="582"/>
      <c r="V33" s="255">
        <f>SUM(H33:T33)</f>
        <v>9070.17</v>
      </c>
    </row>
    <row r="34" spans="1:24" x14ac:dyDescent="0.15">
      <c r="A34" s="143" t="s">
        <v>383</v>
      </c>
      <c r="B34" s="320"/>
      <c r="C34" s="321"/>
      <c r="D34" s="145">
        <v>615136</v>
      </c>
      <c r="E34" s="145" t="s">
        <v>145</v>
      </c>
      <c r="F34" s="145" t="s">
        <v>269</v>
      </c>
      <c r="G34" s="165"/>
      <c r="H34" s="559">
        <f>2164.63-2500+535.26</f>
        <v>199.8900000000001</v>
      </c>
      <c r="I34" s="226">
        <f>1270.93+506.87</f>
        <v>1777.8000000000002</v>
      </c>
      <c r="J34" s="226">
        <f>2379.05+116.27</f>
        <v>2495.3200000000002</v>
      </c>
      <c r="K34" s="226">
        <f>-2379.05+834.78+2144.82+2038.72</f>
        <v>2639.27</v>
      </c>
      <c r="L34" s="226">
        <f>596.88+1662.59</f>
        <v>2259.4699999999998</v>
      </c>
      <c r="M34" s="226">
        <f>1534.52+98.59</f>
        <v>1633.11</v>
      </c>
      <c r="N34" s="226">
        <f>2280.06+786.55</f>
        <v>3066.6099999999997</v>
      </c>
      <c r="O34" s="226">
        <f>173.06+1225.38</f>
        <v>1398.44</v>
      </c>
      <c r="P34" s="226">
        <f>81.98+1253.8</f>
        <v>1335.78</v>
      </c>
      <c r="Q34" s="226">
        <f>1120.36+115.73</f>
        <v>1236.0899999999999</v>
      </c>
      <c r="R34" s="226">
        <f>1407.03+64.76</f>
        <v>1471.79</v>
      </c>
      <c r="S34" s="582">
        <v>1400</v>
      </c>
      <c r="T34" s="226"/>
      <c r="U34" s="582"/>
      <c r="V34" s="255">
        <f>SUM(H34:T34)</f>
        <v>20913.570000000003</v>
      </c>
    </row>
    <row r="35" spans="1:24" s="37" customFormat="1" ht="11.25" thickBot="1" x14ac:dyDescent="0.2">
      <c r="A35" s="516" t="s">
        <v>11</v>
      </c>
      <c r="B35" s="517"/>
      <c r="C35" s="518"/>
      <c r="D35" s="519"/>
      <c r="E35" s="516"/>
      <c r="F35" s="520"/>
      <c r="G35" s="521"/>
      <c r="H35" s="522">
        <f t="shared" ref="H35:V35" si="5">SUM(H31:H34)</f>
        <v>323.49</v>
      </c>
      <c r="I35" s="522">
        <f t="shared" si="5"/>
        <v>2610.4300000000003</v>
      </c>
      <c r="J35" s="522">
        <f t="shared" si="5"/>
        <v>3201.28</v>
      </c>
      <c r="K35" s="522">
        <f t="shared" si="5"/>
        <v>3511.65</v>
      </c>
      <c r="L35" s="522">
        <f t="shared" si="5"/>
        <v>2786.8199999999997</v>
      </c>
      <c r="M35" s="522">
        <f t="shared" si="5"/>
        <v>2775.79</v>
      </c>
      <c r="N35" s="522">
        <f t="shared" si="5"/>
        <v>3940.58</v>
      </c>
      <c r="O35" s="522">
        <f t="shared" si="5"/>
        <v>2409.3200000000002</v>
      </c>
      <c r="P35" s="522">
        <f t="shared" si="5"/>
        <v>2147.7399999999998</v>
      </c>
      <c r="Q35" s="522">
        <f t="shared" si="5"/>
        <v>1915.02</v>
      </c>
      <c r="R35" s="522">
        <f t="shared" si="5"/>
        <v>2274.21</v>
      </c>
      <c r="S35" s="522">
        <f t="shared" si="5"/>
        <v>2087.41</v>
      </c>
      <c r="T35" s="522">
        <f t="shared" si="5"/>
        <v>0</v>
      </c>
      <c r="U35" s="522">
        <f t="shared" si="5"/>
        <v>0</v>
      </c>
      <c r="V35" s="522">
        <f t="shared" si="5"/>
        <v>29983.740000000005</v>
      </c>
      <c r="W35" s="97" t="str">
        <f>+IF(V35=SUM(H35:T35),"contrôle ok", "erreur")</f>
        <v>contrôle ok</v>
      </c>
      <c r="X35" s="16"/>
    </row>
    <row r="36" spans="1:24" ht="11.25" thickTop="1" x14ac:dyDescent="0.15">
      <c r="A36" s="33"/>
      <c r="B36" s="33"/>
      <c r="C36" s="34"/>
      <c r="D36" s="35"/>
      <c r="E36" s="36"/>
      <c r="F36" s="35"/>
      <c r="G36" s="100"/>
      <c r="H36" s="246"/>
      <c r="I36" s="246"/>
      <c r="J36" s="231"/>
      <c r="K36" s="231"/>
      <c r="L36" s="246"/>
      <c r="M36" s="246"/>
      <c r="N36" s="246"/>
      <c r="O36" s="246"/>
      <c r="P36" s="246"/>
      <c r="Q36" s="246"/>
      <c r="R36" s="246"/>
      <c r="S36" s="246"/>
      <c r="T36" s="231"/>
      <c r="U36" s="231"/>
      <c r="V36" s="278"/>
    </row>
    <row r="37" spans="1:24" x14ac:dyDescent="0.15">
      <c r="A37" s="27" t="s">
        <v>374</v>
      </c>
      <c r="B37" s="28"/>
      <c r="C37" s="29"/>
      <c r="D37" s="30"/>
      <c r="E37" s="30"/>
      <c r="F37" s="31"/>
      <c r="G37" s="101"/>
      <c r="H37" s="224"/>
      <c r="I37" s="224"/>
      <c r="J37" s="251"/>
      <c r="K37" s="224"/>
      <c r="L37" s="224"/>
      <c r="M37" s="224"/>
      <c r="N37" s="224"/>
      <c r="O37" s="224"/>
      <c r="P37" s="224"/>
      <c r="Q37" s="224"/>
      <c r="R37" s="224"/>
      <c r="S37" s="224"/>
      <c r="T37" s="224"/>
      <c r="U37" s="224"/>
      <c r="V37" s="252"/>
    </row>
    <row r="38" spans="1:24" x14ac:dyDescent="0.15">
      <c r="A38" s="68"/>
      <c r="B38" s="660"/>
      <c r="C38" s="661"/>
      <c r="D38" s="662"/>
      <c r="E38" s="168" t="s">
        <v>77</v>
      </c>
      <c r="F38" s="663" t="s">
        <v>192</v>
      </c>
      <c r="G38" s="169"/>
      <c r="H38" s="562"/>
      <c r="I38" s="349"/>
      <c r="J38" s="227"/>
      <c r="K38" s="227"/>
      <c r="L38" s="227"/>
      <c r="M38" s="227"/>
      <c r="N38" s="227"/>
      <c r="O38" s="227">
        <v>330</v>
      </c>
      <c r="P38" s="227"/>
      <c r="Q38" s="349"/>
      <c r="R38" s="227"/>
      <c r="S38" s="227"/>
      <c r="T38" s="227"/>
      <c r="U38" s="664"/>
      <c r="V38" s="255">
        <f>SUM(H38:T38)</f>
        <v>330</v>
      </c>
    </row>
    <row r="39" spans="1:24" x14ac:dyDescent="0.15">
      <c r="A39" s="665"/>
      <c r="B39" s="666"/>
      <c r="C39" s="667"/>
      <c r="D39" s="668"/>
      <c r="E39" s="669" t="s">
        <v>78</v>
      </c>
      <c r="F39" s="670" t="s">
        <v>192</v>
      </c>
      <c r="G39" s="671"/>
      <c r="H39" s="672"/>
      <c r="I39" s="673"/>
      <c r="J39" s="674"/>
      <c r="K39" s="674"/>
      <c r="L39" s="674"/>
      <c r="M39" s="674"/>
      <c r="N39" s="675"/>
      <c r="O39" s="673"/>
      <c r="P39" s="674"/>
      <c r="Q39" s="673"/>
      <c r="R39" s="674"/>
      <c r="S39" s="674"/>
      <c r="T39" s="674"/>
      <c r="U39" s="676"/>
      <c r="V39" s="255">
        <f>SUM(H39:T39)</f>
        <v>0</v>
      </c>
    </row>
    <row r="40" spans="1:24" s="37" customFormat="1" ht="11.25" thickBot="1" x14ac:dyDescent="0.2">
      <c r="A40" s="516" t="s">
        <v>11</v>
      </c>
      <c r="B40" s="517"/>
      <c r="C40" s="518"/>
      <c r="D40" s="519"/>
      <c r="E40" s="516"/>
      <c r="F40" s="520"/>
      <c r="G40" s="521"/>
      <c r="H40" s="522">
        <f>SUM(H38:H39)</f>
        <v>0</v>
      </c>
      <c r="I40" s="522">
        <f>SUM(I38:I39)</f>
        <v>0</v>
      </c>
      <c r="J40" s="522">
        <f t="shared" ref="J40:U40" si="6">SUM(J38:J39)</f>
        <v>0</v>
      </c>
      <c r="K40" s="522">
        <f t="shared" si="6"/>
        <v>0</v>
      </c>
      <c r="L40" s="522">
        <f t="shared" si="6"/>
        <v>0</v>
      </c>
      <c r="M40" s="522">
        <f t="shared" si="6"/>
        <v>0</v>
      </c>
      <c r="N40" s="522">
        <f t="shared" si="6"/>
        <v>0</v>
      </c>
      <c r="O40" s="522">
        <f t="shared" si="6"/>
        <v>330</v>
      </c>
      <c r="P40" s="522">
        <f t="shared" si="6"/>
        <v>0</v>
      </c>
      <c r="Q40" s="522">
        <f t="shared" si="6"/>
        <v>0</v>
      </c>
      <c r="R40" s="522">
        <f t="shared" si="6"/>
        <v>0</v>
      </c>
      <c r="S40" s="522">
        <f t="shared" si="6"/>
        <v>0</v>
      </c>
      <c r="T40" s="522">
        <f t="shared" si="6"/>
        <v>0</v>
      </c>
      <c r="U40" s="522">
        <f t="shared" si="6"/>
        <v>0</v>
      </c>
      <c r="V40" s="522">
        <f>SUM(V38:V39)</f>
        <v>330</v>
      </c>
      <c r="W40" s="97" t="str">
        <f>+IF(V40=SUM(H40:T40),"contrôle ok", "erreur")</f>
        <v>contrôle ok</v>
      </c>
      <c r="X40" s="16"/>
    </row>
    <row r="41" spans="1:24" ht="11.25" thickTop="1" x14ac:dyDescent="0.15">
      <c r="A41" s="33"/>
      <c r="B41" s="33"/>
      <c r="C41" s="34"/>
      <c r="D41" s="35"/>
      <c r="E41" s="94"/>
      <c r="F41" s="35"/>
      <c r="G41" s="100"/>
      <c r="H41" s="246"/>
      <c r="I41" s="246"/>
      <c r="J41" s="231"/>
      <c r="K41" s="231"/>
      <c r="L41" s="246"/>
      <c r="M41" s="246"/>
      <c r="N41" s="246"/>
      <c r="O41" s="246"/>
      <c r="P41" s="246"/>
      <c r="Q41" s="246"/>
      <c r="R41" s="246"/>
      <c r="S41" s="246"/>
      <c r="T41" s="231"/>
      <c r="U41" s="231"/>
      <c r="V41" s="278"/>
    </row>
    <row r="42" spans="1:24" x14ac:dyDescent="0.15">
      <c r="A42" s="27" t="s">
        <v>23</v>
      </c>
      <c r="B42" s="28"/>
      <c r="C42" s="29"/>
      <c r="D42" s="30"/>
      <c r="E42" s="30"/>
      <c r="F42" s="31"/>
      <c r="G42" s="101"/>
      <c r="H42" s="224"/>
      <c r="I42" s="224"/>
      <c r="J42" s="251"/>
      <c r="K42" s="224"/>
      <c r="L42" s="224"/>
      <c r="M42" s="224"/>
      <c r="N42" s="224"/>
      <c r="O42" s="224"/>
      <c r="P42" s="224"/>
      <c r="Q42" s="224"/>
      <c r="R42" s="224"/>
      <c r="S42" s="224"/>
      <c r="T42" s="224"/>
      <c r="U42" s="224"/>
      <c r="V42" s="252"/>
      <c r="X42" s="275"/>
    </row>
    <row r="43" spans="1:24" x14ac:dyDescent="0.15">
      <c r="A43" s="143" t="s">
        <v>342</v>
      </c>
      <c r="B43" s="143" t="s">
        <v>357</v>
      </c>
      <c r="C43" s="144"/>
      <c r="D43" s="145">
        <v>615140</v>
      </c>
      <c r="E43" s="145" t="s">
        <v>78</v>
      </c>
      <c r="F43" s="145" t="s">
        <v>192</v>
      </c>
      <c r="G43" s="163"/>
      <c r="H43" s="559"/>
      <c r="I43" s="226"/>
      <c r="J43" s="226"/>
      <c r="K43" s="226"/>
      <c r="L43" s="226"/>
      <c r="M43" s="226"/>
      <c r="N43" s="226"/>
      <c r="O43" s="226"/>
      <c r="P43" s="226"/>
      <c r="Q43" s="226"/>
      <c r="R43" s="226"/>
      <c r="S43" s="226"/>
      <c r="T43" s="226"/>
      <c r="U43" s="582"/>
      <c r="V43" s="255">
        <f>SUM(H43:T43)</f>
        <v>0</v>
      </c>
      <c r="X43" s="275"/>
    </row>
    <row r="44" spans="1:24" x14ac:dyDescent="0.15">
      <c r="A44" s="143" t="s">
        <v>342</v>
      </c>
      <c r="B44" s="143" t="s">
        <v>354</v>
      </c>
      <c r="C44" s="144"/>
      <c r="D44" s="145">
        <v>615140</v>
      </c>
      <c r="E44" s="145" t="s">
        <v>78</v>
      </c>
      <c r="F44" s="145" t="s">
        <v>179</v>
      </c>
      <c r="G44" s="163">
        <v>4268.78</v>
      </c>
      <c r="H44" s="559"/>
      <c r="I44" s="226">
        <v>4628.79</v>
      </c>
      <c r="J44" s="226">
        <v>4628.78</v>
      </c>
      <c r="K44" s="226">
        <v>4628.8</v>
      </c>
      <c r="L44" s="226">
        <v>4628.78</v>
      </c>
      <c r="M44" s="226">
        <v>4730.58</v>
      </c>
      <c r="N44" s="226">
        <v>4730.59</v>
      </c>
      <c r="O44" s="226">
        <v>4730.58</v>
      </c>
      <c r="P44" s="226">
        <v>4730.58</v>
      </c>
      <c r="Q44" s="226">
        <v>4730.59</v>
      </c>
      <c r="R44" s="226">
        <v>4730.58</v>
      </c>
      <c r="S44" s="226">
        <v>4730.58</v>
      </c>
      <c r="T44" s="226">
        <v>4730.59</v>
      </c>
      <c r="U44" s="582"/>
      <c r="V44" s="255">
        <f>SUM(H44:T44)</f>
        <v>56359.819999999992</v>
      </c>
      <c r="X44" s="275"/>
    </row>
    <row r="45" spans="1:24" s="37" customFormat="1" ht="11.25" thickBot="1" x14ac:dyDescent="0.2">
      <c r="A45" s="516" t="s">
        <v>11</v>
      </c>
      <c r="B45" s="517"/>
      <c r="C45" s="518"/>
      <c r="D45" s="519"/>
      <c r="E45" s="516"/>
      <c r="F45" s="520"/>
      <c r="G45" s="521"/>
      <c r="H45" s="522">
        <f>SUM(H43:H44)</f>
        <v>0</v>
      </c>
      <c r="I45" s="522">
        <f t="shared" ref="I45:V45" si="7">SUM(I43:I44)</f>
        <v>4628.79</v>
      </c>
      <c r="J45" s="522">
        <f t="shared" si="7"/>
        <v>4628.78</v>
      </c>
      <c r="K45" s="522">
        <f t="shared" si="7"/>
        <v>4628.8</v>
      </c>
      <c r="L45" s="522">
        <f t="shared" si="7"/>
        <v>4628.78</v>
      </c>
      <c r="M45" s="522">
        <f t="shared" si="7"/>
        <v>4730.58</v>
      </c>
      <c r="N45" s="522">
        <f t="shared" si="7"/>
        <v>4730.59</v>
      </c>
      <c r="O45" s="522">
        <f>SUM(O43:O44)</f>
        <v>4730.58</v>
      </c>
      <c r="P45" s="522">
        <f t="shared" si="7"/>
        <v>4730.58</v>
      </c>
      <c r="Q45" s="522">
        <f t="shared" si="7"/>
        <v>4730.59</v>
      </c>
      <c r="R45" s="522">
        <f t="shared" si="7"/>
        <v>4730.58</v>
      </c>
      <c r="S45" s="522">
        <f t="shared" si="7"/>
        <v>4730.58</v>
      </c>
      <c r="T45" s="522">
        <f t="shared" si="7"/>
        <v>4730.59</v>
      </c>
      <c r="U45" s="522">
        <f t="shared" si="7"/>
        <v>0</v>
      </c>
      <c r="V45" s="522">
        <f t="shared" si="7"/>
        <v>56359.819999999992</v>
      </c>
      <c r="W45" s="97" t="str">
        <f>+IF(V45=SUM(H45:T45),"contrôle ok", "erreur")</f>
        <v>contrôle ok</v>
      </c>
      <c r="X45" s="275"/>
    </row>
    <row r="46" spans="1:24" ht="11.25" thickTop="1" x14ac:dyDescent="0.15">
      <c r="A46" s="33"/>
      <c r="B46" s="33"/>
      <c r="C46" s="34"/>
      <c r="D46" s="35"/>
      <c r="E46" s="36"/>
      <c r="F46" s="35"/>
      <c r="G46" s="100"/>
      <c r="H46" s="246"/>
      <c r="I46" s="246"/>
      <c r="J46" s="231"/>
      <c r="K46" s="231"/>
      <c r="L46" s="246"/>
      <c r="M46" s="246"/>
      <c r="N46" s="246"/>
      <c r="O46" s="246"/>
      <c r="P46" s="246"/>
      <c r="Q46" s="246"/>
      <c r="R46" s="246"/>
      <c r="S46" s="246"/>
      <c r="T46" s="231"/>
      <c r="U46" s="231"/>
      <c r="V46" s="278"/>
      <c r="X46" s="275"/>
    </row>
    <row r="47" spans="1:24" x14ac:dyDescent="0.15">
      <c r="A47" s="27" t="s">
        <v>129</v>
      </c>
      <c r="B47" s="28"/>
      <c r="C47" s="29"/>
      <c r="D47" s="30"/>
      <c r="E47" s="30"/>
      <c r="F47" s="31"/>
      <c r="G47" s="101"/>
      <c r="H47" s="224"/>
      <c r="I47" s="224"/>
      <c r="J47" s="251"/>
      <c r="K47" s="224"/>
      <c r="L47" s="224"/>
      <c r="M47" s="224"/>
      <c r="N47" s="224"/>
      <c r="O47" s="224"/>
      <c r="P47" s="224"/>
      <c r="Q47" s="224"/>
      <c r="R47" s="224"/>
      <c r="S47" s="224"/>
      <c r="T47" s="224"/>
      <c r="U47" s="224"/>
      <c r="V47" s="252"/>
      <c r="X47" s="275"/>
    </row>
    <row r="48" spans="1:24" x14ac:dyDescent="0.15">
      <c r="A48" s="143"/>
      <c r="B48" s="143"/>
      <c r="C48" s="144"/>
      <c r="D48" s="145">
        <v>615145</v>
      </c>
      <c r="E48" s="145" t="s">
        <v>145</v>
      </c>
      <c r="F48" s="145" t="s">
        <v>192</v>
      </c>
      <c r="G48" s="163"/>
      <c r="H48" s="559"/>
      <c r="I48" s="226"/>
      <c r="J48" s="226">
        <v>8</v>
      </c>
      <c r="K48" s="226"/>
      <c r="L48" s="226"/>
      <c r="M48" s="226">
        <v>16.8</v>
      </c>
      <c r="N48" s="234"/>
      <c r="O48" s="226"/>
      <c r="P48" s="226"/>
      <c r="Q48" s="226"/>
      <c r="R48" s="226"/>
      <c r="S48" s="226"/>
      <c r="T48" s="226"/>
      <c r="U48" s="582"/>
      <c r="V48" s="255">
        <f>SUM(H48:T48)</f>
        <v>24.8</v>
      </c>
      <c r="X48" s="275"/>
    </row>
    <row r="49" spans="1:33" x14ac:dyDescent="0.15">
      <c r="A49" s="143"/>
      <c r="B49" s="143"/>
      <c r="C49" s="144"/>
      <c r="D49" s="145">
        <v>615145</v>
      </c>
      <c r="E49" s="145" t="s">
        <v>145</v>
      </c>
      <c r="F49" s="145" t="s">
        <v>269</v>
      </c>
      <c r="G49" s="163"/>
      <c r="H49" s="559"/>
      <c r="I49" s="226"/>
      <c r="J49" s="226"/>
      <c r="K49" s="226"/>
      <c r="L49" s="226"/>
      <c r="M49" s="226"/>
      <c r="N49" s="234"/>
      <c r="O49" s="226"/>
      <c r="P49" s="226"/>
      <c r="Q49" s="226"/>
      <c r="R49" s="226"/>
      <c r="S49" s="226"/>
      <c r="T49" s="226"/>
      <c r="U49" s="582"/>
      <c r="V49" s="255">
        <f>SUM(H49:T49)</f>
        <v>0</v>
      </c>
      <c r="X49" s="275"/>
    </row>
    <row r="50" spans="1:33" x14ac:dyDescent="0.15">
      <c r="A50" s="68"/>
      <c r="B50" s="68"/>
      <c r="C50" s="69"/>
      <c r="D50" s="171">
        <v>615145</v>
      </c>
      <c r="E50" s="172" t="s">
        <v>76</v>
      </c>
      <c r="F50" s="145" t="s">
        <v>192</v>
      </c>
      <c r="G50" s="164"/>
      <c r="H50" s="562"/>
      <c r="I50" s="227"/>
      <c r="J50" s="226"/>
      <c r="K50" s="227"/>
      <c r="L50" s="226"/>
      <c r="M50" s="227"/>
      <c r="N50" s="226"/>
      <c r="O50" s="227"/>
      <c r="P50" s="226"/>
      <c r="Q50" s="227"/>
      <c r="R50" s="226"/>
      <c r="S50" s="227"/>
      <c r="T50" s="226"/>
      <c r="U50" s="582"/>
      <c r="V50" s="255">
        <f>SUM(H50:T50)</f>
        <v>0</v>
      </c>
      <c r="X50" s="275"/>
    </row>
    <row r="51" spans="1:33" s="37" customFormat="1" ht="11.25" thickBot="1" x14ac:dyDescent="0.2">
      <c r="A51" s="516" t="s">
        <v>11</v>
      </c>
      <c r="B51" s="517"/>
      <c r="C51" s="518"/>
      <c r="D51" s="519"/>
      <c r="E51" s="516"/>
      <c r="F51" s="520"/>
      <c r="G51" s="521"/>
      <c r="H51" s="522">
        <f>SUM(H48:H50)</f>
        <v>0</v>
      </c>
      <c r="I51" s="522">
        <f>SUM(I48:I50)</f>
        <v>0</v>
      </c>
      <c r="J51" s="522">
        <f t="shared" ref="J51:V51" si="8">SUM(J48:J50)</f>
        <v>8</v>
      </c>
      <c r="K51" s="522">
        <f t="shared" si="8"/>
        <v>0</v>
      </c>
      <c r="L51" s="522">
        <f t="shared" si="8"/>
        <v>0</v>
      </c>
      <c r="M51" s="522">
        <f t="shared" si="8"/>
        <v>16.8</v>
      </c>
      <c r="N51" s="522">
        <f t="shared" si="8"/>
        <v>0</v>
      </c>
      <c r="O51" s="522">
        <f t="shared" si="8"/>
        <v>0</v>
      </c>
      <c r="P51" s="522">
        <f t="shared" si="8"/>
        <v>0</v>
      </c>
      <c r="Q51" s="522">
        <f t="shared" si="8"/>
        <v>0</v>
      </c>
      <c r="R51" s="522">
        <f t="shared" si="8"/>
        <v>0</v>
      </c>
      <c r="S51" s="522">
        <f t="shared" si="8"/>
        <v>0</v>
      </c>
      <c r="T51" s="522">
        <f t="shared" si="8"/>
        <v>0</v>
      </c>
      <c r="U51" s="522">
        <f t="shared" si="8"/>
        <v>0</v>
      </c>
      <c r="V51" s="522">
        <f t="shared" si="8"/>
        <v>24.8</v>
      </c>
      <c r="W51" s="97" t="str">
        <f>+IF(V51=SUM(H51:T51),"contrôle ok", "erreur")</f>
        <v>contrôle ok</v>
      </c>
      <c r="X51" s="275"/>
    </row>
    <row r="52" spans="1:33" ht="11.25" thickTop="1" x14ac:dyDescent="0.15">
      <c r="A52" s="33"/>
      <c r="B52" s="33"/>
      <c r="C52" s="34"/>
      <c r="D52" s="35"/>
      <c r="E52" s="36"/>
      <c r="F52" s="35"/>
      <c r="G52" s="100"/>
      <c r="H52" s="229"/>
      <c r="I52" s="229"/>
      <c r="J52" s="229"/>
      <c r="K52" s="229"/>
      <c r="L52" s="229"/>
      <c r="M52" s="229"/>
      <c r="N52" s="229"/>
      <c r="O52" s="229"/>
      <c r="P52" s="229"/>
      <c r="Q52" s="229"/>
      <c r="R52" s="229"/>
      <c r="S52" s="229"/>
      <c r="T52" s="229"/>
      <c r="U52" s="229"/>
      <c r="V52" s="258"/>
      <c r="X52" s="275"/>
    </row>
    <row r="53" spans="1:33" x14ac:dyDescent="0.15">
      <c r="A53" s="27" t="s">
        <v>90</v>
      </c>
      <c r="B53" s="28"/>
      <c r="C53" s="29"/>
      <c r="D53" s="30"/>
      <c r="E53" s="30"/>
      <c r="F53" s="31"/>
      <c r="G53" s="101"/>
      <c r="H53" s="251"/>
      <c r="I53" s="251"/>
      <c r="J53" s="251"/>
      <c r="K53" s="224"/>
      <c r="L53" s="224"/>
      <c r="M53" s="224"/>
      <c r="N53" s="224"/>
      <c r="O53" s="224"/>
      <c r="P53" s="224"/>
      <c r="Q53" s="224"/>
      <c r="R53" s="224"/>
      <c r="S53" s="224"/>
      <c r="T53" s="224"/>
      <c r="U53" s="224"/>
      <c r="V53" s="252"/>
      <c r="X53" s="275"/>
    </row>
    <row r="54" spans="1:33" x14ac:dyDescent="0.15">
      <c r="A54" s="143" t="s">
        <v>772</v>
      </c>
      <c r="B54" s="143"/>
      <c r="C54" s="144"/>
      <c r="D54" s="145">
        <v>615150</v>
      </c>
      <c r="E54" s="145" t="s">
        <v>78</v>
      </c>
      <c r="F54" s="145" t="s">
        <v>192</v>
      </c>
      <c r="G54" s="163"/>
      <c r="H54" s="559"/>
      <c r="I54" s="226"/>
      <c r="J54" s="226"/>
      <c r="K54" s="226">
        <v>262.76</v>
      </c>
      <c r="L54" s="226"/>
      <c r="M54" s="226"/>
      <c r="N54" s="226"/>
      <c r="O54" s="226"/>
      <c r="P54" s="226">
        <v>422.03</v>
      </c>
      <c r="Q54" s="226"/>
      <c r="R54" s="226"/>
      <c r="S54" s="226"/>
      <c r="T54" s="226"/>
      <c r="U54" s="582"/>
      <c r="V54" s="255">
        <f>SUM(H54:T54)</f>
        <v>684.79</v>
      </c>
      <c r="X54" s="275"/>
    </row>
    <row r="55" spans="1:33" x14ac:dyDescent="0.15">
      <c r="A55" s="143" t="s">
        <v>407</v>
      </c>
      <c r="B55" s="143"/>
      <c r="C55" s="144"/>
      <c r="D55" s="145">
        <v>615150</v>
      </c>
      <c r="E55" s="145" t="s">
        <v>78</v>
      </c>
      <c r="F55" s="145" t="s">
        <v>192</v>
      </c>
      <c r="G55" s="163"/>
      <c r="H55" s="559"/>
      <c r="I55" s="226"/>
      <c r="J55" s="226"/>
      <c r="K55" s="226"/>
      <c r="L55" s="226"/>
      <c r="M55" s="226"/>
      <c r="N55" s="226"/>
      <c r="O55" s="226"/>
      <c r="P55" s="226"/>
      <c r="Q55" s="226"/>
      <c r="R55" s="226"/>
      <c r="S55" s="226"/>
      <c r="T55" s="226"/>
      <c r="U55" s="582"/>
      <c r="V55" s="255">
        <f>SUM(H55:T55)</f>
        <v>0</v>
      </c>
      <c r="X55" s="275"/>
    </row>
    <row r="56" spans="1:33" s="37" customFormat="1" ht="11.25" thickBot="1" x14ac:dyDescent="0.2">
      <c r="A56" s="516" t="s">
        <v>11</v>
      </c>
      <c r="B56" s="517"/>
      <c r="C56" s="518"/>
      <c r="D56" s="519"/>
      <c r="E56" s="516"/>
      <c r="F56" s="520"/>
      <c r="G56" s="521"/>
      <c r="H56" s="522">
        <f>SUM(H54:H55)</f>
        <v>0</v>
      </c>
      <c r="I56" s="522">
        <f t="shared" ref="I56:V56" si="9">SUM(I54:I55)</f>
        <v>0</v>
      </c>
      <c r="J56" s="522">
        <f t="shared" si="9"/>
        <v>0</v>
      </c>
      <c r="K56" s="522">
        <f t="shared" si="9"/>
        <v>262.76</v>
      </c>
      <c r="L56" s="522">
        <f t="shared" si="9"/>
        <v>0</v>
      </c>
      <c r="M56" s="522">
        <f t="shared" si="9"/>
        <v>0</v>
      </c>
      <c r="N56" s="522">
        <f t="shared" si="9"/>
        <v>0</v>
      </c>
      <c r="O56" s="522">
        <f t="shared" si="9"/>
        <v>0</v>
      </c>
      <c r="P56" s="522">
        <f t="shared" si="9"/>
        <v>422.03</v>
      </c>
      <c r="Q56" s="522">
        <f t="shared" si="9"/>
        <v>0</v>
      </c>
      <c r="R56" s="522">
        <f t="shared" si="9"/>
        <v>0</v>
      </c>
      <c r="S56" s="522">
        <f t="shared" si="9"/>
        <v>0</v>
      </c>
      <c r="T56" s="522">
        <f t="shared" si="9"/>
        <v>0</v>
      </c>
      <c r="U56" s="522">
        <f t="shared" si="9"/>
        <v>0</v>
      </c>
      <c r="V56" s="522">
        <f t="shared" si="9"/>
        <v>684.79</v>
      </c>
      <c r="W56" s="97" t="str">
        <f>+IF(V56=SUM(H56:T56),"contrôle ok", "erreur")</f>
        <v>contrôle ok</v>
      </c>
      <c r="X56" s="275"/>
    </row>
    <row r="57" spans="1:33" ht="11.25" thickTop="1" x14ac:dyDescent="0.15">
      <c r="A57" s="33"/>
      <c r="B57" s="33"/>
      <c r="C57" s="34"/>
      <c r="D57" s="35"/>
      <c r="E57" s="36"/>
      <c r="F57" s="35"/>
      <c r="G57" s="100"/>
      <c r="H57" s="229"/>
      <c r="I57" s="229"/>
      <c r="J57" s="229"/>
      <c r="K57" s="229"/>
      <c r="L57" s="229"/>
      <c r="M57" s="229"/>
      <c r="N57" s="229"/>
      <c r="O57" s="229"/>
      <c r="P57" s="229"/>
      <c r="Q57" s="229"/>
      <c r="R57" s="229"/>
      <c r="S57" s="229"/>
      <c r="T57" s="229"/>
      <c r="U57" s="229"/>
      <c r="V57" s="258"/>
      <c r="X57" s="275"/>
    </row>
    <row r="58" spans="1:33" x14ac:dyDescent="0.15">
      <c r="A58" s="27" t="s">
        <v>82</v>
      </c>
      <c r="B58" s="28"/>
      <c r="C58" s="29"/>
      <c r="D58" s="30"/>
      <c r="E58" s="30"/>
      <c r="F58" s="31"/>
      <c r="G58" s="101"/>
      <c r="H58" s="224"/>
      <c r="I58" s="224"/>
      <c r="J58" s="251"/>
      <c r="K58" s="224"/>
      <c r="L58" s="224"/>
      <c r="M58" s="224"/>
      <c r="N58" s="224"/>
      <c r="O58" s="224"/>
      <c r="P58" s="224"/>
      <c r="Q58" s="224"/>
      <c r="R58" s="224"/>
      <c r="S58" s="224"/>
      <c r="T58" s="224"/>
      <c r="U58" s="224"/>
      <c r="V58" s="252"/>
      <c r="X58" s="275"/>
    </row>
    <row r="59" spans="1:33" x14ac:dyDescent="0.15">
      <c r="A59" s="143" t="s">
        <v>385</v>
      </c>
      <c r="B59" s="143" t="s">
        <v>314</v>
      </c>
      <c r="C59" s="144"/>
      <c r="D59" s="145">
        <v>615155</v>
      </c>
      <c r="E59" s="145" t="s">
        <v>78</v>
      </c>
      <c r="F59" s="145" t="s">
        <v>192</v>
      </c>
      <c r="G59" s="163"/>
      <c r="H59" s="559"/>
      <c r="I59" s="226"/>
      <c r="J59" s="226"/>
      <c r="K59" s="226"/>
      <c r="L59" s="226"/>
      <c r="M59" s="226"/>
      <c r="N59" s="226"/>
      <c r="O59" s="226"/>
      <c r="P59" s="226"/>
      <c r="Q59" s="226"/>
      <c r="R59" s="226"/>
      <c r="S59" s="226"/>
      <c r="T59" s="226"/>
      <c r="U59" s="582"/>
      <c r="V59" s="255">
        <f>SUM(H59:T59)</f>
        <v>0</v>
      </c>
      <c r="X59" s="275"/>
    </row>
    <row r="60" spans="1:33" x14ac:dyDescent="0.15">
      <c r="A60" s="143" t="s">
        <v>416</v>
      </c>
      <c r="B60" s="322" t="s">
        <v>507</v>
      </c>
      <c r="C60" s="144">
        <v>2017</v>
      </c>
      <c r="D60" s="145">
        <v>615155</v>
      </c>
      <c r="E60" s="145" t="s">
        <v>78</v>
      </c>
      <c r="F60" s="145" t="s">
        <v>179</v>
      </c>
      <c r="G60" s="163"/>
      <c r="H60" s="559"/>
      <c r="I60" s="226">
        <f>588.76-15.94</f>
        <v>572.81999999999994</v>
      </c>
      <c r="J60" s="226">
        <f>588.76-15.94</f>
        <v>572.81999999999994</v>
      </c>
      <c r="K60" s="226">
        <f>588.76-15.94</f>
        <v>572.81999999999994</v>
      </c>
      <c r="L60" s="226">
        <f>588.76-15.94</f>
        <v>572.81999999999994</v>
      </c>
      <c r="M60" s="226">
        <f>588.76-15.94</f>
        <v>572.81999999999994</v>
      </c>
      <c r="N60" s="226">
        <v>572.82000000000005</v>
      </c>
      <c r="O60" s="226">
        <v>572.82000000000005</v>
      </c>
      <c r="P60" s="226">
        <v>572.82000000000005</v>
      </c>
      <c r="Q60" s="226">
        <v>572.82000000000005</v>
      </c>
      <c r="R60" s="226">
        <v>572.82000000000005</v>
      </c>
      <c r="S60" s="226">
        <v>572.82000000000005</v>
      </c>
      <c r="T60" s="226">
        <f>588.69-15.9</f>
        <v>572.79000000000008</v>
      </c>
      <c r="U60" s="582"/>
      <c r="V60" s="255">
        <f>SUM(H60:T60)</f>
        <v>6873.8099999999986</v>
      </c>
      <c r="W60" s="14"/>
      <c r="X60" s="275"/>
    </row>
    <row r="61" spans="1:33" x14ac:dyDescent="0.15">
      <c r="A61" s="143" t="s">
        <v>416</v>
      </c>
      <c r="B61" s="39" t="s">
        <v>508</v>
      </c>
      <c r="C61" s="69"/>
      <c r="D61" s="145">
        <v>615155</v>
      </c>
      <c r="E61" s="145" t="s">
        <v>78</v>
      </c>
      <c r="F61" s="145" t="s">
        <v>192</v>
      </c>
      <c r="G61" s="164"/>
      <c r="H61" s="559"/>
      <c r="I61" s="226"/>
      <c r="J61" s="226"/>
      <c r="K61" s="226"/>
      <c r="L61" s="226"/>
      <c r="M61" s="226"/>
      <c r="N61" s="226"/>
      <c r="O61" s="226"/>
      <c r="P61" s="226"/>
      <c r="Q61" s="226"/>
      <c r="R61" s="226"/>
      <c r="S61" s="226"/>
      <c r="T61" s="226"/>
      <c r="U61" s="582"/>
      <c r="V61" s="255">
        <f>SUM(H61:T61)</f>
        <v>0</v>
      </c>
      <c r="W61" s="14"/>
      <c r="X61" s="275"/>
    </row>
    <row r="62" spans="1:33" s="37" customFormat="1" ht="11.25" thickBot="1" x14ac:dyDescent="0.2">
      <c r="A62" s="516" t="s">
        <v>11</v>
      </c>
      <c r="B62" s="517"/>
      <c r="C62" s="518"/>
      <c r="D62" s="519"/>
      <c r="E62" s="516"/>
      <c r="F62" s="520"/>
      <c r="G62" s="521"/>
      <c r="H62" s="522">
        <f t="shared" ref="H62:V62" si="10">SUM(H59:H60)</f>
        <v>0</v>
      </c>
      <c r="I62" s="522">
        <f t="shared" si="10"/>
        <v>572.81999999999994</v>
      </c>
      <c r="J62" s="522">
        <f t="shared" si="10"/>
        <v>572.81999999999994</v>
      </c>
      <c r="K62" s="522">
        <f t="shared" si="10"/>
        <v>572.81999999999994</v>
      </c>
      <c r="L62" s="522">
        <f t="shared" si="10"/>
        <v>572.81999999999994</v>
      </c>
      <c r="M62" s="522">
        <f t="shared" si="10"/>
        <v>572.81999999999994</v>
      </c>
      <c r="N62" s="522">
        <f t="shared" si="10"/>
        <v>572.82000000000005</v>
      </c>
      <c r="O62" s="522">
        <f t="shared" si="10"/>
        <v>572.82000000000005</v>
      </c>
      <c r="P62" s="522">
        <f t="shared" si="10"/>
        <v>572.82000000000005</v>
      </c>
      <c r="Q62" s="522">
        <f t="shared" si="10"/>
        <v>572.82000000000005</v>
      </c>
      <c r="R62" s="522">
        <f t="shared" si="10"/>
        <v>572.82000000000005</v>
      </c>
      <c r="S62" s="522">
        <f t="shared" si="10"/>
        <v>572.82000000000005</v>
      </c>
      <c r="T62" s="522">
        <f t="shared" si="10"/>
        <v>572.79000000000008</v>
      </c>
      <c r="U62" s="522">
        <f t="shared" si="10"/>
        <v>0</v>
      </c>
      <c r="V62" s="522">
        <f t="shared" si="10"/>
        <v>6873.8099999999986</v>
      </c>
      <c r="W62" s="97" t="str">
        <f>+IF(V62=SUM(H62:T62),"contrôle ok", "erreur")</f>
        <v>contrôle ok</v>
      </c>
      <c r="X62" s="275"/>
      <c r="AA62" s="37">
        <f t="shared" ref="AA62:AG62" si="11">SUM(AA60:AA60)</f>
        <v>0</v>
      </c>
      <c r="AB62" s="37">
        <f t="shared" si="11"/>
        <v>0</v>
      </c>
      <c r="AC62" s="37">
        <f t="shared" si="11"/>
        <v>0</v>
      </c>
      <c r="AD62" s="37">
        <f t="shared" si="11"/>
        <v>0</v>
      </c>
      <c r="AE62" s="37">
        <f t="shared" si="11"/>
        <v>0</v>
      </c>
      <c r="AF62" s="37">
        <f t="shared" si="11"/>
        <v>0</v>
      </c>
      <c r="AG62" s="37">
        <f t="shared" si="11"/>
        <v>0</v>
      </c>
    </row>
    <row r="63" spans="1:33" s="37" customFormat="1" ht="11.25" thickTop="1" x14ac:dyDescent="0.15">
      <c r="A63" s="75"/>
      <c r="B63" s="33"/>
      <c r="C63" s="34"/>
      <c r="D63" s="35"/>
      <c r="E63" s="36"/>
      <c r="F63" s="35"/>
      <c r="G63" s="100"/>
      <c r="H63" s="229"/>
      <c r="I63" s="229"/>
      <c r="J63" s="229"/>
      <c r="K63" s="229"/>
      <c r="L63" s="229"/>
      <c r="M63" s="229"/>
      <c r="N63" s="229"/>
      <c r="O63" s="229"/>
      <c r="P63" s="229"/>
      <c r="Q63" s="229"/>
      <c r="R63" s="229"/>
      <c r="S63" s="229"/>
      <c r="T63" s="229"/>
      <c r="U63" s="229"/>
      <c r="V63" s="279"/>
      <c r="W63" s="7"/>
      <c r="X63" s="276"/>
      <c r="Y63" s="7"/>
      <c r="Z63" s="7"/>
      <c r="AA63" s="7"/>
      <c r="AB63" s="7"/>
      <c r="AC63" s="7"/>
      <c r="AD63" s="7"/>
      <c r="AE63" s="7"/>
      <c r="AF63" s="7"/>
      <c r="AG63" s="7"/>
    </row>
    <row r="64" spans="1:33" x14ac:dyDescent="0.15">
      <c r="A64" s="27" t="s">
        <v>61</v>
      </c>
      <c r="B64" s="28"/>
      <c r="C64" s="29"/>
      <c r="D64" s="30"/>
      <c r="E64" s="30"/>
      <c r="F64" s="31"/>
      <c r="G64" s="101"/>
      <c r="H64" s="224"/>
      <c r="I64" s="224"/>
      <c r="J64" s="251"/>
      <c r="K64" s="224"/>
      <c r="L64" s="224"/>
      <c r="M64" s="224"/>
      <c r="N64" s="224"/>
      <c r="O64" s="224"/>
      <c r="P64" s="224"/>
      <c r="Q64" s="224"/>
      <c r="R64" s="224"/>
      <c r="S64" s="224"/>
      <c r="T64" s="224"/>
      <c r="U64" s="224"/>
      <c r="V64" s="252"/>
      <c r="X64" s="275"/>
    </row>
    <row r="65" spans="1:24" x14ac:dyDescent="0.15">
      <c r="A65" s="143"/>
      <c r="B65" s="143"/>
      <c r="C65" s="144"/>
      <c r="D65" s="145">
        <v>615160</v>
      </c>
      <c r="E65" s="145" t="s">
        <v>78</v>
      </c>
      <c r="F65" s="145" t="s">
        <v>192</v>
      </c>
      <c r="G65" s="163"/>
      <c r="H65" s="559"/>
      <c r="I65" s="226"/>
      <c r="J65" s="226"/>
      <c r="K65" s="226"/>
      <c r="L65" s="226"/>
      <c r="M65" s="226"/>
      <c r="N65" s="226"/>
      <c r="O65" s="226"/>
      <c r="P65" s="226"/>
      <c r="Q65" s="226"/>
      <c r="R65" s="226"/>
      <c r="S65" s="226"/>
      <c r="T65" s="226"/>
      <c r="U65" s="582"/>
      <c r="V65" s="255">
        <f>SUM(H65:T65)</f>
        <v>0</v>
      </c>
      <c r="X65" s="275"/>
    </row>
    <row r="66" spans="1:24" s="37" customFormat="1" ht="11.25" thickBot="1" x14ac:dyDescent="0.2">
      <c r="A66" s="516" t="s">
        <v>11</v>
      </c>
      <c r="B66" s="517"/>
      <c r="C66" s="518"/>
      <c r="D66" s="519"/>
      <c r="E66" s="516"/>
      <c r="F66" s="520"/>
      <c r="G66" s="521"/>
      <c r="H66" s="522">
        <f>SUM(H65)</f>
        <v>0</v>
      </c>
      <c r="I66" s="522">
        <f>SUM(I65)</f>
        <v>0</v>
      </c>
      <c r="J66" s="522">
        <f t="shared" ref="J66:V66" si="12">SUM(J65)</f>
        <v>0</v>
      </c>
      <c r="K66" s="522">
        <f t="shared" si="12"/>
        <v>0</v>
      </c>
      <c r="L66" s="522">
        <f t="shared" si="12"/>
        <v>0</v>
      </c>
      <c r="M66" s="522">
        <f t="shared" si="12"/>
        <v>0</v>
      </c>
      <c r="N66" s="522">
        <f t="shared" si="12"/>
        <v>0</v>
      </c>
      <c r="O66" s="522">
        <f t="shared" si="12"/>
        <v>0</v>
      </c>
      <c r="P66" s="522">
        <f t="shared" si="12"/>
        <v>0</v>
      </c>
      <c r="Q66" s="522">
        <f t="shared" si="12"/>
        <v>0</v>
      </c>
      <c r="R66" s="522">
        <f t="shared" si="12"/>
        <v>0</v>
      </c>
      <c r="S66" s="522">
        <f t="shared" si="12"/>
        <v>0</v>
      </c>
      <c r="T66" s="522">
        <f t="shared" si="12"/>
        <v>0</v>
      </c>
      <c r="U66" s="522">
        <f t="shared" si="12"/>
        <v>0</v>
      </c>
      <c r="V66" s="522">
        <f t="shared" si="12"/>
        <v>0</v>
      </c>
      <c r="W66" s="97" t="str">
        <f>+IF(V66=SUM(H66:T66),"contrôle ok", "erreur")</f>
        <v>contrôle ok</v>
      </c>
      <c r="X66" s="275"/>
    </row>
    <row r="67" spans="1:24" ht="11.25" thickTop="1" x14ac:dyDescent="0.15">
      <c r="A67" s="46"/>
      <c r="B67" s="46"/>
      <c r="C67" s="47"/>
      <c r="D67" s="35"/>
      <c r="E67" s="36"/>
      <c r="F67" s="35"/>
      <c r="G67" s="100"/>
      <c r="H67" s="246"/>
      <c r="I67" s="246"/>
      <c r="J67" s="280"/>
      <c r="K67" s="246"/>
      <c r="L67" s="246"/>
      <c r="M67" s="246"/>
      <c r="N67" s="246"/>
      <c r="O67" s="246"/>
      <c r="P67" s="246"/>
      <c r="Q67" s="246"/>
      <c r="R67" s="246"/>
      <c r="S67" s="246"/>
      <c r="T67" s="246"/>
      <c r="U67" s="246"/>
      <c r="V67" s="278"/>
      <c r="X67" s="275"/>
    </row>
    <row r="68" spans="1:24" x14ac:dyDescent="0.15">
      <c r="A68" s="27" t="s">
        <v>92</v>
      </c>
      <c r="B68" s="28"/>
      <c r="C68" s="29"/>
      <c r="D68" s="30"/>
      <c r="E68" s="30"/>
      <c r="F68" s="31"/>
      <c r="G68" s="101"/>
      <c r="H68" s="224"/>
      <c r="I68" s="224"/>
      <c r="J68" s="251"/>
      <c r="K68" s="224"/>
      <c r="L68" s="224"/>
      <c r="M68" s="224"/>
      <c r="N68" s="224"/>
      <c r="O68" s="224"/>
      <c r="P68" s="224"/>
      <c r="Q68" s="224"/>
      <c r="R68" s="224"/>
      <c r="S68" s="224"/>
      <c r="T68" s="224"/>
      <c r="U68" s="224"/>
      <c r="V68" s="252"/>
      <c r="X68" s="275"/>
    </row>
    <row r="69" spans="1:24" x14ac:dyDescent="0.15">
      <c r="A69" s="143" t="s">
        <v>26</v>
      </c>
      <c r="B69" s="143" t="s">
        <v>27</v>
      </c>
      <c r="C69" s="144" t="s">
        <v>24</v>
      </c>
      <c r="D69" s="145">
        <v>615170</v>
      </c>
      <c r="E69" s="145" t="s">
        <v>78</v>
      </c>
      <c r="F69" s="145" t="s">
        <v>192</v>
      </c>
      <c r="G69" s="163">
        <v>87.3</v>
      </c>
      <c r="H69" s="559"/>
      <c r="I69" s="226">
        <v>87.3</v>
      </c>
      <c r="J69" s="226">
        <v>87.3</v>
      </c>
      <c r="K69" s="226">
        <v>87.29</v>
      </c>
      <c r="L69" s="226">
        <v>87.3</v>
      </c>
      <c r="M69" s="226">
        <v>87.3</v>
      </c>
      <c r="N69" s="226">
        <v>87.29</v>
      </c>
      <c r="O69" s="226">
        <v>87.3</v>
      </c>
      <c r="P69" s="226">
        <v>87.3</v>
      </c>
      <c r="Q69" s="226">
        <v>87.29</v>
      </c>
      <c r="R69" s="226">
        <v>87.3</v>
      </c>
      <c r="S69" s="226">
        <v>87.3</v>
      </c>
      <c r="T69" s="226">
        <v>87.29</v>
      </c>
      <c r="U69" s="582"/>
      <c r="V69" s="255">
        <f>SUM(H69:T69)</f>
        <v>1047.5599999999997</v>
      </c>
      <c r="W69" s="219"/>
      <c r="X69" s="275"/>
    </row>
    <row r="70" spans="1:24" x14ac:dyDescent="0.15">
      <c r="A70" s="143" t="s">
        <v>788</v>
      </c>
      <c r="B70" s="143"/>
      <c r="C70" s="144"/>
      <c r="D70" s="145">
        <v>615170</v>
      </c>
      <c r="E70" s="145" t="s">
        <v>78</v>
      </c>
      <c r="F70" s="145" t="s">
        <v>192</v>
      </c>
      <c r="G70" s="163"/>
      <c r="H70" s="559"/>
      <c r="I70" s="226">
        <v>686.5</v>
      </c>
      <c r="J70" s="226"/>
      <c r="K70" s="226"/>
      <c r="L70" s="226">
        <v>1378</v>
      </c>
      <c r="M70" s="226">
        <v>1435.99</v>
      </c>
      <c r="N70" s="226"/>
      <c r="O70" s="226">
        <f>-3235.64+1769.4</f>
        <v>-1466.2399999999998</v>
      </c>
      <c r="P70" s="226">
        <v>637.70000000000005</v>
      </c>
      <c r="Q70" s="226">
        <v>780</v>
      </c>
      <c r="R70" s="226">
        <v>1720.73</v>
      </c>
      <c r="S70" s="582">
        <f>686.5+1659</f>
        <v>2345.5</v>
      </c>
      <c r="T70" s="226"/>
      <c r="U70" s="582"/>
      <c r="V70" s="255">
        <f>SUM(H70:T70)</f>
        <v>7518.18</v>
      </c>
      <c r="X70" s="275"/>
    </row>
    <row r="71" spans="1:24" s="37" customFormat="1" ht="11.25" thickBot="1" x14ac:dyDescent="0.2">
      <c r="A71" s="516" t="s">
        <v>11</v>
      </c>
      <c r="B71" s="517"/>
      <c r="C71" s="518"/>
      <c r="D71" s="519"/>
      <c r="E71" s="516"/>
      <c r="F71" s="520"/>
      <c r="G71" s="521"/>
      <c r="H71" s="522">
        <f>SUM(H69:H70)</f>
        <v>0</v>
      </c>
      <c r="I71" s="522">
        <f t="shared" ref="I71:V71" si="13">SUM(I69:I70)</f>
        <v>773.8</v>
      </c>
      <c r="J71" s="522">
        <f t="shared" si="13"/>
        <v>87.3</v>
      </c>
      <c r="K71" s="522">
        <f t="shared" si="13"/>
        <v>87.29</v>
      </c>
      <c r="L71" s="522">
        <f t="shared" si="13"/>
        <v>1465.3</v>
      </c>
      <c r="M71" s="522">
        <f t="shared" si="13"/>
        <v>1523.29</v>
      </c>
      <c r="N71" s="522">
        <f t="shared" si="13"/>
        <v>87.29</v>
      </c>
      <c r="O71" s="522">
        <f t="shared" si="13"/>
        <v>-1378.9399999999998</v>
      </c>
      <c r="P71" s="522">
        <f t="shared" si="13"/>
        <v>725</v>
      </c>
      <c r="Q71" s="522">
        <f t="shared" si="13"/>
        <v>867.29</v>
      </c>
      <c r="R71" s="522">
        <f t="shared" si="13"/>
        <v>1808.03</v>
      </c>
      <c r="S71" s="522">
        <f t="shared" si="13"/>
        <v>2432.8000000000002</v>
      </c>
      <c r="T71" s="522">
        <f t="shared" si="13"/>
        <v>87.29</v>
      </c>
      <c r="U71" s="522">
        <f t="shared" si="13"/>
        <v>0</v>
      </c>
      <c r="V71" s="522">
        <f t="shared" si="13"/>
        <v>8565.74</v>
      </c>
      <c r="W71" s="97" t="str">
        <f>+IF(V71=SUM(H71:T71),"contrôle ok", "erreur")</f>
        <v>contrôle ok</v>
      </c>
      <c r="X71" s="275"/>
    </row>
    <row r="72" spans="1:24" s="37" customFormat="1" ht="11.25" thickTop="1" x14ac:dyDescent="0.15">
      <c r="A72" s="33"/>
      <c r="B72" s="33"/>
      <c r="C72" s="34"/>
      <c r="D72" s="35"/>
      <c r="E72" s="36"/>
      <c r="F72" s="35"/>
      <c r="G72" s="100"/>
      <c r="H72" s="229"/>
      <c r="I72" s="229"/>
      <c r="J72" s="229"/>
      <c r="K72" s="229"/>
      <c r="L72" s="229"/>
      <c r="M72" s="229"/>
      <c r="N72" s="229"/>
      <c r="O72" s="229"/>
      <c r="P72" s="229"/>
      <c r="Q72" s="229"/>
      <c r="R72" s="229"/>
      <c r="S72" s="229"/>
      <c r="T72" s="229"/>
      <c r="U72" s="229"/>
      <c r="V72" s="258"/>
      <c r="X72" s="275"/>
    </row>
    <row r="73" spans="1:24" x14ac:dyDescent="0.15">
      <c r="A73" s="27" t="s">
        <v>326</v>
      </c>
      <c r="B73" s="28"/>
      <c r="C73" s="29"/>
      <c r="D73" s="30"/>
      <c r="E73" s="30"/>
      <c r="F73" s="31"/>
      <c r="G73" s="101"/>
      <c r="H73" s="224"/>
      <c r="I73" s="224"/>
      <c r="J73" s="251"/>
      <c r="K73" s="224"/>
      <c r="L73" s="224"/>
      <c r="M73" s="224"/>
      <c r="N73" s="224"/>
      <c r="O73" s="224"/>
      <c r="P73" s="224"/>
      <c r="Q73" s="224"/>
      <c r="R73" s="224"/>
      <c r="S73" s="224"/>
      <c r="T73" s="224"/>
      <c r="U73" s="224"/>
      <c r="V73" s="252"/>
      <c r="X73" s="275"/>
    </row>
    <row r="74" spans="1:24" x14ac:dyDescent="0.15">
      <c r="A74" s="46" t="s">
        <v>452</v>
      </c>
      <c r="B74" s="46" t="s">
        <v>472</v>
      </c>
      <c r="C74" s="137" t="s">
        <v>532</v>
      </c>
      <c r="D74" s="49">
        <v>615175</v>
      </c>
      <c r="E74" s="49" t="s">
        <v>145</v>
      </c>
      <c r="F74" s="49" t="s">
        <v>179</v>
      </c>
      <c r="G74" s="108">
        <v>403.78</v>
      </c>
      <c r="H74" s="559"/>
      <c r="I74" s="226">
        <v>403.78</v>
      </c>
      <c r="J74" s="226">
        <v>403.78</v>
      </c>
      <c r="K74" s="226">
        <v>403.78</v>
      </c>
      <c r="L74" s="226">
        <v>403.78</v>
      </c>
      <c r="M74" s="226">
        <v>403.78</v>
      </c>
      <c r="N74" s="226">
        <v>403.78</v>
      </c>
      <c r="O74" s="226">
        <v>403.78</v>
      </c>
      <c r="P74" s="226">
        <v>403.78</v>
      </c>
      <c r="Q74" s="226">
        <v>403.78</v>
      </c>
      <c r="R74" s="226">
        <v>403.78</v>
      </c>
      <c r="S74" s="226">
        <v>403.78</v>
      </c>
      <c r="T74" s="226">
        <v>403.78</v>
      </c>
      <c r="U74" s="582"/>
      <c r="V74" s="255">
        <f t="shared" ref="V74:V79" si="14">SUM(H74:T74)</f>
        <v>4845.3599999999988</v>
      </c>
      <c r="W74" s="219"/>
      <c r="X74" s="275"/>
    </row>
    <row r="75" spans="1:24" x14ac:dyDescent="0.15">
      <c r="A75" s="46" t="s">
        <v>452</v>
      </c>
      <c r="B75" s="46" t="s">
        <v>522</v>
      </c>
      <c r="C75" s="137" t="s">
        <v>532</v>
      </c>
      <c r="D75" s="49">
        <v>615175</v>
      </c>
      <c r="E75" s="49" t="s">
        <v>145</v>
      </c>
      <c r="F75" s="49" t="s">
        <v>179</v>
      </c>
      <c r="G75" s="108">
        <f>2175/12/3</f>
        <v>60.416666666666664</v>
      </c>
      <c r="H75" s="559"/>
      <c r="I75" s="226">
        <v>60.42</v>
      </c>
      <c r="J75" s="226">
        <v>60.42</v>
      </c>
      <c r="K75" s="226">
        <v>60.42</v>
      </c>
      <c r="L75" s="226">
        <v>60.42</v>
      </c>
      <c r="M75" s="226">
        <v>60.42</v>
      </c>
      <c r="N75" s="226">
        <v>60.42</v>
      </c>
      <c r="O75" s="226">
        <v>60.42</v>
      </c>
      <c r="P75" s="226">
        <v>60.42</v>
      </c>
      <c r="Q75" s="226">
        <v>60.42</v>
      </c>
      <c r="R75" s="226">
        <v>60.42</v>
      </c>
      <c r="S75" s="226">
        <v>60.42</v>
      </c>
      <c r="T75" s="226">
        <v>60.42</v>
      </c>
      <c r="U75" s="582"/>
      <c r="V75" s="255">
        <f t="shared" si="14"/>
        <v>725.04</v>
      </c>
      <c r="W75" s="219"/>
      <c r="X75" s="275"/>
    </row>
    <row r="76" spans="1:24" x14ac:dyDescent="0.15">
      <c r="A76" s="46" t="s">
        <v>452</v>
      </c>
      <c r="B76" s="46"/>
      <c r="C76" s="47"/>
      <c r="D76" s="48">
        <v>615175</v>
      </c>
      <c r="E76" s="173" t="s">
        <v>145</v>
      </c>
      <c r="F76" s="48" t="s">
        <v>179</v>
      </c>
      <c r="G76" s="100">
        <v>184.03</v>
      </c>
      <c r="H76" s="559"/>
      <c r="I76" s="226"/>
      <c r="J76" s="226"/>
      <c r="K76" s="226"/>
      <c r="L76" s="226"/>
      <c r="M76" s="226"/>
      <c r="N76" s="226"/>
      <c r="O76" s="226"/>
      <c r="P76" s="226"/>
      <c r="Q76" s="226"/>
      <c r="R76" s="226"/>
      <c r="S76" s="226"/>
      <c r="T76" s="226"/>
      <c r="U76" s="582"/>
      <c r="V76" s="255">
        <f t="shared" si="14"/>
        <v>0</v>
      </c>
      <c r="X76" s="275"/>
    </row>
    <row r="77" spans="1:24" x14ac:dyDescent="0.15">
      <c r="A77" s="46" t="s">
        <v>452</v>
      </c>
      <c r="B77" s="46" t="s">
        <v>458</v>
      </c>
      <c r="C77" s="47"/>
      <c r="D77" s="48">
        <v>615175</v>
      </c>
      <c r="E77" s="173" t="s">
        <v>145</v>
      </c>
      <c r="F77" s="48" t="s">
        <v>179</v>
      </c>
      <c r="G77" s="100">
        <v>288.91000000000003</v>
      </c>
      <c r="H77" s="559"/>
      <c r="I77" s="226">
        <v>288.93</v>
      </c>
      <c r="J77" s="226">
        <v>288.93</v>
      </c>
      <c r="K77" s="226"/>
      <c r="L77" s="226"/>
      <c r="M77" s="226"/>
      <c r="N77" s="226"/>
      <c r="O77" s="226"/>
      <c r="P77" s="226"/>
      <c r="Q77" s="226"/>
      <c r="R77" s="226"/>
      <c r="S77" s="226"/>
      <c r="T77" s="226"/>
      <c r="U77" s="582"/>
      <c r="V77" s="255">
        <f t="shared" si="14"/>
        <v>577.86</v>
      </c>
      <c r="X77" s="275"/>
    </row>
    <row r="78" spans="1:24" x14ac:dyDescent="0.15">
      <c r="A78" s="46" t="s">
        <v>452</v>
      </c>
      <c r="B78" s="46" t="s">
        <v>458</v>
      </c>
      <c r="C78" s="47" t="s">
        <v>826</v>
      </c>
      <c r="D78" s="48">
        <v>615175</v>
      </c>
      <c r="E78" s="173" t="s">
        <v>145</v>
      </c>
      <c r="F78" s="48" t="s">
        <v>179</v>
      </c>
      <c r="G78" s="100">
        <v>430.46</v>
      </c>
      <c r="H78" s="559"/>
      <c r="I78" s="226">
        <v>430.57</v>
      </c>
      <c r="J78" s="226">
        <v>430.57</v>
      </c>
      <c r="K78" s="226">
        <v>430.57</v>
      </c>
      <c r="L78" s="226">
        <v>430.57</v>
      </c>
      <c r="M78" s="226">
        <v>430.57</v>
      </c>
      <c r="N78" s="226">
        <v>430.57</v>
      </c>
      <c r="O78" s="226">
        <v>430.57</v>
      </c>
      <c r="P78" s="226">
        <v>430.57</v>
      </c>
      <c r="Q78" s="226">
        <v>430.57</v>
      </c>
      <c r="R78" s="226">
        <v>430.57</v>
      </c>
      <c r="S78" s="226">
        <v>430.57</v>
      </c>
      <c r="T78" s="226">
        <v>430.51</v>
      </c>
      <c r="U78" s="582"/>
      <c r="V78" s="255">
        <f t="shared" si="14"/>
        <v>5166.7800000000007</v>
      </c>
      <c r="X78" s="275"/>
    </row>
    <row r="79" spans="1:24" x14ac:dyDescent="0.15">
      <c r="A79" s="46" t="s">
        <v>452</v>
      </c>
      <c r="B79" s="46" t="s">
        <v>488</v>
      </c>
      <c r="C79" s="47"/>
      <c r="D79" s="48">
        <v>615175</v>
      </c>
      <c r="E79" s="173" t="s">
        <v>145</v>
      </c>
      <c r="F79" s="48" t="s">
        <v>179</v>
      </c>
      <c r="G79" s="100">
        <v>13.75</v>
      </c>
      <c r="H79" s="559"/>
      <c r="I79" s="226">
        <v>13.75</v>
      </c>
      <c r="J79" s="226">
        <v>13.75</v>
      </c>
      <c r="K79" s="226">
        <v>13.75</v>
      </c>
      <c r="L79" s="226">
        <v>13.75</v>
      </c>
      <c r="M79" s="226">
        <v>13.75</v>
      </c>
      <c r="N79" s="226">
        <v>13.75</v>
      </c>
      <c r="O79" s="226">
        <v>13.75</v>
      </c>
      <c r="P79" s="226">
        <v>13.75</v>
      </c>
      <c r="Q79" s="226">
        <v>13.75</v>
      </c>
      <c r="R79" s="226">
        <v>13.75</v>
      </c>
      <c r="S79" s="226">
        <v>13.75</v>
      </c>
      <c r="T79" s="226">
        <v>13.75</v>
      </c>
      <c r="U79" s="582"/>
      <c r="V79" s="255">
        <f t="shared" si="14"/>
        <v>165</v>
      </c>
      <c r="W79" s="219"/>
      <c r="X79" s="275"/>
    </row>
    <row r="80" spans="1:24" s="37" customFormat="1" ht="11.25" thickBot="1" x14ac:dyDescent="0.2">
      <c r="A80" s="516" t="s">
        <v>11</v>
      </c>
      <c r="B80" s="517"/>
      <c r="C80" s="518"/>
      <c r="D80" s="519"/>
      <c r="E80" s="516"/>
      <c r="F80" s="520"/>
      <c r="G80" s="521"/>
      <c r="H80" s="522">
        <f>SUM(H74:H79)</f>
        <v>0</v>
      </c>
      <c r="I80" s="522">
        <f t="shared" ref="I80:V80" si="15">SUM(I74:I79)</f>
        <v>1197.45</v>
      </c>
      <c r="J80" s="522">
        <f t="shared" si="15"/>
        <v>1197.45</v>
      </c>
      <c r="K80" s="522">
        <f t="shared" si="15"/>
        <v>908.52</v>
      </c>
      <c r="L80" s="522">
        <f t="shared" si="15"/>
        <v>908.52</v>
      </c>
      <c r="M80" s="522">
        <f t="shared" si="15"/>
        <v>908.52</v>
      </c>
      <c r="N80" s="522">
        <f t="shared" si="15"/>
        <v>908.52</v>
      </c>
      <c r="O80" s="522">
        <f t="shared" si="15"/>
        <v>908.52</v>
      </c>
      <c r="P80" s="522">
        <f t="shared" si="15"/>
        <v>908.52</v>
      </c>
      <c r="Q80" s="522">
        <f t="shared" si="15"/>
        <v>908.52</v>
      </c>
      <c r="R80" s="522">
        <f t="shared" si="15"/>
        <v>908.52</v>
      </c>
      <c r="S80" s="522">
        <f t="shared" si="15"/>
        <v>908.52</v>
      </c>
      <c r="T80" s="522">
        <f t="shared" si="15"/>
        <v>908.46</v>
      </c>
      <c r="U80" s="522">
        <f t="shared" si="15"/>
        <v>0</v>
      </c>
      <c r="V80" s="522">
        <f t="shared" si="15"/>
        <v>11480.039999999999</v>
      </c>
      <c r="W80" s="97" t="str">
        <f>+IF(V80=SUM(H80:T80),"contrôle ok", "erreur")</f>
        <v>contrôle ok</v>
      </c>
      <c r="X80" s="275"/>
    </row>
    <row r="81" spans="1:24" s="37" customFormat="1" ht="11.25" thickTop="1" x14ac:dyDescent="0.15">
      <c r="A81" s="33"/>
      <c r="B81" s="33"/>
      <c r="C81" s="34"/>
      <c r="D81" s="35"/>
      <c r="E81" s="94"/>
      <c r="F81" s="35"/>
      <c r="G81" s="100"/>
      <c r="H81" s="229"/>
      <c r="I81" s="229"/>
      <c r="J81" s="229"/>
      <c r="K81" s="229"/>
      <c r="L81" s="229"/>
      <c r="M81" s="229"/>
      <c r="N81" s="229"/>
      <c r="O81" s="229"/>
      <c r="P81" s="229"/>
      <c r="Q81" s="229"/>
      <c r="R81" s="229"/>
      <c r="S81" s="229"/>
      <c r="T81" s="229"/>
      <c r="U81" s="229"/>
      <c r="V81" s="258"/>
      <c r="X81" s="275"/>
    </row>
    <row r="82" spans="1:24" x14ac:dyDescent="0.15">
      <c r="A82" s="27" t="s">
        <v>228</v>
      </c>
      <c r="B82" s="28"/>
      <c r="C82" s="29"/>
      <c r="D82" s="30"/>
      <c r="E82" s="30"/>
      <c r="F82" s="31"/>
      <c r="G82" s="101"/>
      <c r="H82" s="224"/>
      <c r="I82" s="224"/>
      <c r="J82" s="251"/>
      <c r="K82" s="224"/>
      <c r="L82" s="224"/>
      <c r="M82" s="224"/>
      <c r="N82" s="224"/>
      <c r="O82" s="224"/>
      <c r="P82" s="224"/>
      <c r="Q82" s="224"/>
      <c r="R82" s="224"/>
      <c r="S82" s="224"/>
      <c r="T82" s="224"/>
      <c r="U82" s="224"/>
      <c r="V82" s="252"/>
      <c r="X82" s="275"/>
    </row>
    <row r="83" spans="1:24" x14ac:dyDescent="0.15">
      <c r="A83" s="143" t="s">
        <v>239</v>
      </c>
      <c r="B83" s="143"/>
      <c r="C83" s="144"/>
      <c r="D83" s="145">
        <v>615176</v>
      </c>
      <c r="E83" s="145" t="s">
        <v>145</v>
      </c>
      <c r="F83" s="145" t="s">
        <v>192</v>
      </c>
      <c r="G83" s="163"/>
      <c r="H83" s="559"/>
      <c r="I83" s="226"/>
      <c r="J83" s="226">
        <v>583.05999999999995</v>
      </c>
      <c r="K83" s="226"/>
      <c r="L83" s="226"/>
      <c r="M83" s="226">
        <v>497</v>
      </c>
      <c r="N83" s="226">
        <f>3691.7</f>
        <v>3691.7</v>
      </c>
      <c r="O83" s="226">
        <v>804</v>
      </c>
      <c r="P83" s="226">
        <f>680+680</f>
        <v>1360</v>
      </c>
      <c r="Q83" s="226"/>
      <c r="R83" s="226">
        <v>130</v>
      </c>
      <c r="S83" s="226">
        <f>1887+258.06</f>
        <v>2145.06</v>
      </c>
      <c r="T83" s="226"/>
      <c r="U83" s="582"/>
      <c r="V83" s="255">
        <f>SUM(H83:T83)</f>
        <v>9210.82</v>
      </c>
      <c r="X83" s="275"/>
    </row>
    <row r="84" spans="1:24" x14ac:dyDescent="0.15">
      <c r="A84" s="68"/>
      <c r="B84" s="68"/>
      <c r="C84" s="69"/>
      <c r="D84" s="145">
        <v>615176</v>
      </c>
      <c r="E84" s="145" t="s">
        <v>145</v>
      </c>
      <c r="F84" s="145" t="s">
        <v>192</v>
      </c>
      <c r="G84" s="164"/>
      <c r="H84" s="559"/>
      <c r="I84" s="226"/>
      <c r="J84" s="226"/>
      <c r="K84" s="226"/>
      <c r="L84" s="226"/>
      <c r="M84" s="226"/>
      <c r="N84" s="226">
        <f>752</f>
        <v>752</v>
      </c>
      <c r="O84" s="226"/>
      <c r="P84" s="226"/>
      <c r="Q84" s="226"/>
      <c r="R84" s="226"/>
      <c r="S84" s="226"/>
      <c r="T84" s="226"/>
      <c r="U84" s="582"/>
      <c r="V84" s="255">
        <f>SUM(H84:T84)</f>
        <v>752</v>
      </c>
      <c r="W84" s="6"/>
      <c r="X84" s="275"/>
    </row>
    <row r="85" spans="1:24" x14ac:dyDescent="0.15">
      <c r="A85" s="68"/>
      <c r="B85" s="68"/>
      <c r="C85" s="69"/>
      <c r="D85" s="145">
        <v>615176</v>
      </c>
      <c r="E85" s="145" t="s">
        <v>145</v>
      </c>
      <c r="F85" s="168" t="s">
        <v>179</v>
      </c>
      <c r="G85" s="164"/>
      <c r="H85" s="559">
        <v>-2208.36</v>
      </c>
      <c r="I85" s="226"/>
      <c r="J85" s="226"/>
      <c r="K85" s="226"/>
      <c r="L85" s="226"/>
      <c r="M85" s="226"/>
      <c r="N85" s="226"/>
      <c r="O85" s="226"/>
      <c r="P85" s="226"/>
      <c r="Q85" s="226"/>
      <c r="R85" s="226"/>
      <c r="S85" s="226"/>
      <c r="T85" s="226"/>
      <c r="U85" s="582"/>
      <c r="V85" s="255">
        <f>SUM(H85:T85)</f>
        <v>-2208.36</v>
      </c>
      <c r="W85" s="6"/>
      <c r="X85" s="275"/>
    </row>
    <row r="86" spans="1:24" s="37" customFormat="1" ht="11.25" thickBot="1" x14ac:dyDescent="0.2">
      <c r="A86" s="516" t="s">
        <v>11</v>
      </c>
      <c r="B86" s="517"/>
      <c r="C86" s="518"/>
      <c r="D86" s="519"/>
      <c r="E86" s="516"/>
      <c r="F86" s="520"/>
      <c r="G86" s="521"/>
      <c r="H86" s="522">
        <f>SUM(H83:H85)</f>
        <v>-2208.36</v>
      </c>
      <c r="I86" s="522">
        <f>SUM(I83:I85)</f>
        <v>0</v>
      </c>
      <c r="J86" s="522">
        <f t="shared" ref="J86:V86" si="16">SUM(J83:J85)</f>
        <v>583.05999999999995</v>
      </c>
      <c r="K86" s="522">
        <f t="shared" si="16"/>
        <v>0</v>
      </c>
      <c r="L86" s="522">
        <f t="shared" si="16"/>
        <v>0</v>
      </c>
      <c r="M86" s="522">
        <f t="shared" si="16"/>
        <v>497</v>
      </c>
      <c r="N86" s="522">
        <f t="shared" si="16"/>
        <v>4443.7</v>
      </c>
      <c r="O86" s="522">
        <f t="shared" si="16"/>
        <v>804</v>
      </c>
      <c r="P86" s="522">
        <f t="shared" si="16"/>
        <v>1360</v>
      </c>
      <c r="Q86" s="522">
        <f t="shared" si="16"/>
        <v>0</v>
      </c>
      <c r="R86" s="522">
        <f t="shared" si="16"/>
        <v>130</v>
      </c>
      <c r="S86" s="522">
        <f t="shared" si="16"/>
        <v>2145.06</v>
      </c>
      <c r="T86" s="522">
        <f t="shared" si="16"/>
        <v>0</v>
      </c>
      <c r="U86" s="522">
        <f t="shared" si="16"/>
        <v>0</v>
      </c>
      <c r="V86" s="522">
        <f t="shared" si="16"/>
        <v>7754.4599999999991</v>
      </c>
      <c r="W86" s="97" t="str">
        <f>+IF(V86=SUM(H86:T86),"contrôle ok", "erreur")</f>
        <v>contrôle ok</v>
      </c>
      <c r="X86" s="275"/>
    </row>
    <row r="87" spans="1:24" ht="11.25" thickTop="1" x14ac:dyDescent="0.15">
      <c r="A87" s="33"/>
      <c r="B87" s="33"/>
      <c r="C87" s="34"/>
      <c r="D87" s="35"/>
      <c r="E87" s="36"/>
      <c r="F87" s="35"/>
      <c r="G87" s="100"/>
      <c r="H87" s="229"/>
      <c r="I87" s="229"/>
      <c r="J87" s="229"/>
      <c r="K87" s="229"/>
      <c r="L87" s="229"/>
      <c r="M87" s="229"/>
      <c r="N87" s="229"/>
      <c r="O87" s="229"/>
      <c r="P87" s="229"/>
      <c r="Q87" s="229"/>
      <c r="R87" s="229"/>
      <c r="S87" s="229"/>
      <c r="T87" s="229"/>
      <c r="U87" s="229"/>
      <c r="V87" s="258"/>
      <c r="X87" s="275"/>
    </row>
    <row r="88" spans="1:24" x14ac:dyDescent="0.15">
      <c r="A88" s="27" t="s">
        <v>28</v>
      </c>
      <c r="B88" s="28"/>
      <c r="C88" s="29"/>
      <c r="D88" s="30"/>
      <c r="E88" s="30"/>
      <c r="F88" s="31"/>
      <c r="G88" s="101"/>
      <c r="H88" s="224"/>
      <c r="I88" s="224"/>
      <c r="J88" s="251"/>
      <c r="K88" s="224"/>
      <c r="L88" s="224"/>
      <c r="M88" s="224"/>
      <c r="N88" s="224"/>
      <c r="O88" s="224"/>
      <c r="P88" s="224"/>
      <c r="Q88" s="224"/>
      <c r="R88" s="224"/>
      <c r="S88" s="224"/>
      <c r="T88" s="224"/>
      <c r="U88" s="224"/>
      <c r="V88" s="252"/>
      <c r="X88" s="275"/>
    </row>
    <row r="89" spans="1:24" x14ac:dyDescent="0.15">
      <c r="A89" s="143" t="s">
        <v>180</v>
      </c>
      <c r="B89" s="143" t="s">
        <v>29</v>
      </c>
      <c r="C89" s="144"/>
      <c r="D89" s="145">
        <v>615180</v>
      </c>
      <c r="E89" s="145" t="s">
        <v>78</v>
      </c>
      <c r="F89" s="145" t="s">
        <v>192</v>
      </c>
      <c r="G89" s="163"/>
      <c r="H89" s="559"/>
      <c r="I89" s="226"/>
      <c r="J89" s="226"/>
      <c r="K89" s="226"/>
      <c r="L89" s="226"/>
      <c r="M89" s="226"/>
      <c r="N89" s="226"/>
      <c r="O89" s="226"/>
      <c r="P89" s="226"/>
      <c r="Q89" s="226"/>
      <c r="R89" s="226"/>
      <c r="S89" s="226"/>
      <c r="T89" s="226"/>
      <c r="U89" s="582"/>
      <c r="V89" s="255">
        <f>SUM(H89:T89)</f>
        <v>0</v>
      </c>
      <c r="W89" s="219"/>
      <c r="X89" s="275"/>
    </row>
    <row r="90" spans="1:24" x14ac:dyDescent="0.15">
      <c r="A90" s="143" t="s">
        <v>180</v>
      </c>
      <c r="B90" s="143" t="s">
        <v>29</v>
      </c>
      <c r="C90" s="144" t="s">
        <v>30</v>
      </c>
      <c r="D90" s="145">
        <v>615180</v>
      </c>
      <c r="E90" s="145" t="s">
        <v>78</v>
      </c>
      <c r="F90" s="145" t="s">
        <v>179</v>
      </c>
      <c r="G90" s="163">
        <v>566.66999999999996</v>
      </c>
      <c r="H90" s="559"/>
      <c r="I90" s="226">
        <v>566.63</v>
      </c>
      <c r="J90" s="226">
        <v>566.66999999999996</v>
      </c>
      <c r="K90" s="226">
        <v>566.66999999999996</v>
      </c>
      <c r="L90" s="226">
        <v>566.66999999999996</v>
      </c>
      <c r="M90" s="226">
        <v>566.66999999999996</v>
      </c>
      <c r="N90" s="226">
        <v>566.66999999999996</v>
      </c>
      <c r="O90" s="226">
        <v>566.66999999999996</v>
      </c>
      <c r="P90" s="226">
        <v>566.66999999999996</v>
      </c>
      <c r="Q90" s="226">
        <v>566.66999999999996</v>
      </c>
      <c r="R90" s="226">
        <v>566.66999999999996</v>
      </c>
      <c r="S90" s="226">
        <v>566.66999999999996</v>
      </c>
      <c r="T90" s="226"/>
      <c r="U90" s="582"/>
      <c r="V90" s="255">
        <f>SUM(H90:T90)</f>
        <v>6233.33</v>
      </c>
      <c r="W90" s="219"/>
      <c r="X90" s="275"/>
    </row>
    <row r="91" spans="1:24" s="37" customFormat="1" ht="11.25" thickBot="1" x14ac:dyDescent="0.2">
      <c r="A91" s="516" t="s">
        <v>11</v>
      </c>
      <c r="B91" s="517"/>
      <c r="C91" s="518"/>
      <c r="D91" s="519"/>
      <c r="E91" s="516"/>
      <c r="F91" s="520"/>
      <c r="G91" s="521"/>
      <c r="H91" s="522">
        <f>SUM(H89:H90)</f>
        <v>0</v>
      </c>
      <c r="I91" s="522">
        <f t="shared" ref="I91:V91" si="17">SUM(I89:I90)</f>
        <v>566.63</v>
      </c>
      <c r="J91" s="522">
        <f t="shared" si="17"/>
        <v>566.66999999999996</v>
      </c>
      <c r="K91" s="522">
        <f t="shared" si="17"/>
        <v>566.66999999999996</v>
      </c>
      <c r="L91" s="522">
        <f t="shared" si="17"/>
        <v>566.66999999999996</v>
      </c>
      <c r="M91" s="522">
        <f t="shared" si="17"/>
        <v>566.66999999999996</v>
      </c>
      <c r="N91" s="522">
        <f t="shared" si="17"/>
        <v>566.66999999999996</v>
      </c>
      <c r="O91" s="522">
        <f t="shared" si="17"/>
        <v>566.66999999999996</v>
      </c>
      <c r="P91" s="522">
        <f t="shared" si="17"/>
        <v>566.66999999999996</v>
      </c>
      <c r="Q91" s="522">
        <f t="shared" si="17"/>
        <v>566.66999999999996</v>
      </c>
      <c r="R91" s="522">
        <f t="shared" si="17"/>
        <v>566.66999999999996</v>
      </c>
      <c r="S91" s="522">
        <f t="shared" si="17"/>
        <v>566.66999999999996</v>
      </c>
      <c r="T91" s="522">
        <f t="shared" si="17"/>
        <v>0</v>
      </c>
      <c r="U91" s="522">
        <f t="shared" si="17"/>
        <v>0</v>
      </c>
      <c r="V91" s="522">
        <f t="shared" si="17"/>
        <v>6233.33</v>
      </c>
      <c r="W91" s="97" t="str">
        <f>+IF(V91=SUM(H91:T91),"contrôle ok", "erreur")</f>
        <v>contrôle ok</v>
      </c>
      <c r="X91" s="275"/>
    </row>
    <row r="92" spans="1:24" s="37" customFormat="1" ht="11.25" thickTop="1" x14ac:dyDescent="0.15">
      <c r="A92" s="33"/>
      <c r="B92" s="33"/>
      <c r="C92" s="34"/>
      <c r="D92" s="35"/>
      <c r="E92" s="36"/>
      <c r="F92" s="35"/>
      <c r="G92" s="100"/>
      <c r="H92" s="229"/>
      <c r="I92" s="229"/>
      <c r="J92" s="229"/>
      <c r="K92" s="229"/>
      <c r="L92" s="229"/>
      <c r="M92" s="246"/>
      <c r="N92" s="246"/>
      <c r="O92" s="246"/>
      <c r="P92" s="229"/>
      <c r="Q92" s="229"/>
      <c r="R92" s="229"/>
      <c r="S92" s="229"/>
      <c r="T92" s="229"/>
      <c r="U92" s="229"/>
      <c r="V92" s="258"/>
      <c r="X92" s="275"/>
    </row>
    <row r="93" spans="1:24" x14ac:dyDescent="0.15">
      <c r="A93" s="27" t="s">
        <v>91</v>
      </c>
      <c r="B93" s="28"/>
      <c r="C93" s="29"/>
      <c r="D93" s="30"/>
      <c r="E93" s="30"/>
      <c r="F93" s="31"/>
      <c r="G93" s="101"/>
      <c r="H93" s="224"/>
      <c r="I93" s="224"/>
      <c r="J93" s="251"/>
      <c r="K93" s="224"/>
      <c r="L93" s="224"/>
      <c r="M93" s="224"/>
      <c r="N93" s="224"/>
      <c r="O93" s="224"/>
      <c r="P93" s="224"/>
      <c r="Q93" s="224"/>
      <c r="R93" s="224"/>
      <c r="S93" s="224"/>
      <c r="T93" s="224"/>
      <c r="U93" s="224"/>
      <c r="V93" s="252"/>
      <c r="X93" s="275"/>
    </row>
    <row r="94" spans="1:24" x14ac:dyDescent="0.15">
      <c r="A94" s="143" t="s">
        <v>207</v>
      </c>
      <c r="B94" s="143" t="s">
        <v>264</v>
      </c>
      <c r="C94" s="144"/>
      <c r="D94" s="145">
        <v>615190</v>
      </c>
      <c r="E94" s="145" t="s">
        <v>78</v>
      </c>
      <c r="F94" s="145" t="s">
        <v>199</v>
      </c>
      <c r="G94" s="163"/>
      <c r="H94" s="559"/>
      <c r="I94" s="226"/>
      <c r="J94" s="226"/>
      <c r="K94" s="226">
        <f>569.84+659.04</f>
        <v>1228.8800000000001</v>
      </c>
      <c r="L94" s="226"/>
      <c r="M94" s="226"/>
      <c r="N94" s="226"/>
      <c r="O94" s="226"/>
      <c r="P94" s="226"/>
      <c r="Q94" s="226"/>
      <c r="R94" s="226"/>
      <c r="S94" s="226"/>
      <c r="T94" s="226"/>
      <c r="U94" s="582"/>
      <c r="V94" s="255">
        <f t="shared" ref="V94:V106" si="18">SUM(H94:T94)</f>
        <v>1228.8800000000001</v>
      </c>
      <c r="X94" s="275"/>
    </row>
    <row r="95" spans="1:24" x14ac:dyDescent="0.15">
      <c r="A95" s="143"/>
      <c r="B95" s="143"/>
      <c r="C95" s="144"/>
      <c r="D95" s="145">
        <v>615190</v>
      </c>
      <c r="E95" s="145" t="s">
        <v>78</v>
      </c>
      <c r="F95" s="145" t="s">
        <v>192</v>
      </c>
      <c r="G95" s="163"/>
      <c r="H95" s="559"/>
      <c r="I95" s="226"/>
      <c r="J95" s="226"/>
      <c r="K95" s="226"/>
      <c r="L95" s="226"/>
      <c r="M95" s="226"/>
      <c r="N95" s="226">
        <v>1411</v>
      </c>
      <c r="O95" s="226"/>
      <c r="P95" s="226"/>
      <c r="Q95" s="226"/>
      <c r="R95" s="226"/>
      <c r="S95" s="226"/>
      <c r="T95" s="226"/>
      <c r="U95" s="582"/>
      <c r="V95" s="255">
        <f t="shared" si="18"/>
        <v>1411</v>
      </c>
      <c r="X95" s="275"/>
    </row>
    <row r="96" spans="1:24" x14ac:dyDescent="0.15">
      <c r="A96" s="143" t="s">
        <v>207</v>
      </c>
      <c r="B96" s="143" t="s">
        <v>357</v>
      </c>
      <c r="C96" s="144"/>
      <c r="D96" s="145">
        <v>615190</v>
      </c>
      <c r="E96" s="145" t="s">
        <v>78</v>
      </c>
      <c r="F96" s="145" t="s">
        <v>181</v>
      </c>
      <c r="G96" s="163"/>
      <c r="H96" s="559"/>
      <c r="I96" s="226"/>
      <c r="J96" s="226"/>
      <c r="K96" s="226"/>
      <c r="L96" s="226">
        <f>2636.56+224.1</f>
        <v>2860.66</v>
      </c>
      <c r="M96" s="226"/>
      <c r="N96" s="226">
        <v>-1254</v>
      </c>
      <c r="O96" s="226"/>
      <c r="P96" s="226"/>
      <c r="Q96" s="226"/>
      <c r="R96" s="226"/>
      <c r="S96" s="226"/>
      <c r="T96" s="226"/>
      <c r="U96" s="582"/>
      <c r="V96" s="255">
        <f t="shared" si="18"/>
        <v>1606.6599999999999</v>
      </c>
      <c r="X96" s="275"/>
    </row>
    <row r="97" spans="1:24" x14ac:dyDescent="0.15">
      <c r="A97" s="143" t="s">
        <v>821</v>
      </c>
      <c r="B97" s="143" t="s">
        <v>357</v>
      </c>
      <c r="C97" s="144"/>
      <c r="D97" s="145">
        <v>615190</v>
      </c>
      <c r="E97" s="145" t="s">
        <v>78</v>
      </c>
      <c r="F97" s="145" t="s">
        <v>181</v>
      </c>
      <c r="G97" s="163"/>
      <c r="H97" s="559"/>
      <c r="I97" s="226"/>
      <c r="J97" s="226"/>
      <c r="K97" s="226"/>
      <c r="L97" s="226">
        <v>119.4</v>
      </c>
      <c r="M97" s="226"/>
      <c r="N97" s="226"/>
      <c r="O97" s="226"/>
      <c r="P97" s="226"/>
      <c r="Q97" s="226"/>
      <c r="R97" s="226">
        <v>112.6</v>
      </c>
      <c r="S97" s="226"/>
      <c r="T97" s="226">
        <v>443.3</v>
      </c>
      <c r="U97" s="582"/>
      <c r="V97" s="255">
        <f t="shared" si="18"/>
        <v>675.3</v>
      </c>
      <c r="X97" s="275"/>
    </row>
    <row r="98" spans="1:24" x14ac:dyDescent="0.15">
      <c r="A98" s="143" t="s">
        <v>207</v>
      </c>
      <c r="B98" s="143" t="s">
        <v>264</v>
      </c>
      <c r="C98" s="144"/>
      <c r="D98" s="145">
        <v>615190</v>
      </c>
      <c r="E98" s="145" t="s">
        <v>78</v>
      </c>
      <c r="F98" s="145" t="s">
        <v>198</v>
      </c>
      <c r="G98" s="163"/>
      <c r="H98" s="559"/>
      <c r="I98" s="226"/>
      <c r="J98" s="226"/>
      <c r="K98" s="226"/>
      <c r="L98" s="226"/>
      <c r="M98" s="226"/>
      <c r="N98" s="226"/>
      <c r="O98" s="226"/>
      <c r="P98" s="226"/>
      <c r="Q98" s="226"/>
      <c r="R98" s="226"/>
      <c r="S98" s="226"/>
      <c r="T98" s="226"/>
      <c r="U98" s="582"/>
      <c r="V98" s="255">
        <f t="shared" si="18"/>
        <v>0</v>
      </c>
      <c r="X98" s="275"/>
    </row>
    <row r="99" spans="1:24" x14ac:dyDescent="0.15">
      <c r="A99" s="143" t="s">
        <v>312</v>
      </c>
      <c r="B99" s="143"/>
      <c r="C99" s="143" t="s">
        <v>829</v>
      </c>
      <c r="D99" s="145">
        <v>615190</v>
      </c>
      <c r="E99" s="145" t="s">
        <v>78</v>
      </c>
      <c r="F99" s="145" t="s">
        <v>208</v>
      </c>
      <c r="G99" s="211">
        <v>175.07</v>
      </c>
      <c r="H99" s="559"/>
      <c r="I99" s="226">
        <v>175.07</v>
      </c>
      <c r="J99" s="226">
        <v>175.07</v>
      </c>
      <c r="K99" s="226">
        <v>175.07</v>
      </c>
      <c r="L99" s="226">
        <v>175.07</v>
      </c>
      <c r="M99" s="226">
        <v>175.07</v>
      </c>
      <c r="N99" s="226">
        <v>175.07</v>
      </c>
      <c r="O99" s="226">
        <v>175.07</v>
      </c>
      <c r="P99" s="226">
        <v>175.07</v>
      </c>
      <c r="Q99" s="226">
        <v>175.06</v>
      </c>
      <c r="R99" s="608"/>
      <c r="S99" s="608"/>
      <c r="T99" s="608"/>
      <c r="U99" s="582"/>
      <c r="V99" s="255">
        <f>SUM(H99:T99)</f>
        <v>1575.6199999999997</v>
      </c>
      <c r="X99" s="275"/>
    </row>
    <row r="100" spans="1:24" x14ac:dyDescent="0.15">
      <c r="A100" s="143" t="s">
        <v>816</v>
      </c>
      <c r="B100" s="143"/>
      <c r="C100" s="143" t="s">
        <v>817</v>
      </c>
      <c r="D100" s="145">
        <v>615190</v>
      </c>
      <c r="E100" s="145" t="s">
        <v>78</v>
      </c>
      <c r="F100" s="145" t="s">
        <v>208</v>
      </c>
      <c r="G100" s="211">
        <v>177.23</v>
      </c>
      <c r="H100" s="559"/>
      <c r="I100" s="226"/>
      <c r="J100" s="226"/>
      <c r="K100" s="226"/>
      <c r="L100" s="226"/>
      <c r="M100" s="226"/>
      <c r="N100" s="226"/>
      <c r="O100" s="226"/>
      <c r="P100" s="226"/>
      <c r="Q100" s="226"/>
      <c r="R100" s="226">
        <v>177.23</v>
      </c>
      <c r="S100" s="226">
        <v>177.23</v>
      </c>
      <c r="T100" s="226">
        <v>177.23</v>
      </c>
      <c r="U100" s="582"/>
      <c r="V100" s="255">
        <f>SUM(H100:T100)</f>
        <v>531.68999999999994</v>
      </c>
      <c r="X100" s="275"/>
    </row>
    <row r="101" spans="1:24" x14ac:dyDescent="0.15">
      <c r="A101" s="143" t="s">
        <v>816</v>
      </c>
      <c r="B101" s="143" t="s">
        <v>855</v>
      </c>
      <c r="C101" s="143" t="s">
        <v>856</v>
      </c>
      <c r="D101" s="145">
        <v>615190</v>
      </c>
      <c r="E101" s="145" t="s">
        <v>78</v>
      </c>
      <c r="F101" s="145" t="s">
        <v>208</v>
      </c>
      <c r="G101" s="211">
        <v>571.97</v>
      </c>
      <c r="H101" s="559"/>
      <c r="I101" s="226"/>
      <c r="J101" s="226"/>
      <c r="K101" s="226"/>
      <c r="L101" s="226"/>
      <c r="M101" s="226"/>
      <c r="N101" s="226"/>
      <c r="O101" s="226"/>
      <c r="P101" s="226"/>
      <c r="Q101" s="226"/>
      <c r="R101" s="226"/>
      <c r="S101" s="226"/>
      <c r="T101" s="226">
        <v>571.97</v>
      </c>
      <c r="U101" s="582"/>
      <c r="V101" s="255">
        <f t="shared" si="18"/>
        <v>571.97</v>
      </c>
      <c r="X101" s="275"/>
    </row>
    <row r="102" spans="1:24" x14ac:dyDescent="0.15">
      <c r="A102" s="143" t="s">
        <v>312</v>
      </c>
      <c r="B102" s="143"/>
      <c r="C102" s="143" t="s">
        <v>666</v>
      </c>
      <c r="D102" s="145">
        <v>615190</v>
      </c>
      <c r="E102" s="145" t="s">
        <v>78</v>
      </c>
      <c r="F102" s="145" t="s">
        <v>208</v>
      </c>
      <c r="G102" s="211"/>
      <c r="H102" s="559"/>
      <c r="I102" s="226"/>
      <c r="J102" s="226"/>
      <c r="K102" s="226"/>
      <c r="L102" s="226"/>
      <c r="M102" s="226"/>
      <c r="N102" s="226"/>
      <c r="O102" s="226"/>
      <c r="P102" s="226"/>
      <c r="Q102" s="226"/>
      <c r="R102" s="226"/>
      <c r="S102" s="226"/>
      <c r="T102" s="226"/>
      <c r="U102" s="582"/>
      <c r="V102" s="255">
        <f t="shared" si="18"/>
        <v>0</v>
      </c>
      <c r="X102" s="275"/>
    </row>
    <row r="103" spans="1:24" s="98" customFormat="1" x14ac:dyDescent="0.15">
      <c r="A103" s="170" t="s">
        <v>43</v>
      </c>
      <c r="B103" s="170"/>
      <c r="C103" s="170" t="s">
        <v>863</v>
      </c>
      <c r="D103" s="475">
        <v>615190</v>
      </c>
      <c r="E103" s="475" t="s">
        <v>78</v>
      </c>
      <c r="F103" s="145" t="s">
        <v>208</v>
      </c>
      <c r="G103" s="211">
        <v>120.11</v>
      </c>
      <c r="H103" s="226">
        <v>-720</v>
      </c>
      <c r="I103" s="226">
        <v>563.34</v>
      </c>
      <c r="J103" s="226">
        <v>563.34</v>
      </c>
      <c r="K103" s="226">
        <v>563.34</v>
      </c>
      <c r="L103" s="226">
        <v>563.34</v>
      </c>
      <c r="M103" s="226">
        <v>563.34</v>
      </c>
      <c r="N103" s="226">
        <v>563.34</v>
      </c>
      <c r="O103" s="226">
        <v>563.34</v>
      </c>
      <c r="P103" s="226">
        <v>563.34</v>
      </c>
      <c r="Q103" s="226">
        <v>563.34</v>
      </c>
      <c r="R103" s="226">
        <v>563.34</v>
      </c>
      <c r="S103" s="226">
        <v>563.26</v>
      </c>
      <c r="T103" s="226"/>
      <c r="U103" s="582"/>
      <c r="V103" s="226">
        <f t="shared" si="18"/>
        <v>5476.6600000000008</v>
      </c>
      <c r="X103" s="463"/>
    </row>
    <row r="104" spans="1:24" x14ac:dyDescent="0.15">
      <c r="A104" s="143" t="s">
        <v>43</v>
      </c>
      <c r="B104" s="143"/>
      <c r="C104" s="143" t="s">
        <v>525</v>
      </c>
      <c r="D104" s="145">
        <v>615190</v>
      </c>
      <c r="E104" s="145" t="s">
        <v>78</v>
      </c>
      <c r="F104" s="145" t="s">
        <v>208</v>
      </c>
      <c r="G104" s="211">
        <v>177.78</v>
      </c>
      <c r="H104" s="559">
        <v>-1080</v>
      </c>
      <c r="I104" s="582">
        <v>180</v>
      </c>
      <c r="J104" s="582">
        <v>180</v>
      </c>
      <c r="K104" s="582">
        <v>180</v>
      </c>
      <c r="L104" s="582">
        <v>180</v>
      </c>
      <c r="M104" s="582">
        <v>180</v>
      </c>
      <c r="N104" s="582">
        <v>180</v>
      </c>
      <c r="O104" s="226">
        <v>-1080</v>
      </c>
      <c r="P104" s="226"/>
      <c r="Q104" s="226"/>
      <c r="R104" s="226"/>
      <c r="S104" s="226"/>
      <c r="T104" s="226"/>
      <c r="U104" s="582"/>
      <c r="V104" s="255">
        <f t="shared" si="18"/>
        <v>-1080</v>
      </c>
      <c r="X104" s="275"/>
    </row>
    <row r="105" spans="1:24" x14ac:dyDescent="0.15">
      <c r="A105" s="143" t="s">
        <v>299</v>
      </c>
      <c r="B105" s="143"/>
      <c r="C105" s="144">
        <v>2016</v>
      </c>
      <c r="D105" s="145">
        <v>615190</v>
      </c>
      <c r="E105" s="145" t="s">
        <v>78</v>
      </c>
      <c r="F105" s="145" t="s">
        <v>208</v>
      </c>
      <c r="G105" s="211">
        <f>3391.8/12</f>
        <v>282.65000000000003</v>
      </c>
      <c r="H105" s="559"/>
      <c r="I105" s="608"/>
      <c r="J105" s="608"/>
      <c r="K105" s="608"/>
      <c r="L105" s="608"/>
      <c r="M105" s="608"/>
      <c r="N105" s="608"/>
      <c r="O105" s="608"/>
      <c r="P105" s="608"/>
      <c r="Q105" s="608"/>
      <c r="R105" s="608"/>
      <c r="S105" s="608"/>
      <c r="T105" s="608"/>
      <c r="U105" s="582"/>
      <c r="V105" s="255">
        <f>SUM(H105:T105)</f>
        <v>0</v>
      </c>
      <c r="X105" s="275"/>
    </row>
    <row r="106" spans="1:24" x14ac:dyDescent="0.15">
      <c r="A106" s="143" t="s">
        <v>104</v>
      </c>
      <c r="B106" s="143" t="s">
        <v>799</v>
      </c>
      <c r="C106" s="143"/>
      <c r="D106" s="145">
        <v>615190</v>
      </c>
      <c r="E106" s="145" t="s">
        <v>78</v>
      </c>
      <c r="F106" s="145" t="s">
        <v>197</v>
      </c>
      <c r="G106" s="211"/>
      <c r="H106" s="559"/>
      <c r="I106" s="226"/>
      <c r="J106" s="226"/>
      <c r="K106" s="226"/>
      <c r="L106" s="226"/>
      <c r="M106" s="226"/>
      <c r="N106" s="226">
        <v>298.5</v>
      </c>
      <c r="O106" s="226"/>
      <c r="P106" s="226"/>
      <c r="Q106" s="226"/>
      <c r="R106" s="226"/>
      <c r="S106" s="226"/>
      <c r="T106" s="226"/>
      <c r="U106" s="582"/>
      <c r="V106" s="255">
        <f t="shared" si="18"/>
        <v>298.5</v>
      </c>
      <c r="X106" s="275"/>
    </row>
    <row r="107" spans="1:24" s="37" customFormat="1" ht="11.25" thickBot="1" x14ac:dyDescent="0.2">
      <c r="A107" s="516" t="s">
        <v>11</v>
      </c>
      <c r="B107" s="517"/>
      <c r="C107" s="518"/>
      <c r="D107" s="519"/>
      <c r="E107" s="516"/>
      <c r="F107" s="520"/>
      <c r="G107" s="521"/>
      <c r="H107" s="522">
        <f t="shared" ref="H107:V107" si="19">SUM(H94:H106)</f>
        <v>-1800</v>
      </c>
      <c r="I107" s="522">
        <f t="shared" si="19"/>
        <v>918.41000000000008</v>
      </c>
      <c r="J107" s="522">
        <f t="shared" si="19"/>
        <v>918.41000000000008</v>
      </c>
      <c r="K107" s="522">
        <f t="shared" si="19"/>
        <v>2147.29</v>
      </c>
      <c r="L107" s="522">
        <f t="shared" si="19"/>
        <v>3898.4700000000003</v>
      </c>
      <c r="M107" s="522">
        <f t="shared" si="19"/>
        <v>918.41000000000008</v>
      </c>
      <c r="N107" s="522">
        <f t="shared" si="19"/>
        <v>1373.91</v>
      </c>
      <c r="O107" s="522">
        <f t="shared" si="19"/>
        <v>-341.58999999999992</v>
      </c>
      <c r="P107" s="522">
        <f t="shared" si="19"/>
        <v>738.41000000000008</v>
      </c>
      <c r="Q107" s="522">
        <f t="shared" si="19"/>
        <v>738.40000000000009</v>
      </c>
      <c r="R107" s="522">
        <f t="shared" si="19"/>
        <v>853.17000000000007</v>
      </c>
      <c r="S107" s="522">
        <f t="shared" si="19"/>
        <v>740.49</v>
      </c>
      <c r="T107" s="522">
        <f t="shared" si="19"/>
        <v>1192.5</v>
      </c>
      <c r="U107" s="522">
        <f t="shared" si="19"/>
        <v>0</v>
      </c>
      <c r="V107" s="522">
        <f t="shared" si="19"/>
        <v>12296.28</v>
      </c>
      <c r="W107" s="97" t="str">
        <f>+IF(V107=SUM(H107:T107),"contrôle ok", "erreur")</f>
        <v>contrôle ok</v>
      </c>
      <c r="X107" s="275"/>
    </row>
    <row r="108" spans="1:24" s="37" customFormat="1" ht="11.25" thickTop="1" x14ac:dyDescent="0.15">
      <c r="A108" s="33"/>
      <c r="B108" s="33"/>
      <c r="C108" s="34"/>
      <c r="D108" s="35"/>
      <c r="E108" s="36"/>
      <c r="F108" s="35"/>
      <c r="G108" s="100"/>
      <c r="H108" s="229"/>
      <c r="I108" s="229"/>
      <c r="J108" s="229"/>
      <c r="K108" s="229"/>
      <c r="L108" s="229"/>
      <c r="M108" s="229"/>
      <c r="N108" s="229"/>
      <c r="O108" s="229"/>
      <c r="P108" s="229"/>
      <c r="Q108" s="229"/>
      <c r="R108" s="229"/>
      <c r="S108" s="229"/>
      <c r="T108" s="229"/>
      <c r="U108" s="229"/>
      <c r="V108" s="258"/>
      <c r="X108" s="275"/>
    </row>
    <row r="109" spans="1:24" x14ac:dyDescent="0.15">
      <c r="A109" s="27" t="s">
        <v>127</v>
      </c>
      <c r="B109" s="28"/>
      <c r="C109" s="29"/>
      <c r="D109" s="30"/>
      <c r="E109" s="30"/>
      <c r="F109" s="31"/>
      <c r="G109" s="101"/>
      <c r="H109" s="224"/>
      <c r="I109" s="224"/>
      <c r="J109" s="251"/>
      <c r="K109" s="224"/>
      <c r="L109" s="224"/>
      <c r="M109" s="224"/>
      <c r="N109" s="224"/>
      <c r="O109" s="224"/>
      <c r="P109" s="224"/>
      <c r="Q109" s="224"/>
      <c r="R109" s="224"/>
      <c r="S109" s="224"/>
      <c r="T109" s="224"/>
      <c r="U109" s="224"/>
      <c r="V109" s="252"/>
      <c r="X109" s="275"/>
    </row>
    <row r="110" spans="1:24" x14ac:dyDescent="0.15">
      <c r="A110" s="143"/>
      <c r="B110" s="143"/>
      <c r="C110" s="144"/>
      <c r="D110" s="145">
        <v>615191</v>
      </c>
      <c r="E110" s="145" t="s">
        <v>78</v>
      </c>
      <c r="F110" s="145" t="s">
        <v>192</v>
      </c>
      <c r="G110" s="163"/>
      <c r="H110" s="559"/>
      <c r="I110" s="226"/>
      <c r="J110" s="226"/>
      <c r="K110" s="226"/>
      <c r="L110" s="226"/>
      <c r="M110" s="226"/>
      <c r="N110" s="226"/>
      <c r="O110" s="226"/>
      <c r="P110" s="226"/>
      <c r="Q110" s="226"/>
      <c r="R110" s="226"/>
      <c r="S110" s="226"/>
      <c r="T110" s="226"/>
      <c r="U110" s="582"/>
      <c r="V110" s="255">
        <f>SUM(H110:T110)</f>
        <v>0</v>
      </c>
      <c r="X110" s="275"/>
    </row>
    <row r="111" spans="1:24" x14ac:dyDescent="0.15">
      <c r="A111" s="143" t="s">
        <v>800</v>
      </c>
      <c r="B111" s="143"/>
      <c r="C111" s="144"/>
      <c r="D111" s="145">
        <v>615191</v>
      </c>
      <c r="E111" s="145" t="s">
        <v>78</v>
      </c>
      <c r="F111" s="145" t="s">
        <v>192</v>
      </c>
      <c r="G111" s="163"/>
      <c r="H111" s="559"/>
      <c r="I111" s="226"/>
      <c r="J111" s="226"/>
      <c r="K111" s="226">
        <v>229</v>
      </c>
      <c r="L111" s="226"/>
      <c r="M111" s="226"/>
      <c r="N111" s="226">
        <v>605</v>
      </c>
      <c r="O111" s="226"/>
      <c r="P111" s="226"/>
      <c r="Q111" s="226"/>
      <c r="R111" s="226"/>
      <c r="S111" s="226"/>
      <c r="T111" s="226"/>
      <c r="U111" s="582"/>
      <c r="V111" s="255">
        <f>SUM(H111:T111)</f>
        <v>834</v>
      </c>
      <c r="X111" s="275"/>
    </row>
    <row r="112" spans="1:24" s="37" customFormat="1" ht="11.25" thickBot="1" x14ac:dyDescent="0.2">
      <c r="A112" s="516" t="s">
        <v>11</v>
      </c>
      <c r="B112" s="517"/>
      <c r="C112" s="518"/>
      <c r="D112" s="519"/>
      <c r="E112" s="516"/>
      <c r="F112" s="520"/>
      <c r="G112" s="521"/>
      <c r="H112" s="522">
        <f>SUM(H110:H111)</f>
        <v>0</v>
      </c>
      <c r="I112" s="522">
        <f>SUM(I110:I111)</f>
        <v>0</v>
      </c>
      <c r="J112" s="522">
        <f t="shared" ref="J112:V112" si="20">SUM(J110:J111)</f>
        <v>0</v>
      </c>
      <c r="K112" s="522">
        <f t="shared" si="20"/>
        <v>229</v>
      </c>
      <c r="L112" s="522">
        <f t="shared" si="20"/>
        <v>0</v>
      </c>
      <c r="M112" s="522">
        <f t="shared" si="20"/>
        <v>0</v>
      </c>
      <c r="N112" s="522">
        <f t="shared" si="20"/>
        <v>605</v>
      </c>
      <c r="O112" s="522">
        <f t="shared" si="20"/>
        <v>0</v>
      </c>
      <c r="P112" s="522">
        <f t="shared" si="20"/>
        <v>0</v>
      </c>
      <c r="Q112" s="522">
        <f t="shared" si="20"/>
        <v>0</v>
      </c>
      <c r="R112" s="522">
        <f t="shared" si="20"/>
        <v>0</v>
      </c>
      <c r="S112" s="522">
        <f t="shared" si="20"/>
        <v>0</v>
      </c>
      <c r="T112" s="522">
        <f t="shared" si="20"/>
        <v>0</v>
      </c>
      <c r="U112" s="522">
        <f t="shared" si="20"/>
        <v>0</v>
      </c>
      <c r="V112" s="522">
        <f t="shared" si="20"/>
        <v>834</v>
      </c>
      <c r="W112" s="97" t="str">
        <f>+IF(V112=SUM(H112:T112),"contrôle ok", "erreur")</f>
        <v>contrôle ok</v>
      </c>
      <c r="X112" s="275"/>
    </row>
    <row r="113" spans="1:24" s="37" customFormat="1" ht="11.25" thickTop="1" x14ac:dyDescent="0.15">
      <c r="A113" s="33"/>
      <c r="B113" s="33"/>
      <c r="C113" s="34"/>
      <c r="D113" s="35"/>
      <c r="E113" s="36"/>
      <c r="F113" s="35"/>
      <c r="G113" s="100"/>
      <c r="H113" s="229"/>
      <c r="I113" s="229"/>
      <c r="J113" s="229"/>
      <c r="K113" s="229"/>
      <c r="L113" s="229"/>
      <c r="M113" s="229"/>
      <c r="N113" s="257"/>
      <c r="O113" s="229"/>
      <c r="P113" s="229"/>
      <c r="Q113" s="229"/>
      <c r="R113" s="229"/>
      <c r="S113" s="229"/>
      <c r="T113" s="229"/>
      <c r="U113" s="229"/>
      <c r="V113" s="258"/>
      <c r="X113" s="275"/>
    </row>
    <row r="114" spans="1:24" x14ac:dyDescent="0.15">
      <c r="A114" s="27" t="s">
        <v>93</v>
      </c>
      <c r="B114" s="28"/>
      <c r="C114" s="29"/>
      <c r="D114" s="30"/>
      <c r="E114" s="30"/>
      <c r="F114" s="31"/>
      <c r="G114" s="101"/>
      <c r="H114" s="224"/>
      <c r="I114" s="224"/>
      <c r="J114" s="251"/>
      <c r="K114" s="224"/>
      <c r="L114" s="224"/>
      <c r="M114" s="224"/>
      <c r="N114" s="224"/>
      <c r="O114" s="224"/>
      <c r="P114" s="224"/>
      <c r="Q114" s="224"/>
      <c r="R114" s="224"/>
      <c r="S114" s="224"/>
      <c r="T114" s="224"/>
      <c r="U114" s="224"/>
      <c r="V114" s="252"/>
      <c r="X114" s="275"/>
    </row>
    <row r="115" spans="1:24" x14ac:dyDescent="0.15">
      <c r="A115" s="143"/>
      <c r="B115" s="143"/>
      <c r="C115" s="218"/>
      <c r="D115" s="145">
        <v>615193</v>
      </c>
      <c r="E115" s="145" t="s">
        <v>78</v>
      </c>
      <c r="F115" s="145" t="s">
        <v>203</v>
      </c>
      <c r="G115" s="163"/>
      <c r="H115" s="559"/>
      <c r="I115" s="226"/>
      <c r="J115" s="226"/>
      <c r="K115" s="226"/>
      <c r="L115" s="226"/>
      <c r="M115" s="226"/>
      <c r="N115" s="226"/>
      <c r="O115" s="226"/>
      <c r="P115" s="226"/>
      <c r="Q115" s="226"/>
      <c r="R115" s="226"/>
      <c r="S115" s="226"/>
      <c r="T115" s="226"/>
      <c r="U115" s="582"/>
      <c r="V115" s="255">
        <f t="shared" ref="V115:V124" si="21">SUM(H115:T115)</f>
        <v>0</v>
      </c>
      <c r="X115" s="275"/>
    </row>
    <row r="116" spans="1:24" x14ac:dyDescent="0.15">
      <c r="A116" s="143" t="s">
        <v>99</v>
      </c>
      <c r="B116" s="145"/>
      <c r="C116" s="218"/>
      <c r="D116" s="145">
        <v>615193</v>
      </c>
      <c r="E116" s="145" t="s">
        <v>78</v>
      </c>
      <c r="F116" s="145" t="s">
        <v>435</v>
      </c>
      <c r="G116" s="163"/>
      <c r="H116" s="559"/>
      <c r="I116" s="226"/>
      <c r="J116" s="226"/>
      <c r="K116" s="226"/>
      <c r="L116" s="226"/>
      <c r="M116" s="226"/>
      <c r="N116" s="226"/>
      <c r="O116" s="226"/>
      <c r="P116" s="226"/>
      <c r="Q116" s="226"/>
      <c r="R116" s="226"/>
      <c r="S116" s="226"/>
      <c r="T116" s="226"/>
      <c r="U116" s="582"/>
      <c r="V116" s="255">
        <f t="shared" si="21"/>
        <v>0</v>
      </c>
      <c r="X116" s="275"/>
    </row>
    <row r="117" spans="1:24" x14ac:dyDescent="0.15">
      <c r="A117" s="143" t="s">
        <v>99</v>
      </c>
      <c r="B117" s="143"/>
      <c r="C117" s="218"/>
      <c r="D117" s="145">
        <v>615193</v>
      </c>
      <c r="E117" s="145" t="s">
        <v>78</v>
      </c>
      <c r="F117" s="145" t="s">
        <v>243</v>
      </c>
      <c r="G117" s="163"/>
      <c r="H117" s="559"/>
      <c r="I117" s="226"/>
      <c r="J117" s="226">
        <v>2277.79</v>
      </c>
      <c r="K117" s="226"/>
      <c r="L117" s="226"/>
      <c r="M117" s="226"/>
      <c r="N117" s="226"/>
      <c r="O117" s="226"/>
      <c r="P117" s="226"/>
      <c r="Q117" s="226"/>
      <c r="R117" s="226"/>
      <c r="S117" s="226"/>
      <c r="T117" s="226"/>
      <c r="U117" s="582"/>
      <c r="V117" s="255">
        <f t="shared" si="21"/>
        <v>2277.79</v>
      </c>
      <c r="X117" s="275"/>
    </row>
    <row r="118" spans="1:24" x14ac:dyDescent="0.15">
      <c r="A118" s="143" t="s">
        <v>99</v>
      </c>
      <c r="B118" s="143"/>
      <c r="C118" s="218"/>
      <c r="D118" s="145">
        <v>615193</v>
      </c>
      <c r="E118" s="145" t="s">
        <v>78</v>
      </c>
      <c r="F118" s="145" t="s">
        <v>189</v>
      </c>
      <c r="G118" s="163"/>
      <c r="H118" s="559"/>
      <c r="I118" s="226"/>
      <c r="J118" s="226">
        <v>232.56</v>
      </c>
      <c r="K118" s="226"/>
      <c r="L118" s="226"/>
      <c r="M118" s="226"/>
      <c r="N118" s="226"/>
      <c r="O118" s="226"/>
      <c r="P118" s="226"/>
      <c r="Q118" s="226"/>
      <c r="R118" s="226"/>
      <c r="S118" s="226"/>
      <c r="T118" s="226"/>
      <c r="U118" s="582"/>
      <c r="V118" s="255">
        <f t="shared" si="21"/>
        <v>232.56</v>
      </c>
      <c r="X118" s="275"/>
    </row>
    <row r="119" spans="1:24" x14ac:dyDescent="0.15">
      <c r="A119" s="143"/>
      <c r="B119" s="143"/>
      <c r="C119" s="218"/>
      <c r="D119" s="145">
        <v>615193</v>
      </c>
      <c r="E119" s="145" t="s">
        <v>78</v>
      </c>
      <c r="F119" s="145" t="s">
        <v>204</v>
      </c>
      <c r="G119" s="163"/>
      <c r="H119" s="559"/>
      <c r="I119" s="226"/>
      <c r="J119" s="226"/>
      <c r="K119" s="226"/>
      <c r="L119" s="226"/>
      <c r="M119" s="226"/>
      <c r="N119" s="226"/>
      <c r="O119" s="226"/>
      <c r="P119" s="226"/>
      <c r="Q119" s="226"/>
      <c r="R119" s="226"/>
      <c r="S119" s="226"/>
      <c r="T119" s="226"/>
      <c r="U119" s="582"/>
      <c r="V119" s="255">
        <f t="shared" si="21"/>
        <v>0</v>
      </c>
      <c r="X119" s="275"/>
    </row>
    <row r="120" spans="1:24" x14ac:dyDescent="0.15">
      <c r="A120" s="143" t="s">
        <v>99</v>
      </c>
      <c r="B120" s="145"/>
      <c r="C120" s="218"/>
      <c r="D120" s="145">
        <v>615193</v>
      </c>
      <c r="E120" s="145" t="s">
        <v>78</v>
      </c>
      <c r="F120" s="145" t="s">
        <v>191</v>
      </c>
      <c r="G120" s="163"/>
      <c r="H120" s="559"/>
      <c r="I120" s="226"/>
      <c r="J120" s="226">
        <v>433.2</v>
      </c>
      <c r="K120" s="226"/>
      <c r="L120" s="226">
        <v>1446.12</v>
      </c>
      <c r="M120" s="226"/>
      <c r="N120" s="226"/>
      <c r="O120" s="226"/>
      <c r="P120" s="226"/>
      <c r="Q120" s="226"/>
      <c r="R120" s="226"/>
      <c r="S120" s="226"/>
      <c r="T120" s="226"/>
      <c r="U120" s="582"/>
      <c r="V120" s="255">
        <f t="shared" si="21"/>
        <v>1879.32</v>
      </c>
      <c r="X120" s="275"/>
    </row>
    <row r="121" spans="1:24" x14ac:dyDescent="0.15">
      <c r="A121" s="143" t="s">
        <v>99</v>
      </c>
      <c r="B121" s="143"/>
      <c r="C121" s="218"/>
      <c r="D121" s="145">
        <v>615193</v>
      </c>
      <c r="E121" s="145" t="s">
        <v>78</v>
      </c>
      <c r="F121" s="145" t="s">
        <v>201</v>
      </c>
      <c r="G121" s="163"/>
      <c r="H121" s="559"/>
      <c r="I121" s="226"/>
      <c r="J121" s="226"/>
      <c r="K121" s="226"/>
      <c r="L121" s="226"/>
      <c r="M121" s="226"/>
      <c r="N121" s="226"/>
      <c r="O121" s="226"/>
      <c r="P121" s="226"/>
      <c r="Q121" s="226"/>
      <c r="R121" s="226"/>
      <c r="S121" s="226"/>
      <c r="T121" s="226"/>
      <c r="U121" s="582"/>
      <c r="V121" s="255">
        <f t="shared" si="21"/>
        <v>0</v>
      </c>
      <c r="X121" s="275"/>
    </row>
    <row r="122" spans="1:24" x14ac:dyDescent="0.15">
      <c r="A122" s="143" t="s">
        <v>99</v>
      </c>
      <c r="B122" s="143"/>
      <c r="C122" s="218"/>
      <c r="D122" s="145">
        <v>615193</v>
      </c>
      <c r="E122" s="145" t="s">
        <v>78</v>
      </c>
      <c r="F122" s="145" t="s">
        <v>184</v>
      </c>
      <c r="G122" s="163"/>
      <c r="H122" s="559"/>
      <c r="I122" s="226"/>
      <c r="J122" s="226">
        <v>1193.1300000000001</v>
      </c>
      <c r="K122" s="226"/>
      <c r="L122" s="226"/>
      <c r="M122" s="226"/>
      <c r="N122" s="226"/>
      <c r="O122" s="226"/>
      <c r="P122" s="226"/>
      <c r="Q122" s="226"/>
      <c r="R122" s="226"/>
      <c r="S122" s="226"/>
      <c r="T122" s="226"/>
      <c r="U122" s="582"/>
      <c r="V122" s="255">
        <f t="shared" si="21"/>
        <v>1193.1300000000001</v>
      </c>
      <c r="X122" s="275"/>
    </row>
    <row r="123" spans="1:24" x14ac:dyDescent="0.15">
      <c r="A123" s="143" t="s">
        <v>99</v>
      </c>
      <c r="B123" s="143"/>
      <c r="C123" s="144"/>
      <c r="D123" s="145">
        <v>615193</v>
      </c>
      <c r="E123" s="145" t="s">
        <v>78</v>
      </c>
      <c r="F123" s="145" t="s">
        <v>179</v>
      </c>
      <c r="G123" s="163">
        <v>300.67</v>
      </c>
      <c r="H123" s="559">
        <v>-3000</v>
      </c>
      <c r="I123" s="226"/>
      <c r="J123" s="226">
        <f>2115.08+348.84</f>
        <v>2463.92</v>
      </c>
      <c r="K123" s="226"/>
      <c r="L123" s="226"/>
      <c r="M123" s="226"/>
      <c r="N123" s="226"/>
      <c r="O123" s="226"/>
      <c r="P123" s="226"/>
      <c r="Q123" s="226"/>
      <c r="R123" s="226"/>
      <c r="S123" s="226"/>
      <c r="T123" s="226">
        <v>2700</v>
      </c>
      <c r="U123" s="582"/>
      <c r="V123" s="255">
        <f t="shared" si="21"/>
        <v>2163.92</v>
      </c>
      <c r="X123" s="275"/>
    </row>
    <row r="124" spans="1:24" x14ac:dyDescent="0.15">
      <c r="A124" s="143" t="s">
        <v>582</v>
      </c>
      <c r="B124" s="143"/>
      <c r="C124" s="144"/>
      <c r="D124" s="145">
        <v>615193</v>
      </c>
      <c r="E124" s="145" t="s">
        <v>78</v>
      </c>
      <c r="F124" s="145" t="s">
        <v>192</v>
      </c>
      <c r="G124" s="163"/>
      <c r="H124" s="559"/>
      <c r="I124" s="226"/>
      <c r="J124" s="226"/>
      <c r="K124" s="226"/>
      <c r="L124" s="226"/>
      <c r="M124" s="226"/>
      <c r="N124" s="226"/>
      <c r="O124" s="226"/>
      <c r="P124" s="226"/>
      <c r="Q124" s="226"/>
      <c r="R124" s="226"/>
      <c r="S124" s="226"/>
      <c r="T124" s="226">
        <v>780</v>
      </c>
      <c r="U124" s="582"/>
      <c r="V124" s="255">
        <f t="shared" si="21"/>
        <v>780</v>
      </c>
      <c r="X124" s="275"/>
    </row>
    <row r="125" spans="1:24" s="37" customFormat="1" ht="11.25" thickBot="1" x14ac:dyDescent="0.2">
      <c r="A125" s="516" t="s">
        <v>11</v>
      </c>
      <c r="B125" s="517"/>
      <c r="C125" s="518"/>
      <c r="D125" s="519"/>
      <c r="E125" s="516"/>
      <c r="F125" s="520"/>
      <c r="G125" s="521"/>
      <c r="H125" s="522">
        <f>SUM(H115:H124)</f>
        <v>-3000</v>
      </c>
      <c r="I125" s="522">
        <f t="shared" ref="I125:U125" si="22">SUM(I115:I124)</f>
        <v>0</v>
      </c>
      <c r="J125" s="522">
        <f t="shared" si="22"/>
        <v>6600.6</v>
      </c>
      <c r="K125" s="522">
        <f t="shared" si="22"/>
        <v>0</v>
      </c>
      <c r="L125" s="522">
        <f t="shared" si="22"/>
        <v>1446.12</v>
      </c>
      <c r="M125" s="522">
        <f t="shared" si="22"/>
        <v>0</v>
      </c>
      <c r="N125" s="522">
        <f t="shared" si="22"/>
        <v>0</v>
      </c>
      <c r="O125" s="522">
        <f t="shared" si="22"/>
        <v>0</v>
      </c>
      <c r="P125" s="522">
        <f t="shared" si="22"/>
        <v>0</v>
      </c>
      <c r="Q125" s="522">
        <f t="shared" si="22"/>
        <v>0</v>
      </c>
      <c r="R125" s="522">
        <f t="shared" si="22"/>
        <v>0</v>
      </c>
      <c r="S125" s="522">
        <f t="shared" si="22"/>
        <v>0</v>
      </c>
      <c r="T125" s="522">
        <f t="shared" si="22"/>
        <v>3480</v>
      </c>
      <c r="U125" s="522">
        <f t="shared" si="22"/>
        <v>0</v>
      </c>
      <c r="V125" s="522">
        <f>SUM(V115:V124)</f>
        <v>8526.7200000000012</v>
      </c>
      <c r="W125" s="97" t="str">
        <f>+IF(V125=SUM(H125:T125),"contrôle ok", "erreur")</f>
        <v>contrôle ok</v>
      </c>
      <c r="X125" s="275"/>
    </row>
    <row r="126" spans="1:24" s="37" customFormat="1" ht="11.25" thickTop="1" x14ac:dyDescent="0.15">
      <c r="A126" s="33"/>
      <c r="B126" s="33"/>
      <c r="C126" s="34"/>
      <c r="D126" s="35"/>
      <c r="E126" s="36"/>
      <c r="F126" s="35"/>
      <c r="G126" s="100"/>
      <c r="H126" s="229"/>
      <c r="I126" s="229"/>
      <c r="J126" s="229"/>
      <c r="K126" s="229"/>
      <c r="L126" s="229"/>
      <c r="M126" s="229"/>
      <c r="N126" s="257"/>
      <c r="O126" s="229"/>
      <c r="P126" s="229"/>
      <c r="Q126" s="229"/>
      <c r="R126" s="229"/>
      <c r="S126" s="229"/>
      <c r="T126" s="229"/>
      <c r="U126" s="229"/>
      <c r="V126" s="258"/>
      <c r="X126" s="275"/>
    </row>
    <row r="127" spans="1:24" x14ac:dyDescent="0.15">
      <c r="A127" s="27" t="s">
        <v>128</v>
      </c>
      <c r="B127" s="28"/>
      <c r="C127" s="29"/>
      <c r="D127" s="30"/>
      <c r="E127" s="30"/>
      <c r="F127" s="31"/>
      <c r="G127" s="101"/>
      <c r="H127" s="224"/>
      <c r="I127" s="224"/>
      <c r="J127" s="251"/>
      <c r="K127" s="224"/>
      <c r="L127" s="224"/>
      <c r="M127" s="224"/>
      <c r="N127" s="224"/>
      <c r="O127" s="224"/>
      <c r="P127" s="224"/>
      <c r="Q127" s="224"/>
      <c r="R127" s="224"/>
      <c r="S127" s="224"/>
      <c r="T127" s="224"/>
      <c r="U127" s="224"/>
      <c r="V127" s="252"/>
      <c r="X127" s="275"/>
    </row>
    <row r="128" spans="1:24" x14ac:dyDescent="0.15">
      <c r="A128" s="143"/>
      <c r="B128" s="143"/>
      <c r="C128" s="144"/>
      <c r="D128" s="145">
        <v>615194</v>
      </c>
      <c r="E128" s="145" t="s">
        <v>78</v>
      </c>
      <c r="F128" s="145" t="s">
        <v>192</v>
      </c>
      <c r="G128" s="163"/>
      <c r="H128" s="559"/>
      <c r="I128" s="226"/>
      <c r="J128" s="226"/>
      <c r="K128" s="226"/>
      <c r="L128" s="226"/>
      <c r="M128" s="226"/>
      <c r="N128" s="226"/>
      <c r="O128" s="226"/>
      <c r="P128" s="226"/>
      <c r="Q128" s="226"/>
      <c r="R128" s="226"/>
      <c r="S128" s="226"/>
      <c r="T128" s="226"/>
      <c r="U128" s="582"/>
      <c r="V128" s="255">
        <f>SUM(H128:T128)</f>
        <v>0</v>
      </c>
      <c r="X128" s="275"/>
    </row>
    <row r="129" spans="1:24" x14ac:dyDescent="0.15">
      <c r="A129" s="143"/>
      <c r="B129" s="143"/>
      <c r="C129" s="144"/>
      <c r="D129" s="145">
        <v>615194</v>
      </c>
      <c r="E129" s="145" t="s">
        <v>78</v>
      </c>
      <c r="F129" s="145" t="s">
        <v>179</v>
      </c>
      <c r="G129" s="163"/>
      <c r="H129" s="559"/>
      <c r="I129" s="226"/>
      <c r="J129" s="226"/>
      <c r="K129" s="226"/>
      <c r="L129" s="226"/>
      <c r="M129" s="226"/>
      <c r="N129" s="226"/>
      <c r="O129" s="226"/>
      <c r="P129" s="226"/>
      <c r="Q129" s="226"/>
      <c r="R129" s="226"/>
      <c r="S129" s="226"/>
      <c r="T129" s="226"/>
      <c r="U129" s="582"/>
      <c r="V129" s="255">
        <f>SUM(H129:T129)</f>
        <v>0</v>
      </c>
      <c r="X129" s="275"/>
    </row>
    <row r="130" spans="1:24" s="37" customFormat="1" ht="11.25" thickBot="1" x14ac:dyDescent="0.2">
      <c r="A130" s="516" t="s">
        <v>11</v>
      </c>
      <c r="B130" s="517"/>
      <c r="C130" s="518"/>
      <c r="D130" s="519"/>
      <c r="E130" s="516"/>
      <c r="F130" s="520"/>
      <c r="G130" s="521"/>
      <c r="H130" s="522">
        <f>SUM(H128:H129)</f>
        <v>0</v>
      </c>
      <c r="I130" s="522">
        <f>SUM(I128:I129)</f>
        <v>0</v>
      </c>
      <c r="J130" s="522">
        <f t="shared" ref="J130:V130" si="23">SUM(J128:J129)</f>
        <v>0</v>
      </c>
      <c r="K130" s="522">
        <f t="shared" si="23"/>
        <v>0</v>
      </c>
      <c r="L130" s="522">
        <f t="shared" si="23"/>
        <v>0</v>
      </c>
      <c r="M130" s="522">
        <f t="shared" si="23"/>
        <v>0</v>
      </c>
      <c r="N130" s="522">
        <f t="shared" si="23"/>
        <v>0</v>
      </c>
      <c r="O130" s="522">
        <f t="shared" si="23"/>
        <v>0</v>
      </c>
      <c r="P130" s="522">
        <f t="shared" si="23"/>
        <v>0</v>
      </c>
      <c r="Q130" s="522">
        <f t="shared" si="23"/>
        <v>0</v>
      </c>
      <c r="R130" s="522">
        <f t="shared" si="23"/>
        <v>0</v>
      </c>
      <c r="S130" s="522">
        <f t="shared" si="23"/>
        <v>0</v>
      </c>
      <c r="T130" s="522">
        <f t="shared" si="23"/>
        <v>0</v>
      </c>
      <c r="U130" s="522">
        <f t="shared" si="23"/>
        <v>0</v>
      </c>
      <c r="V130" s="522">
        <f t="shared" si="23"/>
        <v>0</v>
      </c>
      <c r="W130" s="97" t="str">
        <f>+IF(V130=SUM(H130:T130),"contrôle ok", "erreur")</f>
        <v>contrôle ok</v>
      </c>
      <c r="X130" s="275"/>
    </row>
    <row r="131" spans="1:24" ht="14.25" customHeight="1" thickTop="1" x14ac:dyDescent="0.15">
      <c r="A131" s="33"/>
      <c r="B131" s="33"/>
      <c r="C131" s="34"/>
      <c r="D131" s="35"/>
      <c r="E131" s="36"/>
      <c r="F131" s="35"/>
      <c r="G131" s="100"/>
      <c r="H131" s="228"/>
      <c r="I131" s="228"/>
      <c r="J131" s="228"/>
      <c r="K131" s="228"/>
      <c r="L131" s="228"/>
      <c r="M131" s="228"/>
      <c r="N131" s="228"/>
      <c r="O131" s="228"/>
      <c r="P131" s="228"/>
      <c r="Q131" s="228"/>
      <c r="R131" s="228"/>
      <c r="S131" s="228"/>
      <c r="T131" s="228"/>
      <c r="U131" s="228"/>
      <c r="V131" s="281"/>
      <c r="X131" s="275"/>
    </row>
    <row r="132" spans="1:24" x14ac:dyDescent="0.15">
      <c r="A132" s="27" t="s">
        <v>89</v>
      </c>
      <c r="B132" s="28"/>
      <c r="C132" s="29"/>
      <c r="D132" s="30"/>
      <c r="E132" s="30"/>
      <c r="F132" s="31"/>
      <c r="G132" s="101"/>
      <c r="H132" s="224"/>
      <c r="I132" s="224"/>
      <c r="J132" s="251"/>
      <c r="K132" s="224"/>
      <c r="L132" s="224"/>
      <c r="M132" s="224"/>
      <c r="N132" s="224"/>
      <c r="O132" s="224"/>
      <c r="P132" s="224"/>
      <c r="Q132" s="224"/>
      <c r="R132" s="224"/>
      <c r="S132" s="224"/>
      <c r="T132" s="224"/>
      <c r="U132" s="224"/>
      <c r="V132" s="252"/>
      <c r="X132" s="275"/>
    </row>
    <row r="133" spans="1:24" x14ac:dyDescent="0.15">
      <c r="A133" s="143"/>
      <c r="B133" s="143"/>
      <c r="C133" s="144"/>
      <c r="D133" s="145">
        <v>615195</v>
      </c>
      <c r="E133" s="145" t="s">
        <v>78</v>
      </c>
      <c r="F133" s="145" t="s">
        <v>214</v>
      </c>
      <c r="G133" s="163"/>
      <c r="H133" s="559"/>
      <c r="I133" s="226"/>
      <c r="J133" s="226"/>
      <c r="K133" s="226"/>
      <c r="L133" s="226"/>
      <c r="M133" s="226"/>
      <c r="N133" s="226"/>
      <c r="O133" s="226"/>
      <c r="P133" s="226"/>
      <c r="Q133" s="226"/>
      <c r="R133" s="226"/>
      <c r="S133" s="226"/>
      <c r="T133" s="226"/>
      <c r="U133" s="582"/>
      <c r="V133" s="255">
        <f t="shared" ref="V133:V139" si="24">SUM(H133:T133)</f>
        <v>0</v>
      </c>
      <c r="X133" s="275"/>
    </row>
    <row r="134" spans="1:24" x14ac:dyDescent="0.15">
      <c r="A134" s="143"/>
      <c r="B134" s="143"/>
      <c r="C134" s="144"/>
      <c r="D134" s="145">
        <v>615195</v>
      </c>
      <c r="E134" s="145" t="s">
        <v>78</v>
      </c>
      <c r="F134" s="145" t="s">
        <v>188</v>
      </c>
      <c r="G134" s="163"/>
      <c r="H134" s="559"/>
      <c r="I134" s="226"/>
      <c r="J134" s="226"/>
      <c r="K134" s="226"/>
      <c r="L134" s="226"/>
      <c r="M134" s="226"/>
      <c r="N134" s="226"/>
      <c r="O134" s="226"/>
      <c r="P134" s="226"/>
      <c r="Q134" s="226"/>
      <c r="R134" s="226"/>
      <c r="S134" s="226"/>
      <c r="T134" s="226"/>
      <c r="U134" s="582"/>
      <c r="V134" s="255">
        <f t="shared" si="24"/>
        <v>0</v>
      </c>
      <c r="X134" s="275"/>
    </row>
    <row r="135" spans="1:24" x14ac:dyDescent="0.15">
      <c r="A135" s="143"/>
      <c r="B135" s="143"/>
      <c r="C135" s="144"/>
      <c r="D135" s="145">
        <v>615195</v>
      </c>
      <c r="E135" s="145" t="s">
        <v>78</v>
      </c>
      <c r="F135" s="145" t="s">
        <v>185</v>
      </c>
      <c r="G135" s="163"/>
      <c r="H135" s="559"/>
      <c r="I135" s="226"/>
      <c r="J135" s="226"/>
      <c r="K135" s="226">
        <v>1500</v>
      </c>
      <c r="L135" s="226">
        <v>390</v>
      </c>
      <c r="M135" s="226"/>
      <c r="N135" s="226">
        <f>98+290+1145.26</f>
        <v>1533.26</v>
      </c>
      <c r="O135" s="226"/>
      <c r="P135" s="226"/>
      <c r="Q135" s="226"/>
      <c r="R135" s="226"/>
      <c r="S135" s="226">
        <v>490</v>
      </c>
      <c r="T135" s="226">
        <f>1500+2520+2521</f>
        <v>6541</v>
      </c>
      <c r="U135" s="582"/>
      <c r="V135" s="255">
        <f t="shared" si="24"/>
        <v>10454.26</v>
      </c>
      <c r="X135" s="275"/>
    </row>
    <row r="136" spans="1:24" x14ac:dyDescent="0.15">
      <c r="A136" s="143" t="s">
        <v>454</v>
      </c>
      <c r="B136" s="143"/>
      <c r="C136" s="144"/>
      <c r="D136" s="145">
        <v>615195</v>
      </c>
      <c r="E136" s="145" t="s">
        <v>78</v>
      </c>
      <c r="F136" s="145" t="s">
        <v>203</v>
      </c>
      <c r="G136" s="163"/>
      <c r="H136" s="559"/>
      <c r="I136" s="226"/>
      <c r="J136" s="226"/>
      <c r="K136" s="226"/>
      <c r="L136" s="226"/>
      <c r="M136" s="226"/>
      <c r="N136" s="226"/>
      <c r="O136" s="226"/>
      <c r="P136" s="226"/>
      <c r="Q136" s="226"/>
      <c r="R136" s="226"/>
      <c r="S136" s="226">
        <v>3000</v>
      </c>
      <c r="T136" s="226"/>
      <c r="U136" s="582"/>
      <c r="V136" s="255">
        <f t="shared" si="24"/>
        <v>3000</v>
      </c>
      <c r="X136" s="275"/>
    </row>
    <row r="137" spans="1:24" x14ac:dyDescent="0.15">
      <c r="A137" s="143"/>
      <c r="B137" s="143"/>
      <c r="C137" s="144"/>
      <c r="D137" s="145">
        <v>615195</v>
      </c>
      <c r="E137" s="145" t="s">
        <v>78</v>
      </c>
      <c r="F137" s="145" t="s">
        <v>192</v>
      </c>
      <c r="G137" s="163"/>
      <c r="H137" s="559"/>
      <c r="I137" s="226"/>
      <c r="J137" s="226">
        <v>470</v>
      </c>
      <c r="K137" s="226">
        <f>1540+890+1770-1540</f>
        <v>2660</v>
      </c>
      <c r="L137" s="226">
        <v>710.62</v>
      </c>
      <c r="M137" s="226">
        <v>439</v>
      </c>
      <c r="N137" s="226">
        <f>742.21</f>
        <v>742.21</v>
      </c>
      <c r="O137" s="226">
        <v>1173</v>
      </c>
      <c r="P137" s="226">
        <v>649.13</v>
      </c>
      <c r="Q137" s="226"/>
      <c r="R137" s="226">
        <f>605.41+978+300-649.13</f>
        <v>1234.2799999999997</v>
      </c>
      <c r="S137" s="226">
        <f>300+355+287</f>
        <v>942</v>
      </c>
      <c r="T137" s="226">
        <f>2984+3723.77</f>
        <v>6707.77</v>
      </c>
      <c r="U137" s="582"/>
      <c r="V137" s="255">
        <f t="shared" si="24"/>
        <v>15728.01</v>
      </c>
      <c r="W137" s="98"/>
      <c r="X137" s="275"/>
    </row>
    <row r="138" spans="1:24" x14ac:dyDescent="0.15">
      <c r="A138" s="143" t="s">
        <v>186</v>
      </c>
      <c r="B138" s="143"/>
      <c r="C138" s="144"/>
      <c r="D138" s="145">
        <v>615195</v>
      </c>
      <c r="E138" s="145" t="s">
        <v>78</v>
      </c>
      <c r="F138" s="145" t="s">
        <v>187</v>
      </c>
      <c r="G138" s="163">
        <v>108.19</v>
      </c>
      <c r="H138" s="559"/>
      <c r="I138" s="226">
        <v>54.09</v>
      </c>
      <c r="J138" s="226">
        <v>54.09</v>
      </c>
      <c r="K138" s="226">
        <v>54.09</v>
      </c>
      <c r="L138" s="226">
        <v>54.11</v>
      </c>
      <c r="M138" s="226">
        <v>54.11</v>
      </c>
      <c r="N138" s="226">
        <v>54.07</v>
      </c>
      <c r="O138" s="226">
        <v>54.1</v>
      </c>
      <c r="P138" s="226">
        <v>54.1</v>
      </c>
      <c r="Q138" s="226">
        <v>54.1</v>
      </c>
      <c r="R138" s="226">
        <v>54.06</v>
      </c>
      <c r="S138" s="226">
        <v>54.11</v>
      </c>
      <c r="T138" s="226">
        <v>54.09</v>
      </c>
      <c r="U138" s="582"/>
      <c r="V138" s="255">
        <f t="shared" si="24"/>
        <v>649.12000000000012</v>
      </c>
      <c r="X138" s="275"/>
    </row>
    <row r="139" spans="1:24" x14ac:dyDescent="0.15">
      <c r="A139" s="143"/>
      <c r="B139" s="143"/>
      <c r="C139" s="144"/>
      <c r="D139" s="145">
        <v>615195</v>
      </c>
      <c r="E139" s="145" t="s">
        <v>78</v>
      </c>
      <c r="F139" s="145" t="s">
        <v>184</v>
      </c>
      <c r="G139" s="163"/>
      <c r="H139" s="559"/>
      <c r="I139" s="226"/>
      <c r="J139" s="226"/>
      <c r="K139" s="226"/>
      <c r="L139" s="226"/>
      <c r="M139" s="226"/>
      <c r="N139" s="323"/>
      <c r="O139" s="226"/>
      <c r="P139" s="226"/>
      <c r="Q139" s="226"/>
      <c r="R139" s="226"/>
      <c r="S139" s="226"/>
      <c r="T139" s="226"/>
      <c r="U139" s="582"/>
      <c r="V139" s="255">
        <f t="shared" si="24"/>
        <v>0</v>
      </c>
      <c r="W139" s="219"/>
      <c r="X139" s="275"/>
    </row>
    <row r="140" spans="1:24" s="37" customFormat="1" ht="11.25" thickBot="1" x14ac:dyDescent="0.2">
      <c r="A140" s="516" t="s">
        <v>11</v>
      </c>
      <c r="B140" s="517"/>
      <c r="C140" s="518"/>
      <c r="D140" s="519"/>
      <c r="E140" s="516"/>
      <c r="F140" s="520"/>
      <c r="G140" s="521"/>
      <c r="H140" s="522">
        <f>SUM(H133:H139)</f>
        <v>0</v>
      </c>
      <c r="I140" s="522">
        <f t="shared" ref="I140:V140" si="25">SUM(I133:I139)</f>
        <v>54.09</v>
      </c>
      <c r="J140" s="522">
        <f t="shared" si="25"/>
        <v>524.09</v>
      </c>
      <c r="K140" s="522">
        <f t="shared" si="25"/>
        <v>4214.09</v>
      </c>
      <c r="L140" s="522">
        <f t="shared" si="25"/>
        <v>1154.7299999999998</v>
      </c>
      <c r="M140" s="522">
        <f t="shared" si="25"/>
        <v>493.11</v>
      </c>
      <c r="N140" s="522">
        <f t="shared" si="25"/>
        <v>2329.5400000000004</v>
      </c>
      <c r="O140" s="522">
        <f t="shared" si="25"/>
        <v>1227.0999999999999</v>
      </c>
      <c r="P140" s="522">
        <f t="shared" si="25"/>
        <v>703.23</v>
      </c>
      <c r="Q140" s="522">
        <f t="shared" si="25"/>
        <v>54.1</v>
      </c>
      <c r="R140" s="522">
        <f t="shared" si="25"/>
        <v>1288.3399999999997</v>
      </c>
      <c r="S140" s="522">
        <f t="shared" si="25"/>
        <v>4486.1099999999997</v>
      </c>
      <c r="T140" s="522">
        <f t="shared" si="25"/>
        <v>13302.86</v>
      </c>
      <c r="U140" s="522">
        <f t="shared" si="25"/>
        <v>0</v>
      </c>
      <c r="V140" s="522">
        <f t="shared" si="25"/>
        <v>29831.39</v>
      </c>
      <c r="W140" s="97" t="str">
        <f>+IF(V140=SUM(H140:T140),"contrôle ok", "erreur")</f>
        <v>contrôle ok</v>
      </c>
      <c r="X140" s="275"/>
    </row>
    <row r="141" spans="1:24" s="37" customFormat="1" ht="11.25" thickTop="1" x14ac:dyDescent="0.15">
      <c r="A141" s="76"/>
      <c r="B141" s="77"/>
      <c r="C141" s="34"/>
      <c r="D141" s="35"/>
      <c r="E141" s="36"/>
      <c r="F141" s="35"/>
      <c r="G141" s="100"/>
      <c r="H141" s="228"/>
      <c r="I141" s="228"/>
      <c r="J141" s="228"/>
      <c r="K141" s="228"/>
      <c r="L141" s="228"/>
      <c r="M141" s="228"/>
      <c r="N141" s="228"/>
      <c r="O141" s="228"/>
      <c r="P141" s="228"/>
      <c r="Q141" s="228"/>
      <c r="R141" s="228"/>
      <c r="S141" s="228"/>
      <c r="T141" s="228"/>
      <c r="U141" s="228"/>
      <c r="V141" s="282"/>
      <c r="X141" s="275"/>
    </row>
    <row r="142" spans="1:24" x14ac:dyDescent="0.15">
      <c r="A142" s="27" t="s">
        <v>150</v>
      </c>
      <c r="B142" s="28"/>
      <c r="C142" s="29"/>
      <c r="D142" s="30"/>
      <c r="E142" s="30"/>
      <c r="F142" s="31"/>
      <c r="G142" s="101"/>
      <c r="H142" s="224"/>
      <c r="I142" s="224"/>
      <c r="J142" s="251"/>
      <c r="K142" s="224"/>
      <c r="L142" s="224"/>
      <c r="M142" s="224"/>
      <c r="N142" s="224"/>
      <c r="O142" s="224"/>
      <c r="P142" s="224"/>
      <c r="Q142" s="224"/>
      <c r="R142" s="224"/>
      <c r="S142" s="224"/>
      <c r="T142" s="224"/>
      <c r="U142" s="224"/>
      <c r="V142" s="252"/>
      <c r="X142" s="275"/>
    </row>
    <row r="143" spans="1:24" x14ac:dyDescent="0.15">
      <c r="A143" s="143" t="s">
        <v>587</v>
      </c>
      <c r="B143" s="143"/>
      <c r="C143" s="144"/>
      <c r="D143" s="145">
        <v>615196</v>
      </c>
      <c r="E143" s="145" t="s">
        <v>78</v>
      </c>
      <c r="F143" s="145" t="s">
        <v>192</v>
      </c>
      <c r="G143" s="163"/>
      <c r="H143" s="559"/>
      <c r="I143" s="226"/>
      <c r="J143" s="226"/>
      <c r="K143" s="226">
        <v>636.15</v>
      </c>
      <c r="L143" s="226"/>
      <c r="M143" s="226">
        <v>113.04</v>
      </c>
      <c r="N143" s="226">
        <v>248.57</v>
      </c>
      <c r="O143" s="226">
        <v>267.12</v>
      </c>
      <c r="P143" s="226">
        <v>225.38</v>
      </c>
      <c r="Q143" s="226"/>
      <c r="R143" s="226"/>
      <c r="S143" s="226"/>
      <c r="T143" s="226">
        <f>916.57+113.04</f>
        <v>1029.6100000000001</v>
      </c>
      <c r="U143" s="582"/>
      <c r="V143" s="255">
        <f>SUM(H143:T143)</f>
        <v>2519.8700000000003</v>
      </c>
      <c r="X143" s="275"/>
    </row>
    <row r="144" spans="1:24" x14ac:dyDescent="0.15">
      <c r="A144" s="143" t="s">
        <v>58</v>
      </c>
      <c r="B144" s="143" t="s">
        <v>392</v>
      </c>
      <c r="C144" s="144"/>
      <c r="D144" s="145">
        <v>615196</v>
      </c>
      <c r="E144" s="145" t="s">
        <v>78</v>
      </c>
      <c r="F144" s="145" t="s">
        <v>192</v>
      </c>
      <c r="G144" s="163"/>
      <c r="H144" s="559"/>
      <c r="I144" s="226"/>
      <c r="J144" s="226"/>
      <c r="K144" s="226"/>
      <c r="L144" s="98"/>
      <c r="M144" s="98"/>
      <c r="N144" s="226"/>
      <c r="O144" s="226"/>
      <c r="P144" s="226"/>
      <c r="Q144" s="226"/>
      <c r="R144" s="226"/>
      <c r="S144" s="226"/>
      <c r="T144" s="226"/>
      <c r="U144" s="582"/>
      <c r="V144" s="255">
        <f>SUM(H144:T144)</f>
        <v>0</v>
      </c>
      <c r="X144" s="275"/>
    </row>
    <row r="145" spans="1:24" x14ac:dyDescent="0.15">
      <c r="A145" s="143" t="s">
        <v>587</v>
      </c>
      <c r="B145" s="143"/>
      <c r="C145" s="144"/>
      <c r="D145" s="145">
        <v>615196</v>
      </c>
      <c r="E145" s="145" t="s">
        <v>78</v>
      </c>
      <c r="F145" s="145" t="s">
        <v>183</v>
      </c>
      <c r="G145" s="163"/>
      <c r="H145" s="559"/>
      <c r="I145" s="226"/>
      <c r="J145" s="226"/>
      <c r="K145" s="226"/>
      <c r="L145" s="226"/>
      <c r="M145" s="226"/>
      <c r="N145" s="226"/>
      <c r="O145" s="226"/>
      <c r="P145" s="226"/>
      <c r="Q145" s="226"/>
      <c r="R145" s="226"/>
      <c r="S145" s="226"/>
      <c r="T145" s="226"/>
      <c r="U145" s="582"/>
      <c r="V145" s="255">
        <f>SUM(H145:T145)</f>
        <v>0</v>
      </c>
      <c r="W145" s="219"/>
      <c r="X145" s="275"/>
    </row>
    <row r="146" spans="1:24" x14ac:dyDescent="0.15">
      <c r="A146" s="143" t="s">
        <v>587</v>
      </c>
      <c r="B146" s="143" t="s">
        <v>588</v>
      </c>
      <c r="C146" s="144">
        <v>2017</v>
      </c>
      <c r="D146" s="145">
        <v>615196</v>
      </c>
      <c r="E146" s="145" t="s">
        <v>78</v>
      </c>
      <c r="F146" s="145" t="s">
        <v>182</v>
      </c>
      <c r="G146" s="163">
        <v>586.29</v>
      </c>
      <c r="H146" s="559"/>
      <c r="I146" s="226">
        <v>586.29</v>
      </c>
      <c r="J146" s="226">
        <v>586.29</v>
      </c>
      <c r="K146" s="226">
        <v>586.29</v>
      </c>
      <c r="L146" s="226">
        <v>586.29</v>
      </c>
      <c r="M146" s="226">
        <v>586.29</v>
      </c>
      <c r="N146" s="226">
        <v>586.29</v>
      </c>
      <c r="O146" s="226">
        <v>586.29</v>
      </c>
      <c r="P146" s="226">
        <v>586.29</v>
      </c>
      <c r="Q146" s="226">
        <v>586.29</v>
      </c>
      <c r="R146" s="226">
        <v>586.29</v>
      </c>
      <c r="S146" s="226">
        <v>586.29</v>
      </c>
      <c r="T146" s="226">
        <v>586.21</v>
      </c>
      <c r="U146" s="582"/>
      <c r="V146" s="255">
        <f>SUM(H146:T146)</f>
        <v>7035.4</v>
      </c>
      <c r="X146" s="275"/>
    </row>
    <row r="147" spans="1:24" s="37" customFormat="1" ht="11.25" thickBot="1" x14ac:dyDescent="0.2">
      <c r="A147" s="516" t="s">
        <v>11</v>
      </c>
      <c r="B147" s="517"/>
      <c r="C147" s="518"/>
      <c r="D147" s="519"/>
      <c r="E147" s="516"/>
      <c r="F147" s="520"/>
      <c r="G147" s="521"/>
      <c r="H147" s="522">
        <f>SUM(H143:H146)</f>
        <v>0</v>
      </c>
      <c r="I147" s="522">
        <f t="shared" ref="I147:V147" si="26">SUM(I143:I146)</f>
        <v>586.29</v>
      </c>
      <c r="J147" s="522">
        <f t="shared" si="26"/>
        <v>586.29</v>
      </c>
      <c r="K147" s="522">
        <f t="shared" si="26"/>
        <v>1222.44</v>
      </c>
      <c r="L147" s="522">
        <f t="shared" si="26"/>
        <v>586.29</v>
      </c>
      <c r="M147" s="522">
        <f t="shared" si="26"/>
        <v>699.32999999999993</v>
      </c>
      <c r="N147" s="522">
        <f t="shared" si="26"/>
        <v>834.8599999999999</v>
      </c>
      <c r="O147" s="522">
        <f t="shared" si="26"/>
        <v>853.41</v>
      </c>
      <c r="P147" s="522">
        <f t="shared" si="26"/>
        <v>811.67</v>
      </c>
      <c r="Q147" s="522">
        <f t="shared" si="26"/>
        <v>586.29</v>
      </c>
      <c r="R147" s="522">
        <f t="shared" si="26"/>
        <v>586.29</v>
      </c>
      <c r="S147" s="522">
        <f t="shared" si="26"/>
        <v>586.29</v>
      </c>
      <c r="T147" s="522">
        <f t="shared" si="26"/>
        <v>1615.8200000000002</v>
      </c>
      <c r="U147" s="522">
        <f t="shared" si="26"/>
        <v>0</v>
      </c>
      <c r="V147" s="522">
        <f t="shared" si="26"/>
        <v>9555.27</v>
      </c>
      <c r="W147" s="97" t="str">
        <f>+IF(V147=SUM(H147:T147),"contrôle ok", "erreur")</f>
        <v>contrôle ok</v>
      </c>
      <c r="X147" s="275"/>
    </row>
    <row r="148" spans="1:24" ht="11.25" thickTop="1" x14ac:dyDescent="0.15">
      <c r="A148" s="33"/>
      <c r="B148" s="33"/>
      <c r="C148" s="34"/>
      <c r="D148" s="35"/>
      <c r="E148" s="36"/>
      <c r="F148" s="35"/>
      <c r="G148" s="100"/>
      <c r="H148" s="229"/>
      <c r="I148" s="229"/>
      <c r="J148" s="229"/>
      <c r="K148" s="229"/>
      <c r="L148" s="229"/>
      <c r="M148" s="229"/>
      <c r="N148" s="229"/>
      <c r="O148" s="229"/>
      <c r="P148" s="229"/>
      <c r="Q148" s="229"/>
      <c r="R148" s="229"/>
      <c r="S148" s="229"/>
      <c r="T148" s="229"/>
      <c r="U148" s="229"/>
      <c r="V148" s="278"/>
      <c r="X148" s="275"/>
    </row>
    <row r="149" spans="1:24" x14ac:dyDescent="0.15">
      <c r="A149" s="27" t="s">
        <v>9</v>
      </c>
      <c r="B149" s="28"/>
      <c r="C149" s="29"/>
      <c r="D149" s="30"/>
      <c r="E149" s="30"/>
      <c r="F149" s="31"/>
      <c r="G149" s="101"/>
      <c r="H149" s="224"/>
      <c r="I149" s="224"/>
      <c r="J149" s="251"/>
      <c r="K149" s="224"/>
      <c r="L149" s="224"/>
      <c r="M149" s="224"/>
      <c r="N149" s="224"/>
      <c r="O149" s="224"/>
      <c r="P149" s="224"/>
      <c r="Q149" s="224"/>
      <c r="R149" s="224"/>
      <c r="S149" s="224"/>
      <c r="T149" s="224"/>
      <c r="U149" s="224"/>
      <c r="V149" s="252"/>
      <c r="X149" s="275"/>
    </row>
    <row r="150" spans="1:24" x14ac:dyDescent="0.15">
      <c r="A150" s="143" t="s">
        <v>180</v>
      </c>
      <c r="B150" s="143" t="s">
        <v>31</v>
      </c>
      <c r="C150" s="144" t="s">
        <v>30</v>
      </c>
      <c r="D150" s="145">
        <v>615200</v>
      </c>
      <c r="E150" s="145" t="s">
        <v>76</v>
      </c>
      <c r="F150" s="145" t="s">
        <v>179</v>
      </c>
      <c r="G150" s="163">
        <v>300</v>
      </c>
      <c r="H150" s="559"/>
      <c r="I150" s="226">
        <f>417.77-117.77</f>
        <v>300</v>
      </c>
      <c r="J150" s="226">
        <v>300</v>
      </c>
      <c r="K150" s="226">
        <v>300</v>
      </c>
      <c r="L150" s="226">
        <v>300</v>
      </c>
      <c r="M150" s="226">
        <v>300</v>
      </c>
      <c r="N150" s="226">
        <v>300</v>
      </c>
      <c r="O150" s="226">
        <v>300</v>
      </c>
      <c r="P150" s="226">
        <v>300</v>
      </c>
      <c r="Q150" s="226">
        <v>300</v>
      </c>
      <c r="R150" s="226">
        <v>300</v>
      </c>
      <c r="S150" s="226">
        <v>300</v>
      </c>
      <c r="T150" s="226">
        <v>300</v>
      </c>
      <c r="U150" s="582"/>
      <c r="V150" s="255">
        <f>SUM(H150:T150)</f>
        <v>3600</v>
      </c>
      <c r="X150" s="275"/>
    </row>
    <row r="151" spans="1:24" x14ac:dyDescent="0.15">
      <c r="A151" s="143" t="s">
        <v>126</v>
      </c>
      <c r="B151" s="143" t="s">
        <v>32</v>
      </c>
      <c r="C151" s="144" t="s">
        <v>30</v>
      </c>
      <c r="D151" s="145">
        <v>615200</v>
      </c>
      <c r="E151" s="145" t="s">
        <v>76</v>
      </c>
      <c r="F151" s="145" t="s">
        <v>179</v>
      </c>
      <c r="G151" s="163">
        <v>5826.63</v>
      </c>
      <c r="H151" s="559"/>
      <c r="I151" s="226">
        <v>5826.63</v>
      </c>
      <c r="J151" s="226">
        <v>5826.63</v>
      </c>
      <c r="K151" s="226">
        <v>5826.63</v>
      </c>
      <c r="L151" s="226">
        <v>5826.63</v>
      </c>
      <c r="M151" s="226">
        <v>5826.63</v>
      </c>
      <c r="N151" s="226">
        <v>5826.63</v>
      </c>
      <c r="O151" s="226">
        <v>5826.63</v>
      </c>
      <c r="P151" s="226">
        <v>5826.63</v>
      </c>
      <c r="Q151" s="226">
        <v>5826.63</v>
      </c>
      <c r="R151" s="226">
        <v>5826.63</v>
      </c>
      <c r="S151" s="226">
        <v>5826.63</v>
      </c>
      <c r="T151" s="226"/>
      <c r="U151" s="582"/>
      <c r="V151" s="255">
        <f>SUM(H151:T151)</f>
        <v>64092.929999999986</v>
      </c>
      <c r="X151" s="275"/>
    </row>
    <row r="152" spans="1:24" x14ac:dyDescent="0.15">
      <c r="A152" s="143" t="s">
        <v>33</v>
      </c>
      <c r="B152" s="143" t="s">
        <v>420</v>
      </c>
      <c r="C152" s="144" t="s">
        <v>30</v>
      </c>
      <c r="D152" s="145">
        <v>615200</v>
      </c>
      <c r="E152" s="145" t="s">
        <v>76</v>
      </c>
      <c r="F152" s="145" t="s">
        <v>179</v>
      </c>
      <c r="G152" s="163">
        <v>434.9</v>
      </c>
      <c r="H152" s="559"/>
      <c r="I152" s="226">
        <v>434.9</v>
      </c>
      <c r="J152" s="226">
        <v>434.9</v>
      </c>
      <c r="K152" s="226">
        <v>434.9</v>
      </c>
      <c r="L152" s="226">
        <f>444.44-9.54</f>
        <v>434.9</v>
      </c>
      <c r="M152" s="226">
        <f>469.38-41.15</f>
        <v>428.23</v>
      </c>
      <c r="N152" s="226">
        <v>434.9</v>
      </c>
      <c r="O152" s="226">
        <v>434.9</v>
      </c>
      <c r="P152" s="226">
        <f>445.79-10.89</f>
        <v>434.90000000000003</v>
      </c>
      <c r="Q152" s="226">
        <f>445.79-10.89</f>
        <v>434.90000000000003</v>
      </c>
      <c r="R152" s="226">
        <v>440.32</v>
      </c>
      <c r="S152" s="226">
        <v>462.31</v>
      </c>
      <c r="T152" s="226">
        <v>451.77</v>
      </c>
      <c r="U152" s="582"/>
      <c r="V152" s="255">
        <f>SUM(H152:T152)</f>
        <v>5261.83</v>
      </c>
      <c r="X152" s="275"/>
    </row>
    <row r="153" spans="1:24" x14ac:dyDescent="0.15">
      <c r="A153" s="143" t="s">
        <v>33</v>
      </c>
      <c r="B153" s="143" t="s">
        <v>343</v>
      </c>
      <c r="C153" s="144" t="s">
        <v>30</v>
      </c>
      <c r="D153" s="145">
        <v>615200</v>
      </c>
      <c r="E153" s="145" t="s">
        <v>76</v>
      </c>
      <c r="F153" s="145" t="s">
        <v>179</v>
      </c>
      <c r="G153" s="163">
        <v>47.51</v>
      </c>
      <c r="H153" s="559"/>
      <c r="I153" s="226"/>
      <c r="J153" s="226"/>
      <c r="K153" s="226"/>
      <c r="L153" s="226"/>
      <c r="M153" s="226"/>
      <c r="N153" s="226"/>
      <c r="O153" s="226"/>
      <c r="P153" s="226"/>
      <c r="Q153" s="226"/>
      <c r="R153" s="226"/>
      <c r="S153" s="226"/>
      <c r="T153" s="226"/>
      <c r="U153" s="582"/>
      <c r="V153" s="255">
        <f>SUM(H153:T153)</f>
        <v>0</v>
      </c>
      <c r="W153" s="219"/>
      <c r="X153" s="275"/>
    </row>
    <row r="154" spans="1:24" s="37" customFormat="1" ht="11.25" thickBot="1" x14ac:dyDescent="0.2">
      <c r="A154" s="516" t="s">
        <v>11</v>
      </c>
      <c r="B154" s="517"/>
      <c r="C154" s="518"/>
      <c r="D154" s="519"/>
      <c r="E154" s="516"/>
      <c r="F154" s="520"/>
      <c r="G154" s="521"/>
      <c r="H154" s="522">
        <f>SUM(H150:H153)</f>
        <v>0</v>
      </c>
      <c r="I154" s="522">
        <f t="shared" ref="I154:V154" si="27">SUM(I150:I153)</f>
        <v>6561.53</v>
      </c>
      <c r="J154" s="522">
        <f t="shared" si="27"/>
        <v>6561.53</v>
      </c>
      <c r="K154" s="522">
        <f t="shared" si="27"/>
        <v>6561.53</v>
      </c>
      <c r="L154" s="522">
        <f t="shared" si="27"/>
        <v>6561.53</v>
      </c>
      <c r="M154" s="522">
        <f t="shared" si="27"/>
        <v>6554.8600000000006</v>
      </c>
      <c r="N154" s="522">
        <f t="shared" si="27"/>
        <v>6561.53</v>
      </c>
      <c r="O154" s="522">
        <f t="shared" si="27"/>
        <v>6561.53</v>
      </c>
      <c r="P154" s="522">
        <f t="shared" si="27"/>
        <v>6561.53</v>
      </c>
      <c r="Q154" s="522">
        <f t="shared" si="27"/>
        <v>6561.53</v>
      </c>
      <c r="R154" s="522">
        <f t="shared" si="27"/>
        <v>6566.95</v>
      </c>
      <c r="S154" s="522">
        <f t="shared" si="27"/>
        <v>6588.9400000000005</v>
      </c>
      <c r="T154" s="522">
        <f t="shared" si="27"/>
        <v>751.77</v>
      </c>
      <c r="U154" s="522">
        <f t="shared" si="27"/>
        <v>0</v>
      </c>
      <c r="V154" s="522">
        <f t="shared" si="27"/>
        <v>72954.759999999995</v>
      </c>
      <c r="W154" s="97" t="str">
        <f>+IF(V154=SUM(H154:T154),"contrôle ok", "erreur")</f>
        <v>contrôle ok</v>
      </c>
      <c r="X154" s="277"/>
    </row>
    <row r="155" spans="1:24" s="37" customFormat="1" ht="11.25" thickTop="1" x14ac:dyDescent="0.15">
      <c r="A155" s="33"/>
      <c r="B155" s="33"/>
      <c r="C155" s="34"/>
      <c r="D155" s="35"/>
      <c r="E155" s="36"/>
      <c r="F155" s="35"/>
      <c r="G155" s="100"/>
      <c r="H155" s="229"/>
      <c r="I155" s="229"/>
      <c r="J155" s="229"/>
      <c r="K155" s="229"/>
      <c r="L155" s="229"/>
      <c r="M155" s="229"/>
      <c r="N155" s="229"/>
      <c r="O155" s="229"/>
      <c r="P155" s="229"/>
      <c r="Q155" s="229"/>
      <c r="R155" s="229"/>
      <c r="S155" s="229"/>
      <c r="T155" s="229"/>
      <c r="U155" s="229"/>
      <c r="V155" s="258"/>
      <c r="X155" s="275"/>
    </row>
    <row r="156" spans="1:24" x14ac:dyDescent="0.15">
      <c r="A156" s="27" t="s">
        <v>101</v>
      </c>
      <c r="B156" s="28"/>
      <c r="C156" s="29"/>
      <c r="D156" s="30"/>
      <c r="E156" s="30"/>
      <c r="F156" s="31"/>
      <c r="G156" s="101"/>
      <c r="H156" s="224"/>
      <c r="I156" s="224"/>
      <c r="J156" s="251"/>
      <c r="K156" s="224"/>
      <c r="L156" s="224"/>
      <c r="M156" s="224"/>
      <c r="N156" s="224"/>
      <c r="O156" s="224"/>
      <c r="P156" s="224"/>
      <c r="Q156" s="224"/>
      <c r="R156" s="224"/>
      <c r="S156" s="224"/>
      <c r="T156" s="224"/>
      <c r="U156" s="224"/>
      <c r="V156" s="252"/>
      <c r="X156" s="275"/>
    </row>
    <row r="157" spans="1:24" x14ac:dyDescent="0.15">
      <c r="A157" s="143" t="s">
        <v>271</v>
      </c>
      <c r="B157" s="143"/>
      <c r="C157" s="144" t="s">
        <v>102</v>
      </c>
      <c r="D157" s="145">
        <v>615205</v>
      </c>
      <c r="E157" s="145" t="s">
        <v>78</v>
      </c>
      <c r="F157" s="145" t="s">
        <v>192</v>
      </c>
      <c r="G157" s="163"/>
      <c r="H157" s="559"/>
      <c r="I157" s="226"/>
      <c r="J157" s="226"/>
      <c r="K157" s="226"/>
      <c r="L157" s="226"/>
      <c r="M157" s="226"/>
      <c r="N157" s="226"/>
      <c r="O157" s="226"/>
      <c r="P157" s="226"/>
      <c r="Q157" s="226"/>
      <c r="R157" s="226"/>
      <c r="S157" s="226"/>
      <c r="T157" s="226"/>
      <c r="U157" s="582"/>
      <c r="V157" s="255">
        <f>SUM(H157:T157)</f>
        <v>0</v>
      </c>
      <c r="X157" s="275"/>
    </row>
    <row r="158" spans="1:24" ht="12" customHeight="1" x14ac:dyDescent="0.15">
      <c r="A158" s="143" t="s">
        <v>561</v>
      </c>
      <c r="B158" s="143"/>
      <c r="C158" s="144" t="s">
        <v>102</v>
      </c>
      <c r="D158" s="145">
        <v>615205</v>
      </c>
      <c r="E158" s="145" t="s">
        <v>76</v>
      </c>
      <c r="F158" s="145" t="s">
        <v>179</v>
      </c>
      <c r="G158" s="163">
        <v>735.92</v>
      </c>
      <c r="H158" s="559"/>
      <c r="I158" s="226">
        <v>735.92</v>
      </c>
      <c r="J158" s="226">
        <v>735.92</v>
      </c>
      <c r="K158" s="226">
        <v>735.92</v>
      </c>
      <c r="L158" s="226">
        <v>735.92</v>
      </c>
      <c r="M158" s="226">
        <v>735.92</v>
      </c>
      <c r="N158" s="226">
        <v>735.88</v>
      </c>
      <c r="O158" s="226">
        <v>740.35</v>
      </c>
      <c r="P158" s="226">
        <v>740.35</v>
      </c>
      <c r="Q158" s="226">
        <v>740.35</v>
      </c>
      <c r="R158" s="226">
        <v>740.35</v>
      </c>
      <c r="S158" s="226">
        <v>740.35</v>
      </c>
      <c r="T158" s="226">
        <v>740.35</v>
      </c>
      <c r="U158" s="582"/>
      <c r="V158" s="255">
        <f>SUM(H158:T158)</f>
        <v>8857.5800000000017</v>
      </c>
      <c r="X158" s="275"/>
    </row>
    <row r="159" spans="1:24" x14ac:dyDescent="0.15">
      <c r="A159" s="143" t="s">
        <v>562</v>
      </c>
      <c r="B159" s="143"/>
      <c r="C159" s="144" t="s">
        <v>102</v>
      </c>
      <c r="D159" s="145">
        <v>615205</v>
      </c>
      <c r="E159" s="145" t="s">
        <v>76</v>
      </c>
      <c r="F159" s="145" t="s">
        <v>179</v>
      </c>
      <c r="G159" s="163">
        <v>922.88</v>
      </c>
      <c r="H159" s="559"/>
      <c r="I159" s="226">
        <v>922.88</v>
      </c>
      <c r="J159" s="226">
        <v>922.88</v>
      </c>
      <c r="K159" s="226">
        <v>922.88</v>
      </c>
      <c r="L159" s="226">
        <v>922.88</v>
      </c>
      <c r="M159" s="226">
        <v>922.88</v>
      </c>
      <c r="N159" s="226">
        <v>922.84</v>
      </c>
      <c r="O159" s="226">
        <v>931.73</v>
      </c>
      <c r="P159" s="226">
        <v>931.73</v>
      </c>
      <c r="Q159" s="226">
        <v>931.73</v>
      </c>
      <c r="R159" s="226">
        <v>931.73</v>
      </c>
      <c r="S159" s="226">
        <v>931.73</v>
      </c>
      <c r="T159" s="226">
        <v>931.73</v>
      </c>
      <c r="U159" s="582"/>
      <c r="V159" s="255">
        <f>SUM(H159:T159)</f>
        <v>11127.619999999997</v>
      </c>
      <c r="W159" s="141"/>
      <c r="X159" s="275"/>
    </row>
    <row r="160" spans="1:24" x14ac:dyDescent="0.15">
      <c r="A160" s="143" t="s">
        <v>563</v>
      </c>
      <c r="B160" s="143"/>
      <c r="C160" s="144" t="s">
        <v>102</v>
      </c>
      <c r="D160" s="145">
        <v>615205</v>
      </c>
      <c r="E160" s="145" t="s">
        <v>78</v>
      </c>
      <c r="F160" s="145" t="s">
        <v>179</v>
      </c>
      <c r="G160" s="163">
        <v>315.39999999999998</v>
      </c>
      <c r="H160" s="559"/>
      <c r="I160" s="226">
        <v>315.39999999999998</v>
      </c>
      <c r="J160" s="226">
        <v>315.39999999999998</v>
      </c>
      <c r="K160" s="226">
        <v>315.39999999999998</v>
      </c>
      <c r="L160" s="226">
        <v>315.39999999999998</v>
      </c>
      <c r="M160" s="226">
        <v>315.39999999999998</v>
      </c>
      <c r="N160" s="226">
        <v>315.36</v>
      </c>
      <c r="O160" s="226">
        <v>317.3</v>
      </c>
      <c r="P160" s="226">
        <v>317.3</v>
      </c>
      <c r="Q160" s="226">
        <v>317.3</v>
      </c>
      <c r="R160" s="226">
        <v>317.3</v>
      </c>
      <c r="S160" s="226">
        <v>317.3</v>
      </c>
      <c r="T160" s="226">
        <v>317.25</v>
      </c>
      <c r="U160" s="582"/>
      <c r="V160" s="255">
        <f>SUM(H160:T160)</f>
        <v>3796.110000000001</v>
      </c>
      <c r="X160" s="275"/>
    </row>
    <row r="161" spans="1:24" x14ac:dyDescent="0.15">
      <c r="A161" s="143" t="s">
        <v>564</v>
      </c>
      <c r="B161" s="143"/>
      <c r="C161" s="144" t="s">
        <v>102</v>
      </c>
      <c r="D161" s="145">
        <v>615205</v>
      </c>
      <c r="E161" s="145" t="s">
        <v>78</v>
      </c>
      <c r="F161" s="145" t="s">
        <v>179</v>
      </c>
      <c r="G161" s="163">
        <v>395.52</v>
      </c>
      <c r="H161" s="559"/>
      <c r="I161" s="226">
        <v>395.52</v>
      </c>
      <c r="J161" s="226">
        <v>395.52</v>
      </c>
      <c r="K161" s="226">
        <v>395.52</v>
      </c>
      <c r="L161" s="226">
        <v>395.52</v>
      </c>
      <c r="M161" s="226">
        <v>395.52</v>
      </c>
      <c r="N161" s="226">
        <v>395.5</v>
      </c>
      <c r="O161" s="226">
        <v>399.32</v>
      </c>
      <c r="P161" s="226">
        <v>399.32</v>
      </c>
      <c r="Q161" s="226">
        <v>399.32</v>
      </c>
      <c r="R161" s="226">
        <v>399.32</v>
      </c>
      <c r="S161" s="226">
        <v>399.32</v>
      </c>
      <c r="T161" s="226">
        <v>399.27</v>
      </c>
      <c r="U161" s="582"/>
      <c r="V161" s="255">
        <f>SUM(H161:T161)</f>
        <v>4768.9700000000012</v>
      </c>
      <c r="W161" s="141"/>
      <c r="X161" s="275"/>
    </row>
    <row r="162" spans="1:24" s="37" customFormat="1" ht="11.25" thickBot="1" x14ac:dyDescent="0.2">
      <c r="A162" s="516" t="s">
        <v>11</v>
      </c>
      <c r="B162" s="517"/>
      <c r="C162" s="518"/>
      <c r="D162" s="519"/>
      <c r="E162" s="516"/>
      <c r="F162" s="520"/>
      <c r="G162" s="521"/>
      <c r="H162" s="522">
        <f>SUM(H157:H161)</f>
        <v>0</v>
      </c>
      <c r="I162" s="522">
        <f t="shared" ref="I162:V162" si="28">SUM(I157:I161)</f>
        <v>2369.7199999999998</v>
      </c>
      <c r="J162" s="522">
        <f t="shared" si="28"/>
        <v>2369.7199999999998</v>
      </c>
      <c r="K162" s="522">
        <f t="shared" si="28"/>
        <v>2369.7199999999998</v>
      </c>
      <c r="L162" s="522">
        <f t="shared" si="28"/>
        <v>2369.7199999999998</v>
      </c>
      <c r="M162" s="522">
        <f t="shared" si="28"/>
        <v>2369.7199999999998</v>
      </c>
      <c r="N162" s="522">
        <f t="shared" si="28"/>
        <v>2369.58</v>
      </c>
      <c r="O162" s="522">
        <f t="shared" si="28"/>
        <v>2388.6999999999998</v>
      </c>
      <c r="P162" s="522">
        <f t="shared" si="28"/>
        <v>2388.6999999999998</v>
      </c>
      <c r="Q162" s="522">
        <f t="shared" si="28"/>
        <v>2388.6999999999998</v>
      </c>
      <c r="R162" s="522">
        <f t="shared" si="28"/>
        <v>2388.6999999999998</v>
      </c>
      <c r="S162" s="522">
        <f t="shared" si="28"/>
        <v>2388.6999999999998</v>
      </c>
      <c r="T162" s="522">
        <f t="shared" si="28"/>
        <v>2388.6</v>
      </c>
      <c r="U162" s="522">
        <f t="shared" si="28"/>
        <v>0</v>
      </c>
      <c r="V162" s="522">
        <f t="shared" si="28"/>
        <v>28550.28</v>
      </c>
      <c r="W162" s="97" t="str">
        <f>+IF(V162=SUM(H162:T162),"contrôle ok", "erreur")</f>
        <v>contrôle ok</v>
      </c>
      <c r="X162" s="277"/>
    </row>
    <row r="163" spans="1:24" s="37" customFormat="1" ht="11.25" thickTop="1" x14ac:dyDescent="0.15">
      <c r="A163" s="33"/>
      <c r="B163" s="33"/>
      <c r="C163" s="34"/>
      <c r="D163" s="35"/>
      <c r="E163" s="36"/>
      <c r="F163" s="35"/>
      <c r="G163" s="100"/>
      <c r="H163" s="229"/>
      <c r="I163" s="229"/>
      <c r="J163" s="229"/>
      <c r="K163" s="229"/>
      <c r="L163" s="229"/>
      <c r="M163" s="229"/>
      <c r="N163" s="257"/>
      <c r="O163" s="229"/>
      <c r="P163" s="229"/>
      <c r="Q163" s="229"/>
      <c r="R163" s="229"/>
      <c r="S163" s="229"/>
      <c r="T163" s="229"/>
      <c r="U163" s="229"/>
      <c r="V163" s="258"/>
      <c r="X163" s="275"/>
    </row>
    <row r="164" spans="1:24" x14ac:dyDescent="0.15">
      <c r="A164" s="27" t="s">
        <v>136</v>
      </c>
      <c r="B164" s="28"/>
      <c r="C164" s="29"/>
      <c r="D164" s="30"/>
      <c r="E164" s="30"/>
      <c r="F164" s="31"/>
      <c r="G164" s="101"/>
      <c r="H164" s="224"/>
      <c r="I164" s="224"/>
      <c r="J164" s="251"/>
      <c r="K164" s="224"/>
      <c r="L164" s="224"/>
      <c r="M164" s="224"/>
      <c r="N164" s="224"/>
      <c r="O164" s="224"/>
      <c r="P164" s="224"/>
      <c r="Q164" s="224"/>
      <c r="R164" s="224"/>
      <c r="S164" s="224"/>
      <c r="T164" s="224"/>
      <c r="U164" s="224"/>
      <c r="V164" s="252"/>
      <c r="X164" s="275"/>
    </row>
    <row r="165" spans="1:24" s="98" customFormat="1" x14ac:dyDescent="0.15">
      <c r="A165" s="143" t="s">
        <v>620</v>
      </c>
      <c r="B165" s="143"/>
      <c r="C165" s="144"/>
      <c r="D165" s="145">
        <v>615210</v>
      </c>
      <c r="E165" s="145" t="s">
        <v>78</v>
      </c>
      <c r="F165" s="145" t="s">
        <v>192</v>
      </c>
      <c r="G165" s="163"/>
      <c r="H165" s="559"/>
      <c r="I165" s="226"/>
      <c r="J165" s="299"/>
      <c r="K165" s="226"/>
      <c r="L165" s="226"/>
      <c r="M165" s="226"/>
      <c r="N165" s="226"/>
      <c r="O165" s="226"/>
      <c r="P165" s="226"/>
      <c r="Q165" s="226"/>
      <c r="R165" s="226"/>
      <c r="S165" s="226"/>
      <c r="T165" s="226"/>
      <c r="U165" s="582"/>
      <c r="V165" s="255">
        <f t="shared" ref="V165:V170" si="29">SUM(H165:T165)</f>
        <v>0</v>
      </c>
      <c r="X165" s="463"/>
    </row>
    <row r="166" spans="1:24" x14ac:dyDescent="0.15">
      <c r="A166" s="143" t="s">
        <v>627</v>
      </c>
      <c r="B166" s="143"/>
      <c r="C166" s="144"/>
      <c r="D166" s="145">
        <v>615210</v>
      </c>
      <c r="E166" s="145" t="s">
        <v>78</v>
      </c>
      <c r="F166" s="145" t="s">
        <v>189</v>
      </c>
      <c r="G166" s="163"/>
      <c r="H166" s="559"/>
      <c r="I166" s="226"/>
      <c r="J166" s="226"/>
      <c r="K166" s="226"/>
      <c r="L166" s="226"/>
      <c r="M166" s="226"/>
      <c r="N166" s="226"/>
      <c r="O166" s="226"/>
      <c r="P166" s="226"/>
      <c r="Q166" s="226"/>
      <c r="R166" s="226"/>
      <c r="S166" s="226"/>
      <c r="T166" s="226"/>
      <c r="U166" s="582"/>
      <c r="V166" s="255">
        <f t="shared" si="29"/>
        <v>0</v>
      </c>
      <c r="X166" s="275"/>
    </row>
    <row r="167" spans="1:24" x14ac:dyDescent="0.15">
      <c r="A167" s="143" t="s">
        <v>813</v>
      </c>
      <c r="B167" s="143" t="s">
        <v>142</v>
      </c>
      <c r="C167" s="144"/>
      <c r="D167" s="145">
        <v>615210</v>
      </c>
      <c r="E167" s="319" t="s">
        <v>137</v>
      </c>
      <c r="F167" s="145" t="s">
        <v>628</v>
      </c>
      <c r="G167" s="163"/>
      <c r="H167" s="559"/>
      <c r="I167" s="226">
        <v>-538</v>
      </c>
      <c r="J167" s="226"/>
      <c r="K167" s="226">
        <v>255</v>
      </c>
      <c r="L167" s="226"/>
      <c r="M167" s="226"/>
      <c r="N167" s="226"/>
      <c r="O167" s="226"/>
      <c r="P167" s="226">
        <v>309</v>
      </c>
      <c r="Q167" s="226"/>
      <c r="R167" s="226"/>
      <c r="S167" s="226">
        <v>610.29999999999995</v>
      </c>
      <c r="T167" s="226"/>
      <c r="U167" s="582"/>
      <c r="V167" s="255">
        <f t="shared" si="29"/>
        <v>636.29999999999995</v>
      </c>
      <c r="X167" s="275"/>
    </row>
    <row r="168" spans="1:24" x14ac:dyDescent="0.15">
      <c r="A168" s="143" t="s">
        <v>627</v>
      </c>
      <c r="B168" s="143" t="s">
        <v>142</v>
      </c>
      <c r="C168" s="144"/>
      <c r="D168" s="145">
        <v>615210</v>
      </c>
      <c r="E168" s="319" t="s">
        <v>137</v>
      </c>
      <c r="F168" s="145" t="s">
        <v>189</v>
      </c>
      <c r="G168" s="163"/>
      <c r="H168" s="559"/>
      <c r="I168" s="226"/>
      <c r="J168" s="226"/>
      <c r="K168" s="226"/>
      <c r="L168" s="226"/>
      <c r="M168" s="226"/>
      <c r="N168" s="226">
        <v>270</v>
      </c>
      <c r="O168" s="226"/>
      <c r="P168" s="226"/>
      <c r="Q168" s="226"/>
      <c r="R168" s="226"/>
      <c r="S168" s="226"/>
      <c r="T168" s="226"/>
      <c r="U168" s="582"/>
      <c r="V168" s="255">
        <f t="shared" si="29"/>
        <v>270</v>
      </c>
      <c r="X168" s="275"/>
    </row>
    <row r="169" spans="1:24" x14ac:dyDescent="0.15">
      <c r="A169" s="143" t="s">
        <v>379</v>
      </c>
      <c r="B169" s="143" t="s">
        <v>142</v>
      </c>
      <c r="C169" s="144"/>
      <c r="D169" s="145">
        <v>615210</v>
      </c>
      <c r="E169" s="319" t="s">
        <v>137</v>
      </c>
      <c r="F169" s="145" t="s">
        <v>189</v>
      </c>
      <c r="G169" s="163">
        <v>84</v>
      </c>
      <c r="H169" s="559">
        <v>1000</v>
      </c>
      <c r="I169" s="226">
        <v>84</v>
      </c>
      <c r="J169" s="226">
        <v>84</v>
      </c>
      <c r="K169" s="226">
        <v>84</v>
      </c>
      <c r="L169" s="226">
        <v>84</v>
      </c>
      <c r="M169" s="226">
        <v>84</v>
      </c>
      <c r="N169" s="226">
        <v>84</v>
      </c>
      <c r="O169" s="226">
        <v>84</v>
      </c>
      <c r="P169" s="226">
        <v>84</v>
      </c>
      <c r="Q169" s="226">
        <v>84</v>
      </c>
      <c r="R169" s="226">
        <v>84</v>
      </c>
      <c r="S169" s="226">
        <v>84</v>
      </c>
      <c r="T169" s="226">
        <v>84</v>
      </c>
      <c r="U169" s="582"/>
      <c r="V169" s="255">
        <f t="shared" si="29"/>
        <v>2008</v>
      </c>
      <c r="X169" s="275"/>
    </row>
    <row r="170" spans="1:24" x14ac:dyDescent="0.15">
      <c r="A170" s="143" t="s">
        <v>462</v>
      </c>
      <c r="B170" s="143" t="s">
        <v>142</v>
      </c>
      <c r="C170" s="144"/>
      <c r="D170" s="145">
        <v>615210</v>
      </c>
      <c r="E170" s="319" t="s">
        <v>137</v>
      </c>
      <c r="F170" s="145" t="s">
        <v>192</v>
      </c>
      <c r="G170" s="163"/>
      <c r="H170" s="559"/>
      <c r="I170" s="226"/>
      <c r="J170" s="226"/>
      <c r="K170" s="226"/>
      <c r="L170" s="226"/>
      <c r="M170" s="226"/>
      <c r="N170" s="226"/>
      <c r="O170" s="226"/>
      <c r="P170" s="226"/>
      <c r="Q170" s="226"/>
      <c r="R170" s="226"/>
      <c r="S170" s="226"/>
      <c r="T170" s="226"/>
      <c r="U170" s="582"/>
      <c r="V170" s="255">
        <f t="shared" si="29"/>
        <v>0</v>
      </c>
      <c r="X170" s="275"/>
    </row>
    <row r="171" spans="1:24" s="37" customFormat="1" ht="11.25" thickBot="1" x14ac:dyDescent="0.2">
      <c r="A171" s="516" t="s">
        <v>11</v>
      </c>
      <c r="B171" s="517"/>
      <c r="C171" s="518"/>
      <c r="D171" s="519"/>
      <c r="E171" s="516"/>
      <c r="F171" s="520"/>
      <c r="G171" s="521"/>
      <c r="H171" s="522">
        <f>SUM(H165:H170)</f>
        <v>1000</v>
      </c>
      <c r="I171" s="522">
        <f t="shared" ref="I171:V171" si="30">SUM(I165:I170)</f>
        <v>-454</v>
      </c>
      <c r="J171" s="522">
        <f t="shared" si="30"/>
        <v>84</v>
      </c>
      <c r="K171" s="522">
        <f t="shared" si="30"/>
        <v>339</v>
      </c>
      <c r="L171" s="522">
        <f t="shared" si="30"/>
        <v>84</v>
      </c>
      <c r="M171" s="522">
        <f t="shared" si="30"/>
        <v>84</v>
      </c>
      <c r="N171" s="522">
        <f t="shared" si="30"/>
        <v>354</v>
      </c>
      <c r="O171" s="522">
        <f t="shared" si="30"/>
        <v>84</v>
      </c>
      <c r="P171" s="522">
        <f t="shared" si="30"/>
        <v>393</v>
      </c>
      <c r="Q171" s="522">
        <f t="shared" si="30"/>
        <v>84</v>
      </c>
      <c r="R171" s="522">
        <f t="shared" si="30"/>
        <v>84</v>
      </c>
      <c r="S171" s="522">
        <f t="shared" si="30"/>
        <v>694.3</v>
      </c>
      <c r="T171" s="522">
        <f t="shared" si="30"/>
        <v>84</v>
      </c>
      <c r="U171" s="522">
        <f t="shared" si="30"/>
        <v>0</v>
      </c>
      <c r="V171" s="522">
        <f t="shared" si="30"/>
        <v>2914.3</v>
      </c>
      <c r="W171" s="97" t="str">
        <f>+IF(V171=SUM(H171:T171),"contrôle ok", "erreur")</f>
        <v>contrôle ok</v>
      </c>
      <c r="X171" s="275"/>
    </row>
    <row r="172" spans="1:24" s="37" customFormat="1" ht="11.25" thickTop="1" x14ac:dyDescent="0.15">
      <c r="A172" s="33"/>
      <c r="B172" s="33"/>
      <c r="C172" s="34"/>
      <c r="D172" s="35"/>
      <c r="E172" s="36"/>
      <c r="F172" s="35"/>
      <c r="G172" s="100"/>
      <c r="H172" s="229"/>
      <c r="I172" s="229"/>
      <c r="J172" s="229"/>
      <c r="K172" s="229"/>
      <c r="L172" s="229"/>
      <c r="M172" s="229"/>
      <c r="N172" s="229"/>
      <c r="O172" s="229"/>
      <c r="P172" s="229"/>
      <c r="Q172" s="229"/>
      <c r="R172" s="229"/>
      <c r="S172" s="228"/>
      <c r="T172" s="229"/>
      <c r="U172" s="229"/>
      <c r="V172" s="283"/>
      <c r="X172" s="275"/>
    </row>
    <row r="173" spans="1:24" x14ac:dyDescent="0.15">
      <c r="A173" s="27" t="s">
        <v>712</v>
      </c>
      <c r="B173" s="28"/>
      <c r="C173" s="29"/>
      <c r="D173" s="30"/>
      <c r="E173" s="30"/>
      <c r="F173" s="31"/>
      <c r="G173" s="101"/>
      <c r="H173" s="224"/>
      <c r="I173" s="224"/>
      <c r="J173" s="251"/>
      <c r="K173" s="224"/>
      <c r="L173" s="224"/>
      <c r="M173" s="224"/>
      <c r="N173" s="224"/>
      <c r="O173" s="224"/>
      <c r="P173" s="224"/>
      <c r="Q173" s="224"/>
      <c r="R173" s="224"/>
      <c r="S173" s="224"/>
      <c r="T173" s="224"/>
      <c r="U173" s="224"/>
      <c r="V173" s="252"/>
      <c r="X173" s="275"/>
    </row>
    <row r="174" spans="1:24" s="98" customFormat="1" x14ac:dyDescent="0.15">
      <c r="A174" s="143" t="s">
        <v>797</v>
      </c>
      <c r="B174" s="170"/>
      <c r="C174" s="496"/>
      <c r="D174" s="145">
        <v>615215</v>
      </c>
      <c r="E174" s="145" t="s">
        <v>78</v>
      </c>
      <c r="F174" s="493"/>
      <c r="G174" s="163"/>
      <c r="H174" s="559"/>
      <c r="I174" s="226"/>
      <c r="J174" s="299"/>
      <c r="K174" s="226"/>
      <c r="L174" s="226"/>
      <c r="M174" s="226">
        <v>671.75</v>
      </c>
      <c r="N174" s="226"/>
      <c r="O174" s="226"/>
      <c r="P174" s="226"/>
      <c r="Q174" s="226"/>
      <c r="R174" s="226"/>
      <c r="S174" s="226"/>
      <c r="T174" s="226"/>
      <c r="U174" s="582"/>
      <c r="V174" s="255">
        <f t="shared" ref="V174:V186" si="31">SUM(H174:T174)</f>
        <v>671.75</v>
      </c>
      <c r="X174" s="463"/>
    </row>
    <row r="175" spans="1:24" s="98" customFormat="1" x14ac:dyDescent="0.15">
      <c r="A175" s="143" t="s">
        <v>441</v>
      </c>
      <c r="B175" s="170" t="s">
        <v>840</v>
      </c>
      <c r="C175" s="496"/>
      <c r="D175" s="145">
        <v>615215</v>
      </c>
      <c r="E175" s="145" t="s">
        <v>78</v>
      </c>
      <c r="F175" s="493"/>
      <c r="G175" s="163"/>
      <c r="H175" s="559"/>
      <c r="I175" s="226"/>
      <c r="J175" s="299"/>
      <c r="K175" s="226"/>
      <c r="L175" s="226"/>
      <c r="M175" s="226"/>
      <c r="N175" s="226"/>
      <c r="O175" s="226"/>
      <c r="P175" s="226"/>
      <c r="Q175" s="226"/>
      <c r="R175" s="226">
        <f>399.46+82.4</f>
        <v>481.86</v>
      </c>
      <c r="S175" s="226"/>
      <c r="T175" s="226"/>
      <c r="U175" s="582"/>
      <c r="V175" s="255">
        <f t="shared" si="31"/>
        <v>481.86</v>
      </c>
      <c r="X175" s="463"/>
    </row>
    <row r="176" spans="1:24" s="98" customFormat="1" x14ac:dyDescent="0.15">
      <c r="A176" s="143" t="s">
        <v>713</v>
      </c>
      <c r="B176" s="143" t="s">
        <v>717</v>
      </c>
      <c r="C176" s="144"/>
      <c r="D176" s="145">
        <v>615215</v>
      </c>
      <c r="E176" s="145" t="s">
        <v>78</v>
      </c>
      <c r="F176" s="145"/>
      <c r="G176" s="163"/>
      <c r="H176" s="559"/>
      <c r="I176" s="226"/>
      <c r="J176" s="299"/>
      <c r="K176" s="226"/>
      <c r="L176" s="226"/>
      <c r="M176" s="226"/>
      <c r="N176" s="226"/>
      <c r="O176" s="226"/>
      <c r="P176" s="226"/>
      <c r="Q176" s="226">
        <f>179.52+1119.35</f>
        <v>1298.8699999999999</v>
      </c>
      <c r="R176" s="226">
        <v>198.49</v>
      </c>
      <c r="S176" s="226"/>
      <c r="T176" s="226"/>
      <c r="U176" s="582"/>
      <c r="V176" s="255">
        <f t="shared" si="31"/>
        <v>1497.36</v>
      </c>
      <c r="X176" s="463"/>
    </row>
    <row r="177" spans="1:24" s="98" customFormat="1" x14ac:dyDescent="0.15">
      <c r="A177" s="143" t="s">
        <v>713</v>
      </c>
      <c r="B177" s="143" t="s">
        <v>718</v>
      </c>
      <c r="C177" s="144"/>
      <c r="D177" s="145">
        <v>615215</v>
      </c>
      <c r="E177" s="145" t="s">
        <v>78</v>
      </c>
      <c r="F177" s="145"/>
      <c r="G177" s="163">
        <v>500</v>
      </c>
      <c r="H177" s="559">
        <f>496.8-500</f>
        <v>-3.1999999999999886</v>
      </c>
      <c r="I177" s="226">
        <v>410.4</v>
      </c>
      <c r="J177" s="299">
        <v>432</v>
      </c>
      <c r="K177" s="226">
        <v>475.2</v>
      </c>
      <c r="L177" s="226">
        <v>495.06</v>
      </c>
      <c r="M177" s="226">
        <v>399.6</v>
      </c>
      <c r="N177" s="226">
        <v>410.4</v>
      </c>
      <c r="O177" s="226">
        <v>410.4</v>
      </c>
      <c r="P177" s="226">
        <v>968.05</v>
      </c>
      <c r="Q177" s="226">
        <v>334.8</v>
      </c>
      <c r="R177" s="226">
        <v>324</v>
      </c>
      <c r="S177" s="226">
        <v>108</v>
      </c>
      <c r="T177" s="226"/>
      <c r="U177" s="582"/>
      <c r="V177" s="255">
        <f t="shared" si="31"/>
        <v>4764.71</v>
      </c>
      <c r="X177" s="463"/>
    </row>
    <row r="178" spans="1:24" s="98" customFormat="1" x14ac:dyDescent="0.15">
      <c r="A178" s="143" t="s">
        <v>713</v>
      </c>
      <c r="B178" s="143" t="s">
        <v>719</v>
      </c>
      <c r="C178" s="144"/>
      <c r="D178" s="145">
        <v>615215</v>
      </c>
      <c r="E178" s="145" t="s">
        <v>78</v>
      </c>
      <c r="F178" s="145"/>
      <c r="G178" s="163"/>
      <c r="H178" s="559"/>
      <c r="I178" s="226"/>
      <c r="J178" s="299"/>
      <c r="K178" s="226"/>
      <c r="L178" s="226"/>
      <c r="Q178" s="226"/>
      <c r="R178" s="226"/>
      <c r="S178" s="226"/>
      <c r="T178" s="226"/>
      <c r="U178" s="582"/>
      <c r="V178" s="255">
        <f t="shared" si="31"/>
        <v>0</v>
      </c>
      <c r="X178" s="463"/>
    </row>
    <row r="179" spans="1:24" s="98" customFormat="1" x14ac:dyDescent="0.15">
      <c r="A179" s="143" t="s">
        <v>441</v>
      </c>
      <c r="B179" s="143" t="s">
        <v>720</v>
      </c>
      <c r="C179" s="144"/>
      <c r="D179" s="145">
        <v>615215</v>
      </c>
      <c r="E179" s="145" t="s">
        <v>78</v>
      </c>
      <c r="F179" s="145"/>
      <c r="G179" s="163"/>
      <c r="H179" s="559"/>
      <c r="I179" s="226"/>
      <c r="J179" s="299"/>
      <c r="K179" s="226">
        <v>1138.4000000000001</v>
      </c>
      <c r="L179" s="226">
        <v>631.67999999999995</v>
      </c>
      <c r="M179" s="226">
        <v>0</v>
      </c>
      <c r="N179" s="226">
        <v>0</v>
      </c>
      <c r="O179" s="226">
        <v>0</v>
      </c>
      <c r="P179" s="226">
        <v>0</v>
      </c>
      <c r="Q179" s="226">
        <v>51.5</v>
      </c>
      <c r="R179" s="582">
        <v>100</v>
      </c>
      <c r="S179" s="582">
        <v>100</v>
      </c>
      <c r="T179" s="226"/>
      <c r="U179" s="582"/>
      <c r="V179" s="255">
        <f t="shared" si="31"/>
        <v>2021.58</v>
      </c>
      <c r="X179" s="463"/>
    </row>
    <row r="180" spans="1:24" s="98" customFormat="1" x14ac:dyDescent="0.15">
      <c r="A180" s="143" t="s">
        <v>714</v>
      </c>
      <c r="B180" s="143" t="s">
        <v>721</v>
      </c>
      <c r="C180" s="144"/>
      <c r="D180" s="145">
        <v>615215</v>
      </c>
      <c r="E180" s="145" t="s">
        <v>78</v>
      </c>
      <c r="F180" s="145"/>
      <c r="G180" s="163">
        <v>2000</v>
      </c>
      <c r="H180" s="559">
        <f>1247-1247+220-220-533-1517.6-220-1247+1720</f>
        <v>-1797.6</v>
      </c>
      <c r="I180" s="226">
        <f>1865.75-1865.75+1822.75</f>
        <v>1822.75</v>
      </c>
      <c r="J180" s="299">
        <f>1075+225</f>
        <v>1300</v>
      </c>
      <c r="K180" s="226">
        <f>-1745.38+1288.5+219.56+946</f>
        <v>708.67999999999984</v>
      </c>
      <c r="L180" s="226">
        <f>645+245-645+473</f>
        <v>718</v>
      </c>
      <c r="M180" s="226">
        <v>1083.25</v>
      </c>
      <c r="N180" s="226">
        <f>2369-2369+2326</f>
        <v>2326</v>
      </c>
      <c r="O180" s="226">
        <f>2874.13-2874.13+1763</f>
        <v>1763</v>
      </c>
      <c r="P180" s="226">
        <v>1543.88</v>
      </c>
      <c r="Q180" s="226">
        <v>1321.25</v>
      </c>
      <c r="R180" s="226">
        <v>301</v>
      </c>
      <c r="S180" s="582">
        <v>1000</v>
      </c>
      <c r="T180" s="226"/>
      <c r="U180" s="582"/>
      <c r="V180" s="255">
        <f t="shared" si="31"/>
        <v>12090.21</v>
      </c>
      <c r="X180" s="463"/>
    </row>
    <row r="181" spans="1:24" s="98" customFormat="1" x14ac:dyDescent="0.15">
      <c r="A181" s="143" t="s">
        <v>713</v>
      </c>
      <c r="B181" s="143" t="s">
        <v>722</v>
      </c>
      <c r="C181" s="144"/>
      <c r="D181" s="145">
        <v>615215</v>
      </c>
      <c r="E181" s="145" t="s">
        <v>78</v>
      </c>
      <c r="F181" s="145" t="s">
        <v>726</v>
      </c>
      <c r="G181" s="163">
        <v>84.89</v>
      </c>
      <c r="H181" s="559">
        <f>84.89-84.89</f>
        <v>0</v>
      </c>
      <c r="I181" s="226">
        <v>0</v>
      </c>
      <c r="J181" s="299">
        <v>0</v>
      </c>
      <c r="K181" s="299">
        <v>169.78</v>
      </c>
      <c r="L181" s="226">
        <v>0</v>
      </c>
      <c r="M181" s="226">
        <v>84.89</v>
      </c>
      <c r="N181" s="226">
        <v>84.89</v>
      </c>
      <c r="O181" s="226">
        <v>0</v>
      </c>
      <c r="P181" s="226">
        <v>0</v>
      </c>
      <c r="Q181" s="226">
        <v>169.78</v>
      </c>
      <c r="R181" s="582">
        <v>84.89</v>
      </c>
      <c r="S181" s="582">
        <v>84.89</v>
      </c>
      <c r="T181" s="226"/>
      <c r="U181" s="582"/>
      <c r="V181" s="255">
        <f t="shared" si="31"/>
        <v>679.12</v>
      </c>
      <c r="X181" s="463"/>
    </row>
    <row r="182" spans="1:24" s="98" customFormat="1" x14ac:dyDescent="0.15">
      <c r="A182" s="143" t="s">
        <v>713</v>
      </c>
      <c r="B182" s="143" t="s">
        <v>723</v>
      </c>
      <c r="C182" s="144"/>
      <c r="D182" s="145">
        <v>615215</v>
      </c>
      <c r="E182" s="145" t="s">
        <v>78</v>
      </c>
      <c r="F182" s="145" t="s">
        <v>700</v>
      </c>
      <c r="G182" s="163">
        <v>249.69</v>
      </c>
      <c r="H182" s="559">
        <f>488.14-249.69</f>
        <v>238.45</v>
      </c>
      <c r="I182" s="226">
        <v>249.69</v>
      </c>
      <c r="J182" s="299">
        <v>166.46</v>
      </c>
      <c r="K182" s="226">
        <v>249.69</v>
      </c>
      <c r="L182" s="226">
        <v>332.92</v>
      </c>
      <c r="M182" s="226">
        <v>249.69</v>
      </c>
      <c r="N182" s="226">
        <v>332.92</v>
      </c>
      <c r="O182" s="226">
        <v>249.69</v>
      </c>
      <c r="P182" s="226">
        <v>249.69</v>
      </c>
      <c r="Q182" s="582">
        <v>249.69</v>
      </c>
      <c r="R182" s="582">
        <v>249.69</v>
      </c>
      <c r="S182" s="582">
        <v>249.69</v>
      </c>
      <c r="T182" s="226"/>
      <c r="U182" s="582"/>
      <c r="V182" s="255">
        <f t="shared" si="31"/>
        <v>3068.2700000000004</v>
      </c>
      <c r="X182" s="463"/>
    </row>
    <row r="183" spans="1:24" x14ac:dyDescent="0.15">
      <c r="A183" s="143" t="s">
        <v>441</v>
      </c>
      <c r="B183" s="143" t="s">
        <v>841</v>
      </c>
      <c r="C183" s="144"/>
      <c r="D183" s="145">
        <v>615215</v>
      </c>
      <c r="E183" s="145" t="s">
        <v>78</v>
      </c>
      <c r="F183" s="145" t="s">
        <v>700</v>
      </c>
      <c r="G183" s="163"/>
      <c r="H183" s="559"/>
      <c r="I183" s="226"/>
      <c r="J183" s="226"/>
      <c r="K183" s="226"/>
      <c r="L183" s="226"/>
      <c r="M183" s="226"/>
      <c r="N183" s="226"/>
      <c r="O183" s="226"/>
      <c r="P183" s="226"/>
      <c r="Q183" s="226">
        <v>164.8</v>
      </c>
      <c r="R183" s="226">
        <v>150</v>
      </c>
      <c r="S183" s="226"/>
      <c r="T183" s="226"/>
      <c r="U183" s="582"/>
      <c r="V183" s="255">
        <f t="shared" si="31"/>
        <v>314.8</v>
      </c>
      <c r="X183" s="275"/>
    </row>
    <row r="184" spans="1:24" x14ac:dyDescent="0.15">
      <c r="A184" s="143" t="s">
        <v>715</v>
      </c>
      <c r="B184" s="143" t="s">
        <v>724</v>
      </c>
      <c r="C184" s="144"/>
      <c r="D184" s="145">
        <v>615215</v>
      </c>
      <c r="E184" s="319" t="s">
        <v>701</v>
      </c>
      <c r="F184" s="145"/>
      <c r="G184" s="163">
        <v>100</v>
      </c>
      <c r="H184" s="559">
        <f>100-100-200</f>
        <v>-200</v>
      </c>
      <c r="I184" s="226">
        <v>0</v>
      </c>
      <c r="J184" s="226">
        <v>0</v>
      </c>
      <c r="K184" s="226">
        <v>0</v>
      </c>
      <c r="L184" s="226">
        <v>100</v>
      </c>
      <c r="M184" s="226">
        <v>0</v>
      </c>
      <c r="N184" s="226">
        <v>100</v>
      </c>
      <c r="O184" s="226">
        <v>100</v>
      </c>
      <c r="P184" s="582">
        <v>100</v>
      </c>
      <c r="Q184" s="582">
        <v>100</v>
      </c>
      <c r="R184" s="582">
        <v>100</v>
      </c>
      <c r="S184" s="582">
        <v>100</v>
      </c>
      <c r="T184" s="226"/>
      <c r="U184" s="582"/>
      <c r="V184" s="255">
        <f t="shared" si="31"/>
        <v>500</v>
      </c>
      <c r="X184" s="275"/>
    </row>
    <row r="185" spans="1:24" x14ac:dyDescent="0.15">
      <c r="A185" s="143" t="s">
        <v>441</v>
      </c>
      <c r="B185" s="143" t="s">
        <v>839</v>
      </c>
      <c r="C185" s="144"/>
      <c r="D185" s="145">
        <v>615215</v>
      </c>
      <c r="E185" s="319" t="s">
        <v>701</v>
      </c>
      <c r="F185" s="145"/>
      <c r="G185" s="163"/>
      <c r="H185" s="559"/>
      <c r="I185" s="226"/>
      <c r="J185" s="226"/>
      <c r="K185" s="226"/>
      <c r="L185" s="226"/>
      <c r="M185" s="226"/>
      <c r="N185" s="226"/>
      <c r="O185" s="226"/>
      <c r="P185" s="226"/>
      <c r="Q185" s="226"/>
      <c r="R185" s="226">
        <v>450</v>
      </c>
      <c r="S185" s="226"/>
      <c r="T185" s="226"/>
      <c r="U185" s="582"/>
      <c r="V185" s="255">
        <f t="shared" si="31"/>
        <v>450</v>
      </c>
      <c r="X185" s="275"/>
    </row>
    <row r="186" spans="1:24" x14ac:dyDescent="0.15">
      <c r="A186" s="143" t="s">
        <v>716</v>
      </c>
      <c r="B186" s="143" t="s">
        <v>725</v>
      </c>
      <c r="C186" s="144"/>
      <c r="D186" s="145">
        <v>615215</v>
      </c>
      <c r="E186" s="319" t="s">
        <v>137</v>
      </c>
      <c r="F186" s="145"/>
      <c r="G186" s="163">
        <v>4500</v>
      </c>
      <c r="H186" s="559">
        <f>5154.95-5500</f>
        <v>-345.05000000000018</v>
      </c>
      <c r="I186" s="226">
        <f>3914+103</f>
        <v>4017</v>
      </c>
      <c r="J186" s="226">
        <v>3708</v>
      </c>
      <c r="K186" s="226">
        <v>4120</v>
      </c>
      <c r="L186" s="226">
        <f>4738-51.5</f>
        <v>4686.5</v>
      </c>
      <c r="M186" s="226">
        <v>4223</v>
      </c>
      <c r="N186" s="226">
        <v>4017</v>
      </c>
      <c r="O186" s="226">
        <v>4017</v>
      </c>
      <c r="P186" s="226">
        <v>4429</v>
      </c>
      <c r="Q186" s="226">
        <v>4273.9399999999996</v>
      </c>
      <c r="R186" s="226">
        <v>4532</v>
      </c>
      <c r="S186" s="582">
        <v>4500</v>
      </c>
      <c r="T186" s="226"/>
      <c r="U186" s="582"/>
      <c r="V186" s="255">
        <f t="shared" si="31"/>
        <v>46178.39</v>
      </c>
      <c r="X186" s="275"/>
    </row>
    <row r="187" spans="1:24" s="37" customFormat="1" ht="11.25" thickBot="1" x14ac:dyDescent="0.2">
      <c r="A187" s="516" t="s">
        <v>11</v>
      </c>
      <c r="B187" s="517"/>
      <c r="C187" s="518"/>
      <c r="D187" s="519"/>
      <c r="E187" s="516"/>
      <c r="F187" s="520"/>
      <c r="G187" s="521"/>
      <c r="H187" s="522">
        <f>SUM(H176:H186)</f>
        <v>-2107.4</v>
      </c>
      <c r="I187" s="522">
        <f>SUM(I174:I186)</f>
        <v>6499.84</v>
      </c>
      <c r="J187" s="522">
        <f>SUM(J174:J186)</f>
        <v>5606.46</v>
      </c>
      <c r="K187" s="522">
        <f>SUM(K174:K186)</f>
        <v>6861.75</v>
      </c>
      <c r="L187" s="522">
        <f>SUM(L174:L186)</f>
        <v>6964.16</v>
      </c>
      <c r="M187" s="522">
        <f>SUM(M174:M186)</f>
        <v>6712.18</v>
      </c>
      <c r="N187" s="522">
        <f t="shared" ref="N187:V187" si="32">SUM(N174:N186)</f>
        <v>7271.21</v>
      </c>
      <c r="O187" s="522">
        <f t="shared" si="32"/>
        <v>6540.09</v>
      </c>
      <c r="P187" s="522">
        <f t="shared" si="32"/>
        <v>7290.6200000000008</v>
      </c>
      <c r="Q187" s="522">
        <f t="shared" si="32"/>
        <v>7964.63</v>
      </c>
      <c r="R187" s="522">
        <f t="shared" si="32"/>
        <v>6971.93</v>
      </c>
      <c r="S187" s="522">
        <f t="shared" si="32"/>
        <v>6142.58</v>
      </c>
      <c r="T187" s="522">
        <f t="shared" si="32"/>
        <v>0</v>
      </c>
      <c r="U187" s="522">
        <f t="shared" si="32"/>
        <v>0</v>
      </c>
      <c r="V187" s="522">
        <f t="shared" si="32"/>
        <v>72718.05</v>
      </c>
      <c r="W187" s="97" t="str">
        <f>+IF(V187=SUM(H187:T187),"contrôle ok", "erreur")</f>
        <v>contrôle ok</v>
      </c>
      <c r="X187" s="275"/>
    </row>
    <row r="188" spans="1:24" s="37" customFormat="1" ht="11.25" thickTop="1" x14ac:dyDescent="0.15">
      <c r="A188" s="33"/>
      <c r="B188" s="33"/>
      <c r="C188" s="34"/>
      <c r="D188" s="35"/>
      <c r="E188" s="36"/>
      <c r="F188" s="35"/>
      <c r="G188" s="100"/>
      <c r="H188" s="229"/>
      <c r="I188" s="229"/>
      <c r="J188" s="229"/>
      <c r="K188" s="229"/>
      <c r="L188" s="229"/>
      <c r="M188" s="229"/>
      <c r="N188" s="229"/>
      <c r="O188" s="229"/>
      <c r="P188" s="229"/>
      <c r="Q188" s="229"/>
      <c r="R188" s="229"/>
      <c r="S188" s="228"/>
      <c r="T188" s="229"/>
      <c r="U188" s="229"/>
      <c r="V188" s="283"/>
      <c r="X188" s="275"/>
    </row>
    <row r="189" spans="1:24" x14ac:dyDescent="0.15">
      <c r="A189" s="27" t="s">
        <v>12</v>
      </c>
      <c r="B189" s="28"/>
      <c r="C189" s="29"/>
      <c r="D189" s="30"/>
      <c r="E189" s="30"/>
      <c r="F189" s="31"/>
      <c r="G189" s="101"/>
      <c r="H189" s="224"/>
      <c r="I189" s="224"/>
      <c r="J189" s="251"/>
      <c r="K189" s="224"/>
      <c r="L189" s="224"/>
      <c r="M189" s="224"/>
      <c r="N189" s="224"/>
      <c r="O189" s="224"/>
      <c r="P189" s="224"/>
      <c r="Q189" s="224"/>
      <c r="R189" s="224"/>
      <c r="S189" s="224"/>
      <c r="T189" s="224"/>
      <c r="U189" s="224"/>
      <c r="V189" s="252"/>
      <c r="X189" s="275"/>
    </row>
    <row r="190" spans="1:24" x14ac:dyDescent="0.15">
      <c r="A190" s="143" t="s">
        <v>391</v>
      </c>
      <c r="B190" s="143"/>
      <c r="C190" s="144"/>
      <c r="D190" s="145">
        <v>615220</v>
      </c>
      <c r="E190" s="145" t="s">
        <v>77</v>
      </c>
      <c r="F190" s="145" t="s">
        <v>192</v>
      </c>
      <c r="G190" s="163"/>
      <c r="H190" s="559"/>
      <c r="I190" s="226"/>
      <c r="J190" s="226"/>
      <c r="K190" s="226"/>
      <c r="L190" s="226"/>
      <c r="M190" s="226"/>
      <c r="N190" s="226"/>
      <c r="O190" s="226"/>
      <c r="P190" s="226"/>
      <c r="Q190" s="226"/>
      <c r="R190" s="226"/>
      <c r="S190" s="226"/>
      <c r="T190" s="226"/>
      <c r="U190" s="582"/>
      <c r="V190" s="255">
        <f t="shared" ref="V190:V208" si="33">SUM(H190:T190)</f>
        <v>0</v>
      </c>
      <c r="X190" s="275"/>
    </row>
    <row r="191" spans="1:24" x14ac:dyDescent="0.15">
      <c r="A191" s="143"/>
      <c r="B191" s="143"/>
      <c r="C191" s="144"/>
      <c r="D191" s="145">
        <v>615220</v>
      </c>
      <c r="E191" s="145" t="s">
        <v>77</v>
      </c>
      <c r="F191" s="145" t="s">
        <v>192</v>
      </c>
      <c r="G191" s="163"/>
      <c r="H191" s="559"/>
      <c r="I191" s="226"/>
      <c r="J191" s="226"/>
      <c r="K191" s="226"/>
      <c r="L191" s="226"/>
      <c r="M191" s="226"/>
      <c r="N191" s="226"/>
      <c r="O191" s="226"/>
      <c r="P191" s="226"/>
      <c r="Q191" s="226"/>
      <c r="R191" s="226"/>
      <c r="S191" s="226"/>
      <c r="T191" s="226"/>
      <c r="U191" s="582"/>
      <c r="V191" s="255">
        <f t="shared" si="33"/>
        <v>0</v>
      </c>
      <c r="X191" s="275"/>
    </row>
    <row r="192" spans="1:24" x14ac:dyDescent="0.15">
      <c r="A192" s="143"/>
      <c r="B192" s="143"/>
      <c r="C192" s="144"/>
      <c r="D192" s="145"/>
      <c r="E192" s="145"/>
      <c r="F192" s="145"/>
      <c r="G192" s="163"/>
      <c r="H192" s="559"/>
      <c r="I192" s="226"/>
      <c r="J192" s="226"/>
      <c r="K192" s="226"/>
      <c r="L192" s="226"/>
      <c r="M192" s="226"/>
      <c r="N192" s="226"/>
      <c r="O192" s="226"/>
      <c r="P192" s="226"/>
      <c r="Q192" s="226"/>
      <c r="R192" s="226"/>
      <c r="S192" s="226"/>
      <c r="T192" s="226"/>
      <c r="U192" s="582"/>
      <c r="V192" s="255">
        <f t="shared" si="33"/>
        <v>0</v>
      </c>
      <c r="X192" s="275"/>
    </row>
    <row r="193" spans="1:24" x14ac:dyDescent="0.15">
      <c r="A193" s="143" t="s">
        <v>221</v>
      </c>
      <c r="B193" s="143" t="s">
        <v>422</v>
      </c>
      <c r="C193" s="144" t="s">
        <v>532</v>
      </c>
      <c r="D193" s="145">
        <v>615220</v>
      </c>
      <c r="E193" s="145" t="s">
        <v>77</v>
      </c>
      <c r="F193" s="145" t="s">
        <v>179</v>
      </c>
      <c r="G193" s="163">
        <v>740.44</v>
      </c>
      <c r="H193" s="559"/>
      <c r="I193" s="226">
        <v>740.44</v>
      </c>
      <c r="J193" s="226">
        <v>740.44</v>
      </c>
      <c r="K193" s="226">
        <v>740.44</v>
      </c>
      <c r="L193" s="226">
        <v>740.44</v>
      </c>
      <c r="M193" s="226">
        <v>740.44</v>
      </c>
      <c r="N193" s="226">
        <v>740.44</v>
      </c>
      <c r="O193" s="226">
        <v>740.44</v>
      </c>
      <c r="P193" s="226">
        <v>740.44</v>
      </c>
      <c r="Q193" s="226">
        <v>740.44</v>
      </c>
      <c r="R193" s="226">
        <v>740.44</v>
      </c>
      <c r="S193" s="226">
        <v>740.44</v>
      </c>
      <c r="T193" s="226">
        <v>740.44</v>
      </c>
      <c r="U193" s="582"/>
      <c r="V193" s="255">
        <f t="shared" si="33"/>
        <v>8885.2800000000025</v>
      </c>
      <c r="W193" s="219"/>
      <c r="X193" s="275"/>
    </row>
    <row r="194" spans="1:24" x14ac:dyDescent="0.15">
      <c r="A194" s="143"/>
      <c r="B194" s="143"/>
      <c r="C194" s="144"/>
      <c r="D194" s="145">
        <v>615220</v>
      </c>
      <c r="E194" s="145" t="s">
        <v>77</v>
      </c>
      <c r="F194" s="145" t="s">
        <v>179</v>
      </c>
      <c r="G194" s="163"/>
      <c r="H194" s="559"/>
      <c r="I194" s="226"/>
      <c r="J194" s="226"/>
      <c r="K194" s="226"/>
      <c r="L194" s="226"/>
      <c r="M194" s="226"/>
      <c r="N194" s="226"/>
      <c r="O194" s="226"/>
      <c r="P194" s="226"/>
      <c r="Q194" s="226"/>
      <c r="R194" s="226"/>
      <c r="S194" s="226"/>
      <c r="T194" s="226"/>
      <c r="U194" s="582"/>
      <c r="V194" s="255">
        <f t="shared" si="33"/>
        <v>0</v>
      </c>
      <c r="X194" s="275"/>
    </row>
    <row r="195" spans="1:24" x14ac:dyDescent="0.15">
      <c r="A195" s="143"/>
      <c r="B195" s="143"/>
      <c r="C195" s="144"/>
      <c r="D195" s="145"/>
      <c r="E195" s="145"/>
      <c r="F195" s="145"/>
      <c r="G195" s="163"/>
      <c r="H195" s="559"/>
      <c r="I195" s="226"/>
      <c r="J195" s="226"/>
      <c r="K195" s="226"/>
      <c r="L195" s="226"/>
      <c r="M195" s="226"/>
      <c r="N195" s="226"/>
      <c r="O195" s="226"/>
      <c r="P195" s="226"/>
      <c r="Q195" s="226"/>
      <c r="R195" s="226"/>
      <c r="S195" s="226"/>
      <c r="T195" s="226"/>
      <c r="U195" s="582"/>
      <c r="V195" s="255">
        <f t="shared" si="33"/>
        <v>0</v>
      </c>
      <c r="X195" s="275"/>
    </row>
    <row r="196" spans="1:24" x14ac:dyDescent="0.15">
      <c r="A196" s="143" t="s">
        <v>452</v>
      </c>
      <c r="B196" s="143" t="s">
        <v>453</v>
      </c>
      <c r="C196" s="144">
        <v>2016</v>
      </c>
      <c r="D196" s="145">
        <v>615220</v>
      </c>
      <c r="E196" s="145" t="s">
        <v>145</v>
      </c>
      <c r="F196" s="145" t="s">
        <v>179</v>
      </c>
      <c r="G196" s="163">
        <v>8.07</v>
      </c>
      <c r="H196" s="559">
        <v>-96.84</v>
      </c>
      <c r="I196" s="226"/>
      <c r="J196" s="582"/>
      <c r="K196" s="582"/>
      <c r="L196" s="582"/>
      <c r="M196" s="582"/>
      <c r="N196" s="582"/>
      <c r="O196" s="226"/>
      <c r="P196" s="226"/>
      <c r="Q196" s="226"/>
      <c r="R196" s="226"/>
      <c r="S196" s="226"/>
      <c r="T196" s="226"/>
      <c r="U196" s="582"/>
      <c r="V196" s="255">
        <f t="shared" si="33"/>
        <v>-96.84</v>
      </c>
      <c r="X196" s="275"/>
    </row>
    <row r="197" spans="1:24" x14ac:dyDescent="0.15">
      <c r="A197" s="143" t="s">
        <v>622</v>
      </c>
      <c r="B197" s="143" t="s">
        <v>466</v>
      </c>
      <c r="C197" s="144" t="s">
        <v>830</v>
      </c>
      <c r="D197" s="145">
        <v>615220</v>
      </c>
      <c r="E197" s="145" t="s">
        <v>145</v>
      </c>
      <c r="F197" s="145" t="s">
        <v>179</v>
      </c>
      <c r="G197" s="163">
        <v>244.73</v>
      </c>
      <c r="H197" s="559"/>
      <c r="I197" s="226">
        <v>244.73</v>
      </c>
      <c r="J197" s="226">
        <v>244.73</v>
      </c>
      <c r="K197" s="226">
        <v>244.73</v>
      </c>
      <c r="L197" s="226">
        <v>244.73</v>
      </c>
      <c r="M197" s="226">
        <v>244.73</v>
      </c>
      <c r="N197" s="226">
        <v>244.73</v>
      </c>
      <c r="O197" s="226">
        <v>244.73</v>
      </c>
      <c r="P197" s="226">
        <v>244.73</v>
      </c>
      <c r="Q197" s="226">
        <v>244.73</v>
      </c>
      <c r="R197" s="226">
        <v>244.73</v>
      </c>
      <c r="S197" s="226">
        <v>244.73</v>
      </c>
      <c r="T197" s="226">
        <v>244.73</v>
      </c>
      <c r="U197" s="582"/>
      <c r="V197" s="255">
        <f t="shared" si="33"/>
        <v>2936.7599999999998</v>
      </c>
      <c r="X197" s="275"/>
    </row>
    <row r="198" spans="1:24" x14ac:dyDescent="0.15">
      <c r="A198" s="143" t="s">
        <v>452</v>
      </c>
      <c r="B198" s="143" t="s">
        <v>323</v>
      </c>
      <c r="C198" s="144" t="s">
        <v>528</v>
      </c>
      <c r="D198" s="145">
        <v>615220</v>
      </c>
      <c r="E198" s="145" t="s">
        <v>145</v>
      </c>
      <c r="F198" s="145" t="s">
        <v>179</v>
      </c>
      <c r="G198" s="163">
        <v>183.67</v>
      </c>
      <c r="H198" s="559"/>
      <c r="I198" s="226">
        <v>183.67</v>
      </c>
      <c r="J198" s="226">
        <v>183.67</v>
      </c>
      <c r="K198" s="226">
        <v>183.67</v>
      </c>
      <c r="L198" s="226">
        <v>183.67</v>
      </c>
      <c r="M198" s="226">
        <v>183.67</v>
      </c>
      <c r="N198" s="226">
        <v>183.67</v>
      </c>
      <c r="O198" s="226">
        <v>183.67</v>
      </c>
      <c r="P198" s="226">
        <v>183.67</v>
      </c>
      <c r="Q198" s="226">
        <v>183.67</v>
      </c>
      <c r="R198" s="226">
        <v>183.67</v>
      </c>
      <c r="S198" s="226">
        <v>183.67</v>
      </c>
      <c r="T198" s="226">
        <v>183.67</v>
      </c>
      <c r="U198" s="582"/>
      <c r="V198" s="255">
        <f t="shared" si="33"/>
        <v>2204.0400000000004</v>
      </c>
      <c r="W198" s="219"/>
      <c r="X198" s="275"/>
    </row>
    <row r="199" spans="1:24" x14ac:dyDescent="0.15">
      <c r="A199" s="143"/>
      <c r="B199" s="143"/>
      <c r="C199" s="144"/>
      <c r="D199" s="145"/>
      <c r="E199" s="145"/>
      <c r="F199" s="145"/>
      <c r="G199" s="163"/>
      <c r="H199" s="559"/>
      <c r="I199" s="226"/>
      <c r="J199" s="226"/>
      <c r="K199" s="226"/>
      <c r="L199" s="226"/>
      <c r="M199" s="226"/>
      <c r="N199" s="226"/>
      <c r="O199" s="226"/>
      <c r="P199" s="226"/>
      <c r="Q199" s="226"/>
      <c r="R199" s="226"/>
      <c r="S199" s="226"/>
      <c r="T199" s="226"/>
      <c r="U199" s="582"/>
      <c r="V199" s="255">
        <f t="shared" si="33"/>
        <v>0</v>
      </c>
      <c r="W199" s="14"/>
      <c r="X199" s="275"/>
    </row>
    <row r="200" spans="1:24" x14ac:dyDescent="0.15">
      <c r="A200" s="143" t="s">
        <v>178</v>
      </c>
      <c r="B200" s="143"/>
      <c r="C200" s="144"/>
      <c r="D200" s="145">
        <v>615220</v>
      </c>
      <c r="E200" s="145" t="s">
        <v>145</v>
      </c>
      <c r="F200" s="145">
        <v>999999</v>
      </c>
      <c r="G200" s="163"/>
      <c r="H200" s="559"/>
      <c r="I200" s="226"/>
      <c r="J200" s="226"/>
      <c r="K200" s="226"/>
      <c r="L200" s="226"/>
      <c r="M200" s="226"/>
      <c r="N200" s="226"/>
      <c r="O200" s="226"/>
      <c r="P200" s="226"/>
      <c r="Q200" s="226"/>
      <c r="R200" s="226"/>
      <c r="S200" s="226"/>
      <c r="T200" s="226"/>
      <c r="U200" s="582"/>
      <c r="V200" s="255">
        <f t="shared" si="33"/>
        <v>0</v>
      </c>
      <c r="W200" s="14"/>
      <c r="X200" s="275"/>
    </row>
    <row r="201" spans="1:24" x14ac:dyDescent="0.15">
      <c r="A201" s="143"/>
      <c r="B201" s="143"/>
      <c r="C201" s="144"/>
      <c r="D201" s="145"/>
      <c r="E201" s="145"/>
      <c r="F201" s="145"/>
      <c r="G201" s="163"/>
      <c r="H201" s="559"/>
      <c r="I201" s="226"/>
      <c r="J201" s="226"/>
      <c r="K201" s="226"/>
      <c r="L201" s="226"/>
      <c r="M201" s="226"/>
      <c r="N201" s="226"/>
      <c r="O201" s="226"/>
      <c r="P201" s="226"/>
      <c r="Q201" s="226"/>
      <c r="R201" s="226"/>
      <c r="S201" s="226"/>
      <c r="T201" s="226"/>
      <c r="U201" s="582"/>
      <c r="V201" s="255">
        <f t="shared" si="33"/>
        <v>0</v>
      </c>
      <c r="W201" s="14"/>
      <c r="X201" s="275"/>
    </row>
    <row r="202" spans="1:24" x14ac:dyDescent="0.15">
      <c r="A202" s="143"/>
      <c r="B202" s="143"/>
      <c r="C202" s="144"/>
      <c r="D202" s="145">
        <v>615220</v>
      </c>
      <c r="E202" s="145" t="s">
        <v>145</v>
      </c>
      <c r="F202" s="145" t="s">
        <v>192</v>
      </c>
      <c r="G202" s="163"/>
      <c r="H202" s="559"/>
      <c r="I202" s="226"/>
      <c r="J202" s="226"/>
      <c r="K202" s="226"/>
      <c r="L202" s="226"/>
      <c r="M202" s="226"/>
      <c r="N202" s="226"/>
      <c r="O202" s="226"/>
      <c r="P202" s="226"/>
      <c r="Q202" s="226"/>
      <c r="R202" s="226"/>
      <c r="S202" s="226"/>
      <c r="T202" s="226"/>
      <c r="U202" s="582"/>
      <c r="V202" s="255">
        <f t="shared" si="33"/>
        <v>0</v>
      </c>
      <c r="W202" s="14"/>
      <c r="X202" s="275"/>
    </row>
    <row r="203" spans="1:24" x14ac:dyDescent="0.15">
      <c r="A203" s="143"/>
      <c r="B203" s="143"/>
      <c r="C203" s="144"/>
      <c r="D203" s="145"/>
      <c r="E203" s="145"/>
      <c r="F203" s="145"/>
      <c r="G203" s="163"/>
      <c r="H203" s="559"/>
      <c r="I203" s="226"/>
      <c r="J203" s="226"/>
      <c r="K203" s="226"/>
      <c r="L203" s="226"/>
      <c r="M203" s="226"/>
      <c r="N203" s="226"/>
      <c r="O203" s="226"/>
      <c r="P203" s="226"/>
      <c r="Q203" s="226"/>
      <c r="R203" s="226"/>
      <c r="S203" s="226"/>
      <c r="T203" s="226"/>
      <c r="U203" s="582"/>
      <c r="V203" s="255">
        <f t="shared" si="33"/>
        <v>0</v>
      </c>
      <c r="X203" s="275"/>
    </row>
    <row r="204" spans="1:24" x14ac:dyDescent="0.15">
      <c r="A204" s="143" t="s">
        <v>167</v>
      </c>
      <c r="B204" s="143" t="s">
        <v>315</v>
      </c>
      <c r="C204" s="144" t="s">
        <v>793</v>
      </c>
      <c r="D204" s="145">
        <v>615220</v>
      </c>
      <c r="E204" s="145" t="s">
        <v>76</v>
      </c>
      <c r="F204" s="145" t="s">
        <v>179</v>
      </c>
      <c r="G204" s="163">
        <v>151.5</v>
      </c>
      <c r="H204" s="559"/>
      <c r="I204" s="226">
        <v>151.5</v>
      </c>
      <c r="J204" s="226">
        <v>151.5</v>
      </c>
      <c r="K204" s="226">
        <v>151.5</v>
      </c>
      <c r="L204" s="226">
        <v>151.5</v>
      </c>
      <c r="M204" s="226">
        <v>151.5</v>
      </c>
      <c r="N204" s="226">
        <v>151.5</v>
      </c>
      <c r="O204" s="226">
        <v>151.5</v>
      </c>
      <c r="P204" s="226">
        <v>151.5</v>
      </c>
      <c r="Q204" s="226">
        <v>151.5</v>
      </c>
      <c r="R204" s="226">
        <v>151.5</v>
      </c>
      <c r="S204" s="226">
        <v>151.5</v>
      </c>
      <c r="T204" s="226">
        <v>151.5</v>
      </c>
      <c r="U204" s="582"/>
      <c r="V204" s="255">
        <f t="shared" si="33"/>
        <v>1818</v>
      </c>
      <c r="X204" s="275"/>
    </row>
    <row r="205" spans="1:24" x14ac:dyDescent="0.15">
      <c r="A205" s="143" t="s">
        <v>167</v>
      </c>
      <c r="B205" s="143" t="s">
        <v>401</v>
      </c>
      <c r="C205" s="144" t="s">
        <v>817</v>
      </c>
      <c r="D205" s="145">
        <v>615220</v>
      </c>
      <c r="E205" s="145" t="s">
        <v>76</v>
      </c>
      <c r="F205" s="145" t="s">
        <v>179</v>
      </c>
      <c r="G205" s="163">
        <v>75</v>
      </c>
      <c r="H205" s="559"/>
      <c r="I205" s="226">
        <v>75</v>
      </c>
      <c r="J205" s="226">
        <v>75</v>
      </c>
      <c r="K205" s="226">
        <v>75</v>
      </c>
      <c r="L205" s="226">
        <v>75</v>
      </c>
      <c r="M205" s="226">
        <v>75</v>
      </c>
      <c r="N205" s="226">
        <v>75</v>
      </c>
      <c r="O205" s="226">
        <v>75</v>
      </c>
      <c r="P205" s="226">
        <v>75</v>
      </c>
      <c r="Q205" s="226">
        <v>75</v>
      </c>
      <c r="R205" s="226">
        <v>75</v>
      </c>
      <c r="S205" s="226">
        <v>75</v>
      </c>
      <c r="T205" s="226">
        <v>75</v>
      </c>
      <c r="U205" s="582"/>
      <c r="V205" s="255">
        <f t="shared" si="33"/>
        <v>900</v>
      </c>
      <c r="X205" s="275"/>
    </row>
    <row r="206" spans="1:24" x14ac:dyDescent="0.15">
      <c r="A206" s="143" t="s">
        <v>483</v>
      </c>
      <c r="B206" s="143" t="s">
        <v>485</v>
      </c>
      <c r="C206" s="144" t="s">
        <v>831</v>
      </c>
      <c r="D206" s="145">
        <v>615220</v>
      </c>
      <c r="E206" s="145" t="s">
        <v>76</v>
      </c>
      <c r="F206" s="145" t="s">
        <v>179</v>
      </c>
      <c r="G206" s="163">
        <v>111.48</v>
      </c>
      <c r="H206" s="559"/>
      <c r="I206" s="226">
        <v>111.49</v>
      </c>
      <c r="J206" s="226">
        <v>111.49</v>
      </c>
      <c r="K206" s="226">
        <v>111.49</v>
      </c>
      <c r="L206" s="226">
        <v>111.49</v>
      </c>
      <c r="M206" s="226">
        <v>111.49</v>
      </c>
      <c r="N206" s="226">
        <v>111.49</v>
      </c>
      <c r="O206" s="226">
        <v>111.49</v>
      </c>
      <c r="P206" s="226">
        <v>111.49</v>
      </c>
      <c r="Q206" s="226">
        <v>111.49</v>
      </c>
      <c r="R206" s="226">
        <v>111.49</v>
      </c>
      <c r="S206" s="226">
        <v>111.49</v>
      </c>
      <c r="T206" s="226">
        <v>111.49</v>
      </c>
      <c r="U206" s="582"/>
      <c r="V206" s="255">
        <f t="shared" si="33"/>
        <v>1337.8799999999999</v>
      </c>
      <c r="X206" s="275"/>
    </row>
    <row r="207" spans="1:24" x14ac:dyDescent="0.15">
      <c r="A207" s="143" t="s">
        <v>483</v>
      </c>
      <c r="B207" s="143" t="s">
        <v>485</v>
      </c>
      <c r="C207" s="144" t="s">
        <v>832</v>
      </c>
      <c r="D207" s="145">
        <v>615220</v>
      </c>
      <c r="E207" s="145" t="s">
        <v>76</v>
      </c>
      <c r="F207" s="145" t="s">
        <v>179</v>
      </c>
      <c r="G207" s="163">
        <v>36.31</v>
      </c>
      <c r="H207" s="559"/>
      <c r="I207" s="226">
        <v>36.31</v>
      </c>
      <c r="J207" s="226">
        <v>36.31</v>
      </c>
      <c r="K207" s="226">
        <v>36.31</v>
      </c>
      <c r="L207" s="226">
        <v>36.31</v>
      </c>
      <c r="M207" s="226">
        <v>36.31</v>
      </c>
      <c r="N207" s="226">
        <v>36.31</v>
      </c>
      <c r="O207" s="226">
        <v>36.31</v>
      </c>
      <c r="P207" s="226">
        <v>36.31</v>
      </c>
      <c r="Q207" s="226">
        <v>36.31</v>
      </c>
      <c r="R207" s="226">
        <v>36.31</v>
      </c>
      <c r="S207" s="226">
        <v>36.31</v>
      </c>
      <c r="T207" s="226">
        <v>36.31</v>
      </c>
      <c r="U207" s="582"/>
      <c r="V207" s="255">
        <f t="shared" si="33"/>
        <v>435.72</v>
      </c>
      <c r="X207" s="275"/>
    </row>
    <row r="208" spans="1:24" x14ac:dyDescent="0.15">
      <c r="A208" s="143" t="s">
        <v>517</v>
      </c>
      <c r="B208" s="143" t="s">
        <v>270</v>
      </c>
      <c r="C208" s="144" t="s">
        <v>793</v>
      </c>
      <c r="D208" s="145">
        <v>615220</v>
      </c>
      <c r="E208" s="145" t="s">
        <v>76</v>
      </c>
      <c r="F208" s="145" t="s">
        <v>179</v>
      </c>
      <c r="G208" s="163">
        <v>145.44999999999999</v>
      </c>
      <c r="H208" s="559"/>
      <c r="I208" s="226">
        <v>144.72999999999999</v>
      </c>
      <c r="J208" s="226">
        <v>144.72999999999999</v>
      </c>
      <c r="K208" s="226">
        <v>144.72999999999999</v>
      </c>
      <c r="L208" s="226">
        <v>144.72999999999999</v>
      </c>
      <c r="M208" s="226">
        <v>144.63999999999999</v>
      </c>
      <c r="N208" s="226">
        <v>145.44999999999999</v>
      </c>
      <c r="O208" s="226">
        <v>145.44999999999999</v>
      </c>
      <c r="P208" s="226">
        <v>145.44999999999999</v>
      </c>
      <c r="Q208" s="226">
        <v>145.44999999999999</v>
      </c>
      <c r="R208" s="226">
        <v>145.44999999999999</v>
      </c>
      <c r="S208" s="226">
        <v>145.44999999999999</v>
      </c>
      <c r="T208" s="226">
        <v>145.44999999999999</v>
      </c>
      <c r="U208" s="582"/>
      <c r="V208" s="255">
        <f t="shared" si="33"/>
        <v>1741.7100000000003</v>
      </c>
      <c r="W208" s="14"/>
      <c r="X208" s="275"/>
    </row>
    <row r="209" spans="1:24" s="37" customFormat="1" ht="11.25" thickBot="1" x14ac:dyDescent="0.2">
      <c r="A209" s="516" t="s">
        <v>11</v>
      </c>
      <c r="B209" s="517"/>
      <c r="C209" s="518"/>
      <c r="D209" s="519"/>
      <c r="E209" s="516"/>
      <c r="F209" s="520"/>
      <c r="G209" s="521"/>
      <c r="H209" s="522">
        <f t="shared" ref="H209:V209" si="34">SUM(H190:H208)</f>
        <v>-96.84</v>
      </c>
      <c r="I209" s="522">
        <f t="shared" si="34"/>
        <v>1687.8700000000001</v>
      </c>
      <c r="J209" s="522">
        <f t="shared" si="34"/>
        <v>1687.8700000000001</v>
      </c>
      <c r="K209" s="522">
        <f t="shared" si="34"/>
        <v>1687.8700000000001</v>
      </c>
      <c r="L209" s="522">
        <f t="shared" si="34"/>
        <v>1687.8700000000001</v>
      </c>
      <c r="M209" s="522">
        <f t="shared" si="34"/>
        <v>1687.7800000000002</v>
      </c>
      <c r="N209" s="522">
        <f t="shared" si="34"/>
        <v>1688.5900000000001</v>
      </c>
      <c r="O209" s="522">
        <f t="shared" si="34"/>
        <v>1688.5900000000001</v>
      </c>
      <c r="P209" s="522">
        <f t="shared" si="34"/>
        <v>1688.5900000000001</v>
      </c>
      <c r="Q209" s="522">
        <f t="shared" si="34"/>
        <v>1688.5900000000001</v>
      </c>
      <c r="R209" s="522">
        <f t="shared" si="34"/>
        <v>1688.5900000000001</v>
      </c>
      <c r="S209" s="522">
        <f t="shared" si="34"/>
        <v>1688.5900000000001</v>
      </c>
      <c r="T209" s="522">
        <f t="shared" si="34"/>
        <v>1688.5900000000001</v>
      </c>
      <c r="U209" s="522">
        <f t="shared" si="34"/>
        <v>0</v>
      </c>
      <c r="V209" s="522">
        <f t="shared" si="34"/>
        <v>20162.550000000007</v>
      </c>
      <c r="W209" s="97" t="str">
        <f>+IF(V209=SUM(H209:T209),"contrôle ok", "erreur")</f>
        <v>contrôle ok</v>
      </c>
      <c r="X209" s="275"/>
    </row>
    <row r="210" spans="1:24" ht="13.5" customHeight="1" thickTop="1" x14ac:dyDescent="0.15">
      <c r="A210" s="33"/>
      <c r="B210" s="33"/>
      <c r="C210" s="34"/>
      <c r="D210" s="35"/>
      <c r="E210" s="36"/>
      <c r="F210" s="35"/>
      <c r="G210" s="100"/>
      <c r="H210" s="229"/>
      <c r="I210" s="229"/>
      <c r="J210" s="229"/>
      <c r="K210" s="229"/>
      <c r="L210" s="229"/>
      <c r="M210" s="229"/>
      <c r="N210" s="229"/>
      <c r="O210" s="229"/>
      <c r="P210" s="229"/>
      <c r="Q210" s="229"/>
      <c r="R210" s="229"/>
      <c r="S210" s="229"/>
      <c r="T210" s="229"/>
      <c r="U210" s="229"/>
      <c r="V210" s="258"/>
      <c r="X210" s="275"/>
    </row>
    <row r="211" spans="1:24" x14ac:dyDescent="0.15">
      <c r="A211" s="27" t="s">
        <v>14</v>
      </c>
      <c r="B211" s="28"/>
      <c r="C211" s="29"/>
      <c r="D211" s="30"/>
      <c r="E211" s="30"/>
      <c r="F211" s="31"/>
      <c r="G211" s="101"/>
      <c r="H211" s="224"/>
      <c r="I211" s="224"/>
      <c r="J211" s="251"/>
      <c r="K211" s="224"/>
      <c r="L211" s="224"/>
      <c r="M211" s="224"/>
      <c r="N211" s="224"/>
      <c r="O211" s="224"/>
      <c r="P211" s="224"/>
      <c r="Q211" s="224"/>
      <c r="R211" s="224"/>
      <c r="S211" s="224"/>
      <c r="T211" s="224"/>
      <c r="U211" s="224"/>
      <c r="V211" s="252"/>
      <c r="X211" s="275"/>
    </row>
    <row r="212" spans="1:24" x14ac:dyDescent="0.15">
      <c r="A212" s="143" t="s">
        <v>15</v>
      </c>
      <c r="B212" s="143" t="s">
        <v>97</v>
      </c>
      <c r="C212" s="143" t="s">
        <v>781</v>
      </c>
      <c r="D212" s="145">
        <v>615230</v>
      </c>
      <c r="E212" s="145" t="s">
        <v>76</v>
      </c>
      <c r="F212" s="145" t="s">
        <v>179</v>
      </c>
      <c r="G212" s="163">
        <v>674.5</v>
      </c>
      <c r="H212" s="559"/>
      <c r="I212" s="226">
        <v>674.51</v>
      </c>
      <c r="J212" s="226">
        <v>674.51</v>
      </c>
      <c r="K212" s="226">
        <v>674.51</v>
      </c>
      <c r="L212" s="226">
        <v>674.5</v>
      </c>
      <c r="M212" s="226">
        <v>686.08</v>
      </c>
      <c r="N212" s="226">
        <v>686.08</v>
      </c>
      <c r="O212" s="226">
        <v>686.08</v>
      </c>
      <c r="P212" s="226">
        <v>686.08</v>
      </c>
      <c r="Q212" s="226">
        <v>686.08</v>
      </c>
      <c r="R212" s="226">
        <v>686.08</v>
      </c>
      <c r="S212" s="226">
        <v>686.08</v>
      </c>
      <c r="T212" s="226">
        <v>686.08</v>
      </c>
      <c r="U212" s="582"/>
      <c r="V212" s="255">
        <f t="shared" ref="V212:V221" si="35">SUM(H212:T212)</f>
        <v>8186.6699999999992</v>
      </c>
      <c r="X212" s="275"/>
    </row>
    <row r="213" spans="1:24" x14ac:dyDescent="0.15">
      <c r="A213" s="143" t="s">
        <v>560</v>
      </c>
      <c r="B213" s="143" t="s">
        <v>482</v>
      </c>
      <c r="C213" s="144"/>
      <c r="D213" s="145">
        <v>615230</v>
      </c>
      <c r="E213" s="145" t="s">
        <v>76</v>
      </c>
      <c r="F213" s="145" t="s">
        <v>179</v>
      </c>
      <c r="G213" s="163">
        <v>100</v>
      </c>
      <c r="H213" s="559"/>
      <c r="I213" s="226">
        <v>100</v>
      </c>
      <c r="J213" s="226">
        <v>100</v>
      </c>
      <c r="K213" s="226">
        <v>100</v>
      </c>
      <c r="L213" s="226">
        <v>100</v>
      </c>
      <c r="M213" s="226">
        <v>100</v>
      </c>
      <c r="N213" s="226">
        <v>100</v>
      </c>
      <c r="O213" s="226">
        <v>100</v>
      </c>
      <c r="P213" s="226">
        <v>100</v>
      </c>
      <c r="Q213" s="226">
        <v>100</v>
      </c>
      <c r="R213" s="226">
        <v>100</v>
      </c>
      <c r="S213" s="226">
        <v>100</v>
      </c>
      <c r="T213" s="226">
        <v>100</v>
      </c>
      <c r="U213" s="582"/>
      <c r="V213" s="255">
        <f t="shared" si="35"/>
        <v>1200</v>
      </c>
      <c r="X213" s="275"/>
    </row>
    <row r="214" spans="1:24" x14ac:dyDescent="0.15">
      <c r="A214" s="143" t="s">
        <v>380</v>
      </c>
      <c r="B214" s="143" t="s">
        <v>433</v>
      </c>
      <c r="C214" s="144"/>
      <c r="D214" s="145">
        <v>615230</v>
      </c>
      <c r="E214" s="145" t="s">
        <v>76</v>
      </c>
      <c r="F214" s="145" t="s">
        <v>179</v>
      </c>
      <c r="G214" s="163"/>
      <c r="H214" s="559"/>
      <c r="I214" s="226"/>
      <c r="J214" s="226"/>
      <c r="K214" s="226"/>
      <c r="L214" s="226"/>
      <c r="M214" s="226"/>
      <c r="N214" s="226"/>
      <c r="O214" s="226"/>
      <c r="P214" s="226"/>
      <c r="Q214" s="226"/>
      <c r="R214" s="226"/>
      <c r="S214" s="226"/>
      <c r="T214" s="226"/>
      <c r="U214" s="582"/>
      <c r="V214" s="255">
        <f t="shared" si="35"/>
        <v>0</v>
      </c>
      <c r="X214" s="275"/>
    </row>
    <row r="215" spans="1:24" x14ac:dyDescent="0.15">
      <c r="A215" s="143" t="s">
        <v>380</v>
      </c>
      <c r="B215" s="143" t="s">
        <v>504</v>
      </c>
      <c r="C215" s="144"/>
      <c r="D215" s="145">
        <v>615230</v>
      </c>
      <c r="E215" s="145" t="s">
        <v>76</v>
      </c>
      <c r="F215" s="145" t="s">
        <v>179</v>
      </c>
      <c r="G215" s="163"/>
      <c r="H215" s="559"/>
      <c r="I215" s="226">
        <v>11.14</v>
      </c>
      <c r="J215" s="226"/>
      <c r="K215" s="226"/>
      <c r="L215" s="226"/>
      <c r="M215" s="226"/>
      <c r="N215" s="226"/>
      <c r="O215" s="226"/>
      <c r="P215" s="226"/>
      <c r="Q215" s="226"/>
      <c r="R215" s="226">
        <v>10.4</v>
      </c>
      <c r="S215" s="226"/>
      <c r="T215" s="226"/>
      <c r="U215" s="582"/>
      <c r="V215" s="255">
        <f>SUM(H215:T215)</f>
        <v>21.54</v>
      </c>
      <c r="X215" s="275"/>
    </row>
    <row r="216" spans="1:24" x14ac:dyDescent="0.15">
      <c r="A216" s="143" t="s">
        <v>380</v>
      </c>
      <c r="B216" s="143" t="s">
        <v>655</v>
      </c>
      <c r="C216" s="144"/>
      <c r="D216" s="145">
        <v>615230</v>
      </c>
      <c r="E216" s="145" t="s">
        <v>76</v>
      </c>
      <c r="F216" s="145" t="s">
        <v>179</v>
      </c>
      <c r="G216" s="163"/>
      <c r="H216" s="559"/>
      <c r="I216" s="226">
        <v>20.83</v>
      </c>
      <c r="J216" s="226"/>
      <c r="K216" s="226"/>
      <c r="L216" s="226"/>
      <c r="M216" s="226"/>
      <c r="N216" s="226"/>
      <c r="O216" s="226">
        <v>40.97</v>
      </c>
      <c r="P216" s="226"/>
      <c r="Q216" s="226"/>
      <c r="R216" s="226">
        <v>8.33</v>
      </c>
      <c r="S216" s="226"/>
      <c r="T216" s="226"/>
      <c r="U216" s="582"/>
      <c r="V216" s="255">
        <f>SUM(H216:T216)</f>
        <v>70.13</v>
      </c>
      <c r="X216" s="275"/>
    </row>
    <row r="217" spans="1:24" x14ac:dyDescent="0.15">
      <c r="A217" s="143" t="s">
        <v>380</v>
      </c>
      <c r="B217" s="143" t="s">
        <v>631</v>
      </c>
      <c r="C217" s="144"/>
      <c r="D217" s="145">
        <v>615230</v>
      </c>
      <c r="E217" s="145" t="s">
        <v>76</v>
      </c>
      <c r="F217" s="145" t="s">
        <v>179</v>
      </c>
      <c r="G217" s="163"/>
      <c r="H217" s="559"/>
      <c r="I217" s="226">
        <v>62.73</v>
      </c>
      <c r="J217" s="226"/>
      <c r="K217" s="226"/>
      <c r="L217" s="226">
        <v>62.21</v>
      </c>
      <c r="M217" s="226"/>
      <c r="N217" s="226"/>
      <c r="O217" s="226">
        <v>63.33</v>
      </c>
      <c r="P217" s="226"/>
      <c r="Q217" s="226"/>
      <c r="R217" s="226">
        <v>57.24</v>
      </c>
      <c r="S217" s="226"/>
      <c r="T217" s="226"/>
      <c r="U217" s="582"/>
      <c r="V217" s="255">
        <f t="shared" si="35"/>
        <v>245.51</v>
      </c>
      <c r="X217" s="275"/>
    </row>
    <row r="218" spans="1:24" s="98" customFormat="1" x14ac:dyDescent="0.15">
      <c r="A218" s="170" t="s">
        <v>295</v>
      </c>
      <c r="B218" s="170" t="s">
        <v>613</v>
      </c>
      <c r="C218" s="496" t="s">
        <v>862</v>
      </c>
      <c r="D218" s="475">
        <v>615230</v>
      </c>
      <c r="E218" s="475" t="s">
        <v>76</v>
      </c>
      <c r="F218" s="475" t="s">
        <v>179</v>
      </c>
      <c r="G218" s="163">
        <v>14.59</v>
      </c>
      <c r="H218" s="226"/>
      <c r="I218" s="226">
        <v>14.59</v>
      </c>
      <c r="J218" s="226">
        <v>14.59</v>
      </c>
      <c r="K218" s="226">
        <v>14.59</v>
      </c>
      <c r="L218" s="226">
        <v>14.51</v>
      </c>
      <c r="M218" s="226">
        <v>14.59</v>
      </c>
      <c r="N218" s="226">
        <v>14.59</v>
      </c>
      <c r="O218" s="226">
        <v>14.59</v>
      </c>
      <c r="P218" s="226">
        <v>14.59</v>
      </c>
      <c r="Q218" s="226">
        <v>14.59</v>
      </c>
      <c r="R218" s="226">
        <v>14.59</v>
      </c>
      <c r="S218" s="226">
        <v>14.59</v>
      </c>
      <c r="T218" s="226">
        <v>14.59</v>
      </c>
      <c r="U218" s="582"/>
      <c r="V218" s="226">
        <f t="shared" si="35"/>
        <v>175</v>
      </c>
      <c r="X218" s="463"/>
    </row>
    <row r="219" spans="1:24" x14ac:dyDescent="0.15">
      <c r="A219" s="143" t="s">
        <v>295</v>
      </c>
      <c r="B219" s="143" t="s">
        <v>357</v>
      </c>
      <c r="C219" s="144"/>
      <c r="D219" s="145">
        <v>615230</v>
      </c>
      <c r="E219" s="145" t="s">
        <v>76</v>
      </c>
      <c r="F219" s="145" t="s">
        <v>192</v>
      </c>
      <c r="G219" s="163"/>
      <c r="H219" s="559"/>
      <c r="I219" s="226"/>
      <c r="J219" s="226"/>
      <c r="K219" s="226"/>
      <c r="L219" s="226"/>
      <c r="M219" s="226"/>
      <c r="N219" s="226"/>
      <c r="O219" s="226"/>
      <c r="P219" s="226"/>
      <c r="Q219" s="226"/>
      <c r="R219" s="226"/>
      <c r="S219" s="226"/>
      <c r="T219" s="226"/>
      <c r="U219" s="582"/>
      <c r="V219" s="255">
        <f t="shared" si="35"/>
        <v>0</v>
      </c>
      <c r="X219" s="275"/>
    </row>
    <row r="220" spans="1:24" ht="12" customHeight="1" x14ac:dyDescent="0.15">
      <c r="A220" s="143" t="s">
        <v>15</v>
      </c>
      <c r="B220" s="143"/>
      <c r="C220" s="144"/>
      <c r="D220" s="145">
        <v>615230</v>
      </c>
      <c r="E220" s="145" t="s">
        <v>76</v>
      </c>
      <c r="F220" s="145" t="s">
        <v>192</v>
      </c>
      <c r="G220" s="163"/>
      <c r="H220" s="559"/>
      <c r="I220" s="226"/>
      <c r="J220" s="226"/>
      <c r="K220" s="226"/>
      <c r="L220" s="226"/>
      <c r="M220" s="226"/>
      <c r="N220" s="226"/>
      <c r="O220" s="226"/>
      <c r="P220" s="226"/>
      <c r="Q220" s="226"/>
      <c r="R220" s="226"/>
      <c r="S220" s="226">
        <f>390.6+1090+380</f>
        <v>1860.6</v>
      </c>
      <c r="T220" s="226"/>
      <c r="U220" s="582"/>
      <c r="V220" s="255">
        <f t="shared" si="35"/>
        <v>1860.6</v>
      </c>
      <c r="X220" s="275"/>
    </row>
    <row r="221" spans="1:24" ht="12" customHeight="1" x14ac:dyDescent="0.15">
      <c r="A221" s="143" t="s">
        <v>871</v>
      </c>
      <c r="B221" s="143" t="s">
        <v>872</v>
      </c>
      <c r="C221" s="144"/>
      <c r="D221" s="145">
        <v>615230</v>
      </c>
      <c r="E221" s="145" t="s">
        <v>76</v>
      </c>
      <c r="F221" s="145" t="s">
        <v>192</v>
      </c>
      <c r="G221" s="163"/>
      <c r="H221" s="559"/>
      <c r="I221" s="226"/>
      <c r="J221" s="226"/>
      <c r="K221" s="226"/>
      <c r="L221" s="226"/>
      <c r="M221" s="226"/>
      <c r="N221" s="226"/>
      <c r="O221" s="226"/>
      <c r="P221" s="226"/>
      <c r="Q221" s="226"/>
      <c r="R221" s="226"/>
      <c r="S221" s="226"/>
      <c r="T221" s="226">
        <v>322.88</v>
      </c>
      <c r="U221" s="582"/>
      <c r="V221" s="255">
        <f t="shared" si="35"/>
        <v>322.88</v>
      </c>
      <c r="X221" s="275"/>
    </row>
    <row r="222" spans="1:24" s="37" customFormat="1" ht="11.25" thickBot="1" x14ac:dyDescent="0.2">
      <c r="A222" s="516" t="s">
        <v>11</v>
      </c>
      <c r="B222" s="517"/>
      <c r="C222" s="518"/>
      <c r="D222" s="519"/>
      <c r="E222" s="516"/>
      <c r="F222" s="520"/>
      <c r="G222" s="521"/>
      <c r="H222" s="522">
        <f>SUM(H212:H221)</f>
        <v>0</v>
      </c>
      <c r="I222" s="522">
        <f t="shared" ref="I222:V222" si="36">SUM(I212:I221)</f>
        <v>883.80000000000007</v>
      </c>
      <c r="J222" s="522">
        <f t="shared" si="36"/>
        <v>789.1</v>
      </c>
      <c r="K222" s="522">
        <f t="shared" si="36"/>
        <v>789.1</v>
      </c>
      <c r="L222" s="522">
        <f t="shared" si="36"/>
        <v>851.22</v>
      </c>
      <c r="M222" s="522">
        <f t="shared" si="36"/>
        <v>800.67000000000007</v>
      </c>
      <c r="N222" s="522">
        <f t="shared" si="36"/>
        <v>800.67000000000007</v>
      </c>
      <c r="O222" s="522">
        <f t="shared" si="36"/>
        <v>904.97000000000014</v>
      </c>
      <c r="P222" s="522">
        <f t="shared" si="36"/>
        <v>800.67000000000007</v>
      </c>
      <c r="Q222" s="522">
        <f t="shared" si="36"/>
        <v>800.67000000000007</v>
      </c>
      <c r="R222" s="522">
        <f t="shared" si="36"/>
        <v>876.6400000000001</v>
      </c>
      <c r="S222" s="522">
        <f t="shared" si="36"/>
        <v>2661.27</v>
      </c>
      <c r="T222" s="522">
        <f t="shared" si="36"/>
        <v>1123.5500000000002</v>
      </c>
      <c r="U222" s="522">
        <f t="shared" si="36"/>
        <v>0</v>
      </c>
      <c r="V222" s="522">
        <f t="shared" si="36"/>
        <v>12082.329999999998</v>
      </c>
      <c r="W222" s="97" t="str">
        <f>+IF(V222=SUM(H222:T222),"contrôle ok", "erreur")</f>
        <v>contrôle ok</v>
      </c>
      <c r="X222" s="275"/>
    </row>
    <row r="223" spans="1:24" s="37" customFormat="1" ht="11.25" thickTop="1" x14ac:dyDescent="0.15">
      <c r="A223" s="33"/>
      <c r="B223" s="33"/>
      <c r="C223" s="34"/>
      <c r="D223" s="35"/>
      <c r="E223" s="36"/>
      <c r="F223" s="35"/>
      <c r="G223" s="100"/>
      <c r="H223" s="229"/>
      <c r="I223" s="229"/>
      <c r="J223" s="229"/>
      <c r="K223" s="229"/>
      <c r="L223" s="229"/>
      <c r="M223" s="229"/>
      <c r="N223" s="257"/>
      <c r="O223" s="229"/>
      <c r="P223" s="229"/>
      <c r="Q223" s="229"/>
      <c r="R223" s="229"/>
      <c r="S223" s="229"/>
      <c r="T223" s="229"/>
      <c r="U223" s="229"/>
      <c r="V223" s="258"/>
      <c r="X223" s="275"/>
    </row>
    <row r="224" spans="1:24" ht="12" customHeight="1" x14ac:dyDescent="0.15">
      <c r="A224" s="27" t="s">
        <v>34</v>
      </c>
      <c r="B224" s="28"/>
      <c r="C224" s="29"/>
      <c r="D224" s="30"/>
      <c r="E224" s="30"/>
      <c r="F224" s="31"/>
      <c r="G224" s="101"/>
      <c r="H224" s="224"/>
      <c r="I224" s="224"/>
      <c r="J224" s="251"/>
      <c r="K224" s="224"/>
      <c r="L224" s="224"/>
      <c r="M224" s="224"/>
      <c r="N224" s="224"/>
      <c r="O224" s="224"/>
      <c r="P224" s="224"/>
      <c r="Q224" s="224"/>
      <c r="R224" s="224"/>
      <c r="S224" s="224"/>
      <c r="T224" s="224"/>
      <c r="U224" s="224"/>
      <c r="V224" s="252"/>
      <c r="X224" s="275"/>
    </row>
    <row r="225" spans="1:24" ht="12" customHeight="1" x14ac:dyDescent="0.15">
      <c r="A225" s="143" t="s">
        <v>281</v>
      </c>
      <c r="B225" s="143" t="s">
        <v>424</v>
      </c>
      <c r="C225" s="144">
        <v>2017</v>
      </c>
      <c r="D225" s="145">
        <v>626300</v>
      </c>
      <c r="E225" s="145" t="s">
        <v>76</v>
      </c>
      <c r="F225" s="145">
        <v>999999</v>
      </c>
      <c r="G225" s="163">
        <v>223.75</v>
      </c>
      <c r="H225" s="559"/>
      <c r="I225" s="226">
        <v>223.75</v>
      </c>
      <c r="J225" s="226">
        <v>223.75</v>
      </c>
      <c r="K225" s="226">
        <v>223.75</v>
      </c>
      <c r="L225" s="226">
        <v>223.75</v>
      </c>
      <c r="M225" s="226">
        <v>223.75</v>
      </c>
      <c r="N225" s="226">
        <v>223.75</v>
      </c>
      <c r="O225" s="226">
        <v>223.75</v>
      </c>
      <c r="P225" s="226">
        <v>223.75</v>
      </c>
      <c r="Q225" s="226">
        <v>223.75</v>
      </c>
      <c r="R225" s="226">
        <v>223.75</v>
      </c>
      <c r="S225" s="226">
        <v>223.75</v>
      </c>
      <c r="T225" s="226">
        <v>223.75</v>
      </c>
      <c r="U225" s="582"/>
      <c r="V225" s="255">
        <f>SUM(H225:T225)</f>
        <v>2685</v>
      </c>
      <c r="X225" s="275"/>
    </row>
    <row r="226" spans="1:24" s="37" customFormat="1" ht="11.25" thickBot="1" x14ac:dyDescent="0.2">
      <c r="A226" s="516" t="s">
        <v>11</v>
      </c>
      <c r="B226" s="517"/>
      <c r="C226" s="518"/>
      <c r="D226" s="519"/>
      <c r="E226" s="516"/>
      <c r="F226" s="520"/>
      <c r="G226" s="521"/>
      <c r="H226" s="522">
        <f>SUM(H225)</f>
        <v>0</v>
      </c>
      <c r="I226" s="522">
        <f>SUM(I225)</f>
        <v>223.75</v>
      </c>
      <c r="J226" s="522">
        <f t="shared" ref="J226:V226" si="37">SUM(J225)</f>
        <v>223.75</v>
      </c>
      <c r="K226" s="522">
        <f t="shared" si="37"/>
        <v>223.75</v>
      </c>
      <c r="L226" s="522">
        <f t="shared" si="37"/>
        <v>223.75</v>
      </c>
      <c r="M226" s="522">
        <f t="shared" si="37"/>
        <v>223.75</v>
      </c>
      <c r="N226" s="522">
        <f t="shared" si="37"/>
        <v>223.75</v>
      </c>
      <c r="O226" s="522">
        <f t="shared" si="37"/>
        <v>223.75</v>
      </c>
      <c r="P226" s="522">
        <f t="shared" si="37"/>
        <v>223.75</v>
      </c>
      <c r="Q226" s="522">
        <f t="shared" si="37"/>
        <v>223.75</v>
      </c>
      <c r="R226" s="522">
        <f t="shared" si="37"/>
        <v>223.75</v>
      </c>
      <c r="S226" s="522">
        <f t="shared" si="37"/>
        <v>223.75</v>
      </c>
      <c r="T226" s="522">
        <f t="shared" si="37"/>
        <v>223.75</v>
      </c>
      <c r="U226" s="522">
        <f t="shared" si="37"/>
        <v>0</v>
      </c>
      <c r="V226" s="522">
        <f t="shared" si="37"/>
        <v>2685</v>
      </c>
      <c r="W226" s="97" t="str">
        <f>+IF(V226=SUM(H226:T226),"contrôle ok", "erreur")</f>
        <v>contrôle ok</v>
      </c>
      <c r="X226" s="275"/>
    </row>
    <row r="227" spans="1:24" ht="11.25" thickTop="1" x14ac:dyDescent="0.15">
      <c r="A227" s="33"/>
      <c r="B227" s="33"/>
      <c r="C227" s="34"/>
      <c r="D227" s="35"/>
      <c r="E227" s="36"/>
      <c r="F227" s="35"/>
      <c r="G227" s="100"/>
      <c r="H227" s="231"/>
      <c r="I227" s="231"/>
      <c r="J227" s="261"/>
      <c r="K227" s="261"/>
      <c r="L227" s="261"/>
      <c r="M227" s="261"/>
      <c r="N227" s="261"/>
      <c r="O227" s="261"/>
      <c r="P227" s="261"/>
      <c r="Q227" s="261"/>
      <c r="R227" s="261"/>
      <c r="S227" s="261"/>
      <c r="T227" s="261"/>
      <c r="U227" s="261"/>
      <c r="V227" s="258"/>
      <c r="X227" s="275"/>
    </row>
    <row r="228" spans="1:24" x14ac:dyDescent="0.15">
      <c r="A228" s="302" t="s">
        <v>16</v>
      </c>
      <c r="B228" s="303"/>
      <c r="C228" s="304"/>
      <c r="D228" s="305"/>
      <c r="E228" s="306"/>
      <c r="F228" s="305"/>
      <c r="G228" s="307"/>
      <c r="H228" s="308"/>
      <c r="I228" s="308"/>
      <c r="J228" s="309"/>
      <c r="K228" s="309"/>
      <c r="L228" s="309"/>
      <c r="M228" s="309"/>
      <c r="N228" s="309"/>
      <c r="O228" s="309"/>
      <c r="P228" s="309"/>
      <c r="Q228" s="309"/>
      <c r="R228" s="309"/>
      <c r="S228" s="309"/>
      <c r="T228" s="309"/>
      <c r="U228" s="309"/>
      <c r="V228" s="310"/>
      <c r="X228" s="275"/>
    </row>
    <row r="229" spans="1:24" x14ac:dyDescent="0.15">
      <c r="A229" s="143" t="s">
        <v>140</v>
      </c>
      <c r="B229" s="143" t="s">
        <v>37</v>
      </c>
      <c r="C229" s="144" t="s">
        <v>30</v>
      </c>
      <c r="D229" s="145">
        <v>628500</v>
      </c>
      <c r="E229" s="145" t="s">
        <v>78</v>
      </c>
      <c r="F229" s="145">
        <v>999999</v>
      </c>
      <c r="G229" s="163">
        <v>14289.42</v>
      </c>
      <c r="H229" s="559"/>
      <c r="I229" s="226">
        <v>14289.42</v>
      </c>
      <c r="J229" s="226">
        <v>14289.42</v>
      </c>
      <c r="K229" s="226">
        <v>14289.42</v>
      </c>
      <c r="L229" s="226">
        <v>14289.42</v>
      </c>
      <c r="M229" s="226">
        <v>14289.42</v>
      </c>
      <c r="N229" s="226">
        <v>14289.42</v>
      </c>
      <c r="O229" s="226">
        <v>14289.42</v>
      </c>
      <c r="P229" s="226">
        <v>14289.42</v>
      </c>
      <c r="Q229" s="226">
        <v>14289.42</v>
      </c>
      <c r="R229" s="226">
        <v>14289.42</v>
      </c>
      <c r="S229" s="226">
        <v>14289.42</v>
      </c>
      <c r="T229" s="226"/>
      <c r="U229" s="582"/>
      <c r="V229" s="255">
        <f>SUM(H229:T229)</f>
        <v>157183.62000000002</v>
      </c>
      <c r="W229" s="219"/>
      <c r="X229" s="275"/>
    </row>
    <row r="230" spans="1:24" x14ac:dyDescent="0.15">
      <c r="A230" s="143" t="s">
        <v>38</v>
      </c>
      <c r="B230" s="143"/>
      <c r="C230" s="144"/>
      <c r="D230" s="145">
        <v>628500</v>
      </c>
      <c r="E230" s="145" t="s">
        <v>78</v>
      </c>
      <c r="F230" s="145">
        <v>999999</v>
      </c>
      <c r="G230" s="163"/>
      <c r="H230" s="559"/>
      <c r="I230" s="226"/>
      <c r="J230" s="226"/>
      <c r="K230" s="226"/>
      <c r="L230" s="226"/>
      <c r="M230" s="226"/>
      <c r="N230" s="226"/>
      <c r="O230" s="226"/>
      <c r="P230" s="226"/>
      <c r="Q230" s="226"/>
      <c r="R230" s="226"/>
      <c r="S230" s="226">
        <v>213.2</v>
      </c>
      <c r="T230" s="226"/>
      <c r="U230" s="582"/>
      <c r="V230" s="255">
        <f>SUM(H230:T230)</f>
        <v>213.2</v>
      </c>
      <c r="X230" s="275"/>
    </row>
    <row r="231" spans="1:24" s="37" customFormat="1" ht="11.25" thickBot="1" x14ac:dyDescent="0.2">
      <c r="A231" s="516" t="s">
        <v>11</v>
      </c>
      <c r="B231" s="517"/>
      <c r="C231" s="518"/>
      <c r="D231" s="519"/>
      <c r="E231" s="516"/>
      <c r="F231" s="520"/>
      <c r="G231" s="521"/>
      <c r="H231" s="522">
        <f>SUM(H229:H230)</f>
        <v>0</v>
      </c>
      <c r="I231" s="522">
        <f t="shared" ref="I231:V231" si="38">SUM(I229:I230)</f>
        <v>14289.42</v>
      </c>
      <c r="J231" s="522">
        <f t="shared" si="38"/>
        <v>14289.42</v>
      </c>
      <c r="K231" s="522">
        <f t="shared" si="38"/>
        <v>14289.42</v>
      </c>
      <c r="L231" s="522">
        <f t="shared" si="38"/>
        <v>14289.42</v>
      </c>
      <c r="M231" s="522">
        <f t="shared" si="38"/>
        <v>14289.42</v>
      </c>
      <c r="N231" s="522">
        <f t="shared" si="38"/>
        <v>14289.42</v>
      </c>
      <c r="O231" s="522">
        <f t="shared" si="38"/>
        <v>14289.42</v>
      </c>
      <c r="P231" s="522">
        <f t="shared" si="38"/>
        <v>14289.42</v>
      </c>
      <c r="Q231" s="522">
        <f t="shared" si="38"/>
        <v>14289.42</v>
      </c>
      <c r="R231" s="522">
        <f t="shared" si="38"/>
        <v>14289.42</v>
      </c>
      <c r="S231" s="522">
        <f t="shared" si="38"/>
        <v>14502.62</v>
      </c>
      <c r="T231" s="522">
        <f t="shared" si="38"/>
        <v>0</v>
      </c>
      <c r="U231" s="522">
        <f t="shared" si="38"/>
        <v>0</v>
      </c>
      <c r="V231" s="522">
        <f t="shared" si="38"/>
        <v>157396.82000000004</v>
      </c>
      <c r="W231" s="97" t="str">
        <f>+IF(V231=SUM(H231:T231),"contrôle ok", "erreur")</f>
        <v>contrôle ok</v>
      </c>
      <c r="X231" s="275"/>
    </row>
    <row r="232" spans="1:24" ht="11.25" thickTop="1" x14ac:dyDescent="0.15"/>
  </sheetData>
  <customSheetViews>
    <customSheetView guid="{4BA9EA0D-01E7-49D1-8245-80B9A9A68B6F}" scale="115" showPageBreaks="1" fitToPage="1" printArea="1">
      <pane xSplit="7" ySplit="3" topLeftCell="M88" activePane="bottomRight" state="frozen"/>
      <selection pane="bottomRight" activeCell="M104" sqref="M104"/>
      <rowBreaks count="13" manualBreakCount="13">
        <brk id="121" max="21" man="1"/>
        <brk id="124" max="20" man="1"/>
        <brk id="133" max="21" man="1"/>
        <brk id="136" max="21" man="1"/>
        <brk id="141" max="21" man="1"/>
        <brk id="144" max="21" man="1"/>
        <brk id="149" max="21" man="1"/>
        <brk id="154" max="21" man="1"/>
        <brk id="158" max="21" man="1"/>
        <brk id="163" max="21" man="1"/>
        <brk id="166" max="21" man="1"/>
        <brk id="171" max="21" man="1"/>
        <brk id="174" max="21" man="1"/>
      </rowBreaks>
      <pageMargins left="3.937007874015748E-2" right="3.937007874015748E-2" top="0.15748031496062992" bottom="0.19685039370078741" header="0.15748031496062992" footer="0.23622047244094491"/>
      <pageSetup paperSize="9" scale="10" fitToHeight="2" orientation="landscape" r:id="rId1"/>
      <headerFooter alignWithMargins="0">
        <oddFooter>&amp;R&amp;8Le &amp;D
&amp;T</oddFooter>
      </headerFooter>
    </customSheetView>
    <customSheetView guid="{B5B04B19-0628-445C-9CF3-7F5D4D937774}" scale="115" fitToPage="1">
      <pane xSplit="7" ySplit="3" topLeftCell="M4" activePane="bottomRight" state="frozen"/>
      <selection pane="bottomRight" activeCell="Q16" sqref="Q16"/>
      <rowBreaks count="1" manualBreakCount="1">
        <brk id="124" max="20" man="1"/>
      </rowBreaks>
      <pageMargins left="3.937007874015748E-2" right="3.937007874015748E-2" top="0.15748031496062992" bottom="0.19685039370078741" header="0.15748031496062992" footer="0.23622047244094491"/>
      <pageSetup paperSize="9" scale="44" fitToHeight="2" orientation="landscape" r:id="rId2"/>
      <headerFooter alignWithMargins="0">
        <oddFooter>&amp;R&amp;8Le &amp;D
&amp;T</oddFooter>
      </headerFooter>
    </customSheetView>
    <customSheetView guid="{DD021BEF-F767-4779-A362-C9308ACC088B}" scale="115" fitToPage="1">
      <pane xSplit="7" ySplit="3" topLeftCell="M4" activePane="bottomRight" state="frozen"/>
      <selection pane="bottomRight" activeCell="Q16" sqref="Q16"/>
      <rowBreaks count="1" manualBreakCount="1">
        <brk id="124" max="20" man="1"/>
      </rowBreaks>
      <pageMargins left="3.937007874015748E-2" right="3.937007874015748E-2" top="0.15748031496062992" bottom="0.19685039370078741" header="0.15748031496062992" footer="0.23622047244094491"/>
      <pageSetup paperSize="9" scale="10" fitToHeight="2" orientation="landscape" r:id="rId3"/>
      <headerFooter alignWithMargins="0">
        <oddFooter>&amp;R&amp;8Le &amp;D
&amp;T</oddFooter>
      </headerFooter>
    </customSheetView>
    <customSheetView guid="{C8B269C8-9E4E-47CC-A407-F213FAC1E35C}" scale="115" fitToPage="1">
      <pane xSplit="7" ySplit="3" topLeftCell="M10" activePane="bottomRight" state="frozen"/>
      <selection pane="bottomRight" activeCell="S23" sqref="S23"/>
      <rowBreaks count="1" manualBreakCount="1">
        <brk id="124" max="20" man="1"/>
      </rowBreaks>
      <pageMargins left="3.937007874015748E-2" right="3.937007874015748E-2" top="0.15748031496062992" bottom="0.19685039370078741" header="0.15748031496062992" footer="0.23622047244094491"/>
      <pageSetup paperSize="9" scale="10" fitToHeight="2" orientation="landscape" r:id="rId4"/>
      <headerFooter alignWithMargins="0">
        <oddFooter>&amp;R&amp;8Le &amp;D
&amp;T</oddFooter>
      </headerFooter>
    </customSheetView>
  </customSheetViews>
  <phoneticPr fontId="0" type="noConversion"/>
  <pageMargins left="3.937007874015748E-2" right="3.937007874015748E-2" top="0.15748031496062992" bottom="0.19685039370078741" header="0.15748031496062992" footer="0.23622047244094491"/>
  <pageSetup paperSize="9" scale="10" fitToHeight="2" orientation="landscape" r:id="rId5"/>
  <headerFooter alignWithMargins="0">
    <oddFooter>&amp;R&amp;8Le &amp;D
&amp;T</oddFooter>
  </headerFooter>
  <rowBreaks count="1" manualBreakCount="1">
    <brk id="125" max="20" man="1"/>
  </rowBreaks>
  <drawing r:id="rId6"/>
  <legacyDrawing r:id="rId7"/>
  <controls>
    <mc:AlternateContent xmlns:mc="http://schemas.openxmlformats.org/markup-compatibility/2006">
      <mc:Choice Requires="x14">
        <control shapeId="12289" r:id="rId8" name="ComboBox1">
          <controlPr defaultSize="0" autoFill="0" autoLine="0" listFillRange="COMPTE" r:id="rId9">
            <anchor>
              <from>
                <xdr:col>1</xdr:col>
                <xdr:colOff>180975</xdr:colOff>
                <xdr:row>0</xdr:row>
                <xdr:rowOff>161925</xdr:rowOff>
              </from>
              <to>
                <xdr:col>3</xdr:col>
                <xdr:colOff>0</xdr:colOff>
                <xdr:row>0</xdr:row>
                <xdr:rowOff>390525</xdr:rowOff>
              </to>
            </anchor>
          </controlPr>
        </control>
      </mc:Choice>
      <mc:Fallback>
        <control shapeId="12289" r:id="rId8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X203"/>
  <sheetViews>
    <sheetView zoomScaleNormal="100" workbookViewId="0">
      <pane xSplit="7" ySplit="3" topLeftCell="I4" activePane="bottomRight" state="frozen"/>
      <selection activeCell="T231" sqref="T231:U231"/>
      <selection pane="topRight" activeCell="T231" sqref="T231:U231"/>
      <selection pane="bottomLeft" activeCell="T231" sqref="T231:U231"/>
      <selection pane="bottomRight" activeCell="E1" sqref="E1:E1048576"/>
    </sheetView>
  </sheetViews>
  <sheetFormatPr baseColWidth="10" defaultRowHeight="10.5" x14ac:dyDescent="0.15"/>
  <cols>
    <col min="1" max="1" width="24" style="16" customWidth="1"/>
    <col min="2" max="2" width="17.7109375" style="16" customWidth="1"/>
    <col min="3" max="3" width="13.5703125" style="17" customWidth="1"/>
    <col min="4" max="4" width="7.28515625" style="17" bestFit="1" customWidth="1"/>
    <col min="5" max="5" width="7.7109375" style="18" bestFit="1" customWidth="1"/>
    <col min="6" max="6" width="7.140625" style="18" bestFit="1" customWidth="1"/>
    <col min="7" max="7" width="9.85546875" style="106" bestFit="1" customWidth="1"/>
    <col min="8" max="9" width="10.28515625" style="16" customWidth="1"/>
    <col min="10" max="10" width="9.7109375" style="16" customWidth="1"/>
    <col min="11" max="11" width="9.28515625" style="16" customWidth="1"/>
    <col min="12" max="12" width="9.7109375" style="16" customWidth="1"/>
    <col min="13" max="13" width="10" style="16" customWidth="1"/>
    <col min="14" max="18" width="9.7109375" style="16" customWidth="1"/>
    <col min="19" max="19" width="10.28515625" style="16" bestFit="1" customWidth="1"/>
    <col min="20" max="21" width="9.7109375" style="16" customWidth="1"/>
    <col min="22" max="22" width="10.7109375" style="16" customWidth="1"/>
    <col min="23" max="23" width="10.140625" style="37" bestFit="1" customWidth="1"/>
    <col min="24" max="16384" width="11.42578125" style="16"/>
  </cols>
  <sheetData>
    <row r="1" spans="1:24" ht="12.75" x14ac:dyDescent="0.2">
      <c r="A1" s="147" t="s">
        <v>672</v>
      </c>
      <c r="G1" s="102"/>
      <c r="H1" s="19"/>
      <c r="I1" s="19"/>
      <c r="J1" s="19"/>
      <c r="K1" s="19"/>
      <c r="L1" s="678"/>
      <c r="M1" s="679"/>
      <c r="N1" s="14"/>
      <c r="O1" s="14"/>
      <c r="P1" s="14"/>
      <c r="Q1" s="14"/>
      <c r="R1" s="14"/>
      <c r="S1" s="14"/>
      <c r="T1" s="14"/>
      <c r="U1" s="14"/>
      <c r="V1" s="14"/>
      <c r="W1" s="4"/>
    </row>
    <row r="2" spans="1:24" ht="11.25" thickBot="1" x14ac:dyDescent="0.2">
      <c r="G2" s="109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4"/>
    </row>
    <row r="3" spans="1:24" s="146" customFormat="1" ht="11.25" thickBot="1" x14ac:dyDescent="0.2">
      <c r="A3" s="149" t="s">
        <v>0</v>
      </c>
      <c r="B3" s="63" t="s">
        <v>1</v>
      </c>
      <c r="C3" s="63" t="s">
        <v>2</v>
      </c>
      <c r="D3" s="63"/>
      <c r="E3" s="63"/>
      <c r="F3" s="63"/>
      <c r="G3" s="99" t="s">
        <v>4</v>
      </c>
      <c r="H3" s="408">
        <v>2016</v>
      </c>
      <c r="I3" s="65" t="s">
        <v>55</v>
      </c>
      <c r="J3" s="65" t="s">
        <v>56</v>
      </c>
      <c r="K3" s="65" t="s">
        <v>5</v>
      </c>
      <c r="L3" s="65" t="s">
        <v>6</v>
      </c>
      <c r="M3" s="65" t="s">
        <v>7</v>
      </c>
      <c r="N3" s="65" t="s">
        <v>8</v>
      </c>
      <c r="O3" s="65" t="s">
        <v>65</v>
      </c>
      <c r="P3" s="65" t="s">
        <v>64</v>
      </c>
      <c r="Q3" s="65" t="s">
        <v>49</v>
      </c>
      <c r="R3" s="65" t="s">
        <v>50</v>
      </c>
      <c r="S3" s="65" t="s">
        <v>59</v>
      </c>
      <c r="T3" s="65" t="s">
        <v>51</v>
      </c>
      <c r="U3" s="66" t="s">
        <v>866</v>
      </c>
      <c r="V3" s="67" t="s">
        <v>66</v>
      </c>
      <c r="W3" s="150"/>
    </row>
    <row r="4" spans="1:24" x14ac:dyDescent="0.15">
      <c r="A4" s="20"/>
      <c r="B4" s="21"/>
      <c r="C4" s="22"/>
      <c r="D4" s="22"/>
      <c r="E4" s="23"/>
      <c r="F4" s="24"/>
      <c r="G4" s="121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6"/>
      <c r="W4" s="4"/>
    </row>
    <row r="5" spans="1:24" x14ac:dyDescent="0.15">
      <c r="A5" s="27" t="s">
        <v>148</v>
      </c>
      <c r="B5" s="28"/>
      <c r="C5" s="29"/>
      <c r="D5" s="134"/>
      <c r="E5" s="30"/>
      <c r="F5" s="31"/>
      <c r="G5" s="101"/>
      <c r="H5" s="9"/>
      <c r="I5" s="9"/>
      <c r="J5" s="10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32"/>
      <c r="W5" s="4"/>
    </row>
    <row r="6" spans="1:24" x14ac:dyDescent="0.15">
      <c r="A6" s="143" t="s">
        <v>158</v>
      </c>
      <c r="B6" s="143" t="s">
        <v>152</v>
      </c>
      <c r="C6" s="144"/>
      <c r="D6" s="144">
        <v>606801</v>
      </c>
      <c r="E6" s="145" t="s">
        <v>72</v>
      </c>
      <c r="F6" s="145"/>
      <c r="G6" s="165">
        <v>1500</v>
      </c>
      <c r="H6" s="559">
        <f>1690.09-1500</f>
        <v>190.08999999999992</v>
      </c>
      <c r="I6" s="226">
        <v>1180.2</v>
      </c>
      <c r="J6" s="226">
        <v>1280.54</v>
      </c>
      <c r="K6" s="326">
        <v>1624.31</v>
      </c>
      <c r="L6" s="326">
        <v>1310.3399999999999</v>
      </c>
      <c r="M6" s="326">
        <v>1483.85</v>
      </c>
      <c r="N6" s="326">
        <v>1699.39</v>
      </c>
      <c r="O6" s="680">
        <v>2180.17</v>
      </c>
      <c r="P6" s="681"/>
      <c r="Q6" s="297">
        <v>1571.46</v>
      </c>
      <c r="R6" s="297">
        <v>1408.88</v>
      </c>
      <c r="S6" s="297">
        <v>1363.03</v>
      </c>
      <c r="T6" s="226"/>
      <c r="U6" s="582"/>
      <c r="V6" s="255">
        <f>SUM(H6:T6)</f>
        <v>15292.26</v>
      </c>
      <c r="W6" s="14"/>
    </row>
    <row r="7" spans="1:24" x14ac:dyDescent="0.15">
      <c r="A7" s="68" t="s">
        <v>165</v>
      </c>
      <c r="B7" s="143" t="s">
        <v>273</v>
      </c>
      <c r="C7" s="69"/>
      <c r="D7" s="144"/>
      <c r="E7" s="172"/>
      <c r="F7" s="145"/>
      <c r="G7" s="169"/>
      <c r="H7" s="559"/>
      <c r="I7" s="226"/>
      <c r="J7" s="225"/>
      <c r="K7" s="226"/>
      <c r="L7" s="225"/>
      <c r="M7" s="226"/>
      <c r="N7" s="225"/>
      <c r="O7" s="226"/>
      <c r="P7" s="225"/>
      <c r="Q7" s="226"/>
      <c r="R7" s="225"/>
      <c r="S7" s="226"/>
      <c r="T7" s="225"/>
      <c r="U7" s="648"/>
      <c r="V7" s="255">
        <f>SUM(H7:T7)</f>
        <v>0</v>
      </c>
      <c r="W7" s="14"/>
    </row>
    <row r="8" spans="1:24" s="37" customFormat="1" ht="11.25" thickBot="1" x14ac:dyDescent="0.2">
      <c r="A8" s="516" t="s">
        <v>11</v>
      </c>
      <c r="B8" s="527"/>
      <c r="C8" s="518"/>
      <c r="D8" s="528"/>
      <c r="E8" s="516"/>
      <c r="F8" s="529"/>
      <c r="G8" s="521"/>
      <c r="H8" s="530">
        <f>SUM(H6:H7)</f>
        <v>190.08999999999992</v>
      </c>
      <c r="I8" s="530">
        <f t="shared" ref="I8:V8" si="0">SUM(I6:I7)</f>
        <v>1180.2</v>
      </c>
      <c r="J8" s="522">
        <f t="shared" si="0"/>
        <v>1280.54</v>
      </c>
      <c r="K8" s="530">
        <f t="shared" si="0"/>
        <v>1624.31</v>
      </c>
      <c r="L8" s="522">
        <f t="shared" si="0"/>
        <v>1310.3399999999999</v>
      </c>
      <c r="M8" s="530">
        <f t="shared" si="0"/>
        <v>1483.85</v>
      </c>
      <c r="N8" s="522">
        <f t="shared" si="0"/>
        <v>1699.39</v>
      </c>
      <c r="O8" s="530">
        <f t="shared" si="0"/>
        <v>2180.17</v>
      </c>
      <c r="P8" s="522">
        <f t="shared" si="0"/>
        <v>0</v>
      </c>
      <c r="Q8" s="530">
        <f t="shared" si="0"/>
        <v>1571.46</v>
      </c>
      <c r="R8" s="522">
        <f t="shared" si="0"/>
        <v>1408.88</v>
      </c>
      <c r="S8" s="530">
        <f t="shared" si="0"/>
        <v>1363.03</v>
      </c>
      <c r="T8" s="522">
        <f t="shared" si="0"/>
        <v>0</v>
      </c>
      <c r="U8" s="522">
        <f t="shared" si="0"/>
        <v>0</v>
      </c>
      <c r="V8" s="522">
        <f t="shared" si="0"/>
        <v>15292.26</v>
      </c>
      <c r="W8" s="97" t="str">
        <f>+IF(V8=SUM(H8:T8),"contrôle ok", "erreur")</f>
        <v>contrôle ok</v>
      </c>
      <c r="X8" s="16"/>
    </row>
    <row r="9" spans="1:24" ht="11.25" thickTop="1" x14ac:dyDescent="0.15">
      <c r="A9" s="38"/>
      <c r="B9" s="39"/>
      <c r="C9" s="40"/>
      <c r="D9" s="40"/>
      <c r="E9" s="41"/>
      <c r="F9" s="42"/>
      <c r="G9" s="122"/>
      <c r="H9" s="284"/>
      <c r="I9" s="284"/>
      <c r="J9" s="284"/>
      <c r="K9" s="284"/>
      <c r="L9" s="284"/>
      <c r="M9" s="284"/>
      <c r="N9" s="284"/>
      <c r="O9" s="284"/>
      <c r="P9" s="284"/>
      <c r="Q9" s="284"/>
      <c r="R9" s="284"/>
      <c r="S9" s="284"/>
      <c r="T9" s="284"/>
      <c r="U9" s="284"/>
      <c r="V9" s="285"/>
      <c r="W9" s="4"/>
    </row>
    <row r="10" spans="1:24" x14ac:dyDescent="0.15">
      <c r="A10" s="27" t="s">
        <v>162</v>
      </c>
      <c r="B10" s="28"/>
      <c r="C10" s="29"/>
      <c r="D10" s="134"/>
      <c r="E10" s="30"/>
      <c r="F10" s="31"/>
      <c r="G10" s="101"/>
      <c r="H10" s="224"/>
      <c r="I10" s="224"/>
      <c r="J10" s="251"/>
      <c r="K10" s="224"/>
      <c r="L10" s="224"/>
      <c r="M10" s="224"/>
      <c r="N10" s="224"/>
      <c r="O10" s="224"/>
      <c r="P10" s="224"/>
      <c r="Q10" s="224"/>
      <c r="R10" s="224"/>
      <c r="S10" s="224"/>
      <c r="T10" s="224"/>
      <c r="U10" s="224"/>
      <c r="V10" s="252"/>
      <c r="W10" s="4"/>
    </row>
    <row r="11" spans="1:24" x14ac:dyDescent="0.15">
      <c r="A11" s="143" t="s">
        <v>105</v>
      </c>
      <c r="B11" s="143" t="s">
        <v>311</v>
      </c>
      <c r="C11" s="144"/>
      <c r="D11" s="144">
        <v>615111</v>
      </c>
      <c r="E11" s="145" t="s">
        <v>70</v>
      </c>
      <c r="F11" s="145" t="s">
        <v>179</v>
      </c>
      <c r="G11" s="165">
        <v>1886.78</v>
      </c>
      <c r="H11" s="559"/>
      <c r="I11" s="226">
        <v>1886.78</v>
      </c>
      <c r="J11" s="226">
        <v>1886.78</v>
      </c>
      <c r="K11" s="226">
        <v>1886.78</v>
      </c>
      <c r="L11" s="226">
        <v>1886.78</v>
      </c>
      <c r="M11" s="226">
        <v>1886.78</v>
      </c>
      <c r="N11" s="226">
        <v>1886.78</v>
      </c>
      <c r="O11" s="226">
        <v>1886.78</v>
      </c>
      <c r="P11" s="226">
        <v>1886.78</v>
      </c>
      <c r="Q11" s="226">
        <v>1886.78</v>
      </c>
      <c r="R11" s="226">
        <v>1886.78</v>
      </c>
      <c r="S11" s="226">
        <v>1886.78</v>
      </c>
      <c r="T11" s="226"/>
      <c r="U11" s="582"/>
      <c r="V11" s="255">
        <f>SUM(H11:T11)</f>
        <v>20754.579999999998</v>
      </c>
      <c r="W11" s="14"/>
    </row>
    <row r="12" spans="1:24" x14ac:dyDescent="0.15">
      <c r="A12" s="143" t="s">
        <v>105</v>
      </c>
      <c r="B12" s="143" t="s">
        <v>310</v>
      </c>
      <c r="C12" s="144"/>
      <c r="D12" s="144">
        <v>615111</v>
      </c>
      <c r="E12" s="145" t="s">
        <v>108</v>
      </c>
      <c r="F12" s="145" t="s">
        <v>179</v>
      </c>
      <c r="G12" s="165">
        <v>8550.65</v>
      </c>
      <c r="H12" s="559"/>
      <c r="I12" s="226">
        <v>8550.65</v>
      </c>
      <c r="J12" s="226">
        <v>8550.65</v>
      </c>
      <c r="K12" s="226">
        <v>8550.65</v>
      </c>
      <c r="L12" s="226">
        <v>8550.65</v>
      </c>
      <c r="M12" s="226">
        <v>8550.65</v>
      </c>
      <c r="N12" s="226">
        <v>8550.65</v>
      </c>
      <c r="O12" s="226">
        <v>8550.65</v>
      </c>
      <c r="P12" s="226">
        <v>8550.65</v>
      </c>
      <c r="Q12" s="226">
        <v>8550.65</v>
      </c>
      <c r="R12" s="226">
        <v>8550.65</v>
      </c>
      <c r="S12" s="226">
        <v>8550.65</v>
      </c>
      <c r="T12" s="226"/>
      <c r="U12" s="582"/>
      <c r="V12" s="255">
        <f>SUM(H12:T12)</f>
        <v>94057.14999999998</v>
      </c>
      <c r="W12" s="14"/>
    </row>
    <row r="13" spans="1:24" x14ac:dyDescent="0.15">
      <c r="A13" s="143" t="s">
        <v>105</v>
      </c>
      <c r="B13" s="143"/>
      <c r="C13" s="144"/>
      <c r="D13" s="144">
        <v>615111</v>
      </c>
      <c r="E13" s="145" t="s">
        <v>108</v>
      </c>
      <c r="F13" s="145" t="s">
        <v>192</v>
      </c>
      <c r="G13" s="165"/>
      <c r="H13" s="559"/>
      <c r="I13" s="226"/>
      <c r="J13" s="226"/>
      <c r="K13" s="226"/>
      <c r="L13" s="226"/>
      <c r="M13" s="226"/>
      <c r="N13" s="226"/>
      <c r="O13" s="226"/>
      <c r="P13" s="226"/>
      <c r="Q13" s="226">
        <v>1470</v>
      </c>
      <c r="R13" s="226"/>
      <c r="S13" s="226">
        <f>1050+1450+840</f>
        <v>3340</v>
      </c>
      <c r="T13" s="226"/>
      <c r="U13" s="582"/>
      <c r="V13" s="255">
        <f>SUM(H13:T13)</f>
        <v>4810</v>
      </c>
      <c r="W13" s="14"/>
    </row>
    <row r="14" spans="1:24" s="37" customFormat="1" ht="11.25" thickBot="1" x14ac:dyDescent="0.2">
      <c r="A14" s="516" t="s">
        <v>11</v>
      </c>
      <c r="B14" s="517"/>
      <c r="C14" s="518"/>
      <c r="D14" s="531"/>
      <c r="E14" s="516"/>
      <c r="F14" s="520"/>
      <c r="G14" s="521"/>
      <c r="H14" s="522">
        <f>SUM(H11:H13)</f>
        <v>0</v>
      </c>
      <c r="I14" s="522">
        <f t="shared" ref="I14:V14" si="1">SUM(I11:I13)</f>
        <v>10437.43</v>
      </c>
      <c r="J14" s="522">
        <f t="shared" si="1"/>
        <v>10437.43</v>
      </c>
      <c r="K14" s="522">
        <f t="shared" si="1"/>
        <v>10437.43</v>
      </c>
      <c r="L14" s="522">
        <f t="shared" si="1"/>
        <v>10437.43</v>
      </c>
      <c r="M14" s="522">
        <f t="shared" si="1"/>
        <v>10437.43</v>
      </c>
      <c r="N14" s="522">
        <f t="shared" si="1"/>
        <v>10437.43</v>
      </c>
      <c r="O14" s="522">
        <f t="shared" si="1"/>
        <v>10437.43</v>
      </c>
      <c r="P14" s="522">
        <f t="shared" si="1"/>
        <v>10437.43</v>
      </c>
      <c r="Q14" s="522">
        <f t="shared" si="1"/>
        <v>11907.43</v>
      </c>
      <c r="R14" s="522">
        <f t="shared" si="1"/>
        <v>10437.43</v>
      </c>
      <c r="S14" s="522">
        <f t="shared" si="1"/>
        <v>13777.43</v>
      </c>
      <c r="T14" s="522">
        <f t="shared" si="1"/>
        <v>0</v>
      </c>
      <c r="U14" s="522">
        <f t="shared" si="1"/>
        <v>0</v>
      </c>
      <c r="V14" s="522">
        <f t="shared" si="1"/>
        <v>119621.72999999998</v>
      </c>
      <c r="W14" s="97" t="str">
        <f>+IF(V14=SUM(H14:T14),"contrôle ok", "erreur")</f>
        <v>contrôle ok</v>
      </c>
      <c r="X14" s="17"/>
    </row>
    <row r="15" spans="1:24" s="56" customFormat="1" ht="11.25" thickTop="1" x14ac:dyDescent="0.15">
      <c r="A15" s="120"/>
      <c r="B15" s="51"/>
      <c r="C15" s="52"/>
      <c r="D15" s="466"/>
      <c r="E15" s="54"/>
      <c r="F15" s="53"/>
      <c r="G15" s="108"/>
      <c r="H15" s="228"/>
      <c r="I15" s="228"/>
      <c r="J15" s="228"/>
      <c r="K15" s="228"/>
      <c r="L15" s="228"/>
      <c r="M15" s="228"/>
      <c r="N15" s="228"/>
      <c r="O15" s="228"/>
      <c r="P15" s="228"/>
      <c r="Q15" s="228"/>
      <c r="R15" s="228"/>
      <c r="S15" s="228"/>
      <c r="T15" s="228"/>
      <c r="U15" s="228"/>
      <c r="V15" s="228"/>
      <c r="W15" s="97"/>
      <c r="X15" s="467"/>
    </row>
    <row r="16" spans="1:24" x14ac:dyDescent="0.15">
      <c r="A16" s="27" t="s">
        <v>519</v>
      </c>
      <c r="B16" s="28"/>
      <c r="C16" s="29"/>
      <c r="D16" s="134"/>
      <c r="E16" s="30"/>
      <c r="F16" s="31"/>
      <c r="G16" s="101"/>
      <c r="H16" s="224"/>
      <c r="I16" s="224"/>
      <c r="J16" s="251"/>
      <c r="K16" s="224"/>
      <c r="L16" s="224"/>
      <c r="M16" s="224"/>
      <c r="N16" s="224"/>
      <c r="O16" s="224"/>
      <c r="P16" s="224"/>
      <c r="Q16" s="224"/>
      <c r="R16" s="224"/>
      <c r="S16" s="224"/>
      <c r="T16" s="224"/>
      <c r="U16" s="224"/>
      <c r="V16" s="252"/>
      <c r="W16" s="4"/>
    </row>
    <row r="17" spans="1:24" x14ac:dyDescent="0.15">
      <c r="A17" s="143" t="s">
        <v>643</v>
      </c>
      <c r="B17" s="143"/>
      <c r="C17" s="144"/>
      <c r="D17" s="144">
        <v>615113</v>
      </c>
      <c r="E17" s="145" t="s">
        <v>108</v>
      </c>
      <c r="F17" s="145" t="s">
        <v>269</v>
      </c>
      <c r="G17" s="165"/>
      <c r="H17" s="559">
        <v>-1000</v>
      </c>
      <c r="I17" s="226"/>
      <c r="J17" s="226">
        <v>1168.1600000000001</v>
      </c>
      <c r="K17" s="226">
        <f>2002.56/2</f>
        <v>1001.28</v>
      </c>
      <c r="L17" s="226"/>
      <c r="M17" s="226"/>
      <c r="N17" s="226"/>
      <c r="O17" s="226"/>
      <c r="P17" s="226"/>
      <c r="Q17" s="226"/>
      <c r="R17" s="226"/>
      <c r="S17" s="226"/>
      <c r="T17" s="226"/>
      <c r="U17" s="582"/>
      <c r="V17" s="255">
        <f>SUM(H17:T17)</f>
        <v>1169.44</v>
      </c>
      <c r="W17" s="14"/>
    </row>
    <row r="18" spans="1:24" s="37" customFormat="1" ht="11.25" thickBot="1" x14ac:dyDescent="0.2">
      <c r="A18" s="516" t="s">
        <v>11</v>
      </c>
      <c r="B18" s="517"/>
      <c r="C18" s="518"/>
      <c r="D18" s="531"/>
      <c r="E18" s="516"/>
      <c r="F18" s="520"/>
      <c r="G18" s="521"/>
      <c r="H18" s="522">
        <f>SUM(H17:H17)</f>
        <v>-1000</v>
      </c>
      <c r="I18" s="522">
        <f t="shared" ref="I18:V18" si="2">SUM(I17:I17)</f>
        <v>0</v>
      </c>
      <c r="J18" s="522">
        <f t="shared" si="2"/>
        <v>1168.1600000000001</v>
      </c>
      <c r="K18" s="522">
        <f t="shared" si="2"/>
        <v>1001.28</v>
      </c>
      <c r="L18" s="522">
        <f t="shared" si="2"/>
        <v>0</v>
      </c>
      <c r="M18" s="522">
        <f t="shared" si="2"/>
        <v>0</v>
      </c>
      <c r="N18" s="522">
        <f t="shared" si="2"/>
        <v>0</v>
      </c>
      <c r="O18" s="522">
        <f t="shared" si="2"/>
        <v>0</v>
      </c>
      <c r="P18" s="522">
        <f t="shared" si="2"/>
        <v>0</v>
      </c>
      <c r="Q18" s="522">
        <f t="shared" si="2"/>
        <v>0</v>
      </c>
      <c r="R18" s="522">
        <f t="shared" si="2"/>
        <v>0</v>
      </c>
      <c r="S18" s="522">
        <f t="shared" si="2"/>
        <v>0</v>
      </c>
      <c r="T18" s="522">
        <f t="shared" si="2"/>
        <v>0</v>
      </c>
      <c r="U18" s="522">
        <f t="shared" si="2"/>
        <v>0</v>
      </c>
      <c r="V18" s="522">
        <f t="shared" si="2"/>
        <v>1169.44</v>
      </c>
      <c r="W18" s="97" t="str">
        <f>+IF(V18=SUM(H18:T18),"contrôle ok", "erreur")</f>
        <v>contrôle ok</v>
      </c>
      <c r="X18" s="17"/>
    </row>
    <row r="19" spans="1:24" s="56" customFormat="1" ht="11.25" thickTop="1" x14ac:dyDescent="0.15">
      <c r="A19" s="120"/>
      <c r="B19" s="51"/>
      <c r="C19" s="52"/>
      <c r="D19" s="466"/>
      <c r="E19" s="54"/>
      <c r="F19" s="53"/>
      <c r="G19" s="108"/>
      <c r="H19" s="228"/>
      <c r="I19" s="228"/>
      <c r="J19" s="228"/>
      <c r="K19" s="228"/>
      <c r="L19" s="228"/>
      <c r="M19" s="228"/>
      <c r="N19" s="228"/>
      <c r="O19" s="228"/>
      <c r="P19" s="228"/>
      <c r="Q19" s="228"/>
      <c r="R19" s="228"/>
      <c r="S19" s="228"/>
      <c r="T19" s="228"/>
      <c r="U19" s="228"/>
      <c r="V19" s="228"/>
      <c r="W19" s="97"/>
      <c r="X19" s="467"/>
    </row>
    <row r="20" spans="1:24" s="56" customFormat="1" x14ac:dyDescent="0.15">
      <c r="A20" s="27" t="s">
        <v>534</v>
      </c>
      <c r="B20" s="28"/>
      <c r="C20" s="29"/>
      <c r="D20" s="134"/>
      <c r="E20" s="30"/>
      <c r="F20" s="31"/>
      <c r="G20" s="101"/>
      <c r="H20" s="224"/>
      <c r="I20" s="224"/>
      <c r="J20" s="251"/>
      <c r="K20" s="224"/>
      <c r="L20" s="224"/>
      <c r="M20" s="224"/>
      <c r="N20" s="224"/>
      <c r="O20" s="224"/>
      <c r="P20" s="224"/>
      <c r="Q20" s="224"/>
      <c r="R20" s="224"/>
      <c r="S20" s="224"/>
      <c r="T20" s="224"/>
      <c r="U20" s="224"/>
      <c r="V20" s="252"/>
      <c r="W20" s="97"/>
      <c r="X20" s="467"/>
    </row>
    <row r="21" spans="1:24" s="56" customFormat="1" x14ac:dyDescent="0.15">
      <c r="A21" s="493"/>
      <c r="B21" s="494"/>
      <c r="C21" s="495"/>
      <c r="D21" s="496">
        <v>615114</v>
      </c>
      <c r="E21" s="475" t="s">
        <v>70</v>
      </c>
      <c r="F21" s="475" t="s">
        <v>192</v>
      </c>
      <c r="G21" s="163"/>
      <c r="H21" s="559">
        <f>-160-160</f>
        <v>-320</v>
      </c>
      <c r="I21" s="226">
        <v>160</v>
      </c>
      <c r="J21" s="226">
        <v>320</v>
      </c>
      <c r="K21" s="226">
        <v>160</v>
      </c>
      <c r="L21" s="226"/>
      <c r="M21" s="226"/>
      <c r="N21" s="226"/>
      <c r="O21" s="226">
        <v>160</v>
      </c>
      <c r="P21" s="226">
        <f>160-160</f>
        <v>0</v>
      </c>
      <c r="Q21" s="226">
        <f>160*2-160*2</f>
        <v>0</v>
      </c>
      <c r="R21" s="226">
        <f>160*2</f>
        <v>320</v>
      </c>
      <c r="S21" s="226">
        <v>-160</v>
      </c>
      <c r="T21" s="226"/>
      <c r="U21" s="582"/>
      <c r="V21" s="255">
        <f>SUM(H21:T21)</f>
        <v>640</v>
      </c>
      <c r="W21" s="97"/>
      <c r="X21" s="467"/>
    </row>
    <row r="22" spans="1:24" s="56" customFormat="1" x14ac:dyDescent="0.15">
      <c r="A22" s="493"/>
      <c r="B22" s="494"/>
      <c r="C22" s="495"/>
      <c r="D22" s="495"/>
      <c r="E22" s="493"/>
      <c r="F22" s="493"/>
      <c r="G22" s="163"/>
      <c r="H22" s="559"/>
      <c r="I22" s="226"/>
      <c r="J22" s="226"/>
      <c r="K22" s="226"/>
      <c r="L22" s="226"/>
      <c r="M22" s="226"/>
      <c r="N22" s="226"/>
      <c r="O22" s="226"/>
      <c r="P22" s="226"/>
      <c r="Q22" s="226"/>
      <c r="R22" s="226"/>
      <c r="S22" s="226"/>
      <c r="T22" s="226"/>
      <c r="U22" s="582"/>
      <c r="V22" s="255">
        <f>SUM(H22:T22)</f>
        <v>0</v>
      </c>
      <c r="W22" s="97"/>
      <c r="X22" s="467"/>
    </row>
    <row r="23" spans="1:24" s="56" customFormat="1" ht="11.25" thickBot="1" x14ac:dyDescent="0.2">
      <c r="A23" s="516" t="s">
        <v>11</v>
      </c>
      <c r="B23" s="517"/>
      <c r="C23" s="524"/>
      <c r="D23" s="525"/>
      <c r="E23" s="520"/>
      <c r="F23" s="526"/>
      <c r="G23" s="521"/>
      <c r="H23" s="522">
        <f>SUM(H21:H22)</f>
        <v>-320</v>
      </c>
      <c r="I23" s="522">
        <f>SUM(I21:I22)</f>
        <v>160</v>
      </c>
      <c r="J23" s="522">
        <f t="shared" ref="J23:V23" si="3">SUM(J21:J22)</f>
        <v>320</v>
      </c>
      <c r="K23" s="522">
        <f t="shared" si="3"/>
        <v>160</v>
      </c>
      <c r="L23" s="522">
        <f t="shared" si="3"/>
        <v>0</v>
      </c>
      <c r="M23" s="522">
        <f t="shared" si="3"/>
        <v>0</v>
      </c>
      <c r="N23" s="522">
        <f t="shared" si="3"/>
        <v>0</v>
      </c>
      <c r="O23" s="522">
        <f t="shared" si="3"/>
        <v>160</v>
      </c>
      <c r="P23" s="522">
        <f t="shared" si="3"/>
        <v>0</v>
      </c>
      <c r="Q23" s="522">
        <f>SUM(Q21:Q22)</f>
        <v>0</v>
      </c>
      <c r="R23" s="522">
        <f>SUM(R21:R22)</f>
        <v>320</v>
      </c>
      <c r="S23" s="522">
        <f t="shared" si="3"/>
        <v>-160</v>
      </c>
      <c r="T23" s="522">
        <f t="shared" si="3"/>
        <v>0</v>
      </c>
      <c r="U23" s="522">
        <f t="shared" si="3"/>
        <v>0</v>
      </c>
      <c r="V23" s="522">
        <f t="shared" si="3"/>
        <v>640</v>
      </c>
      <c r="W23" s="97" t="str">
        <f>+IF(V23=SUM(H23:T23),"contrôle ok", "erreur")</f>
        <v>contrôle ok</v>
      </c>
      <c r="X23" s="497"/>
    </row>
    <row r="24" spans="1:24" s="56" customFormat="1" ht="11.25" thickTop="1" x14ac:dyDescent="0.15">
      <c r="A24" s="120"/>
      <c r="B24" s="51"/>
      <c r="C24" s="52"/>
      <c r="D24" s="136"/>
      <c r="E24" s="120"/>
      <c r="F24" s="53"/>
      <c r="G24" s="108"/>
      <c r="H24" s="228"/>
      <c r="I24" s="228"/>
      <c r="J24" s="228"/>
      <c r="K24" s="228"/>
      <c r="L24" s="228"/>
      <c r="M24" s="228"/>
      <c r="N24" s="228"/>
      <c r="O24" s="228"/>
      <c r="P24" s="228"/>
      <c r="Q24" s="228"/>
      <c r="R24" s="228"/>
      <c r="S24" s="228"/>
      <c r="T24" s="228"/>
      <c r="U24" s="228"/>
      <c r="V24" s="228"/>
      <c r="W24" s="97"/>
      <c r="X24" s="467"/>
    </row>
    <row r="25" spans="1:24" x14ac:dyDescent="0.15">
      <c r="A25" s="27" t="s">
        <v>247</v>
      </c>
      <c r="B25" s="28"/>
      <c r="C25" s="29"/>
      <c r="D25" s="134"/>
      <c r="E25" s="30"/>
      <c r="F25" s="31"/>
      <c r="G25" s="101"/>
      <c r="H25" s="224"/>
      <c r="I25" s="224"/>
      <c r="J25" s="251"/>
      <c r="K25" s="224"/>
      <c r="L25" s="224"/>
      <c r="M25" s="224"/>
      <c r="N25" s="224"/>
      <c r="O25" s="224"/>
      <c r="P25" s="224"/>
      <c r="Q25" s="224"/>
      <c r="R25" s="224"/>
      <c r="S25" s="224"/>
      <c r="T25" s="224"/>
      <c r="U25" s="224"/>
      <c r="V25" s="252"/>
      <c r="W25" s="4"/>
    </row>
    <row r="26" spans="1:24" x14ac:dyDescent="0.15">
      <c r="A26" s="143"/>
      <c r="B26" s="143"/>
      <c r="C26" s="144"/>
      <c r="D26" s="144">
        <v>615130</v>
      </c>
      <c r="E26" s="145" t="s">
        <v>71</v>
      </c>
      <c r="F26" s="145" t="s">
        <v>248</v>
      </c>
      <c r="G26" s="165"/>
      <c r="H26" s="226"/>
      <c r="I26" s="226"/>
      <c r="J26" s="226">
        <v>4528</v>
      </c>
      <c r="K26" s="226">
        <f>1912+1894.33+803.07</f>
        <v>4609.3999999999996</v>
      </c>
      <c r="L26" s="226">
        <f>11313+3450</f>
        <v>14763</v>
      </c>
      <c r="M26" s="226">
        <f>3070+2775</f>
        <v>5845</v>
      </c>
      <c r="N26" s="226">
        <f>1980+6687+5750</f>
        <v>14417</v>
      </c>
      <c r="O26" s="226">
        <v>1640</v>
      </c>
      <c r="P26" s="226"/>
      <c r="Q26" s="226">
        <f>2460+12500</f>
        <v>14960</v>
      </c>
      <c r="R26" s="226">
        <f>2427.3+2610+5850+3509.3</f>
        <v>14396.599999999999</v>
      </c>
      <c r="S26" s="226">
        <f>3436.61+5419+2230+2457+4012.54+14545+9400+9100+2418.9+8250+9519.08+6182.5</f>
        <v>76970.63</v>
      </c>
      <c r="T26" s="226">
        <f>5025+7490+10312+1810+1067.26</f>
        <v>25704.26</v>
      </c>
      <c r="U26" s="582"/>
      <c r="V26" s="255">
        <f>SUM(H26:T26)</f>
        <v>177833.89</v>
      </c>
      <c r="W26" s="14"/>
    </row>
    <row r="27" spans="1:24" s="37" customFormat="1" ht="11.25" thickBot="1" x14ac:dyDescent="0.2">
      <c r="A27" s="516" t="s">
        <v>11</v>
      </c>
      <c r="B27" s="517"/>
      <c r="C27" s="518"/>
      <c r="D27" s="531"/>
      <c r="E27" s="516"/>
      <c r="F27" s="520"/>
      <c r="G27" s="521"/>
      <c r="H27" s="522">
        <f>SUM(H26:H26)</f>
        <v>0</v>
      </c>
      <c r="I27" s="522">
        <f t="shared" ref="I27:V27" si="4">SUM(I26:I26)</f>
        <v>0</v>
      </c>
      <c r="J27" s="522">
        <f t="shared" si="4"/>
        <v>4528</v>
      </c>
      <c r="K27" s="522">
        <f t="shared" si="4"/>
        <v>4609.3999999999996</v>
      </c>
      <c r="L27" s="522">
        <f t="shared" si="4"/>
        <v>14763</v>
      </c>
      <c r="M27" s="522">
        <f t="shared" si="4"/>
        <v>5845</v>
      </c>
      <c r="N27" s="522">
        <f t="shared" si="4"/>
        <v>14417</v>
      </c>
      <c r="O27" s="522">
        <f t="shared" si="4"/>
        <v>1640</v>
      </c>
      <c r="P27" s="522">
        <f t="shared" si="4"/>
        <v>0</v>
      </c>
      <c r="Q27" s="522">
        <f t="shared" si="4"/>
        <v>14960</v>
      </c>
      <c r="R27" s="522">
        <f t="shared" si="4"/>
        <v>14396.599999999999</v>
      </c>
      <c r="S27" s="522">
        <f t="shared" si="4"/>
        <v>76970.63</v>
      </c>
      <c r="T27" s="522">
        <f t="shared" si="4"/>
        <v>25704.26</v>
      </c>
      <c r="U27" s="522">
        <f t="shared" si="4"/>
        <v>0</v>
      </c>
      <c r="V27" s="522">
        <f t="shared" si="4"/>
        <v>177833.89</v>
      </c>
      <c r="W27" s="97" t="str">
        <f>+IF(V27=SUM(H27:T27),"contrôle ok", "erreur")</f>
        <v>contrôle ok</v>
      </c>
      <c r="X27" s="16"/>
    </row>
    <row r="28" spans="1:24" s="37" customFormat="1" ht="11.25" thickTop="1" x14ac:dyDescent="0.15">
      <c r="A28" s="43"/>
      <c r="B28" s="33"/>
      <c r="C28" s="34"/>
      <c r="D28" s="124"/>
      <c r="E28" s="36"/>
      <c r="F28" s="44"/>
      <c r="G28" s="107"/>
      <c r="H28" s="286"/>
      <c r="I28" s="286"/>
      <c r="J28" s="286"/>
      <c r="K28" s="286"/>
      <c r="L28" s="286"/>
      <c r="M28" s="286"/>
      <c r="N28" s="286"/>
      <c r="O28" s="286"/>
      <c r="P28" s="286"/>
      <c r="Q28" s="286"/>
      <c r="R28" s="286"/>
      <c r="S28" s="286"/>
      <c r="T28" s="286"/>
      <c r="U28" s="286"/>
      <c r="V28" s="287"/>
      <c r="W28" s="4"/>
      <c r="X28" s="16"/>
    </row>
    <row r="29" spans="1:24" x14ac:dyDescent="0.15">
      <c r="A29" s="27" t="s">
        <v>369</v>
      </c>
      <c r="B29" s="28"/>
      <c r="C29" s="29"/>
      <c r="D29" s="30"/>
      <c r="E29" s="30"/>
      <c r="F29" s="31"/>
      <c r="G29" s="101"/>
      <c r="H29" s="224"/>
      <c r="I29" s="224"/>
      <c r="J29" s="251"/>
      <c r="K29" s="224"/>
      <c r="L29" s="224"/>
      <c r="M29" s="224"/>
      <c r="N29" s="224"/>
      <c r="O29" s="224"/>
      <c r="P29" s="224"/>
      <c r="Q29" s="224"/>
      <c r="R29" s="224"/>
      <c r="S29" s="224"/>
      <c r="T29" s="224"/>
      <c r="U29" s="224"/>
      <c r="V29" s="252"/>
      <c r="W29" s="16"/>
    </row>
    <row r="30" spans="1:24" x14ac:dyDescent="0.15">
      <c r="A30" s="46" t="s">
        <v>382</v>
      </c>
      <c r="B30" s="33"/>
      <c r="C30" s="34"/>
      <c r="D30" s="48">
        <v>615136</v>
      </c>
      <c r="E30" s="173" t="s">
        <v>108</v>
      </c>
      <c r="F30" s="48" t="s">
        <v>192</v>
      </c>
      <c r="G30" s="100"/>
      <c r="H30" s="560"/>
      <c r="I30" s="226"/>
      <c r="J30" s="226"/>
      <c r="K30" s="226"/>
      <c r="L30" s="226"/>
      <c r="M30" s="226"/>
      <c r="N30" s="226"/>
      <c r="O30" s="226"/>
      <c r="P30" s="226"/>
      <c r="Q30" s="226"/>
      <c r="R30" s="226"/>
      <c r="S30" s="226"/>
      <c r="T30" s="226"/>
      <c r="U30" s="582"/>
      <c r="V30" s="255">
        <f>SUM(H30:T30)</f>
        <v>0</v>
      </c>
      <c r="W30" s="16"/>
    </row>
    <row r="31" spans="1:24" x14ac:dyDescent="0.15">
      <c r="A31" s="143" t="s">
        <v>643</v>
      </c>
      <c r="B31" s="33"/>
      <c r="C31" s="34"/>
      <c r="D31" s="48">
        <v>615136</v>
      </c>
      <c r="E31" s="173" t="s">
        <v>108</v>
      </c>
      <c r="F31" s="48" t="s">
        <v>269</v>
      </c>
      <c r="G31" s="165">
        <v>1700</v>
      </c>
      <c r="H31" s="560">
        <v>-1000</v>
      </c>
      <c r="I31" s="226"/>
      <c r="J31" s="226">
        <v>1168.1600000000001</v>
      </c>
      <c r="K31" s="226">
        <v>1001.28</v>
      </c>
      <c r="L31" s="226">
        <v>1335.04</v>
      </c>
      <c r="M31" s="226">
        <v>1668.8</v>
      </c>
      <c r="N31" s="226"/>
      <c r="O31" s="226"/>
      <c r="P31" s="226"/>
      <c r="Q31" s="226">
        <v>1668.8</v>
      </c>
      <c r="R31" s="226"/>
      <c r="S31" s="582">
        <v>1700</v>
      </c>
      <c r="T31" s="226"/>
      <c r="U31" s="582"/>
      <c r="V31" s="255">
        <f>SUM(H31:T31)</f>
        <v>7542.08</v>
      </c>
      <c r="W31" s="16"/>
    </row>
    <row r="32" spans="1:24" ht="11.25" thickBot="1" x14ac:dyDescent="0.2">
      <c r="A32" s="516" t="s">
        <v>11</v>
      </c>
      <c r="B32" s="517"/>
      <c r="C32" s="518"/>
      <c r="D32" s="519"/>
      <c r="E32" s="516"/>
      <c r="F32" s="520"/>
      <c r="G32" s="521"/>
      <c r="H32" s="522">
        <f>SUM(H30:H31)</f>
        <v>-1000</v>
      </c>
      <c r="I32" s="522">
        <f>SUM(I30:I31)</f>
        <v>0</v>
      </c>
      <c r="J32" s="522">
        <f t="shared" ref="J32:U32" si="5">SUM(J30:J31)</f>
        <v>1168.1600000000001</v>
      </c>
      <c r="K32" s="522">
        <f t="shared" si="5"/>
        <v>1001.28</v>
      </c>
      <c r="L32" s="522">
        <f t="shared" si="5"/>
        <v>1335.04</v>
      </c>
      <c r="M32" s="522">
        <f t="shared" si="5"/>
        <v>1668.8</v>
      </c>
      <c r="N32" s="530">
        <f t="shared" si="5"/>
        <v>0</v>
      </c>
      <c r="O32" s="522">
        <f t="shared" si="5"/>
        <v>0</v>
      </c>
      <c r="P32" s="522">
        <f t="shared" si="5"/>
        <v>0</v>
      </c>
      <c r="Q32" s="530">
        <f t="shared" si="5"/>
        <v>1668.8</v>
      </c>
      <c r="R32" s="522">
        <f t="shared" si="5"/>
        <v>0</v>
      </c>
      <c r="S32" s="522">
        <f t="shared" si="5"/>
        <v>1700</v>
      </c>
      <c r="T32" s="522">
        <f t="shared" si="5"/>
        <v>0</v>
      </c>
      <c r="U32" s="522">
        <f t="shared" si="5"/>
        <v>0</v>
      </c>
      <c r="V32" s="522">
        <f>SUM(V30:V31)</f>
        <v>7542.08</v>
      </c>
      <c r="W32" s="97" t="str">
        <f>+IF(V32=SUM(H32:T32),"contrôle ok", "erreur")</f>
        <v>contrôle ok</v>
      </c>
    </row>
    <row r="33" spans="1:24" s="37" customFormat="1" ht="11.25" thickTop="1" x14ac:dyDescent="0.15">
      <c r="A33" s="43"/>
      <c r="B33" s="33"/>
      <c r="C33" s="34"/>
      <c r="D33" s="124"/>
      <c r="E33" s="36"/>
      <c r="F33" s="44"/>
      <c r="G33" s="107"/>
      <c r="H33" s="286"/>
      <c r="I33" s="286"/>
      <c r="J33" s="286"/>
      <c r="K33" s="286"/>
      <c r="L33" s="286"/>
      <c r="M33" s="286"/>
      <c r="N33" s="286"/>
      <c r="O33" s="286"/>
      <c r="P33" s="286"/>
      <c r="Q33" s="286"/>
      <c r="R33" s="286"/>
      <c r="S33" s="286"/>
      <c r="T33" s="286"/>
      <c r="U33" s="286"/>
      <c r="V33" s="287"/>
      <c r="W33" s="4"/>
      <c r="X33" s="16"/>
    </row>
    <row r="34" spans="1:24" x14ac:dyDescent="0.15">
      <c r="A34" s="27" t="s">
        <v>374</v>
      </c>
      <c r="B34" s="28"/>
      <c r="C34" s="29"/>
      <c r="D34" s="30"/>
      <c r="E34" s="30"/>
      <c r="F34" s="31"/>
      <c r="G34" s="101"/>
      <c r="H34" s="224"/>
      <c r="I34" s="224"/>
      <c r="J34" s="251"/>
      <c r="K34" s="224"/>
      <c r="L34" s="224"/>
      <c r="M34" s="224"/>
      <c r="N34" s="224"/>
      <c r="O34" s="224"/>
      <c r="P34" s="224"/>
      <c r="Q34" s="224"/>
      <c r="R34" s="224"/>
      <c r="S34" s="224"/>
      <c r="T34" s="224"/>
      <c r="U34" s="224"/>
      <c r="V34" s="252"/>
      <c r="W34" s="16"/>
    </row>
    <row r="35" spans="1:24" x14ac:dyDescent="0.15">
      <c r="A35" s="33"/>
      <c r="B35" s="33"/>
      <c r="C35" s="34"/>
      <c r="D35" s="35"/>
      <c r="E35" s="173" t="s">
        <v>70</v>
      </c>
      <c r="F35" s="48" t="s">
        <v>192</v>
      </c>
      <c r="G35" s="100"/>
      <c r="H35" s="560"/>
      <c r="I35" s="246"/>
      <c r="J35" s="231"/>
      <c r="K35" s="231"/>
      <c r="L35" s="246"/>
      <c r="M35" s="246"/>
      <c r="N35" s="231">
        <f>250+455</f>
        <v>705</v>
      </c>
      <c r="O35" s="246"/>
      <c r="P35" s="246"/>
      <c r="Q35" s="246"/>
      <c r="R35" s="246"/>
      <c r="S35" s="246">
        <v>2665</v>
      </c>
      <c r="T35" s="231"/>
      <c r="U35" s="647"/>
      <c r="V35" s="255">
        <f>SUM(H35:T35)</f>
        <v>3370</v>
      </c>
      <c r="W35" s="16"/>
    </row>
    <row r="36" spans="1:24" ht="11.25" thickBot="1" x14ac:dyDescent="0.2">
      <c r="A36" s="516" t="s">
        <v>11</v>
      </c>
      <c r="B36" s="517"/>
      <c r="C36" s="518"/>
      <c r="D36" s="519"/>
      <c r="E36" s="516"/>
      <c r="F36" s="520"/>
      <c r="G36" s="521"/>
      <c r="H36" s="522">
        <f>SUM(H35:H35)</f>
        <v>0</v>
      </c>
      <c r="I36" s="522">
        <f t="shared" ref="I36:V36" si="6">SUM(I35:I35)</f>
        <v>0</v>
      </c>
      <c r="J36" s="522">
        <f t="shared" si="6"/>
        <v>0</v>
      </c>
      <c r="K36" s="522">
        <f t="shared" si="6"/>
        <v>0</v>
      </c>
      <c r="L36" s="522">
        <f t="shared" si="6"/>
        <v>0</v>
      </c>
      <c r="M36" s="522">
        <f t="shared" si="6"/>
        <v>0</v>
      </c>
      <c r="N36" s="522">
        <f t="shared" si="6"/>
        <v>705</v>
      </c>
      <c r="O36" s="522">
        <f t="shared" si="6"/>
        <v>0</v>
      </c>
      <c r="P36" s="522">
        <f t="shared" si="6"/>
        <v>0</v>
      </c>
      <c r="Q36" s="522">
        <f t="shared" si="6"/>
        <v>0</v>
      </c>
      <c r="R36" s="522">
        <f t="shared" si="6"/>
        <v>0</v>
      </c>
      <c r="S36" s="522">
        <f t="shared" si="6"/>
        <v>2665</v>
      </c>
      <c r="T36" s="522">
        <f t="shared" si="6"/>
        <v>0</v>
      </c>
      <c r="U36" s="522">
        <f t="shared" si="6"/>
        <v>0</v>
      </c>
      <c r="V36" s="522">
        <f t="shared" si="6"/>
        <v>3370</v>
      </c>
      <c r="W36" s="97" t="str">
        <f>+IF(V36=SUM(H36:T36),"contrôle ok", "erreur")</f>
        <v>contrôle ok</v>
      </c>
    </row>
    <row r="37" spans="1:24" s="98" customFormat="1" ht="11.25" thickTop="1" x14ac:dyDescent="0.15">
      <c r="A37" s="54"/>
      <c r="B37" s="51"/>
      <c r="C37" s="52"/>
      <c r="D37" s="53"/>
      <c r="E37" s="120"/>
      <c r="F37" s="53"/>
      <c r="G37" s="108"/>
      <c r="H37" s="228"/>
      <c r="I37" s="228"/>
      <c r="J37" s="228"/>
      <c r="K37" s="228"/>
      <c r="L37" s="228"/>
      <c r="M37" s="228"/>
      <c r="N37" s="228"/>
      <c r="O37" s="228"/>
      <c r="P37" s="228"/>
      <c r="Q37" s="228"/>
      <c r="R37" s="228"/>
      <c r="S37" s="228"/>
      <c r="T37" s="228"/>
      <c r="U37" s="228"/>
      <c r="V37" s="228"/>
      <c r="W37" s="97"/>
    </row>
    <row r="38" spans="1:24" x14ac:dyDescent="0.15">
      <c r="A38" s="27" t="s">
        <v>23</v>
      </c>
      <c r="B38" s="28"/>
      <c r="C38" s="29"/>
      <c r="D38" s="134"/>
      <c r="E38" s="30"/>
      <c r="F38" s="31"/>
      <c r="G38" s="101"/>
      <c r="H38" s="224"/>
      <c r="I38" s="224"/>
      <c r="J38" s="251"/>
      <c r="K38" s="224"/>
      <c r="L38" s="224"/>
      <c r="M38" s="224"/>
      <c r="N38" s="224"/>
      <c r="O38" s="224"/>
      <c r="P38" s="224"/>
      <c r="Q38" s="224"/>
      <c r="R38" s="224"/>
      <c r="S38" s="224"/>
      <c r="T38" s="224"/>
      <c r="U38" s="224"/>
      <c r="V38" s="252"/>
      <c r="W38" s="4"/>
    </row>
    <row r="39" spans="1:24" x14ac:dyDescent="0.15">
      <c r="A39" s="143" t="s">
        <v>193</v>
      </c>
      <c r="B39" s="143"/>
      <c r="C39" s="144"/>
      <c r="D39" s="144">
        <v>615140</v>
      </c>
      <c r="E39" s="145" t="s">
        <v>71</v>
      </c>
      <c r="F39" s="145" t="s">
        <v>192</v>
      </c>
      <c r="G39" s="165"/>
      <c r="H39" s="559"/>
      <c r="I39" s="226"/>
      <c r="J39" s="226"/>
      <c r="K39" s="226"/>
      <c r="L39" s="226"/>
      <c r="M39" s="226"/>
      <c r="N39" s="226"/>
      <c r="O39" s="226"/>
      <c r="P39" s="226"/>
      <c r="Q39" s="226"/>
      <c r="R39" s="226"/>
      <c r="S39" s="226"/>
      <c r="T39" s="226"/>
      <c r="U39" s="582"/>
      <c r="V39" s="255">
        <f>SUM(H39:T39)</f>
        <v>0</v>
      </c>
      <c r="W39" s="14"/>
    </row>
    <row r="40" spans="1:24" s="37" customFormat="1" x14ac:dyDescent="0.15">
      <c r="A40" s="143" t="s">
        <v>103</v>
      </c>
      <c r="B40" s="143"/>
      <c r="C40" s="144"/>
      <c r="D40" s="144">
        <v>615140</v>
      </c>
      <c r="E40" s="145" t="s">
        <v>71</v>
      </c>
      <c r="F40" s="145" t="s">
        <v>192</v>
      </c>
      <c r="G40" s="165"/>
      <c r="H40" s="559"/>
      <c r="I40" s="226"/>
      <c r="J40" s="226"/>
      <c r="K40" s="226">
        <v>826</v>
      </c>
      <c r="L40" s="226"/>
      <c r="M40" s="226"/>
      <c r="N40" s="226"/>
      <c r="O40" s="226"/>
      <c r="P40" s="226"/>
      <c r="Q40" s="226"/>
      <c r="R40" s="226"/>
      <c r="S40" s="226"/>
      <c r="T40" s="226"/>
      <c r="U40" s="582"/>
      <c r="V40" s="255">
        <f>SUM(H40:T40)</f>
        <v>826</v>
      </c>
      <c r="W40" s="14"/>
      <c r="X40" s="16"/>
    </row>
    <row r="41" spans="1:24" s="37" customFormat="1" x14ac:dyDescent="0.15">
      <c r="A41" s="143" t="s">
        <v>103</v>
      </c>
      <c r="B41" s="143" t="s">
        <v>233</v>
      </c>
      <c r="C41" s="144"/>
      <c r="D41" s="144">
        <v>615140</v>
      </c>
      <c r="E41" s="145" t="s">
        <v>71</v>
      </c>
      <c r="F41" s="145" t="s">
        <v>179</v>
      </c>
      <c r="G41" s="165">
        <v>5994.27</v>
      </c>
      <c r="H41" s="559"/>
      <c r="I41" s="226">
        <v>5994.27</v>
      </c>
      <c r="J41" s="226">
        <v>5994.28</v>
      </c>
      <c r="K41" s="226">
        <v>5994.27</v>
      </c>
      <c r="L41" s="226">
        <v>5994.27</v>
      </c>
      <c r="M41" s="226">
        <v>5994.28</v>
      </c>
      <c r="N41" s="226">
        <v>5994.27</v>
      </c>
      <c r="O41" s="226">
        <v>5994.28</v>
      </c>
      <c r="P41" s="226">
        <v>5994.27</v>
      </c>
      <c r="Q41" s="226">
        <v>5994.27</v>
      </c>
      <c r="R41" s="226">
        <v>5994.28</v>
      </c>
      <c r="S41" s="226">
        <v>5994.27</v>
      </c>
      <c r="T41" s="226">
        <v>5994.27</v>
      </c>
      <c r="U41" s="582"/>
      <c r="V41" s="255">
        <f>SUM(H41:T41)</f>
        <v>71931.280000000013</v>
      </c>
      <c r="W41" s="14"/>
      <c r="X41" s="16"/>
    </row>
    <row r="42" spans="1:24" ht="11.25" thickBot="1" x14ac:dyDescent="0.2">
      <c r="A42" s="516" t="s">
        <v>11</v>
      </c>
      <c r="B42" s="517"/>
      <c r="C42" s="518"/>
      <c r="D42" s="531"/>
      <c r="E42" s="516"/>
      <c r="F42" s="520"/>
      <c r="G42" s="521"/>
      <c r="H42" s="522">
        <f>SUM(H39:H41)</f>
        <v>0</v>
      </c>
      <c r="I42" s="522">
        <f t="shared" ref="I42:V42" si="7">SUM(I39:I41)</f>
        <v>5994.27</v>
      </c>
      <c r="J42" s="522">
        <f t="shared" si="7"/>
        <v>5994.28</v>
      </c>
      <c r="K42" s="522">
        <f t="shared" si="7"/>
        <v>6820.27</v>
      </c>
      <c r="L42" s="522">
        <f t="shared" si="7"/>
        <v>5994.27</v>
      </c>
      <c r="M42" s="522">
        <f t="shared" si="7"/>
        <v>5994.28</v>
      </c>
      <c r="N42" s="522">
        <f t="shared" si="7"/>
        <v>5994.27</v>
      </c>
      <c r="O42" s="522">
        <f t="shared" si="7"/>
        <v>5994.28</v>
      </c>
      <c r="P42" s="522">
        <f t="shared" si="7"/>
        <v>5994.27</v>
      </c>
      <c r="Q42" s="522">
        <f t="shared" si="7"/>
        <v>5994.27</v>
      </c>
      <c r="R42" s="522">
        <f t="shared" si="7"/>
        <v>5994.28</v>
      </c>
      <c r="S42" s="522">
        <f t="shared" si="7"/>
        <v>5994.27</v>
      </c>
      <c r="T42" s="522">
        <f t="shared" si="7"/>
        <v>5994.27</v>
      </c>
      <c r="U42" s="522">
        <f t="shared" si="7"/>
        <v>0</v>
      </c>
      <c r="V42" s="522">
        <f t="shared" si="7"/>
        <v>72757.280000000013</v>
      </c>
      <c r="W42" s="97" t="str">
        <f>+IF(V42=SUM(H42:T42),"contrôle ok", "erreur")</f>
        <v>contrôle ok</v>
      </c>
    </row>
    <row r="43" spans="1:24" ht="11.25" thickTop="1" x14ac:dyDescent="0.15">
      <c r="A43" s="33"/>
      <c r="B43" s="33"/>
      <c r="C43" s="34"/>
      <c r="D43" s="135"/>
      <c r="E43" s="36"/>
      <c r="F43" s="35"/>
      <c r="G43" s="100"/>
      <c r="H43" s="229"/>
      <c r="I43" s="229"/>
      <c r="J43" s="229"/>
      <c r="K43" s="229"/>
      <c r="L43" s="229"/>
      <c r="M43" s="229"/>
      <c r="N43" s="257"/>
      <c r="O43" s="229"/>
      <c r="P43" s="229"/>
      <c r="Q43" s="229"/>
      <c r="R43" s="229"/>
      <c r="S43" s="229"/>
      <c r="T43" s="229"/>
      <c r="U43" s="229"/>
      <c r="V43" s="258">
        <f>SUM(I43:T43)</f>
        <v>0</v>
      </c>
      <c r="W43" s="4"/>
    </row>
    <row r="44" spans="1:24" s="37" customFormat="1" x14ac:dyDescent="0.15">
      <c r="A44" s="27" t="s">
        <v>129</v>
      </c>
      <c r="B44" s="28"/>
      <c r="C44" s="29"/>
      <c r="D44" s="134"/>
      <c r="E44" s="30"/>
      <c r="F44" s="31"/>
      <c r="G44" s="101"/>
      <c r="H44" s="224"/>
      <c r="I44" s="224"/>
      <c r="J44" s="251"/>
      <c r="K44" s="224"/>
      <c r="L44" s="224"/>
      <c r="M44" s="224"/>
      <c r="N44" s="224"/>
      <c r="O44" s="224"/>
      <c r="P44" s="224"/>
      <c r="Q44" s="224"/>
      <c r="R44" s="224"/>
      <c r="S44" s="224"/>
      <c r="T44" s="224"/>
      <c r="U44" s="224"/>
      <c r="V44" s="252"/>
      <c r="W44" s="4"/>
      <c r="X44" s="16"/>
    </row>
    <row r="45" spans="1:24" s="37" customFormat="1" x14ac:dyDescent="0.15">
      <c r="A45" s="143"/>
      <c r="B45" s="143"/>
      <c r="C45" s="144"/>
      <c r="D45" s="144"/>
      <c r="E45" s="145"/>
      <c r="F45" s="145" t="s">
        <v>192</v>
      </c>
      <c r="G45" s="165"/>
      <c r="H45" s="559"/>
      <c r="I45" s="226"/>
      <c r="J45" s="226"/>
      <c r="K45" s="226"/>
      <c r="L45" s="226"/>
      <c r="M45" s="226"/>
      <c r="N45" s="226"/>
      <c r="O45" s="226"/>
      <c r="P45" s="226"/>
      <c r="Q45" s="226"/>
      <c r="R45" s="226"/>
      <c r="S45" s="226"/>
      <c r="T45" s="226"/>
      <c r="U45" s="582"/>
      <c r="V45" s="255">
        <f>SUM(H45:T45)</f>
        <v>0</v>
      </c>
      <c r="W45" s="14"/>
      <c r="X45" s="16"/>
    </row>
    <row r="46" spans="1:24" x14ac:dyDescent="0.15">
      <c r="A46" s="143" t="s">
        <v>193</v>
      </c>
      <c r="B46" s="143"/>
      <c r="C46" s="144"/>
      <c r="D46" s="144">
        <v>615145</v>
      </c>
      <c r="E46" s="145" t="s">
        <v>108</v>
      </c>
      <c r="F46" s="145" t="s">
        <v>269</v>
      </c>
      <c r="G46" s="165"/>
      <c r="H46" s="559"/>
      <c r="I46" s="226"/>
      <c r="J46" s="226"/>
      <c r="K46" s="226"/>
      <c r="L46" s="226"/>
      <c r="M46" s="226"/>
      <c r="N46" s="226"/>
      <c r="O46" s="226"/>
      <c r="P46" s="226"/>
      <c r="Q46" s="226"/>
      <c r="R46" s="226"/>
      <c r="S46" s="226"/>
      <c r="T46" s="226"/>
      <c r="U46" s="582"/>
      <c r="V46" s="255">
        <f>SUM(H46:T46)</f>
        <v>0</v>
      </c>
      <c r="W46" s="14"/>
    </row>
    <row r="47" spans="1:24" ht="11.25" thickBot="1" x14ac:dyDescent="0.2">
      <c r="A47" s="516" t="s">
        <v>11</v>
      </c>
      <c r="B47" s="517"/>
      <c r="C47" s="518"/>
      <c r="D47" s="531"/>
      <c r="E47" s="516"/>
      <c r="F47" s="520"/>
      <c r="G47" s="521"/>
      <c r="H47" s="522">
        <f>SUM(H46)</f>
        <v>0</v>
      </c>
      <c r="I47" s="522">
        <f>SUM(I46)</f>
        <v>0</v>
      </c>
      <c r="J47" s="522">
        <f t="shared" ref="J47:U47" si="8">SUM(J46)</f>
        <v>0</v>
      </c>
      <c r="K47" s="522">
        <f t="shared" si="8"/>
        <v>0</v>
      </c>
      <c r="L47" s="522">
        <f t="shared" si="8"/>
        <v>0</v>
      </c>
      <c r="M47" s="522">
        <f t="shared" si="8"/>
        <v>0</v>
      </c>
      <c r="N47" s="522">
        <f t="shared" si="8"/>
        <v>0</v>
      </c>
      <c r="O47" s="522">
        <f t="shared" si="8"/>
        <v>0</v>
      </c>
      <c r="P47" s="522">
        <f t="shared" si="8"/>
        <v>0</v>
      </c>
      <c r="Q47" s="522">
        <f t="shared" si="8"/>
        <v>0</v>
      </c>
      <c r="R47" s="522">
        <f t="shared" si="8"/>
        <v>0</v>
      </c>
      <c r="S47" s="522">
        <f t="shared" si="8"/>
        <v>0</v>
      </c>
      <c r="T47" s="522">
        <f t="shared" si="8"/>
        <v>0</v>
      </c>
      <c r="U47" s="522">
        <f t="shared" si="8"/>
        <v>0</v>
      </c>
      <c r="V47" s="522">
        <f>SUM(V45:V46)</f>
        <v>0</v>
      </c>
      <c r="W47" s="97" t="str">
        <f>+IF(V47=SUM(H47:T47),"contrôle ok", "erreur")</f>
        <v>contrôle ok</v>
      </c>
    </row>
    <row r="48" spans="1:24" ht="11.25" thickTop="1" x14ac:dyDescent="0.15">
      <c r="A48" s="33"/>
      <c r="B48" s="33"/>
      <c r="C48" s="34"/>
      <c r="D48" s="135"/>
      <c r="E48" s="36"/>
      <c r="F48" s="35"/>
      <c r="G48" s="100"/>
      <c r="H48" s="229"/>
      <c r="I48" s="229"/>
      <c r="J48" s="229"/>
      <c r="K48" s="229"/>
      <c r="L48" s="229"/>
      <c r="M48" s="229"/>
      <c r="N48" s="257"/>
      <c r="O48" s="229"/>
      <c r="P48" s="229"/>
      <c r="Q48" s="229"/>
      <c r="R48" s="229"/>
      <c r="S48" s="229"/>
      <c r="T48" s="229"/>
      <c r="U48" s="229"/>
      <c r="V48" s="258"/>
      <c r="W48" s="4"/>
    </row>
    <row r="49" spans="1:24" s="37" customFormat="1" x14ac:dyDescent="0.15">
      <c r="A49" s="27" t="s">
        <v>54</v>
      </c>
      <c r="B49" s="28"/>
      <c r="C49" s="29"/>
      <c r="D49" s="134"/>
      <c r="E49" s="30"/>
      <c r="F49" s="31"/>
      <c r="G49" s="101"/>
      <c r="H49" s="224"/>
      <c r="I49" s="224"/>
      <c r="J49" s="251"/>
      <c r="K49" s="224"/>
      <c r="L49" s="224"/>
      <c r="M49" s="224"/>
      <c r="N49" s="224"/>
      <c r="O49" s="224"/>
      <c r="P49" s="224"/>
      <c r="Q49" s="224"/>
      <c r="R49" s="224"/>
      <c r="S49" s="224"/>
      <c r="T49" s="224"/>
      <c r="U49" s="224"/>
      <c r="V49" s="252"/>
      <c r="W49" s="4"/>
      <c r="X49" s="16"/>
    </row>
    <row r="50" spans="1:24" s="37" customFormat="1" x14ac:dyDescent="0.15">
      <c r="A50" s="143" t="s">
        <v>276</v>
      </c>
      <c r="B50" s="143"/>
      <c r="C50" s="144"/>
      <c r="D50" s="144">
        <v>615150</v>
      </c>
      <c r="E50" s="145" t="s">
        <v>71</v>
      </c>
      <c r="F50" s="145" t="s">
        <v>192</v>
      </c>
      <c r="G50" s="165"/>
      <c r="H50" s="559"/>
      <c r="I50" s="226"/>
      <c r="J50" s="226"/>
      <c r="K50" s="226"/>
      <c r="L50" s="226"/>
      <c r="M50" s="226"/>
      <c r="N50" s="226"/>
      <c r="O50" s="226"/>
      <c r="P50" s="226"/>
      <c r="Q50" s="226"/>
      <c r="R50" s="226"/>
      <c r="S50" s="226"/>
      <c r="T50" s="226"/>
      <c r="U50" s="582"/>
      <c r="V50" s="255">
        <f>SUM(H50:T50)</f>
        <v>0</v>
      </c>
      <c r="W50" s="14"/>
      <c r="X50" s="16"/>
    </row>
    <row r="51" spans="1:24" x14ac:dyDescent="0.15">
      <c r="A51" s="143" t="s">
        <v>193</v>
      </c>
      <c r="B51" s="143"/>
      <c r="C51" s="144"/>
      <c r="D51" s="144"/>
      <c r="E51" s="145"/>
      <c r="F51" s="145"/>
      <c r="G51" s="165"/>
      <c r="H51" s="559"/>
      <c r="I51" s="226"/>
      <c r="J51" s="226"/>
      <c r="K51" s="226"/>
      <c r="L51" s="226"/>
      <c r="M51" s="226"/>
      <c r="N51" s="226"/>
      <c r="O51" s="226"/>
      <c r="P51" s="226"/>
      <c r="Q51" s="226"/>
      <c r="R51" s="226"/>
      <c r="S51" s="226"/>
      <c r="T51" s="226"/>
      <c r="U51" s="582"/>
      <c r="V51" s="255">
        <f>SUM(H51:T51)</f>
        <v>0</v>
      </c>
      <c r="W51" s="14"/>
    </row>
    <row r="52" spans="1:24" ht="11.25" thickBot="1" x14ac:dyDescent="0.2">
      <c r="A52" s="516" t="s">
        <v>11</v>
      </c>
      <c r="B52" s="517"/>
      <c r="C52" s="518"/>
      <c r="D52" s="531"/>
      <c r="E52" s="516"/>
      <c r="F52" s="520"/>
      <c r="G52" s="521"/>
      <c r="H52" s="522">
        <f>SUM(H50:H51)</f>
        <v>0</v>
      </c>
      <c r="I52" s="522">
        <f>SUM(I50:I51)</f>
        <v>0</v>
      </c>
      <c r="J52" s="522">
        <f t="shared" ref="J52:U52" si="9">SUM(J50:J51)</f>
        <v>0</v>
      </c>
      <c r="K52" s="522">
        <f t="shared" si="9"/>
        <v>0</v>
      </c>
      <c r="L52" s="522">
        <f t="shared" si="9"/>
        <v>0</v>
      </c>
      <c r="M52" s="522">
        <f t="shared" si="9"/>
        <v>0</v>
      </c>
      <c r="N52" s="522">
        <f t="shared" si="9"/>
        <v>0</v>
      </c>
      <c r="O52" s="522">
        <f t="shared" si="9"/>
        <v>0</v>
      </c>
      <c r="P52" s="522">
        <f t="shared" si="9"/>
        <v>0</v>
      </c>
      <c r="Q52" s="522">
        <f t="shared" si="9"/>
        <v>0</v>
      </c>
      <c r="R52" s="522">
        <f t="shared" si="9"/>
        <v>0</v>
      </c>
      <c r="S52" s="522">
        <f t="shared" si="9"/>
        <v>0</v>
      </c>
      <c r="T52" s="522">
        <f t="shared" si="9"/>
        <v>0</v>
      </c>
      <c r="U52" s="522">
        <f t="shared" si="9"/>
        <v>0</v>
      </c>
      <c r="V52" s="522">
        <f>SUM(V50:V51)</f>
        <v>0</v>
      </c>
      <c r="W52" s="97" t="str">
        <f>+IF(V52=SUM(H52:T52),"contrôle ok", "erreur")</f>
        <v>contrôle ok</v>
      </c>
    </row>
    <row r="53" spans="1:24" ht="11.25" thickTop="1" x14ac:dyDescent="0.15">
      <c r="A53" s="33"/>
      <c r="B53" s="33"/>
      <c r="C53" s="34"/>
      <c r="D53" s="135"/>
      <c r="E53" s="36"/>
      <c r="F53" s="35"/>
      <c r="G53" s="100"/>
      <c r="H53" s="229"/>
      <c r="I53" s="229"/>
      <c r="J53" s="229"/>
      <c r="K53" s="229"/>
      <c r="L53" s="229"/>
      <c r="M53" s="229"/>
      <c r="N53" s="257"/>
      <c r="O53" s="229"/>
      <c r="P53" s="229"/>
      <c r="Q53" s="229"/>
      <c r="R53" s="229"/>
      <c r="S53" s="229"/>
      <c r="T53" s="229"/>
      <c r="U53" s="229"/>
      <c r="V53" s="258"/>
      <c r="W53" s="4"/>
    </row>
    <row r="54" spans="1:24" x14ac:dyDescent="0.15">
      <c r="A54" s="27" t="s">
        <v>82</v>
      </c>
      <c r="B54" s="28"/>
      <c r="C54" s="29"/>
      <c r="D54" s="134"/>
      <c r="E54" s="30"/>
      <c r="F54" s="31"/>
      <c r="G54" s="101"/>
      <c r="H54" s="224"/>
      <c r="I54" s="224"/>
      <c r="J54" s="251"/>
      <c r="K54" s="224"/>
      <c r="L54" s="224"/>
      <c r="M54" s="224"/>
      <c r="N54" s="224"/>
      <c r="O54" s="224"/>
      <c r="P54" s="224"/>
      <c r="Q54" s="224"/>
      <c r="R54" s="224"/>
      <c r="S54" s="224"/>
      <c r="T54" s="224"/>
      <c r="U54" s="224"/>
      <c r="V54" s="252"/>
      <c r="W54" s="4"/>
    </row>
    <row r="55" spans="1:24" s="37" customFormat="1" x14ac:dyDescent="0.15">
      <c r="A55" s="143" t="s">
        <v>193</v>
      </c>
      <c r="B55" s="143"/>
      <c r="C55" s="144"/>
      <c r="D55" s="144">
        <v>615155</v>
      </c>
      <c r="E55" s="145" t="s">
        <v>71</v>
      </c>
      <c r="F55" s="145" t="s">
        <v>192</v>
      </c>
      <c r="G55" s="165"/>
      <c r="H55" s="559"/>
      <c r="I55" s="226"/>
      <c r="J55" s="226"/>
      <c r="K55" s="226"/>
      <c r="L55" s="226"/>
      <c r="M55" s="226"/>
      <c r="N55" s="226">
        <v>589</v>
      </c>
      <c r="O55" s="226"/>
      <c r="P55" s="226"/>
      <c r="Q55" s="226">
        <v>920</v>
      </c>
      <c r="R55" s="226"/>
      <c r="S55" s="226"/>
      <c r="T55" s="226"/>
      <c r="U55" s="582"/>
      <c r="V55" s="255">
        <f>SUM(H55:T55)</f>
        <v>1509</v>
      </c>
      <c r="W55" s="14"/>
      <c r="X55" s="16"/>
    </row>
    <row r="56" spans="1:24" x14ac:dyDescent="0.15">
      <c r="A56" s="143" t="s">
        <v>419</v>
      </c>
      <c r="B56" s="322"/>
      <c r="C56" s="144">
        <v>2017</v>
      </c>
      <c r="D56" s="144">
        <v>615155</v>
      </c>
      <c r="E56" s="145" t="s">
        <v>71</v>
      </c>
      <c r="F56" s="145" t="s">
        <v>179</v>
      </c>
      <c r="G56" s="165">
        <v>428.45</v>
      </c>
      <c r="H56" s="559"/>
      <c r="I56" s="226">
        <v>439.16</v>
      </c>
      <c r="J56" s="226">
        <f>439.16-21.45</f>
        <v>417.71000000000004</v>
      </c>
      <c r="K56" s="226">
        <f>439.16-10.71</f>
        <v>428.45000000000005</v>
      </c>
      <c r="L56" s="226">
        <f>439.16-10.71</f>
        <v>428.45000000000005</v>
      </c>
      <c r="M56" s="226">
        <f>439.16-10.71</f>
        <v>428.45000000000005</v>
      </c>
      <c r="N56" s="226">
        <v>428.45</v>
      </c>
      <c r="O56" s="226">
        <v>428.45</v>
      </c>
      <c r="P56" s="226">
        <v>428.45</v>
      </c>
      <c r="Q56" s="226">
        <v>428.45</v>
      </c>
      <c r="R56" s="226">
        <v>428.45</v>
      </c>
      <c r="S56" s="226">
        <v>428.45</v>
      </c>
      <c r="T56" s="226">
        <f>439.14-10.71</f>
        <v>428.43</v>
      </c>
      <c r="U56" s="582"/>
      <c r="V56" s="255">
        <f>SUM(H56:T56)</f>
        <v>5141.3499999999995</v>
      </c>
      <c r="W56" s="14"/>
    </row>
    <row r="57" spans="1:24" ht="11.25" thickBot="1" x14ac:dyDescent="0.2">
      <c r="A57" s="516" t="s">
        <v>11</v>
      </c>
      <c r="B57" s="517"/>
      <c r="C57" s="518"/>
      <c r="D57" s="531"/>
      <c r="E57" s="516"/>
      <c r="F57" s="520"/>
      <c r="G57" s="521"/>
      <c r="H57" s="522">
        <f>SUM(H55:H56)</f>
        <v>0</v>
      </c>
      <c r="I57" s="522">
        <f>SUM(I55:I56)</f>
        <v>439.16</v>
      </c>
      <c r="J57" s="522">
        <f t="shared" ref="J57:U57" si="10">SUM(J55:J56)</f>
        <v>417.71000000000004</v>
      </c>
      <c r="K57" s="522">
        <f t="shared" si="10"/>
        <v>428.45000000000005</v>
      </c>
      <c r="L57" s="522">
        <f t="shared" si="10"/>
        <v>428.45000000000005</v>
      </c>
      <c r="M57" s="522">
        <f t="shared" si="10"/>
        <v>428.45000000000005</v>
      </c>
      <c r="N57" s="522">
        <f t="shared" si="10"/>
        <v>1017.45</v>
      </c>
      <c r="O57" s="522">
        <f t="shared" si="10"/>
        <v>428.45</v>
      </c>
      <c r="P57" s="522">
        <f t="shared" si="10"/>
        <v>428.45</v>
      </c>
      <c r="Q57" s="522">
        <f t="shared" si="10"/>
        <v>1348.45</v>
      </c>
      <c r="R57" s="522">
        <f t="shared" si="10"/>
        <v>428.45</v>
      </c>
      <c r="S57" s="522">
        <f t="shared" si="10"/>
        <v>428.45</v>
      </c>
      <c r="T57" s="522">
        <f t="shared" si="10"/>
        <v>428.43</v>
      </c>
      <c r="U57" s="522">
        <f t="shared" si="10"/>
        <v>0</v>
      </c>
      <c r="V57" s="522">
        <f>SUM(V55:V56)</f>
        <v>6650.3499999999995</v>
      </c>
      <c r="W57" s="97" t="str">
        <f>+IF(V57=SUM(H57:T57),"contrôle ok", "erreur")</f>
        <v>contrôle ok</v>
      </c>
    </row>
    <row r="58" spans="1:24" s="37" customFormat="1" ht="11.25" thickTop="1" x14ac:dyDescent="0.15">
      <c r="A58" s="43"/>
      <c r="B58" s="33"/>
      <c r="C58" s="34"/>
      <c r="D58" s="135"/>
      <c r="E58" s="36"/>
      <c r="F58" s="35"/>
      <c r="G58" s="107"/>
      <c r="H58" s="229"/>
      <c r="I58" s="229"/>
      <c r="J58" s="229"/>
      <c r="K58" s="229"/>
      <c r="L58" s="229"/>
      <c r="M58" s="229"/>
      <c r="N58" s="229"/>
      <c r="O58" s="229"/>
      <c r="P58" s="229"/>
      <c r="Q58" s="229"/>
      <c r="R58" s="229"/>
      <c r="S58" s="229"/>
      <c r="T58" s="229"/>
      <c r="U58" s="229"/>
      <c r="V58" s="256"/>
      <c r="W58" s="4"/>
      <c r="X58" s="16"/>
    </row>
    <row r="59" spans="1:24" s="37" customFormat="1" x14ac:dyDescent="0.15">
      <c r="A59" s="27" t="s">
        <v>61</v>
      </c>
      <c r="B59" s="28"/>
      <c r="C59" s="29"/>
      <c r="D59" s="134"/>
      <c r="E59" s="30"/>
      <c r="F59" s="31"/>
      <c r="G59" s="101"/>
      <c r="H59" s="224"/>
      <c r="I59" s="224"/>
      <c r="J59" s="251"/>
      <c r="K59" s="224"/>
      <c r="L59" s="224"/>
      <c r="M59" s="224"/>
      <c r="N59" s="224"/>
      <c r="O59" s="224"/>
      <c r="P59" s="224"/>
      <c r="Q59" s="224"/>
      <c r="R59" s="224"/>
      <c r="S59" s="224"/>
      <c r="T59" s="224"/>
      <c r="U59" s="224"/>
      <c r="V59" s="252"/>
      <c r="W59" s="4"/>
      <c r="X59" s="16"/>
    </row>
    <row r="60" spans="1:24" x14ac:dyDescent="0.15">
      <c r="A60" s="143" t="s">
        <v>193</v>
      </c>
      <c r="B60" s="143"/>
      <c r="C60" s="144"/>
      <c r="D60" s="144">
        <v>615160</v>
      </c>
      <c r="E60" s="145" t="s">
        <v>71</v>
      </c>
      <c r="F60" s="145" t="s">
        <v>192</v>
      </c>
      <c r="G60" s="165"/>
      <c r="H60" s="559"/>
      <c r="I60" s="226"/>
      <c r="J60" s="226">
        <v>8.9600000000000009</v>
      </c>
      <c r="K60" s="226"/>
      <c r="L60" s="226"/>
      <c r="M60" s="226"/>
      <c r="N60" s="226"/>
      <c r="O60" s="226"/>
      <c r="P60" s="226"/>
      <c r="Q60" s="226"/>
      <c r="R60" s="226"/>
      <c r="S60" s="226"/>
      <c r="T60" s="226"/>
      <c r="U60" s="582"/>
      <c r="V60" s="255">
        <f>SUM(H60:T60)</f>
        <v>8.9600000000000009</v>
      </c>
      <c r="W60" s="14"/>
    </row>
    <row r="61" spans="1:24" ht="11.25" thickBot="1" x14ac:dyDescent="0.2">
      <c r="A61" s="516" t="s">
        <v>11</v>
      </c>
      <c r="B61" s="517"/>
      <c r="C61" s="518"/>
      <c r="D61" s="531"/>
      <c r="E61" s="516"/>
      <c r="F61" s="520"/>
      <c r="G61" s="521"/>
      <c r="H61" s="522">
        <f>SUM(H60)</f>
        <v>0</v>
      </c>
      <c r="I61" s="522">
        <f>SUM(I60)</f>
        <v>0</v>
      </c>
      <c r="J61" s="522">
        <f t="shared" ref="J61:V61" si="11">SUM(J60)</f>
        <v>8.9600000000000009</v>
      </c>
      <c r="K61" s="522">
        <f t="shared" si="11"/>
        <v>0</v>
      </c>
      <c r="L61" s="522">
        <f t="shared" si="11"/>
        <v>0</v>
      </c>
      <c r="M61" s="522">
        <f t="shared" si="11"/>
        <v>0</v>
      </c>
      <c r="N61" s="522">
        <f t="shared" si="11"/>
        <v>0</v>
      </c>
      <c r="O61" s="522">
        <f t="shared" si="11"/>
        <v>0</v>
      </c>
      <c r="P61" s="522">
        <f t="shared" si="11"/>
        <v>0</v>
      </c>
      <c r="Q61" s="522">
        <f t="shared" si="11"/>
        <v>0</v>
      </c>
      <c r="R61" s="522">
        <f t="shared" si="11"/>
        <v>0</v>
      </c>
      <c r="S61" s="522">
        <f t="shared" si="11"/>
        <v>0</v>
      </c>
      <c r="T61" s="522">
        <f t="shared" si="11"/>
        <v>0</v>
      </c>
      <c r="U61" s="522">
        <f t="shared" si="11"/>
        <v>0</v>
      </c>
      <c r="V61" s="522">
        <f t="shared" si="11"/>
        <v>8.9600000000000009</v>
      </c>
      <c r="W61" s="97" t="str">
        <f>+IF(V61=SUM(H61:T61),"contrôle ok", "erreur")</f>
        <v>contrôle ok</v>
      </c>
    </row>
    <row r="62" spans="1:24" s="37" customFormat="1" ht="11.25" thickTop="1" x14ac:dyDescent="0.15">
      <c r="A62" s="33"/>
      <c r="B62" s="33"/>
      <c r="C62" s="34"/>
      <c r="D62" s="135"/>
      <c r="E62" s="36"/>
      <c r="F62" s="35"/>
      <c r="G62" s="100"/>
      <c r="H62" s="229"/>
      <c r="I62" s="229"/>
      <c r="J62" s="229"/>
      <c r="K62" s="229"/>
      <c r="L62" s="229"/>
      <c r="M62" s="229"/>
      <c r="N62" s="257"/>
      <c r="O62" s="229"/>
      <c r="P62" s="229"/>
      <c r="Q62" s="229"/>
      <c r="R62" s="229"/>
      <c r="S62" s="229"/>
      <c r="T62" s="229"/>
      <c r="U62" s="229"/>
      <c r="V62" s="258"/>
      <c r="W62" s="4"/>
      <c r="X62" s="16"/>
    </row>
    <row r="63" spans="1:24" x14ac:dyDescent="0.15">
      <c r="A63" s="27" t="s">
        <v>25</v>
      </c>
      <c r="B63" s="28"/>
      <c r="C63" s="29"/>
      <c r="D63" s="134"/>
      <c r="E63" s="30"/>
      <c r="F63" s="31"/>
      <c r="G63" s="101"/>
      <c r="H63" s="224"/>
      <c r="I63" s="224"/>
      <c r="J63" s="251"/>
      <c r="K63" s="224"/>
      <c r="L63" s="224"/>
      <c r="M63" s="224"/>
      <c r="N63" s="224"/>
      <c r="O63" s="224"/>
      <c r="P63" s="224"/>
      <c r="Q63" s="224"/>
      <c r="R63" s="224"/>
      <c r="S63" s="224"/>
      <c r="T63" s="224"/>
      <c r="U63" s="224"/>
      <c r="V63" s="252"/>
      <c r="W63" s="4"/>
    </row>
    <row r="64" spans="1:24" x14ac:dyDescent="0.15">
      <c r="A64" s="143" t="s">
        <v>193</v>
      </c>
      <c r="B64" s="143"/>
      <c r="C64" s="144"/>
      <c r="D64" s="144">
        <v>615170</v>
      </c>
      <c r="E64" s="145" t="s">
        <v>71</v>
      </c>
      <c r="F64" s="145" t="s">
        <v>192</v>
      </c>
      <c r="G64" s="165"/>
      <c r="H64" s="559"/>
      <c r="I64" s="226"/>
      <c r="J64" s="226"/>
      <c r="K64" s="226"/>
      <c r="L64" s="226"/>
      <c r="M64" s="226"/>
      <c r="N64" s="226"/>
      <c r="O64" s="226"/>
      <c r="P64" s="226"/>
      <c r="Q64" s="226"/>
      <c r="R64" s="226"/>
      <c r="S64" s="226"/>
      <c r="T64" s="226">
        <v>680</v>
      </c>
      <c r="U64" s="582"/>
      <c r="V64" s="255">
        <f>SUM(H64:T64)</f>
        <v>680</v>
      </c>
      <c r="W64" s="14"/>
    </row>
    <row r="65" spans="1:24" s="98" customFormat="1" ht="11.25" thickBot="1" x14ac:dyDescent="0.2">
      <c r="A65" s="516" t="s">
        <v>11</v>
      </c>
      <c r="B65" s="517"/>
      <c r="C65" s="518"/>
      <c r="D65" s="531"/>
      <c r="E65" s="516"/>
      <c r="F65" s="520"/>
      <c r="G65" s="521"/>
      <c r="H65" s="522">
        <f>SUM(H64)</f>
        <v>0</v>
      </c>
      <c r="I65" s="522">
        <f>SUM(I64)</f>
        <v>0</v>
      </c>
      <c r="J65" s="522">
        <f t="shared" ref="J65:V65" si="12">SUM(J64)</f>
        <v>0</v>
      </c>
      <c r="K65" s="522">
        <f t="shared" si="12"/>
        <v>0</v>
      </c>
      <c r="L65" s="522">
        <f t="shared" si="12"/>
        <v>0</v>
      </c>
      <c r="M65" s="522">
        <f t="shared" si="12"/>
        <v>0</v>
      </c>
      <c r="N65" s="522">
        <f t="shared" si="12"/>
        <v>0</v>
      </c>
      <c r="O65" s="522">
        <f t="shared" si="12"/>
        <v>0</v>
      </c>
      <c r="P65" s="522">
        <f t="shared" si="12"/>
        <v>0</v>
      </c>
      <c r="Q65" s="522">
        <f t="shared" si="12"/>
        <v>0</v>
      </c>
      <c r="R65" s="522">
        <f t="shared" si="12"/>
        <v>0</v>
      </c>
      <c r="S65" s="522">
        <f t="shared" si="12"/>
        <v>0</v>
      </c>
      <c r="T65" s="522">
        <f t="shared" si="12"/>
        <v>680</v>
      </c>
      <c r="U65" s="522">
        <f t="shared" si="12"/>
        <v>0</v>
      </c>
      <c r="V65" s="522">
        <f t="shared" si="12"/>
        <v>680</v>
      </c>
      <c r="W65" s="97" t="str">
        <f>+IF(V65=SUM(H65:T65),"contrôle ok", "erreur")</f>
        <v>contrôle ok</v>
      </c>
    </row>
    <row r="66" spans="1:24" s="37" customFormat="1" ht="11.25" thickTop="1" x14ac:dyDescent="0.15">
      <c r="A66" s="45"/>
      <c r="B66" s="46"/>
      <c r="C66" s="47"/>
      <c r="D66" s="111"/>
      <c r="E66" s="49"/>
      <c r="F66" s="48"/>
      <c r="G66" s="100"/>
      <c r="H66" s="246"/>
      <c r="I66" s="246"/>
      <c r="J66" s="246"/>
      <c r="K66" s="246"/>
      <c r="L66" s="246"/>
      <c r="M66" s="246"/>
      <c r="N66" s="246"/>
      <c r="O66" s="246"/>
      <c r="P66" s="246"/>
      <c r="Q66" s="246"/>
      <c r="R66" s="246"/>
      <c r="S66" s="246"/>
      <c r="T66" s="246"/>
      <c r="U66" s="246"/>
      <c r="V66" s="288"/>
      <c r="W66" s="4"/>
      <c r="X66" s="16"/>
    </row>
    <row r="67" spans="1:24" x14ac:dyDescent="0.15">
      <c r="A67" s="27" t="s">
        <v>327</v>
      </c>
      <c r="B67" s="28"/>
      <c r="C67" s="29"/>
      <c r="D67" s="134"/>
      <c r="E67" s="30"/>
      <c r="F67" s="31"/>
      <c r="G67" s="101"/>
      <c r="H67" s="224"/>
      <c r="I67" s="224"/>
      <c r="J67" s="251"/>
      <c r="K67" s="224"/>
      <c r="L67" s="224"/>
      <c r="M67" s="224"/>
      <c r="N67" s="224"/>
      <c r="O67" s="224"/>
      <c r="P67" s="224"/>
      <c r="Q67" s="224"/>
      <c r="R67" s="224"/>
      <c r="S67" s="224"/>
      <c r="T67" s="224"/>
      <c r="U67" s="224"/>
      <c r="V67" s="252"/>
      <c r="W67" s="4"/>
    </row>
    <row r="68" spans="1:24" s="98" customFormat="1" x14ac:dyDescent="0.15">
      <c r="A68" s="178" t="s">
        <v>452</v>
      </c>
      <c r="B68" s="176"/>
      <c r="C68" s="177"/>
      <c r="D68" s="511">
        <v>615175</v>
      </c>
      <c r="E68" s="153" t="s">
        <v>108</v>
      </c>
      <c r="F68" s="151" t="s">
        <v>192</v>
      </c>
      <c r="G68" s="108"/>
      <c r="H68" s="559"/>
      <c r="I68" s="226"/>
      <c r="J68" s="299"/>
      <c r="K68" s="226"/>
      <c r="L68" s="226"/>
      <c r="M68" s="226"/>
      <c r="N68" s="226"/>
      <c r="O68" s="226"/>
      <c r="P68" s="226"/>
      <c r="Q68" s="226"/>
      <c r="R68" s="226"/>
      <c r="S68" s="226"/>
      <c r="T68" s="226"/>
      <c r="U68" s="582"/>
      <c r="V68" s="226"/>
      <c r="W68" s="55"/>
    </row>
    <row r="69" spans="1:24" s="37" customFormat="1" x14ac:dyDescent="0.15">
      <c r="A69" s="178" t="s">
        <v>452</v>
      </c>
      <c r="B69" s="176" t="s">
        <v>546</v>
      </c>
      <c r="C69" s="177" t="s">
        <v>547</v>
      </c>
      <c r="D69" s="511">
        <v>615175</v>
      </c>
      <c r="E69" s="153" t="s">
        <v>108</v>
      </c>
      <c r="F69" s="151" t="s">
        <v>179</v>
      </c>
      <c r="G69" s="108">
        <v>82.5</v>
      </c>
      <c r="H69" s="559"/>
      <c r="I69" s="226">
        <v>82.5</v>
      </c>
      <c r="J69" s="226">
        <v>82.5</v>
      </c>
      <c r="K69" s="226">
        <v>82.5</v>
      </c>
      <c r="L69" s="226">
        <v>82.5</v>
      </c>
      <c r="M69" s="226">
        <v>82.5</v>
      </c>
      <c r="N69" s="226">
        <v>82.5</v>
      </c>
      <c r="O69" s="226">
        <v>82.5</v>
      </c>
      <c r="P69" s="226">
        <v>82.5</v>
      </c>
      <c r="Q69" s="226">
        <v>82.5</v>
      </c>
      <c r="R69" s="226">
        <v>82.5</v>
      </c>
      <c r="S69" s="226">
        <v>82.5</v>
      </c>
      <c r="T69" s="226">
        <v>82.5</v>
      </c>
      <c r="U69" s="582"/>
      <c r="V69" s="255">
        <f t="shared" ref="V69:V74" si="13">SUM(H69:T69)</f>
        <v>990</v>
      </c>
      <c r="W69" s="14"/>
      <c r="X69" s="16"/>
    </row>
    <row r="70" spans="1:24" s="37" customFormat="1" x14ac:dyDescent="0.15">
      <c r="A70" s="46" t="s">
        <v>452</v>
      </c>
      <c r="B70" s="46" t="s">
        <v>472</v>
      </c>
      <c r="C70" s="137" t="s">
        <v>521</v>
      </c>
      <c r="D70" s="511">
        <v>615175</v>
      </c>
      <c r="E70" s="173" t="s">
        <v>108</v>
      </c>
      <c r="F70" s="49" t="s">
        <v>179</v>
      </c>
      <c r="G70" s="100">
        <v>277.70999999999998</v>
      </c>
      <c r="H70" s="559"/>
      <c r="I70" s="226">
        <v>277.70999999999998</v>
      </c>
      <c r="J70" s="226">
        <v>277.70999999999998</v>
      </c>
      <c r="K70" s="226">
        <v>277.70999999999998</v>
      </c>
      <c r="L70" s="226">
        <v>277.70999999999998</v>
      </c>
      <c r="M70" s="226">
        <v>277.70999999999998</v>
      </c>
      <c r="N70" s="226">
        <v>277.70999999999998</v>
      </c>
      <c r="O70" s="226">
        <v>277.70999999999998</v>
      </c>
      <c r="P70" s="226">
        <v>277.70999999999998</v>
      </c>
      <c r="Q70" s="226">
        <v>277.70999999999998</v>
      </c>
      <c r="R70" s="226">
        <v>277.70999999999998</v>
      </c>
      <c r="S70" s="226">
        <v>277.70999999999998</v>
      </c>
      <c r="T70" s="226">
        <v>277.70999999999998</v>
      </c>
      <c r="U70" s="582"/>
      <c r="V70" s="255">
        <f t="shared" si="13"/>
        <v>3332.52</v>
      </c>
      <c r="W70" s="14"/>
      <c r="X70" s="16"/>
    </row>
    <row r="71" spans="1:24" s="37" customFormat="1" x14ac:dyDescent="0.15">
      <c r="A71" s="46" t="s">
        <v>452</v>
      </c>
      <c r="B71" s="46" t="s">
        <v>522</v>
      </c>
      <c r="C71" s="137" t="s">
        <v>521</v>
      </c>
      <c r="D71" s="511">
        <v>615175</v>
      </c>
      <c r="E71" s="173" t="s">
        <v>108</v>
      </c>
      <c r="F71" s="49" t="s">
        <v>179</v>
      </c>
      <c r="G71" s="100">
        <v>41.67</v>
      </c>
      <c r="H71" s="559"/>
      <c r="I71" s="226">
        <v>41.67</v>
      </c>
      <c r="J71" s="226">
        <v>41.67</v>
      </c>
      <c r="K71" s="226">
        <v>41.67</v>
      </c>
      <c r="L71" s="226">
        <v>41.67</v>
      </c>
      <c r="M71" s="226">
        <v>41.67</v>
      </c>
      <c r="N71" s="226">
        <v>41.67</v>
      </c>
      <c r="O71" s="226">
        <v>41.67</v>
      </c>
      <c r="P71" s="226">
        <v>41.67</v>
      </c>
      <c r="Q71" s="226">
        <v>41.67</v>
      </c>
      <c r="R71" s="226">
        <v>41.67</v>
      </c>
      <c r="S71" s="226">
        <v>41.67</v>
      </c>
      <c r="T71" s="226">
        <v>41.67</v>
      </c>
      <c r="U71" s="582"/>
      <c r="V71" s="255">
        <f t="shared" si="13"/>
        <v>500.04000000000013</v>
      </c>
      <c r="W71" s="14"/>
      <c r="X71" s="16"/>
    </row>
    <row r="72" spans="1:24" s="37" customFormat="1" x14ac:dyDescent="0.15">
      <c r="A72" s="46" t="s">
        <v>452</v>
      </c>
      <c r="B72" s="46"/>
      <c r="C72" s="137" t="s">
        <v>667</v>
      </c>
      <c r="D72" s="511">
        <v>615175</v>
      </c>
      <c r="E72" s="173" t="s">
        <v>108</v>
      </c>
      <c r="F72" s="49" t="s">
        <v>179</v>
      </c>
      <c r="G72" s="100">
        <v>17.25</v>
      </c>
      <c r="H72" s="559"/>
      <c r="I72" s="226">
        <v>17.25</v>
      </c>
      <c r="J72" s="226">
        <v>17.25</v>
      </c>
      <c r="K72" s="226">
        <v>17.25</v>
      </c>
      <c r="L72" s="226">
        <v>17.25</v>
      </c>
      <c r="M72" s="226">
        <v>17.25</v>
      </c>
      <c r="N72" s="226">
        <v>17.25</v>
      </c>
      <c r="O72" s="226">
        <v>17.25</v>
      </c>
      <c r="P72" s="226">
        <v>17.25</v>
      </c>
      <c r="Q72" s="226">
        <v>17.25</v>
      </c>
      <c r="R72" s="226">
        <v>17.25</v>
      </c>
      <c r="S72" s="226">
        <v>17.25</v>
      </c>
      <c r="T72" s="226">
        <v>17.25</v>
      </c>
      <c r="U72" s="582"/>
      <c r="V72" s="255">
        <f t="shared" si="13"/>
        <v>207</v>
      </c>
      <c r="W72" s="14"/>
      <c r="X72" s="16"/>
    </row>
    <row r="73" spans="1:24" x14ac:dyDescent="0.15">
      <c r="A73" s="178" t="s">
        <v>452</v>
      </c>
      <c r="B73" s="176" t="s">
        <v>459</v>
      </c>
      <c r="C73" s="177"/>
      <c r="D73" s="511">
        <v>615175</v>
      </c>
      <c r="E73" s="153" t="s">
        <v>108</v>
      </c>
      <c r="F73" s="151" t="s">
        <v>179</v>
      </c>
      <c r="G73" s="108"/>
      <c r="H73" s="559"/>
      <c r="I73" s="226">
        <v>128.43</v>
      </c>
      <c r="J73" s="226">
        <v>128.41999999999999</v>
      </c>
      <c r="K73" s="226"/>
      <c r="L73" s="226"/>
      <c r="M73" s="226"/>
      <c r="N73" s="226"/>
      <c r="O73" s="226"/>
      <c r="P73" s="226"/>
      <c r="Q73" s="226"/>
      <c r="R73" s="226"/>
      <c r="S73" s="226"/>
      <c r="T73" s="226"/>
      <c r="U73" s="582"/>
      <c r="V73" s="255">
        <f t="shared" si="13"/>
        <v>256.85000000000002</v>
      </c>
      <c r="W73" s="125"/>
    </row>
    <row r="74" spans="1:24" x14ac:dyDescent="0.15">
      <c r="A74" s="178" t="s">
        <v>452</v>
      </c>
      <c r="B74" s="176"/>
      <c r="C74" s="177"/>
      <c r="D74" s="512">
        <v>615175</v>
      </c>
      <c r="E74" s="153" t="s">
        <v>108</v>
      </c>
      <c r="F74" s="151" t="s">
        <v>179</v>
      </c>
      <c r="G74" s="108">
        <v>42.01</v>
      </c>
      <c r="H74" s="559"/>
      <c r="I74" s="226">
        <v>42.01</v>
      </c>
      <c r="J74" s="226">
        <v>42.01</v>
      </c>
      <c r="K74" s="226">
        <v>42.01</v>
      </c>
      <c r="L74" s="226">
        <v>42.01</v>
      </c>
      <c r="M74" s="226">
        <v>42.01</v>
      </c>
      <c r="N74" s="226">
        <v>42.01</v>
      </c>
      <c r="O74" s="226">
        <v>42.01</v>
      </c>
      <c r="P74" s="226">
        <v>42.01</v>
      </c>
      <c r="Q74" s="226">
        <v>42.01</v>
      </c>
      <c r="R74" s="226">
        <v>42.01</v>
      </c>
      <c r="S74" s="226">
        <v>42.01</v>
      </c>
      <c r="T74" s="226">
        <v>41.99</v>
      </c>
      <c r="U74" s="582"/>
      <c r="V74" s="255">
        <f t="shared" si="13"/>
        <v>504.09999999999997</v>
      </c>
      <c r="W74" s="125"/>
    </row>
    <row r="75" spans="1:24" ht="11.25" thickBot="1" x14ac:dyDescent="0.2">
      <c r="A75" s="516" t="s">
        <v>11</v>
      </c>
      <c r="B75" s="517"/>
      <c r="C75" s="518"/>
      <c r="D75" s="531"/>
      <c r="E75" s="516"/>
      <c r="F75" s="520"/>
      <c r="G75" s="521"/>
      <c r="H75" s="522">
        <f t="shared" ref="H75:V75" si="14">SUM(H69:H74)</f>
        <v>0</v>
      </c>
      <c r="I75" s="522">
        <f t="shared" si="14"/>
        <v>589.56999999999994</v>
      </c>
      <c r="J75" s="522">
        <f t="shared" si="14"/>
        <v>589.55999999999995</v>
      </c>
      <c r="K75" s="522">
        <f t="shared" si="14"/>
        <v>461.14</v>
      </c>
      <c r="L75" s="522">
        <f t="shared" si="14"/>
        <v>461.14</v>
      </c>
      <c r="M75" s="522">
        <f t="shared" si="14"/>
        <v>461.14</v>
      </c>
      <c r="N75" s="522">
        <f t="shared" si="14"/>
        <v>461.14</v>
      </c>
      <c r="O75" s="522">
        <f t="shared" si="14"/>
        <v>461.14</v>
      </c>
      <c r="P75" s="522">
        <f t="shared" si="14"/>
        <v>461.14</v>
      </c>
      <c r="Q75" s="522">
        <f t="shared" si="14"/>
        <v>461.14</v>
      </c>
      <c r="R75" s="522">
        <f t="shared" si="14"/>
        <v>461.14</v>
      </c>
      <c r="S75" s="522">
        <f t="shared" si="14"/>
        <v>461.14</v>
      </c>
      <c r="T75" s="522">
        <f t="shared" si="14"/>
        <v>461.12</v>
      </c>
      <c r="U75" s="522">
        <f t="shared" si="14"/>
        <v>0</v>
      </c>
      <c r="V75" s="522">
        <f t="shared" si="14"/>
        <v>5790.5100000000011</v>
      </c>
      <c r="W75" s="97" t="str">
        <f>+IF(V75=SUM(H75:T75),"contrôle ok", "erreur")</f>
        <v>contrôle ok</v>
      </c>
    </row>
    <row r="76" spans="1:24" ht="11.25" thickTop="1" x14ac:dyDescent="0.15">
      <c r="A76" s="96"/>
      <c r="B76" s="46"/>
      <c r="C76" s="47"/>
      <c r="D76" s="111"/>
      <c r="E76" s="173"/>
      <c r="F76" s="48"/>
      <c r="G76" s="100"/>
      <c r="H76" s="246"/>
      <c r="I76" s="246"/>
      <c r="J76" s="246"/>
      <c r="K76" s="246"/>
      <c r="L76" s="246"/>
      <c r="M76" s="246"/>
      <c r="N76" s="246"/>
      <c r="O76" s="246"/>
      <c r="P76" s="246"/>
      <c r="Q76" s="246"/>
      <c r="R76" s="246"/>
      <c r="S76" s="246"/>
      <c r="T76" s="246"/>
      <c r="U76" s="246"/>
      <c r="V76" s="282"/>
      <c r="W76" s="4"/>
    </row>
    <row r="77" spans="1:24" s="37" customFormat="1" x14ac:dyDescent="0.15">
      <c r="A77" s="27" t="s">
        <v>226</v>
      </c>
      <c r="B77" s="28"/>
      <c r="C77" s="29"/>
      <c r="D77" s="134"/>
      <c r="E77" s="30"/>
      <c r="F77" s="31"/>
      <c r="G77" s="101"/>
      <c r="H77" s="224"/>
      <c r="I77" s="224"/>
      <c r="J77" s="251"/>
      <c r="K77" s="224"/>
      <c r="L77" s="224"/>
      <c r="M77" s="224"/>
      <c r="N77" s="224"/>
      <c r="O77" s="224"/>
      <c r="P77" s="224"/>
      <c r="Q77" s="224"/>
      <c r="R77" s="224"/>
      <c r="S77" s="224"/>
      <c r="T77" s="224"/>
      <c r="U77" s="224"/>
      <c r="V77" s="252"/>
      <c r="W77" s="4"/>
      <c r="X77" s="16"/>
    </row>
    <row r="78" spans="1:24" x14ac:dyDescent="0.15">
      <c r="A78" s="143" t="s">
        <v>376</v>
      </c>
      <c r="B78" s="143"/>
      <c r="C78" s="144"/>
      <c r="D78" s="144">
        <v>615176</v>
      </c>
      <c r="E78" s="145" t="s">
        <v>108</v>
      </c>
      <c r="F78" s="145" t="s">
        <v>192</v>
      </c>
      <c r="G78" s="165"/>
      <c r="H78" s="559"/>
      <c r="I78" s="226"/>
      <c r="J78" s="226"/>
      <c r="K78" s="226"/>
      <c r="L78" s="226"/>
      <c r="M78" s="226"/>
      <c r="N78" s="226"/>
      <c r="O78" s="226"/>
      <c r="P78" s="226"/>
      <c r="Q78" s="226"/>
      <c r="R78" s="615">
        <v>1274</v>
      </c>
      <c r="S78" s="226"/>
      <c r="T78" s="226"/>
      <c r="U78" s="582"/>
      <c r="V78" s="255">
        <f>SUM(H78:T78)</f>
        <v>1274</v>
      </c>
      <c r="W78" s="14"/>
    </row>
    <row r="79" spans="1:24" x14ac:dyDescent="0.15">
      <c r="A79" s="143" t="s">
        <v>608</v>
      </c>
      <c r="B79" s="143"/>
      <c r="C79" s="144"/>
      <c r="D79" s="144">
        <v>615176</v>
      </c>
      <c r="E79" s="145" t="s">
        <v>108</v>
      </c>
      <c r="F79" s="145" t="s">
        <v>192</v>
      </c>
      <c r="G79" s="165"/>
      <c r="H79" s="559"/>
      <c r="I79" s="226"/>
      <c r="J79" s="226"/>
      <c r="K79" s="226"/>
      <c r="L79" s="226"/>
      <c r="M79" s="226"/>
      <c r="N79" s="226"/>
      <c r="O79" s="226"/>
      <c r="P79" s="226"/>
      <c r="Q79" s="226"/>
      <c r="R79" s="226"/>
      <c r="S79" s="226"/>
      <c r="T79" s="226"/>
      <c r="U79" s="582"/>
      <c r="V79" s="255">
        <f>SUM(H79:T79)</f>
        <v>0</v>
      </c>
      <c r="W79" s="14"/>
    </row>
    <row r="80" spans="1:24" x14ac:dyDescent="0.15">
      <c r="A80" s="143" t="s">
        <v>456</v>
      </c>
      <c r="B80" s="143"/>
      <c r="C80" s="144"/>
      <c r="D80" s="144">
        <v>615176</v>
      </c>
      <c r="E80" s="145" t="s">
        <v>108</v>
      </c>
      <c r="F80" s="145" t="s">
        <v>179</v>
      </c>
      <c r="G80" s="165"/>
      <c r="H80" s="559"/>
      <c r="I80" s="226"/>
      <c r="J80" s="226"/>
      <c r="K80" s="226"/>
      <c r="L80" s="226"/>
      <c r="M80" s="226"/>
      <c r="N80" s="226"/>
      <c r="O80" s="226"/>
      <c r="P80" s="226"/>
      <c r="Q80" s="226"/>
      <c r="R80" s="226"/>
      <c r="S80" s="226"/>
      <c r="T80" s="226"/>
      <c r="U80" s="582"/>
      <c r="V80" s="255">
        <f>SUM(H80:T80)</f>
        <v>0</v>
      </c>
      <c r="W80" s="14"/>
    </row>
    <row r="81" spans="1:24" ht="11.25" thickBot="1" x14ac:dyDescent="0.2">
      <c r="A81" s="516" t="s">
        <v>11</v>
      </c>
      <c r="B81" s="517"/>
      <c r="C81" s="518"/>
      <c r="D81" s="531"/>
      <c r="E81" s="516"/>
      <c r="F81" s="520"/>
      <c r="G81" s="521"/>
      <c r="H81" s="522">
        <f>H79+H80</f>
        <v>0</v>
      </c>
      <c r="I81" s="522">
        <f t="shared" ref="I81:T81" si="15">I79+I80+I78</f>
        <v>0</v>
      </c>
      <c r="J81" s="522">
        <f t="shared" si="15"/>
        <v>0</v>
      </c>
      <c r="K81" s="522">
        <f t="shared" si="15"/>
        <v>0</v>
      </c>
      <c r="L81" s="522">
        <f t="shared" si="15"/>
        <v>0</v>
      </c>
      <c r="M81" s="522">
        <f t="shared" si="15"/>
        <v>0</v>
      </c>
      <c r="N81" s="522">
        <f t="shared" si="15"/>
        <v>0</v>
      </c>
      <c r="O81" s="522">
        <f t="shared" si="15"/>
        <v>0</v>
      </c>
      <c r="P81" s="522">
        <f t="shared" si="15"/>
        <v>0</v>
      </c>
      <c r="Q81" s="522">
        <f t="shared" si="15"/>
        <v>0</v>
      </c>
      <c r="R81" s="522">
        <f t="shared" si="15"/>
        <v>1274</v>
      </c>
      <c r="S81" s="522">
        <f t="shared" si="15"/>
        <v>0</v>
      </c>
      <c r="T81" s="522">
        <f t="shared" si="15"/>
        <v>0</v>
      </c>
      <c r="U81" s="522">
        <f>U79+U80+U78</f>
        <v>0</v>
      </c>
      <c r="V81" s="522">
        <f>V79+V80+V78</f>
        <v>1274</v>
      </c>
      <c r="W81" s="97" t="str">
        <f>+IF(V81=SUM(H81:T81),"contrôle ok", "erreur")</f>
        <v>contrôle ok</v>
      </c>
    </row>
    <row r="82" spans="1:24" ht="11.25" thickTop="1" x14ac:dyDescent="0.15">
      <c r="A82" s="45"/>
      <c r="B82" s="46"/>
      <c r="C82" s="47"/>
      <c r="D82" s="111"/>
      <c r="E82" s="49"/>
      <c r="F82" s="48"/>
      <c r="G82" s="100"/>
      <c r="H82" s="246"/>
      <c r="I82" s="246"/>
      <c r="J82" s="246"/>
      <c r="K82" s="246"/>
      <c r="L82" s="246"/>
      <c r="M82" s="246"/>
      <c r="N82" s="246"/>
      <c r="O82" s="246"/>
      <c r="P82" s="246"/>
      <c r="Q82" s="246"/>
      <c r="R82" s="246"/>
      <c r="S82" s="246"/>
      <c r="T82" s="246"/>
      <c r="U82" s="246"/>
      <c r="V82" s="278"/>
      <c r="W82" s="4"/>
    </row>
    <row r="83" spans="1:24" s="37" customFormat="1" x14ac:dyDescent="0.15">
      <c r="A83" s="27" t="s">
        <v>84</v>
      </c>
      <c r="B83" s="28"/>
      <c r="C83" s="29"/>
      <c r="D83" s="134"/>
      <c r="E83" s="30"/>
      <c r="F83" s="31"/>
      <c r="G83" s="101"/>
      <c r="H83" s="224"/>
      <c r="I83" s="224"/>
      <c r="J83" s="251"/>
      <c r="K83" s="224"/>
      <c r="L83" s="224"/>
      <c r="M83" s="224"/>
      <c r="N83" s="224"/>
      <c r="O83" s="224"/>
      <c r="P83" s="224"/>
      <c r="Q83" s="224"/>
      <c r="R83" s="224"/>
      <c r="S83" s="224"/>
      <c r="T83" s="224"/>
      <c r="U83" s="224"/>
      <c r="V83" s="252"/>
      <c r="W83" s="4"/>
      <c r="X83" s="16"/>
    </row>
    <row r="84" spans="1:24" s="56" customFormat="1" x14ac:dyDescent="0.15">
      <c r="A84" s="143" t="s">
        <v>85</v>
      </c>
      <c r="B84" s="143"/>
      <c r="C84" s="144"/>
      <c r="D84" s="144">
        <v>615180</v>
      </c>
      <c r="E84" s="145" t="s">
        <v>71</v>
      </c>
      <c r="F84" s="145" t="s">
        <v>179</v>
      </c>
      <c r="G84" s="165">
        <v>344.72</v>
      </c>
      <c r="H84" s="559"/>
      <c r="I84" s="226">
        <v>344.72</v>
      </c>
      <c r="J84" s="226">
        <v>344.72</v>
      </c>
      <c r="K84" s="226">
        <v>344.72</v>
      </c>
      <c r="L84" s="226">
        <v>344.72</v>
      </c>
      <c r="M84" s="226">
        <v>344.72</v>
      </c>
      <c r="N84" s="226">
        <v>344.72</v>
      </c>
      <c r="O84" s="226">
        <v>344.72</v>
      </c>
      <c r="P84" s="226">
        <v>344.72</v>
      </c>
      <c r="Q84" s="226">
        <v>344.72</v>
      </c>
      <c r="R84" s="226">
        <v>344.72</v>
      </c>
      <c r="S84" s="226">
        <v>344.72</v>
      </c>
      <c r="T84" s="226">
        <v>344.72</v>
      </c>
      <c r="U84" s="582"/>
      <c r="V84" s="255">
        <f>SUM(H84:T84)</f>
        <v>4136.6400000000012</v>
      </c>
      <c r="W84" s="14"/>
      <c r="X84" s="16"/>
    </row>
    <row r="85" spans="1:24" x14ac:dyDescent="0.15">
      <c r="A85" s="143" t="s">
        <v>164</v>
      </c>
      <c r="B85" s="143"/>
      <c r="C85" s="144"/>
      <c r="D85" s="144">
        <v>615180</v>
      </c>
      <c r="E85" s="145" t="s">
        <v>71</v>
      </c>
      <c r="F85" s="145" t="s">
        <v>192</v>
      </c>
      <c r="G85" s="165"/>
      <c r="H85" s="559"/>
      <c r="I85" s="226"/>
      <c r="J85" s="226"/>
      <c r="K85" s="226"/>
      <c r="L85" s="226">
        <v>756.9</v>
      </c>
      <c r="M85" s="226"/>
      <c r="N85" s="226"/>
      <c r="O85" s="226"/>
      <c r="P85" s="226">
        <v>506.44</v>
      </c>
      <c r="Q85" s="226">
        <f>333.33+24.92</f>
        <v>358.25</v>
      </c>
      <c r="R85" s="226"/>
      <c r="S85" s="226"/>
      <c r="T85" s="226"/>
      <c r="U85" s="582"/>
      <c r="V85" s="255">
        <f>SUM(H85:T85)</f>
        <v>1621.59</v>
      </c>
      <c r="W85" s="14"/>
    </row>
    <row r="86" spans="1:24" ht="11.25" thickBot="1" x14ac:dyDescent="0.2">
      <c r="A86" s="516" t="s">
        <v>11</v>
      </c>
      <c r="B86" s="517"/>
      <c r="C86" s="518"/>
      <c r="D86" s="531"/>
      <c r="E86" s="516"/>
      <c r="F86" s="520"/>
      <c r="G86" s="521"/>
      <c r="H86" s="522">
        <f>SUM(H84:H85)</f>
        <v>0</v>
      </c>
      <c r="I86" s="522">
        <f>SUM(I84:I85)</f>
        <v>344.72</v>
      </c>
      <c r="J86" s="522">
        <f t="shared" ref="J86:U86" si="16">SUM(J84:J85)</f>
        <v>344.72</v>
      </c>
      <c r="K86" s="522">
        <f t="shared" si="16"/>
        <v>344.72</v>
      </c>
      <c r="L86" s="522">
        <f t="shared" si="16"/>
        <v>1101.6199999999999</v>
      </c>
      <c r="M86" s="522">
        <f t="shared" si="16"/>
        <v>344.72</v>
      </c>
      <c r="N86" s="522">
        <f t="shared" si="16"/>
        <v>344.72</v>
      </c>
      <c r="O86" s="522">
        <f t="shared" si="16"/>
        <v>344.72</v>
      </c>
      <c r="P86" s="522">
        <f t="shared" si="16"/>
        <v>851.16000000000008</v>
      </c>
      <c r="Q86" s="522">
        <f t="shared" si="16"/>
        <v>702.97</v>
      </c>
      <c r="R86" s="522">
        <f t="shared" si="16"/>
        <v>344.72</v>
      </c>
      <c r="S86" s="522">
        <f t="shared" si="16"/>
        <v>344.72</v>
      </c>
      <c r="T86" s="522">
        <f t="shared" si="16"/>
        <v>344.72</v>
      </c>
      <c r="U86" s="522">
        <f t="shared" si="16"/>
        <v>0</v>
      </c>
      <c r="V86" s="522">
        <f>SUM(V84:V85)</f>
        <v>5758.2300000000014</v>
      </c>
      <c r="W86" s="97" t="str">
        <f>+IF(V86=SUM(H86:T86),"contrôle ok", "erreur")</f>
        <v>contrôle ok</v>
      </c>
    </row>
    <row r="87" spans="1:24" ht="11.25" thickTop="1" x14ac:dyDescent="0.15">
      <c r="A87" s="50"/>
      <c r="B87" s="51"/>
      <c r="C87" s="52"/>
      <c r="D87" s="136"/>
      <c r="E87" s="54"/>
      <c r="F87" s="53"/>
      <c r="G87" s="108"/>
      <c r="H87" s="228"/>
      <c r="I87" s="228"/>
      <c r="J87" s="228"/>
      <c r="K87" s="228"/>
      <c r="L87" s="228"/>
      <c r="M87" s="228"/>
      <c r="N87" s="228"/>
      <c r="O87" s="228"/>
      <c r="P87" s="228"/>
      <c r="Q87" s="228"/>
      <c r="R87" s="228"/>
      <c r="S87" s="228"/>
      <c r="T87" s="228"/>
      <c r="U87" s="228"/>
      <c r="V87" s="283"/>
      <c r="W87" s="55"/>
    </row>
    <row r="88" spans="1:24" x14ac:dyDescent="0.15">
      <c r="A88" s="27" t="s">
        <v>91</v>
      </c>
      <c r="B88" s="28"/>
      <c r="C88" s="29"/>
      <c r="D88" s="134"/>
      <c r="E88" s="30"/>
      <c r="F88" s="31"/>
      <c r="G88" s="101"/>
      <c r="H88" s="224"/>
      <c r="I88" s="224"/>
      <c r="J88" s="251"/>
      <c r="K88" s="224"/>
      <c r="L88" s="224"/>
      <c r="M88" s="224"/>
      <c r="N88" s="224"/>
      <c r="O88" s="224"/>
      <c r="P88" s="224"/>
      <c r="Q88" s="224"/>
      <c r="R88" s="224"/>
      <c r="S88" s="224"/>
      <c r="T88" s="224"/>
      <c r="U88" s="224"/>
      <c r="V88" s="252"/>
      <c r="W88" s="4"/>
    </row>
    <row r="89" spans="1:24" x14ac:dyDescent="0.15">
      <c r="A89" s="143" t="s">
        <v>795</v>
      </c>
      <c r="B89" s="143"/>
      <c r="C89" s="144"/>
      <c r="D89" s="144">
        <v>615190</v>
      </c>
      <c r="E89" s="145" t="s">
        <v>71</v>
      </c>
      <c r="F89" s="145" t="s">
        <v>181</v>
      </c>
      <c r="G89" s="165"/>
      <c r="H89" s="559"/>
      <c r="I89" s="226"/>
      <c r="J89" s="226"/>
      <c r="K89" s="226">
        <v>322.88</v>
      </c>
      <c r="L89" s="226"/>
      <c r="M89" s="226"/>
      <c r="N89" s="226"/>
      <c r="O89" s="226"/>
      <c r="P89" s="226"/>
      <c r="Q89" s="226"/>
      <c r="R89" s="226"/>
      <c r="S89" s="226"/>
      <c r="T89" s="226"/>
      <c r="U89" s="582"/>
      <c r="V89" s="255">
        <f t="shared" ref="V89:V99" si="17">SUM(H89:T89)</f>
        <v>322.88</v>
      </c>
      <c r="W89" s="14"/>
    </row>
    <row r="90" spans="1:24" x14ac:dyDescent="0.15">
      <c r="A90" s="143"/>
      <c r="B90" s="143"/>
      <c r="C90" s="144"/>
      <c r="D90" s="144">
        <v>615190</v>
      </c>
      <c r="E90" s="145" t="s">
        <v>71</v>
      </c>
      <c r="F90" s="145" t="s">
        <v>185</v>
      </c>
      <c r="G90" s="165"/>
      <c r="H90" s="559"/>
      <c r="I90" s="226"/>
      <c r="J90" s="226"/>
      <c r="K90" s="226"/>
      <c r="L90" s="226"/>
      <c r="M90" s="226"/>
      <c r="N90" s="226"/>
      <c r="O90" s="226"/>
      <c r="P90" s="226"/>
      <c r="Q90" s="226"/>
      <c r="R90" s="226"/>
      <c r="S90" s="226"/>
      <c r="T90" s="226"/>
      <c r="U90" s="582"/>
      <c r="V90" s="255">
        <f t="shared" si="17"/>
        <v>0</v>
      </c>
      <c r="W90" s="14"/>
    </row>
    <row r="91" spans="1:24" x14ac:dyDescent="0.15">
      <c r="A91" s="143"/>
      <c r="B91" s="143"/>
      <c r="C91" s="144"/>
      <c r="D91" s="144">
        <v>615190</v>
      </c>
      <c r="E91" s="145" t="s">
        <v>71</v>
      </c>
      <c r="F91" s="145" t="s">
        <v>199</v>
      </c>
      <c r="G91" s="165"/>
      <c r="H91" s="559"/>
      <c r="I91" s="226"/>
      <c r="J91" s="226"/>
      <c r="K91" s="226"/>
      <c r="L91" s="226"/>
      <c r="M91" s="226"/>
      <c r="N91" s="226"/>
      <c r="O91" s="226"/>
      <c r="P91" s="226"/>
      <c r="Q91" s="226"/>
      <c r="R91" s="226"/>
      <c r="S91" s="226">
        <v>292.91000000000003</v>
      </c>
      <c r="T91" s="226"/>
      <c r="U91" s="582"/>
      <c r="V91" s="255">
        <f t="shared" si="17"/>
        <v>292.91000000000003</v>
      </c>
      <c r="W91" s="14"/>
    </row>
    <row r="92" spans="1:24" x14ac:dyDescent="0.15">
      <c r="A92" s="143" t="s">
        <v>694</v>
      </c>
      <c r="B92" s="143" t="s">
        <v>695</v>
      </c>
      <c r="C92" s="144"/>
      <c r="D92" s="144">
        <v>615190</v>
      </c>
      <c r="E92" s="145" t="s">
        <v>71</v>
      </c>
      <c r="F92" s="145" t="s">
        <v>200</v>
      </c>
      <c r="G92" s="165"/>
      <c r="H92" s="559"/>
      <c r="I92" s="226"/>
      <c r="J92" s="226">
        <v>399</v>
      </c>
      <c r="K92" s="226"/>
      <c r="L92" s="226"/>
      <c r="M92" s="226"/>
      <c r="N92" s="226"/>
      <c r="O92" s="226"/>
      <c r="P92" s="226"/>
      <c r="Q92" s="226"/>
      <c r="R92" s="226"/>
      <c r="S92" s="226"/>
      <c r="T92" s="226"/>
      <c r="U92" s="582"/>
      <c r="V92" s="255">
        <f t="shared" si="17"/>
        <v>399</v>
      </c>
      <c r="W92" s="14"/>
    </row>
    <row r="93" spans="1:24" x14ac:dyDescent="0.15">
      <c r="A93" s="143" t="s">
        <v>796</v>
      </c>
      <c r="B93" s="143"/>
      <c r="C93" s="144"/>
      <c r="D93" s="144">
        <v>615190</v>
      </c>
      <c r="E93" s="145" t="s">
        <v>71</v>
      </c>
      <c r="F93" s="145" t="s">
        <v>192</v>
      </c>
      <c r="G93" s="165"/>
      <c r="H93" s="559">
        <v>-590.4</v>
      </c>
      <c r="I93" s="226">
        <v>482.09</v>
      </c>
      <c r="J93" s="226">
        <v>482.09</v>
      </c>
      <c r="K93" s="226">
        <v>482.1</v>
      </c>
      <c r="L93" s="226">
        <f>-1446.28+473.38</f>
        <v>-972.9</v>
      </c>
      <c r="M93" s="226"/>
      <c r="N93" s="226"/>
      <c r="O93" s="226"/>
      <c r="P93" s="226"/>
      <c r="Q93" s="226">
        <v>1691.33</v>
      </c>
      <c r="R93" s="226">
        <v>1078</v>
      </c>
      <c r="S93" s="226">
        <v>26.45</v>
      </c>
      <c r="T93" s="226"/>
      <c r="U93" s="582"/>
      <c r="V93" s="255">
        <f t="shared" si="17"/>
        <v>2678.7599999999998</v>
      </c>
      <c r="W93" s="14"/>
    </row>
    <row r="94" spans="1:24" x14ac:dyDescent="0.15">
      <c r="A94" s="170" t="s">
        <v>570</v>
      </c>
      <c r="B94" s="143" t="s">
        <v>571</v>
      </c>
      <c r="C94" s="144" t="s">
        <v>666</v>
      </c>
      <c r="D94" s="144">
        <v>615190</v>
      </c>
      <c r="E94" s="145" t="s">
        <v>71</v>
      </c>
      <c r="F94" s="145" t="s">
        <v>196</v>
      </c>
      <c r="G94" s="165">
        <f>2025/12</f>
        <v>168.75</v>
      </c>
      <c r="H94" s="559"/>
      <c r="I94" s="226">
        <v>168.75</v>
      </c>
      <c r="J94" s="226">
        <v>168.75</v>
      </c>
      <c r="K94" s="226">
        <v>168.75</v>
      </c>
      <c r="L94" s="226">
        <v>168.75</v>
      </c>
      <c r="M94" s="226">
        <v>168.75</v>
      </c>
      <c r="N94" s="226">
        <v>168.75</v>
      </c>
      <c r="O94" s="226">
        <v>168.75</v>
      </c>
      <c r="P94" s="226">
        <v>168.75</v>
      </c>
      <c r="Q94" s="226">
        <v>168.75</v>
      </c>
      <c r="R94" s="226">
        <v>168.75</v>
      </c>
      <c r="S94" s="226">
        <v>168.75</v>
      </c>
      <c r="T94" s="226"/>
      <c r="U94" s="582"/>
      <c r="V94" s="255">
        <f>SUM(H94:T94)</f>
        <v>1856.25</v>
      </c>
      <c r="W94" s="14"/>
    </row>
    <row r="95" spans="1:24" x14ac:dyDescent="0.15">
      <c r="A95" s="170" t="s">
        <v>854</v>
      </c>
      <c r="B95" s="143" t="s">
        <v>571</v>
      </c>
      <c r="C95" s="144" t="s">
        <v>869</v>
      </c>
      <c r="D95" s="144">
        <v>615190</v>
      </c>
      <c r="E95" s="145" t="s">
        <v>71</v>
      </c>
      <c r="F95" s="145" t="s">
        <v>196</v>
      </c>
      <c r="G95" s="165">
        <v>168.75</v>
      </c>
      <c r="H95" s="559"/>
      <c r="I95" s="226"/>
      <c r="J95" s="226"/>
      <c r="K95" s="226"/>
      <c r="L95" s="226"/>
      <c r="M95" s="226"/>
      <c r="N95" s="226"/>
      <c r="O95" s="226"/>
      <c r="P95" s="226"/>
      <c r="Q95" s="226"/>
      <c r="R95" s="226"/>
      <c r="S95" s="226"/>
      <c r="T95" s="226">
        <v>168.75</v>
      </c>
      <c r="U95" s="582"/>
      <c r="V95" s="255">
        <f t="shared" si="17"/>
        <v>168.75</v>
      </c>
      <c r="W95" s="14"/>
    </row>
    <row r="96" spans="1:24" x14ac:dyDescent="0.15">
      <c r="A96" s="143" t="s">
        <v>207</v>
      </c>
      <c r="B96" s="143" t="s">
        <v>771</v>
      </c>
      <c r="C96" s="144"/>
      <c r="D96" s="144">
        <v>615190</v>
      </c>
      <c r="E96" s="145" t="s">
        <v>71</v>
      </c>
      <c r="F96" s="145" t="s">
        <v>196</v>
      </c>
      <c r="G96" s="165"/>
      <c r="H96" s="559"/>
      <c r="I96" s="226"/>
      <c r="J96" s="226">
        <v>143</v>
      </c>
      <c r="K96" s="226"/>
      <c r="L96" s="226"/>
      <c r="M96" s="226"/>
      <c r="N96" s="226"/>
      <c r="O96" s="226"/>
      <c r="P96" s="226"/>
      <c r="Q96" s="226"/>
      <c r="R96" s="226"/>
      <c r="S96" s="226"/>
      <c r="T96" s="226"/>
      <c r="U96" s="582"/>
      <c r="V96" s="255">
        <f>SUM(H96:T96)</f>
        <v>143</v>
      </c>
      <c r="W96" s="14"/>
    </row>
    <row r="97" spans="1:24" x14ac:dyDescent="0.15">
      <c r="A97" s="143" t="s">
        <v>207</v>
      </c>
      <c r="B97" s="143"/>
      <c r="C97" s="144"/>
      <c r="D97" s="144">
        <v>615190</v>
      </c>
      <c r="E97" s="145" t="s">
        <v>71</v>
      </c>
      <c r="F97" s="145" t="s">
        <v>184</v>
      </c>
      <c r="G97" s="165"/>
      <c r="H97" s="559"/>
      <c r="I97" s="226"/>
      <c r="J97" s="226"/>
      <c r="K97" s="226"/>
      <c r="L97" s="226"/>
      <c r="M97" s="226"/>
      <c r="N97" s="226"/>
      <c r="O97" s="226"/>
      <c r="P97" s="226"/>
      <c r="Q97" s="226"/>
      <c r="R97" s="226"/>
      <c r="S97" s="226"/>
      <c r="T97" s="226"/>
      <c r="U97" s="582"/>
      <c r="V97" s="255">
        <f t="shared" si="17"/>
        <v>0</v>
      </c>
      <c r="W97" s="14"/>
    </row>
    <row r="98" spans="1:24" s="37" customFormat="1" x14ac:dyDescent="0.15">
      <c r="A98" s="143" t="s">
        <v>207</v>
      </c>
      <c r="B98" s="143" t="s">
        <v>770</v>
      </c>
      <c r="C98" s="144"/>
      <c r="D98" s="144">
        <v>615190</v>
      </c>
      <c r="E98" s="145" t="s">
        <v>71</v>
      </c>
      <c r="F98" s="145" t="s">
        <v>198</v>
      </c>
      <c r="G98" s="165"/>
      <c r="H98" s="559"/>
      <c r="I98" s="226"/>
      <c r="J98" s="226">
        <v>538.16</v>
      </c>
      <c r="K98" s="226"/>
      <c r="L98" s="226"/>
      <c r="M98" s="226"/>
      <c r="N98" s="226"/>
      <c r="O98" s="226"/>
      <c r="P98" s="226"/>
      <c r="Q98" s="226"/>
      <c r="R98" s="226"/>
      <c r="S98" s="226"/>
      <c r="T98" s="226"/>
      <c r="U98" s="582"/>
      <c r="V98" s="255">
        <f t="shared" si="17"/>
        <v>538.16</v>
      </c>
      <c r="W98" s="14"/>
      <c r="X98" s="16"/>
    </row>
    <row r="99" spans="1:24" s="37" customFormat="1" x14ac:dyDescent="0.15">
      <c r="A99" s="143" t="s">
        <v>104</v>
      </c>
      <c r="B99" s="143"/>
      <c r="C99" s="144"/>
      <c r="D99" s="144">
        <v>615190</v>
      </c>
      <c r="E99" s="145" t="s">
        <v>71</v>
      </c>
      <c r="F99" s="145" t="s">
        <v>197</v>
      </c>
      <c r="G99" s="165">
        <v>1411.98</v>
      </c>
      <c r="H99" s="559"/>
      <c r="I99" s="226">
        <v>1411.98</v>
      </c>
      <c r="J99" s="226">
        <v>1411.98</v>
      </c>
      <c r="K99" s="226">
        <v>1411.98</v>
      </c>
      <c r="L99" s="226">
        <f>1894.06-482.08</f>
        <v>1411.98</v>
      </c>
      <c r="M99" s="226">
        <v>1411.98</v>
      </c>
      <c r="N99" s="226">
        <v>1411.98</v>
      </c>
      <c r="O99" s="226">
        <v>1411.98</v>
      </c>
      <c r="P99" s="226">
        <v>1411.98</v>
      </c>
      <c r="Q99" s="226">
        <v>1411.98</v>
      </c>
      <c r="R99" s="226">
        <v>1411.98</v>
      </c>
      <c r="S99" s="226">
        <v>1411.98</v>
      </c>
      <c r="T99" s="226">
        <v>1411.98</v>
      </c>
      <c r="U99" s="582"/>
      <c r="V99" s="255">
        <f t="shared" si="17"/>
        <v>16943.759999999998</v>
      </c>
      <c r="W99" s="14"/>
      <c r="X99" s="16"/>
    </row>
    <row r="100" spans="1:24" ht="11.25" thickBot="1" x14ac:dyDescent="0.2">
      <c r="A100" s="516" t="s">
        <v>11</v>
      </c>
      <c r="B100" s="517"/>
      <c r="C100" s="518"/>
      <c r="D100" s="531"/>
      <c r="E100" s="516"/>
      <c r="F100" s="520"/>
      <c r="G100" s="521"/>
      <c r="H100" s="522">
        <f t="shared" ref="H100:V100" si="18">SUM(H89:H99)</f>
        <v>-590.4</v>
      </c>
      <c r="I100" s="522">
        <f t="shared" si="18"/>
        <v>2062.8199999999997</v>
      </c>
      <c r="J100" s="522">
        <f t="shared" si="18"/>
        <v>3142.98</v>
      </c>
      <c r="K100" s="522">
        <f t="shared" si="18"/>
        <v>2385.71</v>
      </c>
      <c r="L100" s="522">
        <f t="shared" si="18"/>
        <v>607.83000000000004</v>
      </c>
      <c r="M100" s="522">
        <f t="shared" si="18"/>
        <v>1580.73</v>
      </c>
      <c r="N100" s="522">
        <f t="shared" si="18"/>
        <v>1580.73</v>
      </c>
      <c r="O100" s="522">
        <f t="shared" si="18"/>
        <v>1580.73</v>
      </c>
      <c r="P100" s="522">
        <f t="shared" si="18"/>
        <v>1580.73</v>
      </c>
      <c r="Q100" s="522">
        <f t="shared" si="18"/>
        <v>3272.06</v>
      </c>
      <c r="R100" s="522">
        <f t="shared" si="18"/>
        <v>2658.73</v>
      </c>
      <c r="S100" s="522">
        <f t="shared" si="18"/>
        <v>1900.0900000000001</v>
      </c>
      <c r="T100" s="522">
        <f t="shared" si="18"/>
        <v>1580.73</v>
      </c>
      <c r="U100" s="522">
        <f t="shared" si="18"/>
        <v>0</v>
      </c>
      <c r="V100" s="522">
        <f t="shared" si="18"/>
        <v>23343.469999999998</v>
      </c>
      <c r="W100" s="97" t="str">
        <f>+IF(V100=SUM(H100:T100),"contrôle ok", "erreur")</f>
        <v>contrôle ok</v>
      </c>
    </row>
    <row r="101" spans="1:24" ht="11.25" thickTop="1" x14ac:dyDescent="0.15">
      <c r="A101" s="43"/>
      <c r="B101" s="33"/>
      <c r="C101" s="34"/>
      <c r="D101" s="135"/>
      <c r="E101" s="36"/>
      <c r="F101" s="35"/>
      <c r="G101" s="100"/>
      <c r="H101" s="229"/>
      <c r="I101" s="229"/>
      <c r="J101" s="229"/>
      <c r="K101" s="229"/>
      <c r="L101" s="229"/>
      <c r="M101" s="229"/>
      <c r="N101" s="229"/>
      <c r="O101" s="229"/>
      <c r="P101" s="229"/>
      <c r="Q101" s="229"/>
      <c r="R101" s="229"/>
      <c r="S101" s="229"/>
      <c r="T101" s="229"/>
      <c r="U101" s="229"/>
      <c r="V101" s="258"/>
      <c r="W101" s="4"/>
    </row>
    <row r="102" spans="1:24" x14ac:dyDescent="0.15">
      <c r="A102" s="27" t="s">
        <v>127</v>
      </c>
      <c r="B102" s="28"/>
      <c r="C102" s="29"/>
      <c r="D102" s="134"/>
      <c r="E102" s="30"/>
      <c r="F102" s="31"/>
      <c r="G102" s="101"/>
      <c r="H102" s="224"/>
      <c r="I102" s="224"/>
      <c r="J102" s="251"/>
      <c r="K102" s="224"/>
      <c r="L102" s="224"/>
      <c r="M102" s="224"/>
      <c r="N102" s="224"/>
      <c r="O102" s="224"/>
      <c r="P102" s="224"/>
      <c r="Q102" s="224"/>
      <c r="R102" s="224"/>
      <c r="S102" s="224"/>
      <c r="T102" s="224"/>
      <c r="U102" s="224"/>
      <c r="V102" s="252"/>
      <c r="W102" s="4"/>
    </row>
    <row r="103" spans="1:24" s="37" customFormat="1" x14ac:dyDescent="0.15">
      <c r="A103" s="143"/>
      <c r="B103" s="143"/>
      <c r="C103" s="144"/>
      <c r="D103" s="144">
        <v>615191</v>
      </c>
      <c r="E103" s="145" t="s">
        <v>71</v>
      </c>
      <c r="F103" s="145" t="s">
        <v>192</v>
      </c>
      <c r="G103" s="165"/>
      <c r="H103" s="559">
        <v>-325</v>
      </c>
      <c r="I103" s="226"/>
      <c r="J103" s="226"/>
      <c r="K103" s="226">
        <v>411</v>
      </c>
      <c r="L103" s="226">
        <v>891</v>
      </c>
      <c r="M103" s="226">
        <f>990+891</f>
        <v>1881</v>
      </c>
      <c r="N103" s="226"/>
      <c r="O103" s="226"/>
      <c r="P103" s="226"/>
      <c r="Q103" s="226">
        <f>785.5+631.02+1980</f>
        <v>3396.52</v>
      </c>
      <c r="R103" s="226">
        <v>260.51</v>
      </c>
      <c r="S103" s="226"/>
      <c r="T103" s="226"/>
      <c r="U103" s="582"/>
      <c r="V103" s="255">
        <f>SUM(H103:T103)</f>
        <v>6515.0300000000007</v>
      </c>
      <c r="W103" s="14"/>
      <c r="X103" s="16"/>
    </row>
    <row r="104" spans="1:24" s="37" customFormat="1" ht="12" customHeight="1" x14ac:dyDescent="0.15">
      <c r="A104" s="143" t="s">
        <v>225</v>
      </c>
      <c r="B104" s="143"/>
      <c r="C104" s="144" t="s">
        <v>857</v>
      </c>
      <c r="D104" s="144">
        <v>615191</v>
      </c>
      <c r="E104" s="145" t="s">
        <v>71</v>
      </c>
      <c r="F104" s="145" t="s">
        <v>179</v>
      </c>
      <c r="G104" s="165">
        <v>70.09</v>
      </c>
      <c r="H104" s="559"/>
      <c r="I104" s="226">
        <v>70.09</v>
      </c>
      <c r="J104" s="226">
        <v>70.09</v>
      </c>
      <c r="K104" s="226">
        <v>70.09</v>
      </c>
      <c r="L104" s="226">
        <v>70.09</v>
      </c>
      <c r="M104" s="226">
        <v>70.09</v>
      </c>
      <c r="N104" s="226">
        <v>70.09</v>
      </c>
      <c r="O104" s="226">
        <v>70.09</v>
      </c>
      <c r="P104" s="226">
        <v>70.09</v>
      </c>
      <c r="Q104" s="226">
        <v>70.09</v>
      </c>
      <c r="R104" s="226">
        <v>70.09</v>
      </c>
      <c r="S104" s="226">
        <v>70.010000000000005</v>
      </c>
      <c r="T104" s="226">
        <v>70.92</v>
      </c>
      <c r="U104" s="582"/>
      <c r="V104" s="255">
        <f>SUM(H104:T104)</f>
        <v>841.83000000000015</v>
      </c>
      <c r="W104" s="14"/>
      <c r="X104" s="16"/>
    </row>
    <row r="105" spans="1:24" ht="11.25" thickBot="1" x14ac:dyDescent="0.2">
      <c r="A105" s="516" t="s">
        <v>11</v>
      </c>
      <c r="B105" s="517"/>
      <c r="C105" s="518"/>
      <c r="D105" s="531"/>
      <c r="E105" s="516"/>
      <c r="F105" s="520"/>
      <c r="G105" s="521"/>
      <c r="H105" s="522">
        <f t="shared" ref="H105:V105" si="19">SUM(H103:H104)</f>
        <v>-325</v>
      </c>
      <c r="I105" s="522">
        <f t="shared" si="19"/>
        <v>70.09</v>
      </c>
      <c r="J105" s="522">
        <f t="shared" si="19"/>
        <v>70.09</v>
      </c>
      <c r="K105" s="522">
        <f t="shared" si="19"/>
        <v>481.09000000000003</v>
      </c>
      <c r="L105" s="522">
        <f t="shared" si="19"/>
        <v>961.09</v>
      </c>
      <c r="M105" s="522">
        <f t="shared" si="19"/>
        <v>1951.09</v>
      </c>
      <c r="N105" s="522">
        <f t="shared" si="19"/>
        <v>70.09</v>
      </c>
      <c r="O105" s="522">
        <f t="shared" si="19"/>
        <v>70.09</v>
      </c>
      <c r="P105" s="522">
        <f t="shared" si="19"/>
        <v>70.09</v>
      </c>
      <c r="Q105" s="522">
        <f t="shared" si="19"/>
        <v>3466.61</v>
      </c>
      <c r="R105" s="522">
        <f t="shared" si="19"/>
        <v>330.6</v>
      </c>
      <c r="S105" s="522">
        <f t="shared" si="19"/>
        <v>70.010000000000005</v>
      </c>
      <c r="T105" s="522">
        <f t="shared" si="19"/>
        <v>70.92</v>
      </c>
      <c r="U105" s="522">
        <f t="shared" si="19"/>
        <v>0</v>
      </c>
      <c r="V105" s="522">
        <f t="shared" si="19"/>
        <v>7356.8600000000006</v>
      </c>
      <c r="W105" s="97" t="str">
        <f>+IF(V105=SUM(H105:T105),"contrôle ok", "erreur")</f>
        <v>contrôle ok</v>
      </c>
    </row>
    <row r="106" spans="1:24" ht="11.25" thickTop="1" x14ac:dyDescent="0.15">
      <c r="A106" s="43"/>
      <c r="B106" s="33"/>
      <c r="C106" s="34"/>
      <c r="D106" s="135"/>
      <c r="E106" s="36"/>
      <c r="F106" s="35"/>
      <c r="G106" s="100"/>
      <c r="H106" s="229"/>
      <c r="I106" s="229"/>
      <c r="J106" s="229"/>
      <c r="K106" s="229"/>
      <c r="L106" s="229"/>
      <c r="M106" s="229"/>
      <c r="N106" s="229"/>
      <c r="O106" s="229"/>
      <c r="P106" s="229"/>
      <c r="Q106" s="229"/>
      <c r="R106" s="229"/>
      <c r="S106" s="229"/>
      <c r="T106" s="229"/>
      <c r="U106" s="229"/>
      <c r="V106" s="258"/>
      <c r="W106" s="4"/>
    </row>
    <row r="107" spans="1:24" x14ac:dyDescent="0.15">
      <c r="A107" s="27" t="s">
        <v>93</v>
      </c>
      <c r="B107" s="28"/>
      <c r="C107" s="29"/>
      <c r="D107" s="134"/>
      <c r="E107" s="30"/>
      <c r="F107" s="31"/>
      <c r="G107" s="101"/>
      <c r="H107" s="224"/>
      <c r="I107" s="224"/>
      <c r="J107" s="251"/>
      <c r="K107" s="224"/>
      <c r="L107" s="224"/>
      <c r="M107" s="224"/>
      <c r="N107" s="224"/>
      <c r="O107" s="224"/>
      <c r="P107" s="224"/>
      <c r="Q107" s="224"/>
      <c r="R107" s="224"/>
      <c r="S107" s="224"/>
      <c r="T107" s="224"/>
      <c r="U107" s="224"/>
      <c r="V107" s="252"/>
      <c r="W107" s="4"/>
    </row>
    <row r="108" spans="1:24" x14ac:dyDescent="0.15">
      <c r="A108" s="143" t="s">
        <v>202</v>
      </c>
      <c r="B108" s="143"/>
      <c r="C108" s="144"/>
      <c r="D108" s="144">
        <v>615193</v>
      </c>
      <c r="E108" s="145" t="s">
        <v>71</v>
      </c>
      <c r="F108" s="145" t="s">
        <v>187</v>
      </c>
      <c r="G108" s="165"/>
      <c r="H108" s="559"/>
      <c r="I108" s="226"/>
      <c r="J108" s="226"/>
      <c r="K108" s="226"/>
      <c r="L108" s="226"/>
      <c r="M108" s="226"/>
      <c r="N108" s="226"/>
      <c r="O108" s="226"/>
      <c r="P108" s="226">
        <v>685</v>
      </c>
      <c r="Q108" s="226"/>
      <c r="R108" s="226"/>
      <c r="S108" s="226"/>
      <c r="T108" s="226"/>
      <c r="U108" s="582"/>
      <c r="V108" s="255">
        <f t="shared" ref="V108:V115" si="20">SUM(H108:T108)</f>
        <v>685</v>
      </c>
      <c r="W108" s="14"/>
    </row>
    <row r="109" spans="1:24" x14ac:dyDescent="0.15">
      <c r="A109" s="143" t="s">
        <v>168</v>
      </c>
      <c r="B109" s="143" t="s">
        <v>415</v>
      </c>
      <c r="C109" s="144" t="s">
        <v>679</v>
      </c>
      <c r="D109" s="144">
        <v>615193</v>
      </c>
      <c r="E109" s="145" t="s">
        <v>71</v>
      </c>
      <c r="F109" s="145" t="s">
        <v>189</v>
      </c>
      <c r="G109" s="165">
        <v>137.63999999999999</v>
      </c>
      <c r="H109" s="559"/>
      <c r="I109" s="226"/>
      <c r="J109" s="226"/>
      <c r="K109" s="226">
        <v>137.63999999999999</v>
      </c>
      <c r="L109" s="226"/>
      <c r="M109" s="226"/>
      <c r="N109" s="226">
        <v>137.63999999999999</v>
      </c>
      <c r="O109" s="226"/>
      <c r="P109" s="226"/>
      <c r="Q109" s="226">
        <v>137.63999999999999</v>
      </c>
      <c r="R109" s="226"/>
      <c r="S109" s="226"/>
      <c r="T109" s="584"/>
      <c r="U109" s="582"/>
      <c r="V109" s="255">
        <f t="shared" si="20"/>
        <v>412.91999999999996</v>
      </c>
      <c r="W109" s="14"/>
    </row>
    <row r="110" spans="1:24" x14ac:dyDescent="0.15">
      <c r="A110" s="143" t="s">
        <v>568</v>
      </c>
      <c r="B110" s="143" t="s">
        <v>818</v>
      </c>
      <c r="C110" s="144"/>
      <c r="D110" s="144">
        <v>615193</v>
      </c>
      <c r="E110" s="145" t="s">
        <v>71</v>
      </c>
      <c r="F110" s="145" t="s">
        <v>191</v>
      </c>
      <c r="G110" s="165"/>
      <c r="H110" s="559"/>
      <c r="I110" s="226">
        <v>840.25</v>
      </c>
      <c r="J110" s="226"/>
      <c r="K110" s="226"/>
      <c r="L110" s="226"/>
      <c r="M110" s="226"/>
      <c r="N110" s="226"/>
      <c r="O110" s="226"/>
      <c r="P110" s="226"/>
      <c r="Q110" s="226">
        <v>449.84</v>
      </c>
      <c r="R110" s="226"/>
      <c r="S110" s="226"/>
      <c r="T110" s="226"/>
      <c r="U110" s="582"/>
      <c r="V110" s="255">
        <f t="shared" si="20"/>
        <v>1290.0899999999999</v>
      </c>
      <c r="W110" s="14"/>
    </row>
    <row r="111" spans="1:24" x14ac:dyDescent="0.15">
      <c r="A111" s="143" t="s">
        <v>151</v>
      </c>
      <c r="B111" s="143"/>
      <c r="C111" s="144"/>
      <c r="D111" s="144">
        <v>615193</v>
      </c>
      <c r="E111" s="145" t="s">
        <v>71</v>
      </c>
      <c r="F111" s="145" t="s">
        <v>201</v>
      </c>
      <c r="G111" s="165"/>
      <c r="H111" s="559"/>
      <c r="I111" s="226"/>
      <c r="J111" s="226"/>
      <c r="K111" s="226">
        <v>24.77</v>
      </c>
      <c r="L111" s="226"/>
      <c r="M111" s="226"/>
      <c r="N111" s="226"/>
      <c r="O111" s="226"/>
      <c r="P111" s="226"/>
      <c r="Q111" s="226"/>
      <c r="R111" s="226"/>
      <c r="S111" s="226"/>
      <c r="T111" s="226"/>
      <c r="U111" s="582"/>
      <c r="V111" s="255">
        <f t="shared" si="20"/>
        <v>24.77</v>
      </c>
      <c r="W111" s="14"/>
    </row>
    <row r="112" spans="1:24" x14ac:dyDescent="0.15">
      <c r="A112" s="143" t="s">
        <v>151</v>
      </c>
      <c r="B112" s="143"/>
      <c r="C112" s="144"/>
      <c r="D112" s="144">
        <v>615193</v>
      </c>
      <c r="E112" s="145" t="s">
        <v>71</v>
      </c>
      <c r="F112" s="145" t="s">
        <v>184</v>
      </c>
      <c r="G112" s="165"/>
      <c r="H112" s="559"/>
      <c r="I112" s="226"/>
      <c r="J112" s="226"/>
      <c r="K112" s="226">
        <v>842.18</v>
      </c>
      <c r="L112" s="226"/>
      <c r="M112" s="226"/>
      <c r="N112" s="226"/>
      <c r="O112" s="226"/>
      <c r="P112" s="226"/>
      <c r="Q112" s="226"/>
      <c r="R112" s="226"/>
      <c r="S112" s="226"/>
      <c r="T112" s="226"/>
      <c r="U112" s="582"/>
      <c r="V112" s="255">
        <f t="shared" si="20"/>
        <v>842.18</v>
      </c>
      <c r="W112" s="14"/>
    </row>
    <row r="113" spans="1:24" s="37" customFormat="1" x14ac:dyDescent="0.15">
      <c r="A113" s="143" t="s">
        <v>151</v>
      </c>
      <c r="B113" s="143" t="s">
        <v>819</v>
      </c>
      <c r="C113" s="144"/>
      <c r="D113" s="144">
        <v>615193</v>
      </c>
      <c r="E113" s="145" t="s">
        <v>71</v>
      </c>
      <c r="F113" s="145" t="s">
        <v>179</v>
      </c>
      <c r="G113" s="165"/>
      <c r="H113" s="559"/>
      <c r="I113" s="226"/>
      <c r="J113" s="226"/>
      <c r="K113" s="226">
        <v>1213.7</v>
      </c>
      <c r="L113" s="226"/>
      <c r="M113" s="226"/>
      <c r="N113" s="226"/>
      <c r="O113" s="226"/>
      <c r="P113" s="226"/>
      <c r="Q113" s="226">
        <v>2347.3000000000002</v>
      </c>
      <c r="R113" s="226"/>
      <c r="S113" s="226">
        <v>2025</v>
      </c>
      <c r="T113" s="226"/>
      <c r="U113" s="582"/>
      <c r="V113" s="255">
        <f t="shared" si="20"/>
        <v>5586</v>
      </c>
      <c r="W113" s="14"/>
      <c r="X113" s="16"/>
    </row>
    <row r="114" spans="1:24" s="37" customFormat="1" x14ac:dyDescent="0.15">
      <c r="A114" s="143" t="s">
        <v>151</v>
      </c>
      <c r="B114" s="143"/>
      <c r="C114" s="144"/>
      <c r="D114" s="144">
        <v>615193</v>
      </c>
      <c r="E114" s="145" t="s">
        <v>71</v>
      </c>
      <c r="F114" s="145" t="s">
        <v>243</v>
      </c>
      <c r="G114" s="165"/>
      <c r="H114" s="559"/>
      <c r="I114" s="226"/>
      <c r="J114" s="226"/>
      <c r="K114" s="226">
        <v>297.24</v>
      </c>
      <c r="L114" s="226"/>
      <c r="M114" s="226"/>
      <c r="N114" s="226"/>
      <c r="O114" s="226"/>
      <c r="P114" s="226"/>
      <c r="Q114" s="226"/>
      <c r="R114" s="226"/>
      <c r="S114" s="226"/>
      <c r="T114" s="226"/>
      <c r="U114" s="582"/>
      <c r="V114" s="255">
        <f t="shared" si="20"/>
        <v>297.24</v>
      </c>
      <c r="W114" s="14"/>
      <c r="X114" s="16"/>
    </row>
    <row r="115" spans="1:24" x14ac:dyDescent="0.15">
      <c r="A115" s="143"/>
      <c r="B115" s="143"/>
      <c r="C115" s="144"/>
      <c r="D115" s="144">
        <v>615193</v>
      </c>
      <c r="E115" s="145" t="s">
        <v>71</v>
      </c>
      <c r="F115" s="145" t="s">
        <v>192</v>
      </c>
      <c r="G115" s="165"/>
      <c r="H115" s="559"/>
      <c r="I115" s="226"/>
      <c r="J115" s="226">
        <v>1229.43</v>
      </c>
      <c r="K115" s="226"/>
      <c r="L115" s="226"/>
      <c r="M115" s="226"/>
      <c r="N115" s="226"/>
      <c r="O115" s="226"/>
      <c r="P115" s="226"/>
      <c r="Q115" s="226"/>
      <c r="R115" s="226"/>
      <c r="S115" s="226"/>
      <c r="T115" s="226"/>
      <c r="U115" s="582"/>
      <c r="V115" s="255">
        <f t="shared" si="20"/>
        <v>1229.43</v>
      </c>
      <c r="W115" s="14"/>
    </row>
    <row r="116" spans="1:24" ht="11.25" thickBot="1" x14ac:dyDescent="0.2">
      <c r="A116" s="516" t="s">
        <v>11</v>
      </c>
      <c r="B116" s="517"/>
      <c r="C116" s="518"/>
      <c r="D116" s="531"/>
      <c r="E116" s="516"/>
      <c r="F116" s="520"/>
      <c r="G116" s="521"/>
      <c r="H116" s="522">
        <f t="shared" ref="H116:U116" si="21">SUM(H108:H115)</f>
        <v>0</v>
      </c>
      <c r="I116" s="522">
        <f t="shared" si="21"/>
        <v>840.25</v>
      </c>
      <c r="J116" s="522">
        <f t="shared" si="21"/>
        <v>1229.43</v>
      </c>
      <c r="K116" s="522">
        <f t="shared" si="21"/>
        <v>2515.5299999999997</v>
      </c>
      <c r="L116" s="522">
        <f t="shared" si="21"/>
        <v>0</v>
      </c>
      <c r="M116" s="522">
        <f t="shared" si="21"/>
        <v>0</v>
      </c>
      <c r="N116" s="522">
        <f t="shared" si="21"/>
        <v>137.63999999999999</v>
      </c>
      <c r="O116" s="522">
        <f t="shared" si="21"/>
        <v>0</v>
      </c>
      <c r="P116" s="522">
        <f t="shared" si="21"/>
        <v>685</v>
      </c>
      <c r="Q116" s="522">
        <f t="shared" si="21"/>
        <v>2934.78</v>
      </c>
      <c r="R116" s="522">
        <f t="shared" si="21"/>
        <v>0</v>
      </c>
      <c r="S116" s="522">
        <f t="shared" si="21"/>
        <v>2025</v>
      </c>
      <c r="T116" s="522">
        <f t="shared" si="21"/>
        <v>0</v>
      </c>
      <c r="U116" s="522">
        <f t="shared" si="21"/>
        <v>0</v>
      </c>
      <c r="V116" s="522">
        <f>SUM(V108:V115)</f>
        <v>10367.629999999999</v>
      </c>
      <c r="W116" s="97" t="str">
        <f>+IF(V116=SUM(H116:T116),"contrôle ok", "erreur")</f>
        <v>contrôle ok</v>
      </c>
    </row>
    <row r="117" spans="1:24" ht="11.25" thickTop="1" x14ac:dyDescent="0.15">
      <c r="A117" s="43"/>
      <c r="B117" s="33"/>
      <c r="C117" s="34"/>
      <c r="D117" s="135"/>
      <c r="E117" s="36"/>
      <c r="F117" s="35"/>
      <c r="G117" s="100"/>
      <c r="H117" s="229"/>
      <c r="I117" s="229"/>
      <c r="J117" s="229"/>
      <c r="K117" s="229"/>
      <c r="L117" s="229"/>
      <c r="M117" s="229"/>
      <c r="N117" s="229"/>
      <c r="O117" s="229"/>
      <c r="P117" s="229"/>
      <c r="Q117" s="228"/>
      <c r="R117" s="229"/>
      <c r="S117" s="229"/>
      <c r="T117" s="229"/>
      <c r="U117" s="229"/>
      <c r="V117" s="291"/>
      <c r="W117" s="4"/>
    </row>
    <row r="118" spans="1:24" s="37" customFormat="1" x14ac:dyDescent="0.15">
      <c r="A118" s="27" t="s">
        <v>128</v>
      </c>
      <c r="B118" s="28"/>
      <c r="C118" s="29"/>
      <c r="D118" s="134"/>
      <c r="E118" s="30"/>
      <c r="F118" s="31"/>
      <c r="G118" s="101"/>
      <c r="H118" s="224"/>
      <c r="I118" s="224"/>
      <c r="J118" s="251"/>
      <c r="K118" s="224"/>
      <c r="L118" s="224"/>
      <c r="M118" s="224"/>
      <c r="N118" s="224"/>
      <c r="O118" s="224"/>
      <c r="P118" s="224"/>
      <c r="Q118" s="224"/>
      <c r="R118" s="224"/>
      <c r="S118" s="224"/>
      <c r="T118" s="224"/>
      <c r="U118" s="224"/>
      <c r="V118" s="252"/>
      <c r="W118" s="4"/>
      <c r="X118" s="16"/>
    </row>
    <row r="119" spans="1:24" x14ac:dyDescent="0.15">
      <c r="A119" s="143"/>
      <c r="B119" s="143"/>
      <c r="C119" s="144"/>
      <c r="D119" s="144">
        <v>615194</v>
      </c>
      <c r="E119" s="145" t="s">
        <v>71</v>
      </c>
      <c r="F119" s="145" t="s">
        <v>192</v>
      </c>
      <c r="G119" s="165"/>
      <c r="H119" s="559"/>
      <c r="I119" s="226"/>
      <c r="J119" s="226"/>
      <c r="K119" s="226"/>
      <c r="L119" s="226"/>
      <c r="M119" s="226"/>
      <c r="N119" s="226"/>
      <c r="O119" s="226"/>
      <c r="P119" s="226"/>
      <c r="Q119" s="226"/>
      <c r="R119" s="226"/>
      <c r="S119" s="226"/>
      <c r="T119" s="226"/>
      <c r="U119" s="582"/>
      <c r="V119" s="255">
        <f>SUM(H119:T119)</f>
        <v>0</v>
      </c>
      <c r="W119" s="14"/>
    </row>
    <row r="120" spans="1:24" x14ac:dyDescent="0.15">
      <c r="A120" s="143"/>
      <c r="B120" s="143"/>
      <c r="C120" s="144"/>
      <c r="D120" s="144">
        <v>615194</v>
      </c>
      <c r="E120" s="145" t="s">
        <v>71</v>
      </c>
      <c r="F120" s="145" t="s">
        <v>179</v>
      </c>
      <c r="G120" s="165"/>
      <c r="H120" s="559"/>
      <c r="I120" s="226"/>
      <c r="J120" s="226"/>
      <c r="K120" s="226"/>
      <c r="L120" s="226"/>
      <c r="M120" s="226"/>
      <c r="N120" s="226"/>
      <c r="O120" s="226"/>
      <c r="P120" s="226"/>
      <c r="Q120" s="226"/>
      <c r="R120" s="226"/>
      <c r="S120" s="226"/>
      <c r="T120" s="226"/>
      <c r="U120" s="582"/>
      <c r="V120" s="255">
        <f>SUM(H120:T120)</f>
        <v>0</v>
      </c>
      <c r="W120" s="14"/>
    </row>
    <row r="121" spans="1:24" ht="11.25" thickBot="1" x14ac:dyDescent="0.2">
      <c r="A121" s="516" t="s">
        <v>11</v>
      </c>
      <c r="B121" s="517"/>
      <c r="C121" s="518"/>
      <c r="D121" s="531"/>
      <c r="E121" s="516"/>
      <c r="F121" s="520"/>
      <c r="G121" s="521"/>
      <c r="H121" s="522">
        <f>SUM(H119:H120)</f>
        <v>0</v>
      </c>
      <c r="I121" s="522">
        <f>SUM(I119:I120)</f>
        <v>0</v>
      </c>
      <c r="J121" s="522">
        <f t="shared" ref="J121:V121" si="22">SUM(J119:J120)</f>
        <v>0</v>
      </c>
      <c r="K121" s="522">
        <f t="shared" si="22"/>
        <v>0</v>
      </c>
      <c r="L121" s="522">
        <f t="shared" si="22"/>
        <v>0</v>
      </c>
      <c r="M121" s="522">
        <f t="shared" si="22"/>
        <v>0</v>
      </c>
      <c r="N121" s="522">
        <f t="shared" si="22"/>
        <v>0</v>
      </c>
      <c r="O121" s="522">
        <f t="shared" si="22"/>
        <v>0</v>
      </c>
      <c r="P121" s="522">
        <f t="shared" si="22"/>
        <v>0</v>
      </c>
      <c r="Q121" s="522">
        <f t="shared" si="22"/>
        <v>0</v>
      </c>
      <c r="R121" s="522">
        <f t="shared" si="22"/>
        <v>0</v>
      </c>
      <c r="S121" s="522">
        <f t="shared" si="22"/>
        <v>0</v>
      </c>
      <c r="T121" s="522">
        <f t="shared" si="22"/>
        <v>0</v>
      </c>
      <c r="U121" s="522">
        <f t="shared" si="22"/>
        <v>0</v>
      </c>
      <c r="V121" s="522">
        <f t="shared" si="22"/>
        <v>0</v>
      </c>
      <c r="W121" s="97" t="str">
        <f>+IF(V121=SUM(H121:T121),"contrôle ok", "erreur")</f>
        <v>contrôle ok</v>
      </c>
    </row>
    <row r="122" spans="1:24" ht="11.25" thickTop="1" x14ac:dyDescent="0.15">
      <c r="A122" s="45"/>
      <c r="B122" s="46"/>
      <c r="C122" s="47"/>
      <c r="D122" s="111"/>
      <c r="E122" s="49"/>
      <c r="F122" s="48"/>
      <c r="G122" s="100"/>
      <c r="H122" s="246"/>
      <c r="I122" s="246"/>
      <c r="J122" s="246"/>
      <c r="K122" s="246"/>
      <c r="L122" s="246"/>
      <c r="M122" s="246"/>
      <c r="N122" s="246"/>
      <c r="O122" s="246"/>
      <c r="P122" s="246"/>
      <c r="Q122" s="246"/>
      <c r="R122" s="246"/>
      <c r="S122" s="246"/>
      <c r="T122" s="246"/>
      <c r="U122" s="246"/>
      <c r="V122" s="278"/>
      <c r="W122" s="4"/>
    </row>
    <row r="123" spans="1:24" x14ac:dyDescent="0.15">
      <c r="A123" s="27" t="s">
        <v>89</v>
      </c>
      <c r="B123" s="28"/>
      <c r="C123" s="29"/>
      <c r="D123" s="134"/>
      <c r="E123" s="30"/>
      <c r="F123" s="31"/>
      <c r="G123" s="101"/>
      <c r="H123" s="224"/>
      <c r="I123" s="224"/>
      <c r="J123" s="251"/>
      <c r="K123" s="224"/>
      <c r="L123" s="224"/>
      <c r="M123" s="224"/>
      <c r="N123" s="224"/>
      <c r="O123" s="224"/>
      <c r="P123" s="224"/>
      <c r="Q123" s="224"/>
      <c r="R123" s="224"/>
      <c r="S123" s="224"/>
      <c r="T123" s="224"/>
      <c r="U123" s="224"/>
      <c r="V123" s="252"/>
      <c r="W123" s="4"/>
    </row>
    <row r="124" spans="1:24" x14ac:dyDescent="0.15">
      <c r="A124" s="143"/>
      <c r="B124" s="143"/>
      <c r="C124" s="144"/>
      <c r="D124" s="144">
        <v>615195</v>
      </c>
      <c r="E124" s="145" t="s">
        <v>71</v>
      </c>
      <c r="F124" s="145" t="s">
        <v>188</v>
      </c>
      <c r="G124" s="165"/>
      <c r="H124" s="559"/>
      <c r="I124" s="226"/>
      <c r="J124" s="226"/>
      <c r="K124" s="226"/>
      <c r="L124" s="226"/>
      <c r="M124" s="226"/>
      <c r="N124" s="226"/>
      <c r="O124" s="226"/>
      <c r="P124" s="226"/>
      <c r="Q124" s="226"/>
      <c r="R124" s="226"/>
      <c r="S124" s="226"/>
      <c r="T124" s="226"/>
      <c r="U124" s="582"/>
      <c r="V124" s="255">
        <f t="shared" ref="V124:V130" si="23">SUM(H124:T124)</f>
        <v>0</v>
      </c>
      <c r="W124" s="14"/>
    </row>
    <row r="125" spans="1:24" x14ac:dyDescent="0.15">
      <c r="A125" s="143"/>
      <c r="B125" s="143"/>
      <c r="C125" s="144"/>
      <c r="D125" s="144">
        <v>615195</v>
      </c>
      <c r="E125" s="145" t="s">
        <v>71</v>
      </c>
      <c r="F125" s="145" t="s">
        <v>188</v>
      </c>
      <c r="G125" s="165"/>
      <c r="H125" s="559"/>
      <c r="I125" s="226"/>
      <c r="J125" s="226"/>
      <c r="K125" s="226"/>
      <c r="L125" s="226"/>
      <c r="M125" s="226"/>
      <c r="N125" s="226"/>
      <c r="O125" s="226"/>
      <c r="P125" s="226"/>
      <c r="Q125" s="226"/>
      <c r="R125" s="226"/>
      <c r="S125" s="226"/>
      <c r="T125" s="226"/>
      <c r="U125" s="582"/>
      <c r="V125" s="255">
        <f t="shared" si="23"/>
        <v>0</v>
      </c>
      <c r="W125" s="14"/>
    </row>
    <row r="126" spans="1:24" x14ac:dyDescent="0.15">
      <c r="A126" s="143"/>
      <c r="B126" s="143"/>
      <c r="C126" s="144"/>
      <c r="D126" s="144">
        <v>615195</v>
      </c>
      <c r="E126" s="145" t="s">
        <v>71</v>
      </c>
      <c r="F126" s="145" t="s">
        <v>185</v>
      </c>
      <c r="G126" s="165"/>
      <c r="H126" s="559">
        <v>362.5</v>
      </c>
      <c r="I126" s="226">
        <v>310</v>
      </c>
      <c r="J126" s="226"/>
      <c r="K126" s="226"/>
      <c r="L126" s="226"/>
      <c r="M126" s="226"/>
      <c r="N126" s="226"/>
      <c r="O126" s="226"/>
      <c r="P126" s="226">
        <v>290</v>
      </c>
      <c r="Q126" s="226"/>
      <c r="R126" s="226">
        <f>1265+590+352</f>
        <v>2207</v>
      </c>
      <c r="S126" s="226">
        <v>3812</v>
      </c>
      <c r="T126" s="226"/>
      <c r="U126" s="582"/>
      <c r="V126" s="255">
        <f t="shared" si="23"/>
        <v>6981.5</v>
      </c>
      <c r="W126" s="14"/>
    </row>
    <row r="127" spans="1:24" x14ac:dyDescent="0.15">
      <c r="A127" s="143"/>
      <c r="B127" s="143"/>
      <c r="C127" s="144"/>
      <c r="D127" s="144">
        <v>615195</v>
      </c>
      <c r="E127" s="145" t="s">
        <v>71</v>
      </c>
      <c r="F127" s="145" t="s">
        <v>203</v>
      </c>
      <c r="G127" s="165"/>
      <c r="H127" s="559"/>
      <c r="I127" s="226"/>
      <c r="J127" s="226"/>
      <c r="K127" s="226"/>
      <c r="L127" s="226"/>
      <c r="M127" s="226"/>
      <c r="N127" s="226"/>
      <c r="O127" s="226"/>
      <c r="P127" s="226"/>
      <c r="Q127" s="226"/>
      <c r="R127" s="226"/>
      <c r="S127" s="226"/>
      <c r="T127" s="226"/>
      <c r="U127" s="582"/>
      <c r="V127" s="255">
        <f t="shared" si="23"/>
        <v>0</v>
      </c>
      <c r="W127" s="14"/>
    </row>
    <row r="128" spans="1:24" x14ac:dyDescent="0.15">
      <c r="A128" s="143"/>
      <c r="B128" s="143"/>
      <c r="C128" s="144"/>
      <c r="D128" s="144">
        <v>615195</v>
      </c>
      <c r="E128" s="145" t="s">
        <v>71</v>
      </c>
      <c r="F128" s="145" t="s">
        <v>214</v>
      </c>
      <c r="G128" s="165"/>
      <c r="H128" s="559"/>
      <c r="I128" s="226"/>
      <c r="J128" s="226"/>
      <c r="K128" s="226"/>
      <c r="L128" s="226"/>
      <c r="M128" s="226"/>
      <c r="N128" s="226"/>
      <c r="O128" s="226"/>
      <c r="P128" s="226"/>
      <c r="Q128" s="226"/>
      <c r="R128" s="226"/>
      <c r="S128" s="226"/>
      <c r="T128" s="226"/>
      <c r="U128" s="582"/>
      <c r="V128" s="255">
        <f t="shared" si="23"/>
        <v>0</v>
      </c>
      <c r="W128" s="14"/>
    </row>
    <row r="129" spans="1:24" s="37" customFormat="1" x14ac:dyDescent="0.15">
      <c r="A129" s="143"/>
      <c r="B129" s="143"/>
      <c r="C129" s="144"/>
      <c r="D129" s="144">
        <v>615195</v>
      </c>
      <c r="E129" s="145" t="s">
        <v>71</v>
      </c>
      <c r="F129" s="145" t="s">
        <v>192</v>
      </c>
      <c r="G129" s="165"/>
      <c r="H129" s="559">
        <f>420+420</f>
        <v>840</v>
      </c>
      <c r="I129" s="226">
        <v>2000</v>
      </c>
      <c r="J129" s="226">
        <v>635</v>
      </c>
      <c r="K129" s="226">
        <f>150+250+450</f>
        <v>850</v>
      </c>
      <c r="L129" s="226">
        <f>1893.2+461+393</f>
        <v>2747.2</v>
      </c>
      <c r="M129" s="226">
        <v>3850</v>
      </c>
      <c r="N129" s="98">
        <f>600+550</f>
        <v>1150</v>
      </c>
      <c r="O129" s="226">
        <f>2800+2675+1560</f>
        <v>7035</v>
      </c>
      <c r="P129" s="226">
        <v>906.4</v>
      </c>
      <c r="Q129" s="226">
        <f>900</f>
        <v>900</v>
      </c>
      <c r="R129" s="323">
        <f>1240+1200</f>
        <v>2440</v>
      </c>
      <c r="S129" s="226">
        <f>1055+2675</f>
        <v>3730</v>
      </c>
      <c r="T129" s="226">
        <f>1025+5300</f>
        <v>6325</v>
      </c>
      <c r="U129" s="582"/>
      <c r="V129" s="255">
        <f t="shared" si="23"/>
        <v>33408.600000000006</v>
      </c>
      <c r="W129" s="14"/>
      <c r="X129" s="16"/>
    </row>
    <row r="130" spans="1:24" x14ac:dyDescent="0.15">
      <c r="A130" s="143"/>
      <c r="B130" s="143"/>
      <c r="C130" s="144"/>
      <c r="D130" s="144">
        <v>615195</v>
      </c>
      <c r="E130" s="145" t="s">
        <v>71</v>
      </c>
      <c r="F130" s="145" t="s">
        <v>184</v>
      </c>
      <c r="G130" s="165"/>
      <c r="H130" s="559"/>
      <c r="I130" s="226"/>
      <c r="J130" s="226"/>
      <c r="K130" s="226"/>
      <c r="L130" s="226"/>
      <c r="M130" s="226"/>
      <c r="N130" s="226"/>
      <c r="O130" s="226"/>
      <c r="P130" s="226"/>
      <c r="Q130" s="226"/>
      <c r="R130" s="226"/>
      <c r="S130" s="226"/>
      <c r="T130" s="226"/>
      <c r="U130" s="582"/>
      <c r="V130" s="255">
        <f t="shared" si="23"/>
        <v>0</v>
      </c>
      <c r="W130" s="14"/>
    </row>
    <row r="131" spans="1:24" ht="11.25" thickBot="1" x14ac:dyDescent="0.2">
      <c r="A131" s="516" t="s">
        <v>11</v>
      </c>
      <c r="B131" s="517"/>
      <c r="C131" s="518"/>
      <c r="D131" s="531"/>
      <c r="E131" s="516"/>
      <c r="F131" s="520"/>
      <c r="G131" s="521"/>
      <c r="H131" s="522">
        <f>SUM(H125:H130)</f>
        <v>1202.5</v>
      </c>
      <c r="I131" s="522">
        <f t="shared" ref="I131:V131" si="24">SUM(I125:I130)</f>
        <v>2310</v>
      </c>
      <c r="J131" s="522">
        <f t="shared" si="24"/>
        <v>635</v>
      </c>
      <c r="K131" s="522">
        <f t="shared" si="24"/>
        <v>850</v>
      </c>
      <c r="L131" s="522">
        <f t="shared" si="24"/>
        <v>2747.2</v>
      </c>
      <c r="M131" s="522">
        <f t="shared" si="24"/>
        <v>3850</v>
      </c>
      <c r="N131" s="522">
        <f t="shared" si="24"/>
        <v>1150</v>
      </c>
      <c r="O131" s="522">
        <f t="shared" si="24"/>
        <v>7035</v>
      </c>
      <c r="P131" s="522">
        <f t="shared" si="24"/>
        <v>1196.4000000000001</v>
      </c>
      <c r="Q131" s="522">
        <f t="shared" si="24"/>
        <v>900</v>
      </c>
      <c r="R131" s="522">
        <f t="shared" si="24"/>
        <v>4647</v>
      </c>
      <c r="S131" s="522">
        <f t="shared" si="24"/>
        <v>7542</v>
      </c>
      <c r="T131" s="522">
        <f t="shared" si="24"/>
        <v>6325</v>
      </c>
      <c r="U131" s="522">
        <f t="shared" si="24"/>
        <v>0</v>
      </c>
      <c r="V131" s="522">
        <f t="shared" si="24"/>
        <v>40390.100000000006</v>
      </c>
      <c r="W131" s="97" t="str">
        <f>+IF(V131=SUM(H131:T131),"contrôle ok", "erreur")</f>
        <v>contrôle ok</v>
      </c>
    </row>
    <row r="132" spans="1:24" ht="11.25" thickTop="1" x14ac:dyDescent="0.15">
      <c r="A132" s="45"/>
      <c r="B132" s="46"/>
      <c r="C132" s="47"/>
      <c r="D132" s="111"/>
      <c r="E132" s="49"/>
      <c r="F132" s="48"/>
      <c r="G132" s="100"/>
      <c r="H132" s="246"/>
      <c r="I132" s="246"/>
      <c r="J132" s="246"/>
      <c r="K132" s="246"/>
      <c r="L132" s="246"/>
      <c r="M132" s="246"/>
      <c r="N132" s="246"/>
      <c r="O132" s="246"/>
      <c r="P132" s="246"/>
      <c r="Q132" s="246"/>
      <c r="R132" s="246"/>
      <c r="S132" s="246"/>
      <c r="T132" s="246"/>
      <c r="U132" s="246"/>
      <c r="V132" s="278"/>
      <c r="W132" s="4"/>
    </row>
    <row r="133" spans="1:24" x14ac:dyDescent="0.15">
      <c r="A133" s="27" t="s">
        <v>150</v>
      </c>
      <c r="B133" s="28"/>
      <c r="C133" s="29"/>
      <c r="D133" s="134"/>
      <c r="E133" s="30"/>
      <c r="F133" s="31"/>
      <c r="G133" s="101"/>
      <c r="H133" s="224"/>
      <c r="I133" s="224"/>
      <c r="J133" s="251"/>
      <c r="K133" s="224"/>
      <c r="L133" s="224"/>
      <c r="M133" s="224"/>
      <c r="N133" s="224"/>
      <c r="O133" s="224"/>
      <c r="P133" s="224"/>
      <c r="Q133" s="224"/>
      <c r="R133" s="224"/>
      <c r="S133" s="224"/>
      <c r="T133" s="224"/>
      <c r="U133" s="224"/>
      <c r="V133" s="252"/>
      <c r="W133" s="4"/>
    </row>
    <row r="134" spans="1:24" s="37" customFormat="1" x14ac:dyDescent="0.15">
      <c r="A134" s="143" t="s">
        <v>587</v>
      </c>
      <c r="B134" s="143"/>
      <c r="C134" s="144"/>
      <c r="D134" s="144">
        <v>615196</v>
      </c>
      <c r="E134" s="145" t="s">
        <v>71</v>
      </c>
      <c r="F134" s="145" t="s">
        <v>183</v>
      </c>
      <c r="G134" s="165"/>
      <c r="H134" s="559"/>
      <c r="I134" s="226"/>
      <c r="J134" s="226"/>
      <c r="K134" s="226">
        <v>45.96</v>
      </c>
      <c r="L134" s="226"/>
      <c r="M134" s="226">
        <v>404.83</v>
      </c>
      <c r="N134" s="246">
        <v>302.8</v>
      </c>
      <c r="O134" s="226"/>
      <c r="P134" s="226">
        <v>198.98</v>
      </c>
      <c r="Q134" s="226">
        <f>468.5+286.67</f>
        <v>755.17000000000007</v>
      </c>
      <c r="R134" s="226"/>
      <c r="S134" s="226">
        <f>38.88+294.72</f>
        <v>333.6</v>
      </c>
      <c r="T134" s="226"/>
      <c r="U134" s="582"/>
      <c r="V134" s="255">
        <f>SUM(H134:T134)</f>
        <v>2041.3400000000001</v>
      </c>
      <c r="W134" s="14"/>
      <c r="X134" s="16"/>
    </row>
    <row r="135" spans="1:24" x14ac:dyDescent="0.15">
      <c r="A135" s="143"/>
      <c r="B135" s="143"/>
      <c r="C135" s="144"/>
      <c r="D135" s="144">
        <v>615196</v>
      </c>
      <c r="E135" s="145" t="s">
        <v>71</v>
      </c>
      <c r="F135" s="145" t="s">
        <v>192</v>
      </c>
      <c r="G135" s="165"/>
      <c r="H135" s="559"/>
      <c r="I135" s="226"/>
      <c r="J135" s="226"/>
      <c r="K135" s="226"/>
      <c r="L135" s="226"/>
      <c r="M135" s="226"/>
      <c r="N135" s="226"/>
      <c r="O135" s="226"/>
      <c r="P135" s="226"/>
      <c r="Q135" s="226"/>
      <c r="R135" s="323"/>
      <c r="S135" s="226"/>
      <c r="T135" s="226"/>
      <c r="U135" s="582"/>
      <c r="V135" s="255">
        <f>SUM(H135:T135)</f>
        <v>0</v>
      </c>
      <c r="W135" s="14"/>
    </row>
    <row r="136" spans="1:24" x14ac:dyDescent="0.15">
      <c r="A136" s="143" t="s">
        <v>587</v>
      </c>
      <c r="B136" s="143" t="s">
        <v>588</v>
      </c>
      <c r="C136" s="144">
        <v>2017</v>
      </c>
      <c r="D136" s="144">
        <v>615196</v>
      </c>
      <c r="E136" s="145" t="s">
        <v>71</v>
      </c>
      <c r="F136" s="145" t="s">
        <v>182</v>
      </c>
      <c r="G136" s="165">
        <f>4258.24/12</f>
        <v>354.8533333333333</v>
      </c>
      <c r="H136" s="559"/>
      <c r="I136" s="226">
        <v>354.86</v>
      </c>
      <c r="J136" s="226">
        <v>354.86</v>
      </c>
      <c r="K136" s="226">
        <v>354.87</v>
      </c>
      <c r="L136" s="226">
        <v>354.85</v>
      </c>
      <c r="M136" s="226">
        <v>354.85</v>
      </c>
      <c r="N136" s="226">
        <v>354.85</v>
      </c>
      <c r="O136" s="226">
        <v>354.85</v>
      </c>
      <c r="P136" s="226">
        <v>354.85</v>
      </c>
      <c r="Q136" s="226">
        <v>354.85</v>
      </c>
      <c r="R136" s="226">
        <v>354.85</v>
      </c>
      <c r="S136" s="226">
        <v>354.85</v>
      </c>
      <c r="T136" s="226">
        <v>354.85</v>
      </c>
      <c r="U136" s="582"/>
      <c r="V136" s="255">
        <f>SUM(H136:T136)</f>
        <v>4258.24</v>
      </c>
      <c r="W136" s="14"/>
    </row>
    <row r="137" spans="1:24" ht="11.25" thickBot="1" x14ac:dyDescent="0.2">
      <c r="A137" s="516" t="s">
        <v>11</v>
      </c>
      <c r="B137" s="517"/>
      <c r="C137" s="518"/>
      <c r="D137" s="531"/>
      <c r="E137" s="516"/>
      <c r="F137" s="520"/>
      <c r="G137" s="521"/>
      <c r="H137" s="522">
        <f>SUM(H134:H136)</f>
        <v>0</v>
      </c>
      <c r="I137" s="522">
        <f t="shared" ref="I137:V137" si="25">SUM(I134:I136)</f>
        <v>354.86</v>
      </c>
      <c r="J137" s="522">
        <f t="shared" si="25"/>
        <v>354.86</v>
      </c>
      <c r="K137" s="522">
        <f t="shared" si="25"/>
        <v>400.83</v>
      </c>
      <c r="L137" s="522">
        <f t="shared" si="25"/>
        <v>354.85</v>
      </c>
      <c r="M137" s="522">
        <f t="shared" si="25"/>
        <v>759.68000000000006</v>
      </c>
      <c r="N137" s="522">
        <f>SUM(N134:N136)</f>
        <v>657.65000000000009</v>
      </c>
      <c r="O137" s="522">
        <f t="shared" si="25"/>
        <v>354.85</v>
      </c>
      <c r="P137" s="522">
        <f t="shared" si="25"/>
        <v>553.83000000000004</v>
      </c>
      <c r="Q137" s="522">
        <f t="shared" si="25"/>
        <v>1110.02</v>
      </c>
      <c r="R137" s="522">
        <f t="shared" si="25"/>
        <v>354.85</v>
      </c>
      <c r="S137" s="522">
        <f t="shared" si="25"/>
        <v>688.45</v>
      </c>
      <c r="T137" s="522">
        <f t="shared" si="25"/>
        <v>354.85</v>
      </c>
      <c r="U137" s="522">
        <f t="shared" si="25"/>
        <v>0</v>
      </c>
      <c r="V137" s="522">
        <f t="shared" si="25"/>
        <v>6299.58</v>
      </c>
      <c r="W137" s="97" t="str">
        <f>+IF(V137=SUM(H137:T137),"contrôle ok", "erreur")</f>
        <v>contrôle ok</v>
      </c>
    </row>
    <row r="138" spans="1:24" ht="11.25" thickTop="1" x14ac:dyDescent="0.15">
      <c r="A138" s="45"/>
      <c r="B138" s="46"/>
      <c r="C138" s="47"/>
      <c r="D138" s="111"/>
      <c r="E138" s="49"/>
      <c r="F138" s="48"/>
      <c r="G138" s="100"/>
      <c r="H138" s="246"/>
      <c r="I138" s="246"/>
      <c r="J138" s="246"/>
      <c r="K138" s="246"/>
      <c r="L138" s="246"/>
      <c r="M138" s="246"/>
      <c r="N138" s="246"/>
      <c r="O138" s="246"/>
      <c r="P138" s="246"/>
      <c r="Q138" s="246"/>
      <c r="R138" s="246"/>
      <c r="S138" s="246"/>
      <c r="T138" s="246"/>
      <c r="U138" s="246"/>
      <c r="V138" s="278"/>
      <c r="W138" s="4"/>
    </row>
    <row r="139" spans="1:24" s="37" customFormat="1" x14ac:dyDescent="0.15">
      <c r="A139" s="27" t="s">
        <v>9</v>
      </c>
      <c r="B139" s="28"/>
      <c r="C139" s="29"/>
      <c r="D139" s="134"/>
      <c r="E139" s="30"/>
      <c r="F139" s="31"/>
      <c r="G139" s="101"/>
      <c r="H139" s="224"/>
      <c r="I139" s="224"/>
      <c r="J139" s="251"/>
      <c r="K139" s="224"/>
      <c r="L139" s="224"/>
      <c r="M139" s="224"/>
      <c r="N139" s="224"/>
      <c r="O139" s="224"/>
      <c r="P139" s="224"/>
      <c r="Q139" s="224"/>
      <c r="R139" s="224"/>
      <c r="S139" s="224"/>
      <c r="T139" s="224"/>
      <c r="U139" s="224"/>
      <c r="V139" s="252"/>
      <c r="W139" s="4"/>
      <c r="X139" s="16"/>
    </row>
    <row r="140" spans="1:24" s="37" customFormat="1" x14ac:dyDescent="0.15">
      <c r="A140" s="143" t="s">
        <v>10</v>
      </c>
      <c r="B140" s="143"/>
      <c r="C140" s="144"/>
      <c r="D140" s="144">
        <v>615200</v>
      </c>
      <c r="E140" s="145" t="s">
        <v>72</v>
      </c>
      <c r="F140" s="145" t="s">
        <v>192</v>
      </c>
      <c r="G140" s="165"/>
      <c r="H140" s="559"/>
      <c r="I140" s="226">
        <v>506.44</v>
      </c>
      <c r="J140" s="226"/>
      <c r="K140" s="226"/>
      <c r="L140" s="226"/>
      <c r="M140" s="226"/>
      <c r="N140" s="226"/>
      <c r="O140" s="226"/>
      <c r="P140" s="226">
        <v>-506.44</v>
      </c>
      <c r="Q140" s="226"/>
      <c r="R140" s="226"/>
      <c r="S140" s="226"/>
      <c r="T140" s="226"/>
      <c r="U140" s="582"/>
      <c r="V140" s="255">
        <f>SUM(H140:T140)</f>
        <v>0</v>
      </c>
      <c r="W140" s="14"/>
      <c r="X140" s="16"/>
    </row>
    <row r="141" spans="1:24" x14ac:dyDescent="0.15">
      <c r="A141" s="143" t="s">
        <v>105</v>
      </c>
      <c r="B141" s="143"/>
      <c r="C141" s="144"/>
      <c r="D141" s="144">
        <v>615200</v>
      </c>
      <c r="E141" s="145" t="s">
        <v>72</v>
      </c>
      <c r="F141" s="145" t="s">
        <v>179</v>
      </c>
      <c r="G141" s="165">
        <v>3177.41</v>
      </c>
      <c r="H141" s="559"/>
      <c r="I141" s="226">
        <v>3177.41</v>
      </c>
      <c r="J141" s="226">
        <v>3177.41</v>
      </c>
      <c r="K141" s="226">
        <v>3177.41</v>
      </c>
      <c r="L141" s="226">
        <v>3177.41</v>
      </c>
      <c r="M141" s="226">
        <v>3177.41</v>
      </c>
      <c r="N141" s="226">
        <v>3177.41</v>
      </c>
      <c r="O141" s="226">
        <v>3177.41</v>
      </c>
      <c r="P141" s="226">
        <v>3177.41</v>
      </c>
      <c r="Q141" s="226">
        <v>3177.41</v>
      </c>
      <c r="R141" s="226">
        <v>3177.41</v>
      </c>
      <c r="S141" s="226">
        <v>3177.41</v>
      </c>
      <c r="T141" s="226"/>
      <c r="U141" s="582"/>
      <c r="V141" s="255">
        <f>SUM(H141:T141)</f>
        <v>34951.509999999995</v>
      </c>
      <c r="W141" s="14"/>
    </row>
    <row r="142" spans="1:24" ht="11.25" thickBot="1" x14ac:dyDescent="0.2">
      <c r="A142" s="516" t="s">
        <v>11</v>
      </c>
      <c r="B142" s="517"/>
      <c r="C142" s="518"/>
      <c r="D142" s="531"/>
      <c r="E142" s="516"/>
      <c r="F142" s="520"/>
      <c r="G142" s="521"/>
      <c r="H142" s="522">
        <f>SUM(H140:H141)</f>
        <v>0</v>
      </c>
      <c r="I142" s="522">
        <f t="shared" ref="I142:V142" si="26">SUM(I140:I141)</f>
        <v>3683.85</v>
      </c>
      <c r="J142" s="522">
        <f t="shared" si="26"/>
        <v>3177.41</v>
      </c>
      <c r="K142" s="522">
        <f t="shared" si="26"/>
        <v>3177.41</v>
      </c>
      <c r="L142" s="522">
        <f t="shared" si="26"/>
        <v>3177.41</v>
      </c>
      <c r="M142" s="522">
        <f t="shared" si="26"/>
        <v>3177.41</v>
      </c>
      <c r="N142" s="522">
        <f t="shared" si="26"/>
        <v>3177.41</v>
      </c>
      <c r="O142" s="522">
        <f t="shared" si="26"/>
        <v>3177.41</v>
      </c>
      <c r="P142" s="522">
        <f t="shared" si="26"/>
        <v>2670.97</v>
      </c>
      <c r="Q142" s="522">
        <f t="shared" si="26"/>
        <v>3177.41</v>
      </c>
      <c r="R142" s="522">
        <f t="shared" si="26"/>
        <v>3177.41</v>
      </c>
      <c r="S142" s="522">
        <f t="shared" si="26"/>
        <v>3177.41</v>
      </c>
      <c r="T142" s="522">
        <f t="shared" si="26"/>
        <v>0</v>
      </c>
      <c r="U142" s="522">
        <f t="shared" si="26"/>
        <v>0</v>
      </c>
      <c r="V142" s="522">
        <f t="shared" si="26"/>
        <v>34951.509999999995</v>
      </c>
      <c r="W142" s="97" t="str">
        <f>+IF(V142=SUM(H142:T142),"contrôle ok", "erreur")</f>
        <v>contrôle ok</v>
      </c>
    </row>
    <row r="143" spans="1:24" ht="11.25" thickTop="1" x14ac:dyDescent="0.15">
      <c r="A143" s="45"/>
      <c r="B143" s="46"/>
      <c r="C143" s="47"/>
      <c r="D143" s="111"/>
      <c r="E143" s="49"/>
      <c r="F143" s="48"/>
      <c r="G143" s="100"/>
      <c r="H143" s="246"/>
      <c r="I143" s="246"/>
      <c r="J143" s="246"/>
      <c r="K143" s="246"/>
      <c r="L143" s="246"/>
      <c r="M143" s="246"/>
      <c r="N143" s="246"/>
      <c r="O143" s="246"/>
      <c r="P143" s="246"/>
      <c r="Q143" s="246"/>
      <c r="R143" s="246"/>
      <c r="S143" s="246"/>
      <c r="T143" s="246"/>
      <c r="U143" s="246"/>
      <c r="V143" s="278"/>
      <c r="W143" s="4"/>
    </row>
    <row r="144" spans="1:24" s="37" customFormat="1" x14ac:dyDescent="0.15">
      <c r="A144" s="27" t="s">
        <v>101</v>
      </c>
      <c r="B144" s="28"/>
      <c r="C144" s="29"/>
      <c r="D144" s="134"/>
      <c r="E144" s="30"/>
      <c r="F144" s="31"/>
      <c r="G144" s="101"/>
      <c r="H144" s="224"/>
      <c r="I144" s="224"/>
      <c r="J144" s="251"/>
      <c r="K144" s="224"/>
      <c r="L144" s="224"/>
      <c r="M144" s="224"/>
      <c r="N144" s="224"/>
      <c r="O144" s="224"/>
      <c r="P144" s="224"/>
      <c r="Q144" s="224"/>
      <c r="R144" s="224"/>
      <c r="S144" s="224"/>
      <c r="T144" s="224"/>
      <c r="U144" s="224"/>
      <c r="V144" s="252"/>
      <c r="W144" s="4"/>
      <c r="X144" s="16"/>
    </row>
    <row r="145" spans="1:24" s="37" customFormat="1" x14ac:dyDescent="0.15">
      <c r="A145" s="143" t="s">
        <v>402</v>
      </c>
      <c r="B145" s="143"/>
      <c r="C145" s="144"/>
      <c r="D145" s="144">
        <v>615205</v>
      </c>
      <c r="E145" s="145" t="s">
        <v>72</v>
      </c>
      <c r="F145" s="145" t="s">
        <v>192</v>
      </c>
      <c r="G145" s="165"/>
      <c r="H145" s="559"/>
      <c r="I145" s="226"/>
      <c r="J145" s="226"/>
      <c r="K145" s="226"/>
      <c r="L145" s="226"/>
      <c r="M145" s="226"/>
      <c r="N145" s="226"/>
      <c r="O145" s="226"/>
      <c r="P145" s="226"/>
      <c r="Q145" s="226"/>
      <c r="R145" s="226"/>
      <c r="S145" s="226"/>
      <c r="T145" s="226"/>
      <c r="U145" s="582"/>
      <c r="V145" s="255">
        <f>SUM(H145:T145)</f>
        <v>0</v>
      </c>
      <c r="W145" s="14"/>
      <c r="X145" s="16"/>
    </row>
    <row r="146" spans="1:24" x14ac:dyDescent="0.15">
      <c r="A146" s="143"/>
      <c r="B146" s="143"/>
      <c r="C146" s="144"/>
      <c r="D146" s="144">
        <v>615205</v>
      </c>
      <c r="E146" s="145" t="s">
        <v>72</v>
      </c>
      <c r="F146" s="145" t="s">
        <v>179</v>
      </c>
      <c r="G146" s="165"/>
      <c r="H146" s="559"/>
      <c r="I146" s="226"/>
      <c r="J146" s="226"/>
      <c r="K146" s="226"/>
      <c r="L146" s="226"/>
      <c r="M146" s="226"/>
      <c r="N146" s="226"/>
      <c r="O146" s="226"/>
      <c r="P146" s="226"/>
      <c r="Q146" s="226"/>
      <c r="R146" s="226"/>
      <c r="S146" s="226"/>
      <c r="T146" s="226"/>
      <c r="U146" s="582"/>
      <c r="V146" s="255">
        <f>SUM(H146:T146)</f>
        <v>0</v>
      </c>
      <c r="W146" s="14"/>
    </row>
    <row r="147" spans="1:24" ht="11.25" thickBot="1" x14ac:dyDescent="0.2">
      <c r="A147" s="516" t="s">
        <v>11</v>
      </c>
      <c r="B147" s="517"/>
      <c r="C147" s="518"/>
      <c r="D147" s="531"/>
      <c r="E147" s="516"/>
      <c r="F147" s="520"/>
      <c r="G147" s="521"/>
      <c r="H147" s="522">
        <f>SUM(H145:H146)</f>
        <v>0</v>
      </c>
      <c r="I147" s="522">
        <f t="shared" ref="I147:V147" si="27">SUM(I145:I146)</f>
        <v>0</v>
      </c>
      <c r="J147" s="522">
        <f t="shared" si="27"/>
        <v>0</v>
      </c>
      <c r="K147" s="522">
        <f t="shared" si="27"/>
        <v>0</v>
      </c>
      <c r="L147" s="522">
        <f t="shared" si="27"/>
        <v>0</v>
      </c>
      <c r="M147" s="522">
        <f t="shared" si="27"/>
        <v>0</v>
      </c>
      <c r="N147" s="522">
        <f t="shared" si="27"/>
        <v>0</v>
      </c>
      <c r="O147" s="522">
        <f t="shared" si="27"/>
        <v>0</v>
      </c>
      <c r="P147" s="522">
        <f t="shared" si="27"/>
        <v>0</v>
      </c>
      <c r="Q147" s="522">
        <f t="shared" si="27"/>
        <v>0</v>
      </c>
      <c r="R147" s="522">
        <f t="shared" si="27"/>
        <v>0</v>
      </c>
      <c r="S147" s="522">
        <f t="shared" si="27"/>
        <v>0</v>
      </c>
      <c r="T147" s="522">
        <f t="shared" si="27"/>
        <v>0</v>
      </c>
      <c r="U147" s="522">
        <f t="shared" si="27"/>
        <v>0</v>
      </c>
      <c r="V147" s="522">
        <f t="shared" si="27"/>
        <v>0</v>
      </c>
      <c r="W147" s="97" t="str">
        <f>+IF(V147=SUM(H147:T147),"contrôle ok", "erreur")</f>
        <v>contrôle ok</v>
      </c>
    </row>
    <row r="148" spans="1:24" ht="11.25" thickTop="1" x14ac:dyDescent="0.15">
      <c r="A148" s="33"/>
      <c r="B148" s="33"/>
      <c r="C148" s="34"/>
      <c r="D148" s="135"/>
      <c r="E148" s="36"/>
      <c r="F148" s="35"/>
      <c r="G148" s="100"/>
      <c r="H148" s="229"/>
      <c r="I148" s="229"/>
      <c r="J148" s="229"/>
      <c r="K148" s="229"/>
      <c r="L148" s="229"/>
      <c r="M148" s="229"/>
      <c r="N148" s="257"/>
      <c r="O148" s="229"/>
      <c r="P148" s="229"/>
      <c r="Q148" s="229"/>
      <c r="R148" s="229"/>
      <c r="S148" s="229"/>
      <c r="T148" s="229"/>
      <c r="U148" s="229"/>
      <c r="V148" s="258"/>
      <c r="W148" s="4"/>
    </row>
    <row r="149" spans="1:24" x14ac:dyDescent="0.15">
      <c r="A149" s="27" t="s">
        <v>136</v>
      </c>
      <c r="B149" s="28"/>
      <c r="C149" s="29"/>
      <c r="D149" s="134"/>
      <c r="E149" s="30"/>
      <c r="F149" s="31"/>
      <c r="G149" s="101"/>
      <c r="H149" s="224"/>
      <c r="I149" s="224"/>
      <c r="J149" s="251"/>
      <c r="K149" s="224"/>
      <c r="L149" s="224"/>
      <c r="M149" s="224"/>
      <c r="N149" s="224"/>
      <c r="O149" s="224"/>
      <c r="P149" s="224"/>
      <c r="Q149" s="224"/>
      <c r="R149" s="224"/>
      <c r="S149" s="224"/>
      <c r="T149" s="224"/>
      <c r="U149" s="224"/>
      <c r="V149" s="252"/>
      <c r="W149" s="4"/>
    </row>
    <row r="150" spans="1:24" s="37" customFormat="1" x14ac:dyDescent="0.15">
      <c r="A150" s="143"/>
      <c r="B150" s="143" t="s">
        <v>142</v>
      </c>
      <c r="C150" s="144"/>
      <c r="D150" s="144">
        <v>615210</v>
      </c>
      <c r="E150" s="145" t="s">
        <v>396</v>
      </c>
      <c r="F150" s="145" t="s">
        <v>189</v>
      </c>
      <c r="G150" s="165"/>
      <c r="H150" s="559"/>
      <c r="I150" s="226"/>
      <c r="J150" s="226"/>
      <c r="K150" s="226"/>
      <c r="L150" s="226"/>
      <c r="M150" s="226"/>
      <c r="N150" s="226"/>
      <c r="O150" s="226"/>
      <c r="P150" s="226"/>
      <c r="Q150" s="226"/>
      <c r="R150" s="226"/>
      <c r="S150" s="226"/>
      <c r="T150" s="226"/>
      <c r="U150" s="582"/>
      <c r="V150" s="255">
        <f>SUM(H150:T150)</f>
        <v>0</v>
      </c>
      <c r="W150" s="14"/>
      <c r="X150" s="16"/>
    </row>
    <row r="151" spans="1:24" s="37" customFormat="1" x14ac:dyDescent="0.15">
      <c r="A151" s="143" t="s">
        <v>627</v>
      </c>
      <c r="B151" s="143" t="s">
        <v>792</v>
      </c>
      <c r="C151" s="144"/>
      <c r="D151" s="144">
        <v>615210</v>
      </c>
      <c r="E151" s="145" t="s">
        <v>396</v>
      </c>
      <c r="F151" s="145" t="s">
        <v>628</v>
      </c>
      <c r="G151" s="165"/>
      <c r="H151" s="559"/>
      <c r="I151" s="226"/>
      <c r="J151" s="226"/>
      <c r="K151" s="226"/>
      <c r="L151" s="226">
        <v>368</v>
      </c>
      <c r="M151" s="226"/>
      <c r="N151" s="226"/>
      <c r="O151" s="226"/>
      <c r="P151" s="226">
        <v>377</v>
      </c>
      <c r="Q151" s="226"/>
      <c r="R151" s="226"/>
      <c r="S151" s="226">
        <v>377</v>
      </c>
      <c r="T151" s="226"/>
      <c r="U151" s="582"/>
      <c r="V151" s="255">
        <f>SUM(H151:T151)</f>
        <v>1122</v>
      </c>
      <c r="W151" s="14"/>
      <c r="X151" s="16"/>
    </row>
    <row r="152" spans="1:24" x14ac:dyDescent="0.15">
      <c r="A152" s="143"/>
      <c r="B152" s="143" t="s">
        <v>170</v>
      </c>
      <c r="C152" s="144"/>
      <c r="D152" s="144">
        <v>615210</v>
      </c>
      <c r="E152" s="145" t="s">
        <v>71</v>
      </c>
      <c r="F152" s="145" t="s">
        <v>192</v>
      </c>
      <c r="G152" s="165"/>
      <c r="H152" s="559"/>
      <c r="I152" s="226"/>
      <c r="J152" s="226"/>
      <c r="K152" s="226"/>
      <c r="L152" s="226"/>
      <c r="M152" s="226"/>
      <c r="N152" s="226"/>
      <c r="O152" s="226"/>
      <c r="P152" s="226"/>
      <c r="Q152" s="226"/>
      <c r="R152" s="226"/>
      <c r="S152" s="226"/>
      <c r="T152" s="226"/>
      <c r="U152" s="582"/>
      <c r="V152" s="255">
        <f>SUM(H152:T152)</f>
        <v>0</v>
      </c>
      <c r="W152" s="14"/>
    </row>
    <row r="153" spans="1:24" ht="11.25" thickBot="1" x14ac:dyDescent="0.2">
      <c r="A153" s="516" t="s">
        <v>11</v>
      </c>
      <c r="B153" s="517"/>
      <c r="C153" s="518"/>
      <c r="D153" s="531"/>
      <c r="E153" s="516"/>
      <c r="F153" s="520"/>
      <c r="G153" s="521"/>
      <c r="H153" s="522">
        <f>SUM(H152:H152)</f>
        <v>0</v>
      </c>
      <c r="I153" s="522">
        <f t="shared" ref="I153:U153" si="28">SUM(I150:I152)</f>
        <v>0</v>
      </c>
      <c r="J153" s="522">
        <f t="shared" si="28"/>
        <v>0</v>
      </c>
      <c r="K153" s="522">
        <f t="shared" si="28"/>
        <v>0</v>
      </c>
      <c r="L153" s="522">
        <f t="shared" si="28"/>
        <v>368</v>
      </c>
      <c r="M153" s="522">
        <f t="shared" si="28"/>
        <v>0</v>
      </c>
      <c r="N153" s="522">
        <f t="shared" si="28"/>
        <v>0</v>
      </c>
      <c r="O153" s="522">
        <f t="shared" si="28"/>
        <v>0</v>
      </c>
      <c r="P153" s="522">
        <f t="shared" si="28"/>
        <v>377</v>
      </c>
      <c r="Q153" s="522">
        <f t="shared" si="28"/>
        <v>0</v>
      </c>
      <c r="R153" s="522">
        <f t="shared" si="28"/>
        <v>0</v>
      </c>
      <c r="S153" s="522">
        <f t="shared" si="28"/>
        <v>377</v>
      </c>
      <c r="T153" s="522">
        <f t="shared" si="28"/>
        <v>0</v>
      </c>
      <c r="U153" s="522">
        <f t="shared" si="28"/>
        <v>0</v>
      </c>
      <c r="V153" s="522">
        <f>SUM(V150:V152)</f>
        <v>1122</v>
      </c>
      <c r="W153" s="97" t="str">
        <f>+IF(V153=SUM(H153:T153),"contrôle ok", "erreur")</f>
        <v>contrôle ok</v>
      </c>
    </row>
    <row r="154" spans="1:24" ht="11.25" thickTop="1" x14ac:dyDescent="0.15">
      <c r="A154" s="33"/>
      <c r="B154" s="33"/>
      <c r="C154" s="34"/>
      <c r="D154" s="135"/>
      <c r="E154" s="36"/>
      <c r="F154" s="35"/>
      <c r="G154" s="100"/>
      <c r="H154" s="229"/>
      <c r="I154" s="229"/>
      <c r="J154" s="229"/>
      <c r="K154" s="229"/>
      <c r="L154" s="229"/>
      <c r="M154" s="229"/>
      <c r="N154" s="257"/>
      <c r="O154" s="229"/>
      <c r="P154" s="229"/>
      <c r="Q154" s="229"/>
      <c r="R154" s="229"/>
      <c r="S154" s="229"/>
      <c r="T154" s="229"/>
      <c r="U154" s="229"/>
      <c r="V154" s="258"/>
      <c r="W154" s="4"/>
    </row>
    <row r="155" spans="1:24" x14ac:dyDescent="0.15">
      <c r="A155" s="27" t="s">
        <v>712</v>
      </c>
      <c r="B155" s="28"/>
      <c r="C155" s="29"/>
      <c r="D155" s="134"/>
      <c r="E155" s="30"/>
      <c r="F155" s="31"/>
      <c r="G155" s="101"/>
      <c r="H155" s="224"/>
      <c r="I155" s="224"/>
      <c r="J155" s="251"/>
      <c r="K155" s="224"/>
      <c r="L155" s="224"/>
      <c r="M155" s="224"/>
      <c r="N155" s="224"/>
      <c r="O155" s="224"/>
      <c r="P155" s="224"/>
      <c r="Q155" s="224"/>
      <c r="R155" s="224"/>
      <c r="S155" s="224"/>
      <c r="T155" s="224"/>
      <c r="U155" s="224"/>
      <c r="V155" s="252"/>
      <c r="W155" s="4"/>
    </row>
    <row r="156" spans="1:24" s="37" customFormat="1" x14ac:dyDescent="0.15">
      <c r="A156" s="143" t="s">
        <v>727</v>
      </c>
      <c r="B156" s="143"/>
      <c r="C156" s="144"/>
      <c r="D156" s="144">
        <v>615215</v>
      </c>
      <c r="E156" s="145" t="s">
        <v>71</v>
      </c>
      <c r="F156" s="145"/>
      <c r="G156" s="165"/>
      <c r="H156" s="559"/>
      <c r="I156" s="226"/>
      <c r="J156" s="226">
        <v>85.4</v>
      </c>
      <c r="K156" s="226">
        <v>25.2</v>
      </c>
      <c r="L156" s="226"/>
      <c r="M156" s="226"/>
      <c r="N156" s="226">
        <v>58.8</v>
      </c>
      <c r="O156" s="226"/>
      <c r="P156" s="226">
        <v>287</v>
      </c>
      <c r="Q156" s="226">
        <v>431.2</v>
      </c>
      <c r="R156" s="226"/>
      <c r="S156" s="226"/>
      <c r="T156" s="226"/>
      <c r="U156" s="582"/>
      <c r="V156" s="255">
        <f t="shared" ref="V156:V167" si="29">SUM(H156:T156)</f>
        <v>887.59999999999991</v>
      </c>
      <c r="W156" s="14"/>
      <c r="X156" s="16"/>
    </row>
    <row r="157" spans="1:24" s="37" customFormat="1" x14ac:dyDescent="0.15">
      <c r="A157" s="143" t="s">
        <v>728</v>
      </c>
      <c r="B157" s="143"/>
      <c r="C157" s="144"/>
      <c r="D157" s="144">
        <v>615215</v>
      </c>
      <c r="E157" s="145" t="s">
        <v>71</v>
      </c>
      <c r="F157" s="145"/>
      <c r="G157" s="165"/>
      <c r="H157" s="559"/>
      <c r="I157" s="226"/>
      <c r="J157" s="226"/>
      <c r="K157" s="226"/>
      <c r="L157" s="226"/>
      <c r="M157" s="226"/>
      <c r="N157" s="226"/>
      <c r="O157" s="226"/>
      <c r="P157" s="226"/>
      <c r="Q157" s="226"/>
      <c r="R157" s="226"/>
      <c r="S157" s="226"/>
      <c r="T157" s="226"/>
      <c r="U157" s="582"/>
      <c r="V157" s="255">
        <f t="shared" si="29"/>
        <v>0</v>
      </c>
      <c r="W157" s="14"/>
      <c r="X157" s="16"/>
    </row>
    <row r="158" spans="1:24" s="37" customFormat="1" x14ac:dyDescent="0.15">
      <c r="A158" s="143" t="s">
        <v>729</v>
      </c>
      <c r="B158" s="143" t="s">
        <v>732</v>
      </c>
      <c r="C158" s="144"/>
      <c r="D158" s="144">
        <v>615215</v>
      </c>
      <c r="E158" s="145" t="s">
        <v>71</v>
      </c>
      <c r="F158" s="145"/>
      <c r="G158" s="165"/>
      <c r="H158" s="559">
        <f>946-1000+774</f>
        <v>720</v>
      </c>
      <c r="I158" s="226">
        <v>344</v>
      </c>
      <c r="J158" s="226">
        <v>645</v>
      </c>
      <c r="K158" s="226">
        <v>430</v>
      </c>
      <c r="L158" s="226"/>
      <c r="M158" s="226"/>
      <c r="N158" s="226"/>
      <c r="O158" s="226"/>
      <c r="P158" s="226"/>
      <c r="Q158" s="226"/>
      <c r="R158" s="226"/>
      <c r="S158" s="226"/>
      <c r="T158" s="226"/>
      <c r="U158" s="582"/>
      <c r="V158" s="255">
        <f t="shared" si="29"/>
        <v>2139</v>
      </c>
      <c r="W158" s="14"/>
      <c r="X158" s="16"/>
    </row>
    <row r="159" spans="1:24" s="37" customFormat="1" x14ac:dyDescent="0.15">
      <c r="A159" s="143" t="s">
        <v>730</v>
      </c>
      <c r="B159" s="143" t="s">
        <v>820</v>
      </c>
      <c r="C159" s="144"/>
      <c r="D159" s="144">
        <v>615215</v>
      </c>
      <c r="E159" s="145" t="s">
        <v>71</v>
      </c>
      <c r="F159" s="145"/>
      <c r="G159" s="165"/>
      <c r="H159" s="559"/>
      <c r="I159" s="226"/>
      <c r="J159" s="226">
        <v>95.1</v>
      </c>
      <c r="K159" s="226"/>
      <c r="L159" s="226"/>
      <c r="M159" s="226"/>
      <c r="N159" s="226">
        <v>95</v>
      </c>
      <c r="O159" s="226"/>
      <c r="P159" s="226"/>
      <c r="Q159" s="226"/>
      <c r="R159" s="226"/>
      <c r="S159" s="226"/>
      <c r="T159" s="226"/>
      <c r="U159" s="582"/>
      <c r="V159" s="255">
        <f t="shared" si="29"/>
        <v>190.1</v>
      </c>
      <c r="W159" s="14"/>
      <c r="X159" s="16"/>
    </row>
    <row r="160" spans="1:24" s="37" customFormat="1" x14ac:dyDescent="0.15">
      <c r="A160" s="143" t="s">
        <v>730</v>
      </c>
      <c r="B160" s="143" t="s">
        <v>734</v>
      </c>
      <c r="C160" s="144"/>
      <c r="D160" s="144">
        <v>615215</v>
      </c>
      <c r="E160" s="145" t="s">
        <v>71</v>
      </c>
      <c r="F160" s="145"/>
      <c r="G160" s="165"/>
      <c r="H160" s="559"/>
      <c r="I160" s="226">
        <v>691.29</v>
      </c>
      <c r="J160" s="226"/>
      <c r="K160" s="226"/>
      <c r="L160" s="226"/>
      <c r="M160" s="226"/>
      <c r="N160" s="226"/>
      <c r="O160" s="226"/>
      <c r="P160" s="226"/>
      <c r="Q160" s="226"/>
      <c r="R160" s="226"/>
      <c r="S160" s="226"/>
      <c r="T160" s="226"/>
      <c r="U160" s="582"/>
      <c r="V160" s="255">
        <f t="shared" si="29"/>
        <v>691.29</v>
      </c>
      <c r="W160" s="14"/>
      <c r="X160" s="16"/>
    </row>
    <row r="161" spans="1:24" s="37" customFormat="1" x14ac:dyDescent="0.15">
      <c r="A161" s="143" t="s">
        <v>730</v>
      </c>
      <c r="B161" s="143" t="s">
        <v>794</v>
      </c>
      <c r="C161" s="144"/>
      <c r="D161" s="144">
        <v>615215</v>
      </c>
      <c r="E161" s="145" t="s">
        <v>71</v>
      </c>
      <c r="F161" s="145"/>
      <c r="G161" s="165">
        <v>1000</v>
      </c>
      <c r="H161" s="559">
        <f>562.92-1000+1625.53-1600+190-702.92</f>
        <v>-924.47000000000014</v>
      </c>
      <c r="I161" s="226">
        <f>176.51+400+95</f>
        <v>671.51</v>
      </c>
      <c r="J161" s="226">
        <f>535.17+400</f>
        <v>935.17</v>
      </c>
      <c r="K161" s="226">
        <f>928.86+600</f>
        <v>1528.8600000000001</v>
      </c>
      <c r="L161" s="226">
        <f>1326.22</f>
        <v>1326.22</v>
      </c>
      <c r="M161" s="226">
        <f>1380+342+546.92+110</f>
        <v>2378.92</v>
      </c>
      <c r="N161" s="226">
        <v>1484.24</v>
      </c>
      <c r="O161" s="226">
        <f>230+920+385.2+264.19+95.1</f>
        <v>1894.49</v>
      </c>
      <c r="P161" s="226">
        <f>1150+336.6+195.95+95.1</f>
        <v>1777.6499999999999</v>
      </c>
      <c r="Q161" s="226">
        <f>460+57.6+176.13+190.2</f>
        <v>883.93000000000006</v>
      </c>
      <c r="R161" s="226">
        <f>920+230+230+97.2+27+9.9+83.66+95.1</f>
        <v>1692.8600000000001</v>
      </c>
      <c r="S161" s="226">
        <f>1150+408.6+237.77</f>
        <v>1796.37</v>
      </c>
      <c r="T161" s="226"/>
      <c r="U161" s="582"/>
      <c r="V161" s="255">
        <f t="shared" si="29"/>
        <v>15445.75</v>
      </c>
      <c r="W161" s="14"/>
      <c r="X161" s="16"/>
    </row>
    <row r="162" spans="1:24" s="37" customFormat="1" x14ac:dyDescent="0.15">
      <c r="A162" s="143" t="s">
        <v>730</v>
      </c>
      <c r="B162" s="143" t="s">
        <v>735</v>
      </c>
      <c r="C162" s="144"/>
      <c r="D162" s="144">
        <v>615215</v>
      </c>
      <c r="E162" s="145" t="s">
        <v>71</v>
      </c>
      <c r="F162" s="145" t="s">
        <v>700</v>
      </c>
      <c r="G162" s="165">
        <v>285.3</v>
      </c>
      <c r="H162" s="559">
        <f>285.3-285.3-285.3</f>
        <v>-285.3</v>
      </c>
      <c r="I162" s="226">
        <v>190.2</v>
      </c>
      <c r="J162" s="226">
        <v>190.2</v>
      </c>
      <c r="K162" s="226">
        <v>190.2</v>
      </c>
      <c r="L162" s="226">
        <v>285.3</v>
      </c>
      <c r="M162" s="226">
        <f>190.2+95.1</f>
        <v>285.29999999999995</v>
      </c>
      <c r="N162" s="226">
        <v>190.2</v>
      </c>
      <c r="O162" s="226">
        <v>285.3</v>
      </c>
      <c r="P162" s="226">
        <v>190.2</v>
      </c>
      <c r="Q162" s="226">
        <f>95.1+95.1</f>
        <v>190.2</v>
      </c>
      <c r="R162" s="226">
        <v>285.3</v>
      </c>
      <c r="S162" s="226">
        <v>190.2</v>
      </c>
      <c r="T162" s="226"/>
      <c r="U162" s="582"/>
      <c r="V162" s="255">
        <f t="shared" si="29"/>
        <v>2187.2999999999997</v>
      </c>
      <c r="W162" s="14"/>
      <c r="X162" s="16"/>
    </row>
    <row r="163" spans="1:24" s="37" customFormat="1" x14ac:dyDescent="0.15">
      <c r="A163" s="143" t="s">
        <v>730</v>
      </c>
      <c r="B163" s="143" t="s">
        <v>736</v>
      </c>
      <c r="C163" s="144"/>
      <c r="D163" s="144">
        <v>615215</v>
      </c>
      <c r="E163" s="145" t="s">
        <v>71</v>
      </c>
      <c r="F163" s="145" t="s">
        <v>726</v>
      </c>
      <c r="G163" s="165"/>
      <c r="H163" s="559">
        <f>140-980</f>
        <v>-840</v>
      </c>
      <c r="I163" s="226"/>
      <c r="J163" s="226"/>
      <c r="K163" s="226"/>
      <c r="L163" s="226"/>
      <c r="M163" s="226"/>
      <c r="N163" s="226"/>
      <c r="O163" s="226"/>
      <c r="P163" s="226"/>
      <c r="Q163" s="226"/>
      <c r="R163" s="226"/>
      <c r="S163" s="226"/>
      <c r="T163" s="226"/>
      <c r="U163" s="582"/>
      <c r="V163" s="255">
        <f t="shared" si="29"/>
        <v>-840</v>
      </c>
      <c r="W163" s="14"/>
      <c r="X163" s="16"/>
    </row>
    <row r="164" spans="1:24" s="37" customFormat="1" x14ac:dyDescent="0.15">
      <c r="A164" s="143" t="s">
        <v>730</v>
      </c>
      <c r="B164" s="143" t="s">
        <v>737</v>
      </c>
      <c r="C164" s="144"/>
      <c r="D164" s="144">
        <v>615215</v>
      </c>
      <c r="E164" s="596" t="s">
        <v>702</v>
      </c>
      <c r="F164" s="145"/>
      <c r="G164" s="165">
        <v>230</v>
      </c>
      <c r="H164" s="559"/>
      <c r="I164" s="226"/>
      <c r="J164" s="226"/>
      <c r="K164" s="226"/>
      <c r="L164" s="226"/>
      <c r="M164" s="226"/>
      <c r="N164" s="226">
        <v>230</v>
      </c>
      <c r="O164" s="226">
        <v>95.1</v>
      </c>
      <c r="P164" s="226">
        <v>230</v>
      </c>
      <c r="Q164" s="226">
        <v>95.1</v>
      </c>
      <c r="R164" s="226">
        <v>230</v>
      </c>
      <c r="S164" s="226">
        <v>0</v>
      </c>
      <c r="T164" s="226"/>
      <c r="U164" s="582"/>
      <c r="V164" s="255">
        <f t="shared" si="29"/>
        <v>880.2</v>
      </c>
      <c r="W164" s="14"/>
      <c r="X164" s="16"/>
    </row>
    <row r="165" spans="1:24" s="37" customFormat="1" x14ac:dyDescent="0.15">
      <c r="A165" s="143" t="s">
        <v>731</v>
      </c>
      <c r="B165" s="143" t="s">
        <v>737</v>
      </c>
      <c r="C165" s="144"/>
      <c r="D165" s="144">
        <v>615215</v>
      </c>
      <c r="E165" s="596" t="s">
        <v>702</v>
      </c>
      <c r="F165" s="145"/>
      <c r="G165" s="165"/>
      <c r="H165" s="559">
        <v>-126.17</v>
      </c>
      <c r="I165" s="226">
        <v>112.47</v>
      </c>
      <c r="J165" s="226"/>
      <c r="K165" s="226"/>
      <c r="L165" s="226">
        <v>165.8</v>
      </c>
      <c r="M165" s="226"/>
      <c r="N165" s="226"/>
      <c r="O165" s="226"/>
      <c r="P165" s="226"/>
      <c r="Q165" s="226"/>
      <c r="R165" s="226"/>
      <c r="S165" s="226"/>
      <c r="T165" s="226"/>
      <c r="U165" s="582"/>
      <c r="V165" s="255">
        <f t="shared" si="29"/>
        <v>152.10000000000002</v>
      </c>
      <c r="W165" s="14"/>
      <c r="X165" s="16"/>
    </row>
    <row r="166" spans="1:24" s="37" customFormat="1" x14ac:dyDescent="0.15">
      <c r="A166" s="143" t="s">
        <v>730</v>
      </c>
      <c r="B166" s="143" t="s">
        <v>738</v>
      </c>
      <c r="C166" s="144"/>
      <c r="D166" s="144">
        <v>615215</v>
      </c>
      <c r="E166" s="596" t="s">
        <v>396</v>
      </c>
      <c r="F166" s="145"/>
      <c r="G166" s="165">
        <v>5500</v>
      </c>
      <c r="H166" s="559">
        <f>5610.9-5200-5610.9</f>
        <v>-5200</v>
      </c>
      <c r="I166" s="226">
        <f>5040.3+250-50</f>
        <v>5240.3</v>
      </c>
      <c r="J166" s="226">
        <f>4850.1+380.4</f>
        <v>5230.5</v>
      </c>
      <c r="K166" s="226">
        <f>5135.4+475.5</f>
        <v>5610.9</v>
      </c>
      <c r="L166" s="226">
        <v>5230.5</v>
      </c>
      <c r="M166" s="226">
        <f>95.1+5706+190.2</f>
        <v>5991.3</v>
      </c>
      <c r="N166" s="226">
        <v>6181.5</v>
      </c>
      <c r="O166" s="226">
        <f>5610.9+190.2</f>
        <v>5801.0999999999995</v>
      </c>
      <c r="P166" s="226">
        <f>95.1+7037.4+95.1+250</f>
        <v>7477.6</v>
      </c>
      <c r="Q166" s="226">
        <f>5801.1+95.1</f>
        <v>5896.2000000000007</v>
      </c>
      <c r="R166" s="226">
        <v>5896.2</v>
      </c>
      <c r="S166" s="226">
        <f>5801.1+95.1</f>
        <v>5896.2000000000007</v>
      </c>
      <c r="T166" s="226"/>
      <c r="U166" s="582"/>
      <c r="V166" s="255">
        <f t="shared" si="29"/>
        <v>59252.299999999988</v>
      </c>
      <c r="W166" s="14"/>
      <c r="X166" s="16"/>
    </row>
    <row r="167" spans="1:24" x14ac:dyDescent="0.15">
      <c r="A167" s="143"/>
      <c r="B167" s="143"/>
      <c r="C167" s="144"/>
      <c r="D167" s="144"/>
      <c r="E167" s="145"/>
      <c r="F167" s="145"/>
      <c r="G167" s="165"/>
      <c r="H167" s="559"/>
      <c r="I167" s="226"/>
      <c r="J167" s="226"/>
      <c r="K167" s="226"/>
      <c r="L167" s="226"/>
      <c r="M167" s="226"/>
      <c r="N167" s="226"/>
      <c r="O167" s="226"/>
      <c r="P167" s="226"/>
      <c r="Q167" s="226"/>
      <c r="R167" s="226"/>
      <c r="S167" s="226"/>
      <c r="T167" s="226"/>
      <c r="U167" s="582"/>
      <c r="V167" s="255">
        <f t="shared" si="29"/>
        <v>0</v>
      </c>
      <c r="W167" s="14"/>
    </row>
    <row r="168" spans="1:24" ht="11.25" thickBot="1" x14ac:dyDescent="0.2">
      <c r="A168" s="516" t="s">
        <v>11</v>
      </c>
      <c r="B168" s="517"/>
      <c r="C168" s="518"/>
      <c r="D168" s="531"/>
      <c r="E168" s="516"/>
      <c r="F168" s="520"/>
      <c r="G168" s="521"/>
      <c r="H168" s="522">
        <f>SUM(H156:H167)</f>
        <v>-6655.9400000000005</v>
      </c>
      <c r="I168" s="522">
        <f t="shared" ref="I168:V168" si="30">SUM(I156:I167)</f>
        <v>7249.77</v>
      </c>
      <c r="J168" s="522">
        <f t="shared" si="30"/>
        <v>7181.37</v>
      </c>
      <c r="K168" s="522">
        <f t="shared" si="30"/>
        <v>7785.16</v>
      </c>
      <c r="L168" s="522">
        <f t="shared" si="30"/>
        <v>7007.82</v>
      </c>
      <c r="M168" s="522">
        <f t="shared" si="30"/>
        <v>8655.52</v>
      </c>
      <c r="N168" s="522">
        <f t="shared" si="30"/>
        <v>8239.74</v>
      </c>
      <c r="O168" s="522">
        <f t="shared" si="30"/>
        <v>8075.99</v>
      </c>
      <c r="P168" s="522">
        <f t="shared" si="30"/>
        <v>9962.4500000000007</v>
      </c>
      <c r="Q168" s="522">
        <f t="shared" si="30"/>
        <v>7496.630000000001</v>
      </c>
      <c r="R168" s="522">
        <f t="shared" si="30"/>
        <v>8104.36</v>
      </c>
      <c r="S168" s="522">
        <f t="shared" si="30"/>
        <v>7882.77</v>
      </c>
      <c r="T168" s="522">
        <f t="shared" si="30"/>
        <v>0</v>
      </c>
      <c r="U168" s="522">
        <f t="shared" si="30"/>
        <v>0</v>
      </c>
      <c r="V168" s="522">
        <f t="shared" si="30"/>
        <v>80985.639999999985</v>
      </c>
      <c r="W168" s="97" t="str">
        <f>+IF(V168=SUM(H168:T168),"contrôle ok", "erreur")</f>
        <v>contrôle ok</v>
      </c>
    </row>
    <row r="169" spans="1:24" ht="11.25" thickTop="1" x14ac:dyDescent="0.15">
      <c r="A169" s="33"/>
      <c r="B169" s="33"/>
      <c r="C169" s="34"/>
      <c r="D169" s="135"/>
      <c r="E169" s="36"/>
      <c r="F169" s="35"/>
      <c r="G169" s="100"/>
      <c r="H169" s="229"/>
      <c r="I169" s="229"/>
      <c r="J169" s="229"/>
      <c r="K169" s="229"/>
      <c r="L169" s="229"/>
      <c r="M169" s="229"/>
      <c r="N169" s="257"/>
      <c r="O169" s="229"/>
      <c r="P169" s="229"/>
      <c r="Q169" s="229"/>
      <c r="R169" s="229"/>
      <c r="S169" s="229"/>
      <c r="T169" s="229"/>
      <c r="U169" s="229"/>
      <c r="V169" s="258"/>
      <c r="W169" s="4"/>
    </row>
    <row r="170" spans="1:24" x14ac:dyDescent="0.15">
      <c r="A170" s="27" t="s">
        <v>12</v>
      </c>
      <c r="B170" s="28"/>
      <c r="C170" s="29"/>
      <c r="D170" s="134"/>
      <c r="E170" s="30"/>
      <c r="F170" s="31"/>
      <c r="G170" s="101"/>
      <c r="H170" s="224"/>
      <c r="I170" s="224"/>
      <c r="J170" s="251"/>
      <c r="K170" s="224"/>
      <c r="L170" s="224"/>
      <c r="M170" s="224"/>
      <c r="N170" s="224"/>
      <c r="O170" s="224"/>
      <c r="P170" s="224"/>
      <c r="Q170" s="224"/>
      <c r="R170" s="224"/>
      <c r="S170" s="224"/>
      <c r="T170" s="224"/>
      <c r="U170" s="224"/>
      <c r="V170" s="224"/>
      <c r="W170" s="4"/>
    </row>
    <row r="171" spans="1:24" x14ac:dyDescent="0.15">
      <c r="A171" s="143" t="s">
        <v>499</v>
      </c>
      <c r="B171" s="143" t="s">
        <v>422</v>
      </c>
      <c r="C171" s="144" t="s">
        <v>532</v>
      </c>
      <c r="D171" s="144">
        <v>615220</v>
      </c>
      <c r="E171" s="145" t="s">
        <v>70</v>
      </c>
      <c r="F171" s="145" t="s">
        <v>179</v>
      </c>
      <c r="G171" s="165">
        <v>476</v>
      </c>
      <c r="H171" s="559"/>
      <c r="I171" s="226">
        <v>476</v>
      </c>
      <c r="J171" s="226">
        <v>476</v>
      </c>
      <c r="K171" s="226">
        <v>476</v>
      </c>
      <c r="L171" s="226">
        <v>476</v>
      </c>
      <c r="M171" s="226">
        <v>476</v>
      </c>
      <c r="N171" s="226">
        <v>476</v>
      </c>
      <c r="O171" s="226">
        <v>476</v>
      </c>
      <c r="P171" s="226">
        <v>476</v>
      </c>
      <c r="Q171" s="226">
        <v>476</v>
      </c>
      <c r="R171" s="226">
        <v>476</v>
      </c>
      <c r="S171" s="226">
        <v>476</v>
      </c>
      <c r="T171" s="226">
        <v>476</v>
      </c>
      <c r="U171" s="582"/>
      <c r="V171" s="255">
        <f t="shared" ref="V171:V182" si="31">SUM(H171:T171)</f>
        <v>5712</v>
      </c>
      <c r="W171" s="14"/>
    </row>
    <row r="172" spans="1:24" x14ac:dyDescent="0.15">
      <c r="A172" s="143"/>
      <c r="B172" s="143"/>
      <c r="C172" s="144"/>
      <c r="D172" s="144"/>
      <c r="E172" s="145"/>
      <c r="F172" s="145"/>
      <c r="G172" s="165"/>
      <c r="H172" s="559"/>
      <c r="I172" s="226"/>
      <c r="J172" s="226"/>
      <c r="K172" s="226"/>
      <c r="L172" s="226"/>
      <c r="M172" s="226"/>
      <c r="N172" s="226"/>
      <c r="O172" s="226"/>
      <c r="P172" s="226"/>
      <c r="Q172" s="226"/>
      <c r="R172" s="226"/>
      <c r="S172" s="226"/>
      <c r="T172" s="226"/>
      <c r="U172" s="582"/>
      <c r="V172" s="255">
        <f t="shared" si="31"/>
        <v>0</v>
      </c>
      <c r="W172" s="14"/>
    </row>
    <row r="173" spans="1:24" x14ac:dyDescent="0.15">
      <c r="A173" s="143" t="s">
        <v>452</v>
      </c>
      <c r="B173" s="143" t="s">
        <v>502</v>
      </c>
      <c r="C173" s="144">
        <v>2017</v>
      </c>
      <c r="D173" s="144">
        <v>615220</v>
      </c>
      <c r="E173" s="145" t="s">
        <v>108</v>
      </c>
      <c r="F173" s="145" t="s">
        <v>179</v>
      </c>
      <c r="G173" s="165">
        <v>3.59</v>
      </c>
      <c r="H173" s="559">
        <v>-43.08</v>
      </c>
      <c r="I173" s="572"/>
      <c r="J173" s="572"/>
      <c r="K173" s="572"/>
      <c r="L173" s="572"/>
      <c r="M173" s="572"/>
      <c r="N173" s="572"/>
      <c r="O173" s="572"/>
      <c r="P173" s="572"/>
      <c r="Q173" s="572"/>
      <c r="R173" s="572"/>
      <c r="S173" s="572"/>
      <c r="T173" s="572"/>
      <c r="U173" s="582"/>
      <c r="V173" s="255">
        <f t="shared" si="31"/>
        <v>-43.08</v>
      </c>
      <c r="W173" s="14"/>
    </row>
    <row r="174" spans="1:24" x14ac:dyDescent="0.15">
      <c r="A174" s="143" t="s">
        <v>622</v>
      </c>
      <c r="B174" s="143" t="s">
        <v>467</v>
      </c>
      <c r="C174" s="144" t="s">
        <v>830</v>
      </c>
      <c r="D174" s="144">
        <v>615220</v>
      </c>
      <c r="E174" s="145" t="s">
        <v>108</v>
      </c>
      <c r="F174" s="145" t="s">
        <v>179</v>
      </c>
      <c r="G174" s="165">
        <v>168.78</v>
      </c>
      <c r="H174" s="559"/>
      <c r="I174" s="226">
        <v>168.78</v>
      </c>
      <c r="J174" s="226">
        <v>168.78</v>
      </c>
      <c r="K174" s="226">
        <v>168.78</v>
      </c>
      <c r="L174" s="226">
        <v>168.78</v>
      </c>
      <c r="M174" s="226">
        <v>168.78</v>
      </c>
      <c r="N174" s="226">
        <v>168.78</v>
      </c>
      <c r="O174" s="226">
        <v>168.78</v>
      </c>
      <c r="P174" s="226">
        <v>168.78</v>
      </c>
      <c r="Q174" s="226">
        <v>168.78</v>
      </c>
      <c r="R174" s="226">
        <v>168.78</v>
      </c>
      <c r="S174" s="226">
        <v>168.78</v>
      </c>
      <c r="T174" s="226">
        <v>168.78</v>
      </c>
      <c r="U174" s="582"/>
      <c r="V174" s="255">
        <f t="shared" si="31"/>
        <v>2025.36</v>
      </c>
      <c r="W174" s="14"/>
    </row>
    <row r="175" spans="1:24" s="37" customFormat="1" x14ac:dyDescent="0.15">
      <c r="A175" s="143" t="s">
        <v>452</v>
      </c>
      <c r="B175" s="143"/>
      <c r="C175" s="144"/>
      <c r="D175" s="144">
        <v>615220</v>
      </c>
      <c r="E175" s="145" t="s">
        <v>108</v>
      </c>
      <c r="F175" s="145" t="s">
        <v>179</v>
      </c>
      <c r="G175" s="165"/>
      <c r="H175" s="559"/>
      <c r="I175" s="226"/>
      <c r="J175" s="226"/>
      <c r="K175" s="226"/>
      <c r="L175" s="226"/>
      <c r="M175" s="226"/>
      <c r="N175" s="226"/>
      <c r="O175" s="226"/>
      <c r="P175" s="226"/>
      <c r="Q175" s="226"/>
      <c r="R175" s="226"/>
      <c r="S175" s="226"/>
      <c r="T175" s="226"/>
      <c r="U175" s="582"/>
      <c r="V175" s="255">
        <f t="shared" si="31"/>
        <v>0</v>
      </c>
      <c r="W175" s="14"/>
      <c r="X175" s="16"/>
    </row>
    <row r="176" spans="1:24" s="37" customFormat="1" x14ac:dyDescent="0.15">
      <c r="A176" s="143" t="s">
        <v>452</v>
      </c>
      <c r="B176" s="143" t="s">
        <v>527</v>
      </c>
      <c r="C176" s="144" t="s">
        <v>528</v>
      </c>
      <c r="D176" s="144">
        <v>615220</v>
      </c>
      <c r="E176" s="145" t="s">
        <v>108</v>
      </c>
      <c r="F176" s="145" t="s">
        <v>179</v>
      </c>
      <c r="G176" s="165">
        <v>126.67</v>
      </c>
      <c r="H176" s="559"/>
      <c r="I176" s="226">
        <v>126.67</v>
      </c>
      <c r="J176" s="226">
        <v>126.67</v>
      </c>
      <c r="K176" s="226">
        <v>126.67</v>
      </c>
      <c r="L176" s="226">
        <v>126.67</v>
      </c>
      <c r="M176" s="226">
        <v>126.67</v>
      </c>
      <c r="N176" s="226">
        <v>126.67</v>
      </c>
      <c r="O176" s="226">
        <v>126.67</v>
      </c>
      <c r="P176" s="226">
        <v>126.67</v>
      </c>
      <c r="Q176" s="226">
        <v>126.67</v>
      </c>
      <c r="R176" s="226">
        <v>126.67</v>
      </c>
      <c r="S176" s="226">
        <v>126.67</v>
      </c>
      <c r="T176" s="226">
        <v>126.64</v>
      </c>
      <c r="U176" s="582"/>
      <c r="V176" s="255">
        <f t="shared" si="31"/>
        <v>1520.0100000000002</v>
      </c>
      <c r="W176" s="14"/>
      <c r="X176" s="16"/>
    </row>
    <row r="177" spans="1:24" s="37" customFormat="1" x14ac:dyDescent="0.15">
      <c r="A177" s="143" t="s">
        <v>452</v>
      </c>
      <c r="B177" s="143" t="s">
        <v>546</v>
      </c>
      <c r="C177" s="144" t="s">
        <v>547</v>
      </c>
      <c r="D177" s="144">
        <v>615220</v>
      </c>
      <c r="E177" s="145" t="s">
        <v>108</v>
      </c>
      <c r="F177" s="145" t="s">
        <v>179</v>
      </c>
      <c r="G177" s="165"/>
      <c r="H177" s="559"/>
      <c r="I177" s="226"/>
      <c r="J177" s="226"/>
      <c r="K177" s="226"/>
      <c r="L177" s="226"/>
      <c r="M177" s="226"/>
      <c r="N177" s="226"/>
      <c r="O177" s="226"/>
      <c r="P177" s="226"/>
      <c r="Q177" s="226"/>
      <c r="R177" s="226"/>
      <c r="S177" s="226"/>
      <c r="T177" s="226"/>
      <c r="U177" s="582"/>
      <c r="V177" s="255">
        <f t="shared" si="31"/>
        <v>0</v>
      </c>
      <c r="W177" s="14"/>
      <c r="X177" s="16"/>
    </row>
    <row r="178" spans="1:24" s="37" customFormat="1" x14ac:dyDescent="0.15">
      <c r="A178" s="143"/>
      <c r="B178" s="143"/>
      <c r="C178" s="144"/>
      <c r="D178" s="144"/>
      <c r="E178" s="145"/>
      <c r="F178" s="145"/>
      <c r="G178" s="165"/>
      <c r="H178" s="559"/>
      <c r="I178" s="226"/>
      <c r="J178" s="226"/>
      <c r="K178" s="226"/>
      <c r="L178" s="226"/>
      <c r="M178" s="226"/>
      <c r="N178" s="226"/>
      <c r="O178" s="226"/>
      <c r="P178" s="226"/>
      <c r="Q178" s="226"/>
      <c r="R178" s="226"/>
      <c r="S178" s="226"/>
      <c r="T178" s="226"/>
      <c r="U178" s="582"/>
      <c r="V178" s="255">
        <f t="shared" si="31"/>
        <v>0</v>
      </c>
      <c r="W178" s="14"/>
      <c r="X178" s="16"/>
    </row>
    <row r="179" spans="1:24" x14ac:dyDescent="0.15">
      <c r="A179" s="143"/>
      <c r="B179" s="143"/>
      <c r="C179" s="144"/>
      <c r="D179" s="144">
        <v>615220</v>
      </c>
      <c r="E179" s="145" t="s">
        <v>108</v>
      </c>
      <c r="F179" s="145" t="s">
        <v>192</v>
      </c>
      <c r="G179" s="165"/>
      <c r="H179" s="559"/>
      <c r="I179" s="226"/>
      <c r="J179" s="226"/>
      <c r="K179" s="226"/>
      <c r="L179" s="226"/>
      <c r="M179" s="226"/>
      <c r="N179" s="226"/>
      <c r="O179" s="226"/>
      <c r="P179" s="226"/>
      <c r="Q179" s="226"/>
      <c r="R179" s="226"/>
      <c r="S179" s="226"/>
      <c r="T179" s="226"/>
      <c r="U179" s="582"/>
      <c r="V179" s="255">
        <f t="shared" si="31"/>
        <v>0</v>
      </c>
      <c r="W179" s="14"/>
    </row>
    <row r="180" spans="1:24" x14ac:dyDescent="0.15">
      <c r="A180" s="143"/>
      <c r="B180" s="143"/>
      <c r="C180" s="144"/>
      <c r="D180" s="144"/>
      <c r="E180" s="145"/>
      <c r="F180" s="145"/>
      <c r="G180" s="165"/>
      <c r="H180" s="559"/>
      <c r="I180" s="226"/>
      <c r="J180" s="226"/>
      <c r="K180" s="226"/>
      <c r="L180" s="226"/>
      <c r="M180" s="226"/>
      <c r="N180" s="226"/>
      <c r="O180" s="226"/>
      <c r="P180" s="226"/>
      <c r="Q180" s="226"/>
      <c r="R180" s="226"/>
      <c r="S180" s="226"/>
      <c r="T180" s="226"/>
      <c r="U180" s="582"/>
      <c r="V180" s="255">
        <f t="shared" si="31"/>
        <v>0</v>
      </c>
      <c r="W180" s="14"/>
    </row>
    <row r="181" spans="1:24" x14ac:dyDescent="0.15">
      <c r="A181" s="143" t="s">
        <v>412</v>
      </c>
      <c r="B181" s="143"/>
      <c r="C181" s="144"/>
      <c r="D181" s="144">
        <v>615220</v>
      </c>
      <c r="E181" s="145" t="s">
        <v>72</v>
      </c>
      <c r="F181" s="145" t="s">
        <v>179</v>
      </c>
      <c r="G181" s="165"/>
      <c r="H181" s="559"/>
      <c r="I181" s="226"/>
      <c r="J181" s="226"/>
      <c r="K181" s="226"/>
      <c r="L181" s="226"/>
      <c r="M181" s="226"/>
      <c r="N181" s="226"/>
      <c r="O181" s="677"/>
      <c r="P181" s="677"/>
      <c r="Q181" s="226"/>
      <c r="R181" s="226"/>
      <c r="S181" s="226"/>
      <c r="T181" s="226"/>
      <c r="U181" s="582"/>
      <c r="V181" s="255">
        <f t="shared" si="31"/>
        <v>0</v>
      </c>
      <c r="W181" s="14"/>
    </row>
    <row r="182" spans="1:24" x14ac:dyDescent="0.15">
      <c r="A182" s="143" t="s">
        <v>483</v>
      </c>
      <c r="B182" s="143" t="s">
        <v>484</v>
      </c>
      <c r="C182" s="144" t="s">
        <v>528</v>
      </c>
      <c r="D182" s="144">
        <v>615220</v>
      </c>
      <c r="E182" s="145" t="s">
        <v>72</v>
      </c>
      <c r="F182" s="145" t="s">
        <v>179</v>
      </c>
      <c r="G182" s="165">
        <v>64.41</v>
      </c>
      <c r="H182" s="559"/>
      <c r="I182" s="226">
        <v>64.430000000000007</v>
      </c>
      <c r="J182" s="226">
        <v>64.430000000000007</v>
      </c>
      <c r="K182" s="226">
        <v>64.430000000000007</v>
      </c>
      <c r="L182" s="226">
        <v>64.430000000000007</v>
      </c>
      <c r="M182" s="226">
        <v>64.430000000000007</v>
      </c>
      <c r="N182" s="226">
        <v>64.430000000000007</v>
      </c>
      <c r="O182" s="226">
        <v>64.430000000000007</v>
      </c>
      <c r="P182" s="226">
        <v>64.430000000000007</v>
      </c>
      <c r="Q182" s="226">
        <v>64.430000000000007</v>
      </c>
      <c r="R182" s="226">
        <v>64.430000000000007</v>
      </c>
      <c r="S182" s="226">
        <v>64.430000000000007</v>
      </c>
      <c r="T182" s="226">
        <v>64.33</v>
      </c>
      <c r="U182" s="582"/>
      <c r="V182" s="255">
        <f t="shared" si="31"/>
        <v>773.06000000000029</v>
      </c>
      <c r="W182" s="14"/>
    </row>
    <row r="183" spans="1:24" ht="11.25" thickBot="1" x14ac:dyDescent="0.2">
      <c r="A183" s="516" t="s">
        <v>11</v>
      </c>
      <c r="B183" s="517"/>
      <c r="C183" s="518"/>
      <c r="D183" s="531"/>
      <c r="E183" s="516"/>
      <c r="F183" s="520"/>
      <c r="G183" s="521"/>
      <c r="H183" s="522">
        <f t="shared" ref="H183:U183" si="32">SUM(H171:H182)</f>
        <v>-43.08</v>
      </c>
      <c r="I183" s="522">
        <f t="shared" si="32"/>
        <v>835.87999999999988</v>
      </c>
      <c r="J183" s="522">
        <f t="shared" si="32"/>
        <v>835.87999999999988</v>
      </c>
      <c r="K183" s="522">
        <f t="shared" si="32"/>
        <v>835.87999999999988</v>
      </c>
      <c r="L183" s="522">
        <f t="shared" si="32"/>
        <v>835.87999999999988</v>
      </c>
      <c r="M183" s="522">
        <f t="shared" si="32"/>
        <v>835.87999999999988</v>
      </c>
      <c r="N183" s="522">
        <f t="shared" si="32"/>
        <v>835.87999999999988</v>
      </c>
      <c r="O183" s="522">
        <f t="shared" si="32"/>
        <v>835.87999999999988</v>
      </c>
      <c r="P183" s="522">
        <f t="shared" si="32"/>
        <v>835.87999999999988</v>
      </c>
      <c r="Q183" s="522">
        <f t="shared" si="32"/>
        <v>835.87999999999988</v>
      </c>
      <c r="R183" s="522">
        <f t="shared" si="32"/>
        <v>835.87999999999988</v>
      </c>
      <c r="S183" s="522">
        <f t="shared" si="32"/>
        <v>835.87999999999988</v>
      </c>
      <c r="T183" s="522">
        <f t="shared" si="32"/>
        <v>835.75</v>
      </c>
      <c r="U183" s="522">
        <f t="shared" si="32"/>
        <v>0</v>
      </c>
      <c r="V183" s="522">
        <f>SUM(V171:V182)</f>
        <v>9987.35</v>
      </c>
      <c r="W183" s="97" t="str">
        <f>+IF(V183=SUM(H183:T183),"contrôle ok", "erreur")</f>
        <v>contrôle ok</v>
      </c>
    </row>
    <row r="184" spans="1:24" ht="11.25" thickTop="1" x14ac:dyDescent="0.15">
      <c r="A184" s="45"/>
      <c r="B184" s="46"/>
      <c r="C184" s="47"/>
      <c r="D184" s="137"/>
      <c r="E184" s="49"/>
      <c r="F184" s="57"/>
      <c r="G184" s="100"/>
      <c r="H184" s="246"/>
      <c r="I184" s="246"/>
      <c r="J184" s="246"/>
      <c r="K184" s="246"/>
      <c r="L184" s="246"/>
      <c r="M184" s="246"/>
      <c r="N184" s="246"/>
      <c r="O184" s="246"/>
      <c r="P184" s="246"/>
      <c r="Q184" s="246"/>
      <c r="R184" s="246"/>
      <c r="S184" s="246"/>
      <c r="T184" s="246"/>
      <c r="U184" s="246"/>
      <c r="V184" s="288"/>
      <c r="W184" s="4"/>
    </row>
    <row r="185" spans="1:24" x14ac:dyDescent="0.15">
      <c r="A185" s="27" t="s">
        <v>14</v>
      </c>
      <c r="B185" s="28"/>
      <c r="C185" s="29"/>
      <c r="D185" s="134"/>
      <c r="E185" s="30"/>
      <c r="F185" s="31"/>
      <c r="G185" s="101"/>
      <c r="H185" s="224"/>
      <c r="I185" s="224"/>
      <c r="J185" s="251"/>
      <c r="K185" s="224"/>
      <c r="L185" s="224"/>
      <c r="M185" s="224"/>
      <c r="N185" s="224"/>
      <c r="O185" s="224"/>
      <c r="P185" s="224"/>
      <c r="Q185" s="224"/>
      <c r="R185" s="224"/>
      <c r="S185" s="224"/>
      <c r="T185" s="224"/>
      <c r="U185" s="224"/>
      <c r="V185" s="252"/>
      <c r="W185" s="4"/>
    </row>
    <row r="186" spans="1:24" x14ac:dyDescent="0.15">
      <c r="A186" s="143" t="s">
        <v>15</v>
      </c>
      <c r="B186" s="143" t="s">
        <v>97</v>
      </c>
      <c r="C186" s="144" t="s">
        <v>781</v>
      </c>
      <c r="D186" s="144">
        <v>615230</v>
      </c>
      <c r="E186" s="145" t="s">
        <v>72</v>
      </c>
      <c r="F186" s="145" t="s">
        <v>179</v>
      </c>
      <c r="G186" s="165">
        <v>511.04</v>
      </c>
      <c r="H186" s="559"/>
      <c r="I186" s="226">
        <v>393.26</v>
      </c>
      <c r="J186" s="226">
        <f>337.26+56</f>
        <v>393.26</v>
      </c>
      <c r="K186" s="226">
        <f>337.26+56</f>
        <v>393.26</v>
      </c>
      <c r="L186" s="226">
        <f>337.24+56</f>
        <v>393.24</v>
      </c>
      <c r="M186" s="226">
        <f>511.04+734.07-734.07</f>
        <v>511.04000000000008</v>
      </c>
      <c r="N186" s="226">
        <v>511.04</v>
      </c>
      <c r="O186" s="226">
        <v>511.04</v>
      </c>
      <c r="P186" s="226">
        <v>511.04</v>
      </c>
      <c r="Q186" s="226">
        <v>511.04</v>
      </c>
      <c r="R186" s="226">
        <v>511.04</v>
      </c>
      <c r="S186" s="226">
        <v>511.04</v>
      </c>
      <c r="T186" s="226">
        <v>511.04</v>
      </c>
      <c r="U186" s="582"/>
      <c r="V186" s="255">
        <f t="shared" ref="V186:V191" si="33">SUM(H186:T186)</f>
        <v>5661.34</v>
      </c>
      <c r="W186" s="14"/>
    </row>
    <row r="187" spans="1:24" x14ac:dyDescent="0.15">
      <c r="A187" s="143" t="s">
        <v>15</v>
      </c>
      <c r="B187" s="143" t="s">
        <v>97</v>
      </c>
      <c r="C187" s="144" t="s">
        <v>680</v>
      </c>
      <c r="D187" s="144">
        <v>615230</v>
      </c>
      <c r="E187" s="145" t="s">
        <v>72</v>
      </c>
      <c r="F187" s="145" t="s">
        <v>179</v>
      </c>
      <c r="G187" s="165">
        <v>302</v>
      </c>
      <c r="H187" s="559"/>
      <c r="I187" s="226">
        <f>190+112</f>
        <v>302</v>
      </c>
      <c r="J187" s="226">
        <v>112</v>
      </c>
      <c r="K187" s="226">
        <v>112</v>
      </c>
      <c r="L187" s="226">
        <v>112</v>
      </c>
      <c r="M187" s="589"/>
      <c r="N187" s="589"/>
      <c r="O187" s="589"/>
      <c r="P187" s="589"/>
      <c r="Q187" s="589"/>
      <c r="R187" s="589"/>
      <c r="S187" s="589"/>
      <c r="T187" s="589"/>
      <c r="U187" s="582"/>
      <c r="V187" s="255">
        <f t="shared" si="33"/>
        <v>638</v>
      </c>
      <c r="W187" s="14"/>
    </row>
    <row r="188" spans="1:24" x14ac:dyDescent="0.15">
      <c r="A188" s="143" t="s">
        <v>295</v>
      </c>
      <c r="B188" s="143" t="s">
        <v>333</v>
      </c>
      <c r="C188" s="144" t="s">
        <v>629</v>
      </c>
      <c r="D188" s="144">
        <v>615230</v>
      </c>
      <c r="E188" s="145" t="s">
        <v>72</v>
      </c>
      <c r="F188" s="145" t="s">
        <v>179</v>
      </c>
      <c r="G188" s="165">
        <v>16.68</v>
      </c>
      <c r="H188" s="559"/>
      <c r="I188" s="226">
        <v>16.690000000000001</v>
      </c>
      <c r="J188" s="226">
        <v>16.690000000000001</v>
      </c>
      <c r="K188" s="226">
        <v>16.690000000000001</v>
      </c>
      <c r="L188" s="226">
        <v>16.690000000000001</v>
      </c>
      <c r="M188" s="226">
        <v>16.690000000000001</v>
      </c>
      <c r="N188" s="226">
        <v>16.690000000000001</v>
      </c>
      <c r="O188" s="226">
        <v>16.61</v>
      </c>
      <c r="P188" s="226"/>
      <c r="Q188" s="226"/>
      <c r="R188" s="226"/>
      <c r="S188" s="226"/>
      <c r="T188" s="226"/>
      <c r="U188" s="582"/>
      <c r="V188" s="255">
        <f t="shared" si="33"/>
        <v>116.75</v>
      </c>
      <c r="W188" s="14"/>
    </row>
    <row r="189" spans="1:24" x14ac:dyDescent="0.15">
      <c r="A189" s="143" t="s">
        <v>295</v>
      </c>
      <c r="B189" s="143" t="s">
        <v>636</v>
      </c>
      <c r="C189" s="144" t="s">
        <v>825</v>
      </c>
      <c r="D189" s="144">
        <v>615230</v>
      </c>
      <c r="E189" s="145" t="s">
        <v>72</v>
      </c>
      <c r="F189" s="145" t="s">
        <v>179</v>
      </c>
      <c r="G189" s="165">
        <v>14.59</v>
      </c>
      <c r="H189" s="559"/>
      <c r="I189" s="226">
        <v>14.59</v>
      </c>
      <c r="J189" s="226">
        <v>14.59</v>
      </c>
      <c r="K189" s="226">
        <v>14.59</v>
      </c>
      <c r="L189" s="226">
        <v>14.59</v>
      </c>
      <c r="M189" s="226">
        <v>14.59</v>
      </c>
      <c r="N189" s="226">
        <v>14.59</v>
      </c>
      <c r="O189" s="226">
        <v>14.51</v>
      </c>
      <c r="P189" s="226">
        <v>14.59</v>
      </c>
      <c r="Q189" s="226">
        <v>14.59</v>
      </c>
      <c r="R189" s="226">
        <v>14.59</v>
      </c>
      <c r="S189" s="226">
        <v>14.59</v>
      </c>
      <c r="T189" s="226">
        <v>14.59</v>
      </c>
      <c r="U189" s="582"/>
      <c r="V189" s="255">
        <f t="shared" si="33"/>
        <v>175.00000000000003</v>
      </c>
      <c r="W189" s="14"/>
    </row>
    <row r="190" spans="1:24" s="37" customFormat="1" x14ac:dyDescent="0.15">
      <c r="A190" s="143" t="s">
        <v>295</v>
      </c>
      <c r="B190" s="145" t="s">
        <v>654</v>
      </c>
      <c r="C190" s="144" t="s">
        <v>691</v>
      </c>
      <c r="D190" s="144">
        <v>615230</v>
      </c>
      <c r="E190" s="145" t="s">
        <v>72</v>
      </c>
      <c r="F190" s="145" t="s">
        <v>179</v>
      </c>
      <c r="G190" s="165"/>
      <c r="H190" s="559"/>
      <c r="I190" s="226">
        <f>117.39-100</f>
        <v>17.39</v>
      </c>
      <c r="J190" s="226"/>
      <c r="K190" s="226"/>
      <c r="L190" s="226">
        <v>95.33</v>
      </c>
      <c r="M190" s="226"/>
      <c r="N190" s="226"/>
      <c r="O190" s="226">
        <v>84.03</v>
      </c>
      <c r="P190" s="226"/>
      <c r="Q190" s="226"/>
      <c r="R190" s="226">
        <v>97.14</v>
      </c>
      <c r="S190" s="226"/>
      <c r="T190" s="226"/>
      <c r="U190" s="582"/>
      <c r="V190" s="255">
        <f t="shared" si="33"/>
        <v>293.89</v>
      </c>
      <c r="W190" s="14"/>
      <c r="X190" s="16"/>
    </row>
    <row r="191" spans="1:24" x14ac:dyDescent="0.15">
      <c r="A191" s="143"/>
      <c r="B191" s="143"/>
      <c r="C191" s="144"/>
      <c r="D191" s="144">
        <v>615230</v>
      </c>
      <c r="E191" s="145" t="s">
        <v>72</v>
      </c>
      <c r="F191" s="145" t="s">
        <v>192</v>
      </c>
      <c r="G191" s="165"/>
      <c r="H191" s="559"/>
      <c r="I191" s="226"/>
      <c r="J191" s="226"/>
      <c r="K191" s="226"/>
      <c r="L191" s="226"/>
      <c r="M191" s="226"/>
      <c r="N191" s="226"/>
      <c r="O191" s="226"/>
      <c r="P191" s="226"/>
      <c r="Q191" s="226"/>
      <c r="R191" s="226"/>
      <c r="S191" s="226"/>
      <c r="T191" s="226"/>
      <c r="U191" s="582"/>
      <c r="V191" s="255">
        <f t="shared" si="33"/>
        <v>0</v>
      </c>
      <c r="W191" s="14"/>
    </row>
    <row r="192" spans="1:24" ht="11.25" thickBot="1" x14ac:dyDescent="0.2">
      <c r="A192" s="516" t="s">
        <v>11</v>
      </c>
      <c r="B192" s="517"/>
      <c r="C192" s="518"/>
      <c r="D192" s="531"/>
      <c r="E192" s="516"/>
      <c r="F192" s="520"/>
      <c r="G192" s="521"/>
      <c r="H192" s="522">
        <f>SUM(H186:H191)</f>
        <v>0</v>
      </c>
      <c r="I192" s="522">
        <f t="shared" ref="I192:V192" si="34">SUM(I186:I191)</f>
        <v>743.93000000000006</v>
      </c>
      <c r="J192" s="522">
        <f t="shared" si="34"/>
        <v>536.54000000000008</v>
      </c>
      <c r="K192" s="522">
        <f t="shared" si="34"/>
        <v>536.54000000000008</v>
      </c>
      <c r="L192" s="522">
        <f t="shared" si="34"/>
        <v>631.85000000000014</v>
      </c>
      <c r="M192" s="522">
        <f t="shared" si="34"/>
        <v>542.32000000000016</v>
      </c>
      <c r="N192" s="522">
        <f t="shared" si="34"/>
        <v>542.32000000000005</v>
      </c>
      <c r="O192" s="522">
        <f t="shared" si="34"/>
        <v>626.18999999999994</v>
      </c>
      <c r="P192" s="522">
        <f t="shared" si="34"/>
        <v>525.63</v>
      </c>
      <c r="Q192" s="522">
        <f t="shared" si="34"/>
        <v>525.63</v>
      </c>
      <c r="R192" s="522">
        <f t="shared" si="34"/>
        <v>622.77</v>
      </c>
      <c r="S192" s="522">
        <f t="shared" si="34"/>
        <v>525.63</v>
      </c>
      <c r="T192" s="522">
        <f t="shared" si="34"/>
        <v>525.63</v>
      </c>
      <c r="U192" s="522">
        <f t="shared" si="34"/>
        <v>0</v>
      </c>
      <c r="V192" s="522">
        <f t="shared" si="34"/>
        <v>6884.9800000000005</v>
      </c>
      <c r="W192" s="97" t="str">
        <f>+IF(V192=SUM(H192:T192),"contrôle ok", "erreur")</f>
        <v>contrôle ok</v>
      </c>
    </row>
    <row r="193" spans="1:24" s="37" customFormat="1" ht="11.25" thickTop="1" x14ac:dyDescent="0.15">
      <c r="A193" s="45"/>
      <c r="B193" s="46"/>
      <c r="C193" s="47"/>
      <c r="D193" s="137"/>
      <c r="E193" s="49"/>
      <c r="F193" s="57"/>
      <c r="G193" s="100"/>
      <c r="H193" s="246"/>
      <c r="I193" s="246"/>
      <c r="J193" s="246"/>
      <c r="K193" s="246"/>
      <c r="L193" s="246"/>
      <c r="M193" s="246"/>
      <c r="N193" s="246"/>
      <c r="O193" s="246"/>
      <c r="P193" s="246"/>
      <c r="Q193" s="246"/>
      <c r="R193" s="246"/>
      <c r="S193" s="246"/>
      <c r="T193" s="246"/>
      <c r="U193" s="246"/>
      <c r="V193" s="278"/>
      <c r="W193" s="4"/>
      <c r="X193" s="16"/>
    </row>
    <row r="194" spans="1:24" s="37" customFormat="1" x14ac:dyDescent="0.15">
      <c r="A194" s="27" t="s">
        <v>34</v>
      </c>
      <c r="B194" s="28"/>
      <c r="C194" s="29"/>
      <c r="D194" s="134"/>
      <c r="E194" s="30"/>
      <c r="F194" s="31"/>
      <c r="G194" s="101"/>
      <c r="H194" s="224"/>
      <c r="I194" s="224"/>
      <c r="J194" s="251"/>
      <c r="K194" s="224"/>
      <c r="L194" s="224"/>
      <c r="M194" s="224"/>
      <c r="N194" s="224"/>
      <c r="O194" s="224"/>
      <c r="P194" s="224"/>
      <c r="Q194" s="224"/>
      <c r="R194" s="224"/>
      <c r="S194" s="224"/>
      <c r="T194" s="224"/>
      <c r="U194" s="224"/>
      <c r="V194" s="252"/>
      <c r="W194" s="4"/>
      <c r="X194" s="16"/>
    </row>
    <row r="195" spans="1:24" x14ac:dyDescent="0.15">
      <c r="A195" s="143" t="s">
        <v>154</v>
      </c>
      <c r="B195" s="143" t="s">
        <v>36</v>
      </c>
      <c r="C195" s="144" t="s">
        <v>301</v>
      </c>
      <c r="D195" s="144">
        <v>626300</v>
      </c>
      <c r="E195" s="145" t="s">
        <v>72</v>
      </c>
      <c r="F195" s="145"/>
      <c r="G195" s="165">
        <v>95</v>
      </c>
      <c r="H195" s="559"/>
      <c r="I195" s="226">
        <v>95</v>
      </c>
      <c r="J195" s="226">
        <v>95</v>
      </c>
      <c r="K195" s="226">
        <v>95</v>
      </c>
      <c r="L195" s="226">
        <v>95</v>
      </c>
      <c r="M195" s="226">
        <v>95</v>
      </c>
      <c r="N195" s="226">
        <v>95</v>
      </c>
      <c r="O195" s="226">
        <v>95</v>
      </c>
      <c r="P195" s="226">
        <v>95</v>
      </c>
      <c r="Q195" s="226">
        <v>110.6</v>
      </c>
      <c r="R195" s="226">
        <v>95</v>
      </c>
      <c r="S195" s="226">
        <v>95</v>
      </c>
      <c r="T195" s="226"/>
      <c r="U195" s="582"/>
      <c r="V195" s="255">
        <f>SUM(H195:T195)</f>
        <v>1060.5999999999999</v>
      </c>
      <c r="W195" s="14"/>
    </row>
    <row r="196" spans="1:24" ht="11.25" thickBot="1" x14ac:dyDescent="0.2">
      <c r="A196" s="516" t="s">
        <v>11</v>
      </c>
      <c r="B196" s="517"/>
      <c r="C196" s="518"/>
      <c r="D196" s="531"/>
      <c r="E196" s="516"/>
      <c r="F196" s="520"/>
      <c r="G196" s="521"/>
      <c r="H196" s="522">
        <f>SUM(H195)</f>
        <v>0</v>
      </c>
      <c r="I196" s="522">
        <f>SUM(I195)</f>
        <v>95</v>
      </c>
      <c r="J196" s="522">
        <f t="shared" ref="J196:V196" si="35">SUM(J195)</f>
        <v>95</v>
      </c>
      <c r="K196" s="522">
        <f t="shared" si="35"/>
        <v>95</v>
      </c>
      <c r="L196" s="522">
        <f t="shared" si="35"/>
        <v>95</v>
      </c>
      <c r="M196" s="522">
        <f t="shared" si="35"/>
        <v>95</v>
      </c>
      <c r="N196" s="522">
        <f t="shared" si="35"/>
        <v>95</v>
      </c>
      <c r="O196" s="522">
        <f t="shared" si="35"/>
        <v>95</v>
      </c>
      <c r="P196" s="522">
        <f t="shared" si="35"/>
        <v>95</v>
      </c>
      <c r="Q196" s="522">
        <f t="shared" si="35"/>
        <v>110.6</v>
      </c>
      <c r="R196" s="522">
        <f t="shared" si="35"/>
        <v>95</v>
      </c>
      <c r="S196" s="522">
        <f t="shared" si="35"/>
        <v>95</v>
      </c>
      <c r="T196" s="522">
        <f t="shared" si="35"/>
        <v>0</v>
      </c>
      <c r="U196" s="522">
        <f t="shared" si="35"/>
        <v>0</v>
      </c>
      <c r="V196" s="522">
        <f t="shared" si="35"/>
        <v>1060.5999999999999</v>
      </c>
      <c r="W196" s="97" t="str">
        <f>+IF(V196=SUM(H196:T196),"contrôle ok", "erreur")</f>
        <v>contrôle ok</v>
      </c>
    </row>
    <row r="197" spans="1:24" ht="11.25" thickTop="1" x14ac:dyDescent="0.15">
      <c r="A197" s="33"/>
      <c r="B197" s="33"/>
      <c r="C197" s="34"/>
      <c r="D197" s="135"/>
      <c r="E197" s="36"/>
      <c r="F197" s="35"/>
      <c r="G197" s="100"/>
      <c r="H197" s="229"/>
      <c r="I197" s="229"/>
      <c r="J197" s="229"/>
      <c r="K197" s="229"/>
      <c r="L197" s="229"/>
      <c r="M197" s="229"/>
      <c r="N197" s="257"/>
      <c r="O197" s="229"/>
      <c r="P197" s="229"/>
      <c r="Q197" s="229"/>
      <c r="R197" s="229"/>
      <c r="S197" s="229"/>
      <c r="T197" s="229"/>
      <c r="U197" s="229"/>
      <c r="V197" s="258"/>
      <c r="W197" s="4"/>
    </row>
    <row r="198" spans="1:24" s="37" customFormat="1" x14ac:dyDescent="0.15">
      <c r="A198" s="27" t="s">
        <v>16</v>
      </c>
      <c r="B198" s="28"/>
      <c r="C198" s="29"/>
      <c r="D198" s="134"/>
      <c r="E198" s="30"/>
      <c r="F198" s="31"/>
      <c r="G198" s="101"/>
      <c r="H198" s="224"/>
      <c r="I198" s="224"/>
      <c r="J198" s="251"/>
      <c r="K198" s="224"/>
      <c r="L198" s="224"/>
      <c r="M198" s="224"/>
      <c r="N198" s="224"/>
      <c r="O198" s="224"/>
      <c r="P198" s="224"/>
      <c r="Q198" s="224"/>
      <c r="R198" s="224"/>
      <c r="S198" s="224"/>
      <c r="T198" s="224"/>
      <c r="U198" s="224"/>
      <c r="V198" s="252"/>
      <c r="W198" s="4"/>
      <c r="X198" s="16"/>
    </row>
    <row r="199" spans="1:24" x14ac:dyDescent="0.15">
      <c r="A199" s="143" t="s">
        <v>249</v>
      </c>
      <c r="B199" s="143" t="s">
        <v>53</v>
      </c>
      <c r="C199" s="144" t="s">
        <v>30</v>
      </c>
      <c r="D199" s="144">
        <v>628500</v>
      </c>
      <c r="E199" s="145" t="s">
        <v>71</v>
      </c>
      <c r="F199" s="145">
        <v>999999</v>
      </c>
      <c r="G199" s="165">
        <v>16000</v>
      </c>
      <c r="H199" s="559">
        <f>16403.01-16000</f>
        <v>403.0099999999984</v>
      </c>
      <c r="I199" s="226">
        <v>16319.88</v>
      </c>
      <c r="J199" s="226">
        <v>14379.53</v>
      </c>
      <c r="K199" s="226">
        <v>15898.48</v>
      </c>
      <c r="L199" s="226">
        <v>16104.34</v>
      </c>
      <c r="M199" s="226">
        <v>17262.23</v>
      </c>
      <c r="N199" s="226">
        <v>15743.28</v>
      </c>
      <c r="O199" s="226">
        <v>16610.66</v>
      </c>
      <c r="P199" s="226">
        <v>16404.8</v>
      </c>
      <c r="Q199" s="226">
        <v>15407.69</v>
      </c>
      <c r="R199" s="226">
        <v>16088.82</v>
      </c>
      <c r="S199" s="226">
        <v>16249.6</v>
      </c>
      <c r="T199" s="226"/>
      <c r="U199" s="582"/>
      <c r="V199" s="255">
        <f>SUM(H199:T199)</f>
        <v>176872.32000000001</v>
      </c>
      <c r="W199" s="14"/>
    </row>
    <row r="200" spans="1:24" x14ac:dyDescent="0.15">
      <c r="A200" s="143" t="s">
        <v>212</v>
      </c>
      <c r="B200" s="143" t="s">
        <v>280</v>
      </c>
      <c r="C200" s="144"/>
      <c r="D200" s="144">
        <v>628500</v>
      </c>
      <c r="E200" s="145" t="s">
        <v>71</v>
      </c>
      <c r="F200" s="145">
        <v>999999</v>
      </c>
      <c r="G200" s="165">
        <f>(1112.04+4.45)/12</f>
        <v>93.040833333333339</v>
      </c>
      <c r="H200" s="559"/>
      <c r="I200" s="226">
        <v>93.05</v>
      </c>
      <c r="J200" s="226">
        <v>93.04</v>
      </c>
      <c r="K200" s="226">
        <v>93.04</v>
      </c>
      <c r="L200" s="226">
        <v>93.04</v>
      </c>
      <c r="M200" s="226">
        <v>93.04</v>
      </c>
      <c r="N200" s="226">
        <v>93.04</v>
      </c>
      <c r="O200" s="226">
        <v>93.04</v>
      </c>
      <c r="P200" s="226">
        <v>93.04</v>
      </c>
      <c r="Q200" s="226">
        <v>93.04</v>
      </c>
      <c r="R200" s="226">
        <v>93.04</v>
      </c>
      <c r="S200" s="226">
        <v>93.04</v>
      </c>
      <c r="T200" s="226">
        <v>93.04</v>
      </c>
      <c r="U200" s="582"/>
      <c r="V200" s="255">
        <f>SUM(H200:T200)</f>
        <v>1116.4899999999998</v>
      </c>
      <c r="W200" s="14"/>
    </row>
    <row r="201" spans="1:24" x14ac:dyDescent="0.15">
      <c r="A201" s="143"/>
      <c r="B201" s="143"/>
      <c r="C201" s="144"/>
      <c r="D201" s="144">
        <v>628500</v>
      </c>
      <c r="E201" s="145" t="s">
        <v>463</v>
      </c>
      <c r="F201" s="145">
        <v>999999</v>
      </c>
      <c r="G201" s="165"/>
      <c r="H201" s="559"/>
      <c r="I201" s="226"/>
      <c r="J201" s="226"/>
      <c r="K201" s="226"/>
      <c r="L201" s="226"/>
      <c r="M201" s="226"/>
      <c r="N201" s="226"/>
      <c r="O201" s="226"/>
      <c r="P201" s="226"/>
      <c r="Q201" s="226"/>
      <c r="R201" s="226"/>
      <c r="S201" s="226"/>
      <c r="T201" s="226"/>
      <c r="U201" s="226"/>
      <c r="V201" s="255">
        <f>SUM(H201:T201)</f>
        <v>0</v>
      </c>
      <c r="W201" s="14"/>
    </row>
    <row r="202" spans="1:24" ht="11.25" thickBot="1" x14ac:dyDescent="0.2">
      <c r="A202" s="516" t="s">
        <v>11</v>
      </c>
      <c r="B202" s="517"/>
      <c r="C202" s="518"/>
      <c r="D202" s="531">
        <v>628500</v>
      </c>
      <c r="E202" s="516" t="s">
        <v>71</v>
      </c>
      <c r="F202" s="520"/>
      <c r="G202" s="521"/>
      <c r="H202" s="522">
        <f>SUM(H199:H201)</f>
        <v>403.0099999999984</v>
      </c>
      <c r="I202" s="522">
        <f t="shared" ref="I202:V202" si="36">SUM(I199:I201)</f>
        <v>16412.93</v>
      </c>
      <c r="J202" s="522">
        <f t="shared" si="36"/>
        <v>14472.570000000002</v>
      </c>
      <c r="K202" s="522">
        <f t="shared" si="36"/>
        <v>15991.52</v>
      </c>
      <c r="L202" s="522">
        <f t="shared" si="36"/>
        <v>16197.380000000001</v>
      </c>
      <c r="M202" s="522">
        <f t="shared" si="36"/>
        <v>17355.27</v>
      </c>
      <c r="N202" s="522">
        <f t="shared" si="36"/>
        <v>15836.320000000002</v>
      </c>
      <c r="O202" s="522">
        <f t="shared" si="36"/>
        <v>16703.7</v>
      </c>
      <c r="P202" s="522">
        <f t="shared" si="36"/>
        <v>16497.84</v>
      </c>
      <c r="Q202" s="522">
        <f t="shared" si="36"/>
        <v>15500.730000000001</v>
      </c>
      <c r="R202" s="522">
        <f t="shared" si="36"/>
        <v>16181.86</v>
      </c>
      <c r="S202" s="522">
        <f t="shared" si="36"/>
        <v>16342.640000000001</v>
      </c>
      <c r="T202" s="522">
        <f t="shared" si="36"/>
        <v>93.04</v>
      </c>
      <c r="U202" s="522">
        <f t="shared" si="36"/>
        <v>0</v>
      </c>
      <c r="V202" s="522">
        <f t="shared" si="36"/>
        <v>177988.81</v>
      </c>
      <c r="W202" s="97" t="str">
        <f>+IF(V202=SUM(H202:T202),"contrôle ok", "erreur")</f>
        <v>contrôle ok</v>
      </c>
    </row>
    <row r="203" spans="1:24" ht="11.25" thickTop="1" x14ac:dyDescent="0.15"/>
  </sheetData>
  <customSheetViews>
    <customSheetView guid="{4BA9EA0D-01E7-49D1-8245-80B9A9A68B6F}" scale="115" showPageBreaks="1" fitToPage="1" printArea="1">
      <pane xSplit="7" ySplit="4" topLeftCell="M170" activePane="bottomRight" state="frozen"/>
      <selection pane="bottomRight" activeCell="P205" sqref="P205"/>
      <rowBreaks count="2" manualBreakCount="2">
        <brk id="105" max="20" man="1"/>
        <brk id="107" max="20" man="1"/>
      </rowBreaks>
      <pageMargins left="3.937007874015748E-2" right="3.937007874015748E-2" top="0.15748031496062992" bottom="0.19685039370078741" header="0.15748031496062992" footer="0.23622047244094491"/>
      <pageSetup paperSize="9" scale="51" fitToHeight="2" orientation="landscape" r:id="rId1"/>
      <headerFooter alignWithMargins="0">
        <oddFooter>&amp;R&amp;8Le &amp;D
&amp;T</oddFooter>
      </headerFooter>
    </customSheetView>
    <customSheetView guid="{B5B04B19-0628-445C-9CF3-7F5D4D937774}" scale="115" fitToPage="1">
      <pane xSplit="7" ySplit="4" topLeftCell="M170" activePane="bottomRight" state="frozen"/>
      <selection pane="bottomRight" activeCell="P205" sqref="P205"/>
      <rowBreaks count="1" manualBreakCount="1">
        <brk id="105" max="20" man="1"/>
      </rowBreaks>
      <pageMargins left="3.937007874015748E-2" right="3.937007874015748E-2" top="0.15748031496062992" bottom="0.19685039370078741" header="0.15748031496062992" footer="0.23622047244094491"/>
      <pageSetup paperSize="9" scale="51" fitToHeight="2" orientation="landscape" r:id="rId2"/>
      <headerFooter alignWithMargins="0">
        <oddFooter>&amp;R&amp;8Le &amp;D
&amp;T</oddFooter>
      </headerFooter>
    </customSheetView>
    <customSheetView guid="{DD021BEF-F767-4779-A362-C9308ACC088B}" scale="115" fitToPage="1">
      <pane xSplit="7" ySplit="4" topLeftCell="M170" activePane="bottomRight" state="frozen"/>
      <selection pane="bottomRight" activeCell="P205" sqref="P205"/>
      <rowBreaks count="1" manualBreakCount="1">
        <brk id="105" max="20" man="1"/>
      </rowBreaks>
      <pageMargins left="3.937007874015748E-2" right="3.937007874015748E-2" top="0.15748031496062992" bottom="0.19685039370078741" header="0.15748031496062992" footer="0.23622047244094491"/>
      <pageSetup paperSize="9" scale="51" fitToHeight="2" orientation="landscape" r:id="rId3"/>
      <headerFooter alignWithMargins="0">
        <oddFooter>&amp;R&amp;8Le &amp;D
&amp;T</oddFooter>
      </headerFooter>
    </customSheetView>
    <customSheetView guid="{C8B269C8-9E4E-47CC-A407-F213FAC1E35C}" scale="115" fitToPage="1">
      <pane xSplit="7" ySplit="4" topLeftCell="M5" activePane="bottomRight" state="frozen"/>
      <selection pane="bottomRight" activeCell="S28" sqref="S28"/>
      <rowBreaks count="1" manualBreakCount="1">
        <brk id="105" max="20" man="1"/>
      </rowBreaks>
      <pageMargins left="3.937007874015748E-2" right="3.937007874015748E-2" top="0.15748031496062992" bottom="0.19685039370078741" header="0.15748031496062992" footer="0.23622047244094491"/>
      <pageSetup paperSize="9" scale="51" fitToHeight="2" orientation="landscape" r:id="rId4"/>
      <headerFooter alignWithMargins="0">
        <oddFooter>&amp;R&amp;8Le &amp;D
&amp;T</oddFooter>
      </headerFooter>
    </customSheetView>
  </customSheetViews>
  <mergeCells count="3">
    <mergeCell ref="O181:P181"/>
    <mergeCell ref="L1:M1"/>
    <mergeCell ref="O6:P6"/>
  </mergeCells>
  <phoneticPr fontId="0" type="noConversion"/>
  <pageMargins left="3.937007874015748E-2" right="3.937007874015748E-2" top="0.15748031496062992" bottom="0.19685039370078741" header="0.15748031496062992" footer="0.23622047244094491"/>
  <pageSetup paperSize="9" scale="51" fitToHeight="2" orientation="landscape" r:id="rId5"/>
  <headerFooter alignWithMargins="0">
    <oddFooter>&amp;R&amp;8Le &amp;D
&amp;T</oddFooter>
  </headerFooter>
  <rowBreaks count="1" manualBreakCount="1">
    <brk id="105" max="20" man="1"/>
  </rowBreaks>
  <ignoredErrors>
    <ignoredError sqref="R8" formula="1"/>
  </ignoredErrors>
  <drawing r:id="rId6"/>
  <legacyDrawing r:id="rId7"/>
  <controls>
    <mc:AlternateContent xmlns:mc="http://schemas.openxmlformats.org/markup-compatibility/2006">
      <mc:Choice Requires="x14">
        <control shapeId="7171" r:id="rId8" name="ComboBox1">
          <controlPr defaultSize="0" autoFill="0" autoLine="0" listFillRange="COMPTE" r:id="rId9">
            <anchor>
              <from>
                <xdr:col>1</xdr:col>
                <xdr:colOff>114300</xdr:colOff>
                <xdr:row>0</xdr:row>
                <xdr:rowOff>38100</xdr:rowOff>
              </from>
              <to>
                <xdr:col>2</xdr:col>
                <xdr:colOff>542925</xdr:colOff>
                <xdr:row>1</xdr:row>
                <xdr:rowOff>114300</xdr:rowOff>
              </to>
            </anchor>
          </controlPr>
        </control>
      </mc:Choice>
      <mc:Fallback>
        <control shapeId="7171" r:id="rId8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Y208"/>
  <sheetViews>
    <sheetView zoomScaleNormal="100" workbookViewId="0">
      <pane ySplit="3" topLeftCell="A4" activePane="bottomLeft" state="frozen"/>
      <selection activeCell="T231" sqref="T231:U231"/>
      <selection pane="bottomLeft" activeCell="E1" sqref="E1:E1048576"/>
    </sheetView>
  </sheetViews>
  <sheetFormatPr baseColWidth="10" defaultRowHeight="10.5" x14ac:dyDescent="0.15"/>
  <cols>
    <col min="1" max="1" width="18" style="16" customWidth="1"/>
    <col min="2" max="2" width="24.7109375" style="16" bestFit="1" customWidth="1"/>
    <col min="3" max="3" width="13.28515625" style="16" bestFit="1" customWidth="1"/>
    <col min="4" max="5" width="7" style="18" bestFit="1" customWidth="1"/>
    <col min="6" max="6" width="7.42578125" style="18" customWidth="1"/>
    <col min="7" max="7" width="8.5703125" style="106" bestFit="1" customWidth="1"/>
    <col min="8" max="8" width="9" style="16" bestFit="1" customWidth="1"/>
    <col min="9" max="9" width="9.28515625" style="16" bestFit="1" customWidth="1"/>
    <col min="10" max="10" width="8.28515625" style="16" bestFit="1" customWidth="1"/>
    <col min="11" max="18" width="9.28515625" style="16" bestFit="1" customWidth="1"/>
    <col min="19" max="19" width="10.5703125" style="16" customWidth="1"/>
    <col min="20" max="21" width="10" style="16" customWidth="1"/>
    <col min="22" max="22" width="10.28515625" style="16" bestFit="1" customWidth="1"/>
    <col min="23" max="23" width="11.140625" style="16" customWidth="1"/>
    <col min="24" max="16384" width="11.42578125" style="16"/>
  </cols>
  <sheetData>
    <row r="1" spans="1:25" ht="12.75" x14ac:dyDescent="0.2">
      <c r="A1" s="147" t="s">
        <v>673</v>
      </c>
      <c r="C1" s="17"/>
      <c r="G1" s="102"/>
      <c r="H1" s="59"/>
      <c r="I1" s="59"/>
      <c r="J1" s="19"/>
      <c r="K1" s="19"/>
      <c r="L1" s="682"/>
      <c r="M1" s="679"/>
      <c r="N1" s="14"/>
      <c r="O1" s="14"/>
      <c r="P1" s="14"/>
      <c r="Q1" s="14"/>
      <c r="R1" s="14"/>
      <c r="S1" s="14"/>
      <c r="T1" s="14"/>
      <c r="U1" s="14"/>
      <c r="V1" s="2"/>
    </row>
    <row r="2" spans="1:25" ht="11.25" thickBot="1" x14ac:dyDescent="0.2">
      <c r="A2" s="37"/>
      <c r="C2" s="17"/>
      <c r="G2" s="109"/>
      <c r="H2" s="4"/>
      <c r="I2" s="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4"/>
    </row>
    <row r="3" spans="1:25" s="17" customFormat="1" ht="11.25" thickBot="1" x14ac:dyDescent="0.2">
      <c r="A3" s="149" t="s">
        <v>0</v>
      </c>
      <c r="B3" s="63" t="s">
        <v>1</v>
      </c>
      <c r="C3" s="63" t="s">
        <v>2</v>
      </c>
      <c r="D3" s="63"/>
      <c r="E3" s="63"/>
      <c r="F3" s="63"/>
      <c r="G3" s="99" t="s">
        <v>4</v>
      </c>
      <c r="H3" s="408">
        <v>2016</v>
      </c>
      <c r="I3" s="65" t="s">
        <v>55</v>
      </c>
      <c r="J3" s="65" t="s">
        <v>56</v>
      </c>
      <c r="K3" s="65" t="s">
        <v>5</v>
      </c>
      <c r="L3" s="65" t="s">
        <v>6</v>
      </c>
      <c r="M3" s="65" t="s">
        <v>7</v>
      </c>
      <c r="N3" s="65" t="s">
        <v>8</v>
      </c>
      <c r="O3" s="65" t="s">
        <v>65</v>
      </c>
      <c r="P3" s="65" t="s">
        <v>64</v>
      </c>
      <c r="Q3" s="65" t="s">
        <v>49</v>
      </c>
      <c r="R3" s="65" t="s">
        <v>50</v>
      </c>
      <c r="S3" s="65" t="s">
        <v>59</v>
      </c>
      <c r="T3" s="65" t="s">
        <v>51</v>
      </c>
      <c r="U3" s="65" t="s">
        <v>866</v>
      </c>
      <c r="V3" s="67" t="s">
        <v>66</v>
      </c>
    </row>
    <row r="4" spans="1:25" x14ac:dyDescent="0.15">
      <c r="A4" s="86"/>
      <c r="B4" s="87"/>
      <c r="C4" s="88"/>
      <c r="D4" s="89"/>
      <c r="E4" s="89"/>
      <c r="F4" s="90"/>
      <c r="G4" s="110"/>
      <c r="H4" s="91"/>
      <c r="I4" s="91"/>
      <c r="J4" s="91"/>
      <c r="K4" s="91"/>
      <c r="L4" s="91"/>
      <c r="M4" s="91"/>
      <c r="N4" s="91"/>
      <c r="O4" s="91"/>
      <c r="P4" s="91"/>
      <c r="Q4" s="91"/>
      <c r="R4" s="91"/>
      <c r="S4" s="91"/>
      <c r="T4" s="91"/>
      <c r="U4" s="91"/>
      <c r="V4" s="92"/>
    </row>
    <row r="5" spans="1:25" x14ac:dyDescent="0.15">
      <c r="A5" s="27" t="s">
        <v>148</v>
      </c>
      <c r="B5" s="28"/>
      <c r="C5" s="29"/>
      <c r="D5" s="30"/>
      <c r="E5" s="30"/>
      <c r="F5" s="31"/>
      <c r="G5" s="101"/>
      <c r="H5" s="9"/>
      <c r="I5" s="9"/>
      <c r="J5" s="10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32"/>
    </row>
    <row r="6" spans="1:25" x14ac:dyDescent="0.15">
      <c r="A6" s="68" t="s">
        <v>583</v>
      </c>
      <c r="B6" s="143"/>
      <c r="C6" s="69"/>
      <c r="D6" s="145">
        <v>606801</v>
      </c>
      <c r="E6" s="172" t="s">
        <v>74</v>
      </c>
      <c r="F6" s="145"/>
      <c r="G6" s="165"/>
      <c r="H6" s="565">
        <f>984.2-1000</f>
        <v>-15.799999999999955</v>
      </c>
      <c r="I6" s="326">
        <v>1427.8</v>
      </c>
      <c r="J6" s="327">
        <v>1165.8</v>
      </c>
      <c r="K6" s="300">
        <v>1151.5999999999999</v>
      </c>
      <c r="L6" s="226">
        <v>1040.4000000000001</v>
      </c>
      <c r="M6" s="226">
        <v>1065.8</v>
      </c>
      <c r="N6" s="226">
        <v>1149.5999999999999</v>
      </c>
      <c r="O6" s="226">
        <v>423.6</v>
      </c>
      <c r="P6" s="226">
        <v>1001.2</v>
      </c>
      <c r="Q6" s="226">
        <v>1086</v>
      </c>
      <c r="R6" s="226">
        <v>1638.2</v>
      </c>
      <c r="S6" s="226">
        <v>461.8</v>
      </c>
      <c r="T6" s="226"/>
      <c r="U6" s="582"/>
      <c r="V6" s="255">
        <f>SUM(H6:T6)</f>
        <v>11596.000000000002</v>
      </c>
      <c r="W6" s="6"/>
    </row>
    <row r="7" spans="1:25" s="37" customFormat="1" ht="11.25" thickBot="1" x14ac:dyDescent="0.2">
      <c r="A7" s="516" t="s">
        <v>11</v>
      </c>
      <c r="B7" s="527"/>
      <c r="C7" s="518"/>
      <c r="D7" s="534"/>
      <c r="E7" s="516"/>
      <c r="F7" s="529"/>
      <c r="G7" s="535"/>
      <c r="H7" s="522">
        <f>SUM(H6)</f>
        <v>-15.799999999999955</v>
      </c>
      <c r="I7" s="522">
        <f>SUM(I6)</f>
        <v>1427.8</v>
      </c>
      <c r="J7" s="530">
        <f>SUM(J6)</f>
        <v>1165.8</v>
      </c>
      <c r="K7" s="522">
        <f t="shared" ref="K7:Q7" si="0">SUM(K6)</f>
        <v>1151.5999999999999</v>
      </c>
      <c r="L7" s="530">
        <f t="shared" si="0"/>
        <v>1040.4000000000001</v>
      </c>
      <c r="M7" s="530">
        <f t="shared" si="0"/>
        <v>1065.8</v>
      </c>
      <c r="N7" s="530">
        <f t="shared" si="0"/>
        <v>1149.5999999999999</v>
      </c>
      <c r="O7" s="530">
        <f t="shared" si="0"/>
        <v>423.6</v>
      </c>
      <c r="P7" s="530">
        <f t="shared" si="0"/>
        <v>1001.2</v>
      </c>
      <c r="Q7" s="530">
        <f t="shared" si="0"/>
        <v>1086</v>
      </c>
      <c r="R7" s="530">
        <f>SUM(R6:R6)</f>
        <v>1638.2</v>
      </c>
      <c r="S7" s="530">
        <f>SUM(S6:S6)</f>
        <v>461.8</v>
      </c>
      <c r="T7" s="530">
        <f>SUM(T6:T6)</f>
        <v>0</v>
      </c>
      <c r="U7" s="530">
        <f>SUM(U6:U6)</f>
        <v>0</v>
      </c>
      <c r="V7" s="530">
        <f>SUM(V6:V6)</f>
        <v>11596.000000000002</v>
      </c>
      <c r="W7" s="97" t="str">
        <f>+IF(V7=SUM(H7:T7),"contrôle ok", "erreur")</f>
        <v>contrôle ok</v>
      </c>
      <c r="X7" s="16"/>
    </row>
    <row r="8" spans="1:25" ht="11.25" thickTop="1" x14ac:dyDescent="0.15">
      <c r="A8" s="86"/>
      <c r="B8" s="87"/>
      <c r="C8" s="88"/>
      <c r="D8" s="89"/>
      <c r="E8" s="89"/>
      <c r="F8" s="90"/>
      <c r="G8" s="122"/>
      <c r="H8" s="223"/>
      <c r="I8" s="223"/>
      <c r="J8" s="223"/>
      <c r="K8" s="223"/>
      <c r="L8" s="223"/>
      <c r="M8" s="223"/>
      <c r="N8" s="223"/>
      <c r="O8" s="223"/>
      <c r="P8" s="223"/>
      <c r="Q8" s="223"/>
      <c r="R8" s="223"/>
      <c r="S8" s="223"/>
      <c r="T8" s="223"/>
      <c r="U8" s="223"/>
      <c r="V8" s="292"/>
    </row>
    <row r="9" spans="1:25" x14ac:dyDescent="0.15">
      <c r="A9" s="27" t="s">
        <v>41</v>
      </c>
      <c r="B9" s="28"/>
      <c r="C9" s="29"/>
      <c r="D9" s="30"/>
      <c r="E9" s="30"/>
      <c r="F9" s="31"/>
      <c r="G9" s="101"/>
      <c r="H9" s="224"/>
      <c r="I9" s="224"/>
      <c r="J9" s="251"/>
      <c r="K9" s="224"/>
      <c r="L9" s="224"/>
      <c r="M9" s="224"/>
      <c r="N9" s="224"/>
      <c r="O9" s="224"/>
      <c r="P9" s="224"/>
      <c r="Q9" s="224"/>
      <c r="R9" s="224"/>
      <c r="S9" s="224"/>
      <c r="T9" s="224"/>
      <c r="U9" s="224"/>
      <c r="V9" s="252"/>
    </row>
    <row r="10" spans="1:25" x14ac:dyDescent="0.15">
      <c r="A10" s="143" t="s">
        <v>591</v>
      </c>
      <c r="B10" s="143"/>
      <c r="C10" s="144"/>
      <c r="D10" s="145">
        <v>615111</v>
      </c>
      <c r="E10" s="145" t="s">
        <v>75</v>
      </c>
      <c r="F10" s="145" t="s">
        <v>179</v>
      </c>
      <c r="G10" s="165"/>
      <c r="H10" s="612">
        <f>2424.96-2200</f>
        <v>224.96000000000004</v>
      </c>
      <c r="I10" s="226">
        <v>2264.96</v>
      </c>
      <c r="J10" s="226">
        <v>2003.6</v>
      </c>
      <c r="K10" s="226">
        <f>-1907-693+2230.64</f>
        <v>-369.36000000000013</v>
      </c>
      <c r="L10" s="226"/>
      <c r="M10" s="226"/>
      <c r="N10" s="226"/>
      <c r="O10" s="226"/>
      <c r="P10" s="226"/>
      <c r="Q10" s="226"/>
      <c r="R10" s="226"/>
      <c r="S10" s="226"/>
      <c r="T10" s="226"/>
      <c r="U10" s="582"/>
      <c r="V10" s="255">
        <f>SUM(H10:T10)</f>
        <v>4124.16</v>
      </c>
      <c r="W10" s="6"/>
    </row>
    <row r="11" spans="1:25" x14ac:dyDescent="0.15">
      <c r="A11" s="604" t="s">
        <v>105</v>
      </c>
      <c r="B11" s="68"/>
      <c r="C11" s="69"/>
      <c r="D11" s="171">
        <v>615111</v>
      </c>
      <c r="E11" s="172" t="s">
        <v>75</v>
      </c>
      <c r="F11" s="168" t="s">
        <v>179</v>
      </c>
      <c r="G11" s="169"/>
      <c r="H11" s="562"/>
      <c r="I11" s="226"/>
      <c r="J11" s="594"/>
      <c r="K11" s="226"/>
      <c r="L11" s="226">
        <f>2800-627-1704</f>
        <v>469</v>
      </c>
      <c r="M11" s="226">
        <v>2800</v>
      </c>
      <c r="N11" s="226">
        <v>2800</v>
      </c>
      <c r="O11" s="226">
        <f>2800-2134-818</f>
        <v>-152</v>
      </c>
      <c r="P11" s="226">
        <v>2832</v>
      </c>
      <c r="Q11" s="226">
        <v>2832</v>
      </c>
      <c r="R11" s="226">
        <f>2832-976-2542</f>
        <v>-686</v>
      </c>
      <c r="S11" s="226">
        <v>2832</v>
      </c>
      <c r="T11" s="226"/>
      <c r="U11" s="582"/>
      <c r="V11" s="255">
        <f>SUM(H11:T11)</f>
        <v>13727</v>
      </c>
      <c r="W11" s="6"/>
    </row>
    <row r="12" spans="1:25" x14ac:dyDescent="0.15">
      <c r="A12" s="570" t="s">
        <v>591</v>
      </c>
      <c r="B12" s="68"/>
      <c r="C12" s="69"/>
      <c r="D12" s="171">
        <v>615111</v>
      </c>
      <c r="E12" s="172" t="s">
        <v>163</v>
      </c>
      <c r="F12" s="168" t="s">
        <v>179</v>
      </c>
      <c r="G12" s="169">
        <v>7734.88</v>
      </c>
      <c r="H12" s="562">
        <f>120-120+1800+290+2600+3000-7690+7734.88-7734.88</f>
        <v>0</v>
      </c>
      <c r="I12" s="226">
        <v>7734.88</v>
      </c>
      <c r="J12" s="594">
        <v>7734.88</v>
      </c>
      <c r="K12" s="226">
        <v>7734.88</v>
      </c>
      <c r="L12" s="226"/>
      <c r="M12" s="226"/>
      <c r="N12" s="226"/>
      <c r="O12" s="226"/>
      <c r="P12" s="226"/>
      <c r="Q12" s="226"/>
      <c r="R12" s="226"/>
      <c r="S12" s="226"/>
      <c r="T12" s="226"/>
      <c r="U12" s="582"/>
      <c r="V12" s="255">
        <f>SUM(H12:T12)</f>
        <v>23204.639999999999</v>
      </c>
      <c r="W12" s="6"/>
    </row>
    <row r="13" spans="1:25" x14ac:dyDescent="0.15">
      <c r="A13" s="604" t="s">
        <v>105</v>
      </c>
      <c r="B13" s="68"/>
      <c r="C13" s="69"/>
      <c r="D13" s="171">
        <v>615111</v>
      </c>
      <c r="E13" s="172" t="s">
        <v>163</v>
      </c>
      <c r="F13" s="168" t="s">
        <v>179</v>
      </c>
      <c r="G13" s="169"/>
      <c r="H13" s="562"/>
      <c r="I13" s="226"/>
      <c r="J13" s="594"/>
      <c r="K13" s="226"/>
      <c r="L13" s="226">
        <f>13450-2800-1700+1665+3200</f>
        <v>13815</v>
      </c>
      <c r="M13" s="226">
        <f>8950+600</f>
        <v>9550</v>
      </c>
      <c r="N13" s="226">
        <v>8950</v>
      </c>
      <c r="O13" s="226">
        <v>8950</v>
      </c>
      <c r="P13" s="226">
        <v>8494</v>
      </c>
      <c r="Q13" s="226">
        <v>8494</v>
      </c>
      <c r="R13" s="226">
        <v>8494</v>
      </c>
      <c r="S13" s="226">
        <f>8494+3825</f>
        <v>12319</v>
      </c>
      <c r="T13" s="226"/>
      <c r="U13" s="582"/>
      <c r="V13" s="255">
        <f>SUM(H13:T13)</f>
        <v>79066</v>
      </c>
      <c r="W13" s="6"/>
    </row>
    <row r="14" spans="1:25" s="37" customFormat="1" ht="11.25" thickBot="1" x14ac:dyDescent="0.2">
      <c r="A14" s="516" t="s">
        <v>11</v>
      </c>
      <c r="B14" s="517"/>
      <c r="C14" s="518"/>
      <c r="D14" s="519"/>
      <c r="E14" s="516"/>
      <c r="F14" s="520"/>
      <c r="G14" s="521"/>
      <c r="H14" s="522">
        <f t="shared" ref="H14:V14" si="1">SUM(H10:H13)</f>
        <v>224.96000000000004</v>
      </c>
      <c r="I14" s="522">
        <f t="shared" si="1"/>
        <v>9999.84</v>
      </c>
      <c r="J14" s="522">
        <f t="shared" si="1"/>
        <v>9738.48</v>
      </c>
      <c r="K14" s="522">
        <f t="shared" si="1"/>
        <v>7365.52</v>
      </c>
      <c r="L14" s="522">
        <f t="shared" si="1"/>
        <v>14284</v>
      </c>
      <c r="M14" s="522">
        <f t="shared" si="1"/>
        <v>12350</v>
      </c>
      <c r="N14" s="522">
        <f t="shared" si="1"/>
        <v>11750</v>
      </c>
      <c r="O14" s="522">
        <f t="shared" si="1"/>
        <v>8798</v>
      </c>
      <c r="P14" s="522">
        <f t="shared" si="1"/>
        <v>11326</v>
      </c>
      <c r="Q14" s="522">
        <f t="shared" si="1"/>
        <v>11326</v>
      </c>
      <c r="R14" s="522">
        <f t="shared" si="1"/>
        <v>7808</v>
      </c>
      <c r="S14" s="522">
        <f t="shared" si="1"/>
        <v>15151</v>
      </c>
      <c r="T14" s="522">
        <f t="shared" si="1"/>
        <v>0</v>
      </c>
      <c r="U14" s="522">
        <f t="shared" si="1"/>
        <v>0</v>
      </c>
      <c r="V14" s="522">
        <f t="shared" si="1"/>
        <v>120121.8</v>
      </c>
      <c r="W14" s="97" t="str">
        <f>+IF(V14=SUM(H14:T14),"contrôle ok", "erreur")</f>
        <v>contrôle ok</v>
      </c>
      <c r="X14" s="16"/>
      <c r="Y14" s="16"/>
    </row>
    <row r="15" spans="1:25" s="56" customFormat="1" ht="11.25" thickTop="1" x14ac:dyDescent="0.15">
      <c r="A15" s="120"/>
      <c r="B15" s="51"/>
      <c r="C15" s="52"/>
      <c r="D15" s="466"/>
      <c r="E15" s="54"/>
      <c r="F15" s="53"/>
      <c r="G15" s="108"/>
      <c r="H15" s="228"/>
      <c r="I15" s="228"/>
      <c r="J15" s="228"/>
      <c r="K15" s="228"/>
      <c r="L15" s="228"/>
      <c r="M15" s="228"/>
      <c r="N15" s="228"/>
      <c r="O15" s="228"/>
      <c r="P15" s="228"/>
      <c r="Q15" s="228"/>
      <c r="R15" s="228"/>
      <c r="S15" s="228"/>
      <c r="T15" s="228"/>
      <c r="U15" s="228"/>
      <c r="V15" s="228"/>
      <c r="W15" s="97"/>
      <c r="X15" s="467"/>
    </row>
    <row r="16" spans="1:25" x14ac:dyDescent="0.15">
      <c r="A16" s="27" t="s">
        <v>519</v>
      </c>
      <c r="B16" s="28"/>
      <c r="C16" s="29"/>
      <c r="D16" s="134"/>
      <c r="E16" s="30"/>
      <c r="F16" s="31"/>
      <c r="G16" s="101"/>
      <c r="H16" s="224"/>
      <c r="I16" s="224"/>
      <c r="J16" s="251"/>
      <c r="K16" s="224"/>
      <c r="L16" s="224"/>
      <c r="M16" s="224"/>
      <c r="N16" s="224"/>
      <c r="O16" s="224"/>
      <c r="P16" s="224"/>
      <c r="Q16" s="224"/>
      <c r="R16" s="224"/>
      <c r="S16" s="224"/>
      <c r="T16" s="224"/>
      <c r="U16" s="224"/>
      <c r="V16" s="252"/>
      <c r="W16" s="4"/>
    </row>
    <row r="17" spans="1:25" x14ac:dyDescent="0.15">
      <c r="A17" s="143" t="s">
        <v>523</v>
      </c>
      <c r="B17" s="143"/>
      <c r="C17" s="144"/>
      <c r="D17" s="144">
        <v>615113</v>
      </c>
      <c r="E17" s="145" t="s">
        <v>163</v>
      </c>
      <c r="F17" s="145" t="s">
        <v>192</v>
      </c>
      <c r="G17" s="165"/>
      <c r="H17" s="559"/>
      <c r="I17" s="255"/>
      <c r="J17" s="226"/>
      <c r="K17" s="226"/>
      <c r="L17" s="226"/>
      <c r="M17" s="226"/>
      <c r="N17" s="226"/>
      <c r="O17" s="226"/>
      <c r="P17" s="226"/>
      <c r="Q17" s="226"/>
      <c r="R17" s="226"/>
      <c r="S17" s="226"/>
      <c r="T17" s="226"/>
      <c r="U17" s="582"/>
      <c r="V17" s="255">
        <f>SUM(H17:T17)</f>
        <v>0</v>
      </c>
      <c r="W17" s="14"/>
    </row>
    <row r="18" spans="1:25" x14ac:dyDescent="0.15">
      <c r="A18" s="68" t="s">
        <v>305</v>
      </c>
      <c r="B18" s="68"/>
      <c r="C18" s="69"/>
      <c r="D18" s="573">
        <v>615113</v>
      </c>
      <c r="E18" s="172" t="s">
        <v>163</v>
      </c>
      <c r="F18" s="168" t="s">
        <v>269</v>
      </c>
      <c r="G18" s="169"/>
      <c r="H18" s="562"/>
      <c r="I18" s="226"/>
      <c r="J18" s="226"/>
      <c r="K18" s="226"/>
      <c r="L18" s="226"/>
      <c r="M18" s="226"/>
      <c r="N18" s="226"/>
      <c r="O18" s="226"/>
      <c r="P18" s="226"/>
      <c r="Q18" s="226"/>
      <c r="R18" s="226"/>
      <c r="S18" s="226"/>
      <c r="T18" s="226"/>
      <c r="U18" s="582"/>
      <c r="V18" s="255">
        <f>SUM(H18:T18)</f>
        <v>0</v>
      </c>
      <c r="W18" s="14"/>
    </row>
    <row r="19" spans="1:25" s="37" customFormat="1" ht="11.25" thickBot="1" x14ac:dyDescent="0.2">
      <c r="A19" s="516" t="s">
        <v>11</v>
      </c>
      <c r="B19" s="517"/>
      <c r="C19" s="518"/>
      <c r="D19" s="531"/>
      <c r="E19" s="516"/>
      <c r="F19" s="520"/>
      <c r="G19" s="521"/>
      <c r="H19" s="522">
        <f t="shared" ref="H19:V19" si="2">SUM(H17:H18)</f>
        <v>0</v>
      </c>
      <c r="I19" s="522">
        <f t="shared" si="2"/>
        <v>0</v>
      </c>
      <c r="J19" s="522">
        <f t="shared" si="2"/>
        <v>0</v>
      </c>
      <c r="K19" s="522">
        <f t="shared" si="2"/>
        <v>0</v>
      </c>
      <c r="L19" s="522">
        <f t="shared" si="2"/>
        <v>0</v>
      </c>
      <c r="M19" s="522">
        <f t="shared" si="2"/>
        <v>0</v>
      </c>
      <c r="N19" s="522">
        <f t="shared" si="2"/>
        <v>0</v>
      </c>
      <c r="O19" s="522">
        <f t="shared" si="2"/>
        <v>0</v>
      </c>
      <c r="P19" s="522">
        <f t="shared" si="2"/>
        <v>0</v>
      </c>
      <c r="Q19" s="522">
        <f t="shared" si="2"/>
        <v>0</v>
      </c>
      <c r="R19" s="522">
        <f t="shared" si="2"/>
        <v>0</v>
      </c>
      <c r="S19" s="522">
        <f t="shared" si="2"/>
        <v>0</v>
      </c>
      <c r="T19" s="522">
        <f t="shared" si="2"/>
        <v>0</v>
      </c>
      <c r="U19" s="522">
        <f t="shared" si="2"/>
        <v>0</v>
      </c>
      <c r="V19" s="522">
        <f t="shared" si="2"/>
        <v>0</v>
      </c>
      <c r="W19" s="97" t="str">
        <f>+IF(V19=SUM(H19:T19),"contrôle ok", "erreur")</f>
        <v>contrôle ok</v>
      </c>
      <c r="X19" s="17"/>
    </row>
    <row r="20" spans="1:25" s="56" customFormat="1" ht="11.25" thickTop="1" x14ac:dyDescent="0.15">
      <c r="A20" s="120"/>
      <c r="B20" s="51"/>
      <c r="C20" s="52"/>
      <c r="D20" s="466"/>
      <c r="E20" s="54"/>
      <c r="F20" s="53"/>
      <c r="G20" s="108"/>
      <c r="H20" s="228"/>
      <c r="I20" s="228"/>
      <c r="J20" s="228"/>
      <c r="K20" s="228"/>
      <c r="L20" s="228"/>
      <c r="M20" s="228"/>
      <c r="N20" s="228"/>
      <c r="O20" s="228"/>
      <c r="P20" s="228"/>
      <c r="Q20" s="228"/>
      <c r="R20" s="228"/>
      <c r="S20" s="228"/>
      <c r="T20" s="228"/>
      <c r="U20" s="228"/>
      <c r="V20" s="228"/>
      <c r="W20" s="97"/>
      <c r="X20" s="467"/>
    </row>
    <row r="21" spans="1:25" s="56" customFormat="1" x14ac:dyDescent="0.15">
      <c r="A21" s="27" t="s">
        <v>534</v>
      </c>
      <c r="B21" s="28"/>
      <c r="C21" s="29"/>
      <c r="D21" s="134"/>
      <c r="E21" s="30"/>
      <c r="F21" s="31"/>
      <c r="G21" s="101"/>
      <c r="H21" s="224"/>
      <c r="I21" s="224"/>
      <c r="J21" s="251"/>
      <c r="K21" s="224"/>
      <c r="L21" s="224"/>
      <c r="M21" s="224"/>
      <c r="N21" s="224"/>
      <c r="O21" s="224"/>
      <c r="P21" s="224"/>
      <c r="Q21" s="224"/>
      <c r="R21" s="224"/>
      <c r="S21" s="224"/>
      <c r="T21" s="224"/>
      <c r="U21" s="224"/>
      <c r="V21" s="252"/>
      <c r="W21" s="97"/>
      <c r="X21" s="467"/>
    </row>
    <row r="22" spans="1:25" s="56" customFormat="1" x14ac:dyDescent="0.15">
      <c r="A22" s="475" t="s">
        <v>171</v>
      </c>
      <c r="B22" s="494"/>
      <c r="C22" s="495"/>
      <c r="D22" s="496">
        <v>615114</v>
      </c>
      <c r="E22" s="475" t="s">
        <v>75</v>
      </c>
      <c r="F22" s="475" t="s">
        <v>192</v>
      </c>
      <c r="G22" s="163"/>
      <c r="H22" s="559">
        <v>160</v>
      </c>
      <c r="I22" s="226">
        <v>160</v>
      </c>
      <c r="J22" s="226">
        <v>320</v>
      </c>
      <c r="K22" s="226"/>
      <c r="L22" s="226">
        <v>640</v>
      </c>
      <c r="M22" s="226">
        <v>160</v>
      </c>
      <c r="N22" s="226">
        <f>-160+320</f>
        <v>160</v>
      </c>
      <c r="O22" s="226">
        <v>1120</v>
      </c>
      <c r="P22" s="226">
        <f>960-160-160</f>
        <v>640</v>
      </c>
      <c r="Q22" s="226">
        <f>960-160-320</f>
        <v>480</v>
      </c>
      <c r="R22" s="226">
        <v>320</v>
      </c>
      <c r="S22" s="226">
        <v>640</v>
      </c>
      <c r="T22" s="226"/>
      <c r="U22" s="582"/>
      <c r="V22" s="255">
        <f>SUM(H22:T22)</f>
        <v>4800</v>
      </c>
      <c r="W22" s="97"/>
      <c r="X22" s="467"/>
    </row>
    <row r="23" spans="1:25" s="56" customFormat="1" x14ac:dyDescent="0.15">
      <c r="A23" s="493"/>
      <c r="B23" s="494"/>
      <c r="C23" s="495"/>
      <c r="D23" s="495"/>
      <c r="E23" s="493"/>
      <c r="F23" s="493"/>
      <c r="G23" s="163"/>
      <c r="H23" s="559"/>
      <c r="I23" s="226"/>
      <c r="J23" s="226"/>
      <c r="K23" s="226"/>
      <c r="L23" s="226"/>
      <c r="M23" s="226"/>
      <c r="N23" s="226"/>
      <c r="O23" s="226"/>
      <c r="P23" s="226"/>
      <c r="Q23" s="226"/>
      <c r="R23" s="226"/>
      <c r="S23" s="226"/>
      <c r="T23" s="226"/>
      <c r="U23" s="582"/>
      <c r="V23" s="255">
        <f>SUM(H23:T23)</f>
        <v>0</v>
      </c>
      <c r="W23" s="97"/>
      <c r="X23" s="467"/>
    </row>
    <row r="24" spans="1:25" s="56" customFormat="1" ht="11.25" thickBot="1" x14ac:dyDescent="0.2">
      <c r="A24" s="516" t="s">
        <v>11</v>
      </c>
      <c r="B24" s="517"/>
      <c r="C24" s="524"/>
      <c r="D24" s="525"/>
      <c r="E24" s="520"/>
      <c r="F24" s="526"/>
      <c r="G24" s="521"/>
      <c r="H24" s="522">
        <f>SUM(H22:H23)</f>
        <v>160</v>
      </c>
      <c r="I24" s="522">
        <f>SUM(I22:I23)</f>
        <v>160</v>
      </c>
      <c r="J24" s="522">
        <f t="shared" ref="J24:V24" si="3">SUM(J22:J23)</f>
        <v>320</v>
      </c>
      <c r="K24" s="522">
        <f t="shared" si="3"/>
        <v>0</v>
      </c>
      <c r="L24" s="522">
        <f t="shared" si="3"/>
        <v>640</v>
      </c>
      <c r="M24" s="522">
        <f t="shared" si="3"/>
        <v>160</v>
      </c>
      <c r="N24" s="522">
        <f t="shared" si="3"/>
        <v>160</v>
      </c>
      <c r="O24" s="522">
        <f t="shared" si="3"/>
        <v>1120</v>
      </c>
      <c r="P24" s="522">
        <f t="shared" si="3"/>
        <v>640</v>
      </c>
      <c r="Q24" s="522">
        <f t="shared" si="3"/>
        <v>480</v>
      </c>
      <c r="R24" s="522">
        <f t="shared" si="3"/>
        <v>320</v>
      </c>
      <c r="S24" s="522">
        <f t="shared" si="3"/>
        <v>640</v>
      </c>
      <c r="T24" s="522">
        <f t="shared" si="3"/>
        <v>0</v>
      </c>
      <c r="U24" s="522">
        <f t="shared" si="3"/>
        <v>0</v>
      </c>
      <c r="V24" s="522">
        <f t="shared" si="3"/>
        <v>4800</v>
      </c>
      <c r="W24" s="97" t="str">
        <f>+IF(V24=SUM(H24:T24),"contrôle ok", "erreur")</f>
        <v>contrôle ok</v>
      </c>
      <c r="X24" s="467"/>
    </row>
    <row r="25" spans="1:25" s="37" customFormat="1" ht="11.25" thickTop="1" x14ac:dyDescent="0.15">
      <c r="A25" s="33"/>
      <c r="B25" s="33"/>
      <c r="C25" s="34"/>
      <c r="D25" s="35"/>
      <c r="E25" s="36"/>
      <c r="F25" s="35"/>
      <c r="G25" s="100"/>
      <c r="H25" s="229"/>
      <c r="I25" s="229"/>
      <c r="J25" s="229"/>
      <c r="K25" s="229"/>
      <c r="L25" s="229"/>
      <c r="M25" s="229"/>
      <c r="N25" s="257"/>
      <c r="O25" s="229"/>
      <c r="P25" s="229"/>
      <c r="Q25" s="229"/>
      <c r="R25" s="229"/>
      <c r="S25" s="229"/>
      <c r="T25" s="229"/>
      <c r="U25" s="229"/>
      <c r="V25" s="258"/>
      <c r="X25" s="16"/>
      <c r="Y25" s="16"/>
    </row>
    <row r="26" spans="1:25" x14ac:dyDescent="0.15">
      <c r="A26" s="27" t="s">
        <v>244</v>
      </c>
      <c r="B26" s="28"/>
      <c r="C26" s="29"/>
      <c r="D26" s="30"/>
      <c r="E26" s="30"/>
      <c r="F26" s="31"/>
      <c r="G26" s="101"/>
      <c r="H26" s="224"/>
      <c r="I26" s="224"/>
      <c r="J26" s="251"/>
      <c r="K26" s="224"/>
      <c r="L26" s="224"/>
      <c r="M26" s="224"/>
      <c r="N26" s="224"/>
      <c r="O26" s="224"/>
      <c r="P26" s="224"/>
      <c r="Q26" s="224"/>
      <c r="R26" s="224"/>
      <c r="S26" s="224"/>
      <c r="T26" s="224"/>
      <c r="U26" s="224"/>
      <c r="V26" s="252"/>
    </row>
    <row r="27" spans="1:25" x14ac:dyDescent="0.15">
      <c r="A27" s="143"/>
      <c r="B27" s="143"/>
      <c r="C27" s="144"/>
      <c r="D27" s="145">
        <v>615130</v>
      </c>
      <c r="E27" s="145" t="s">
        <v>73</v>
      </c>
      <c r="F27" s="145" t="s">
        <v>248</v>
      </c>
      <c r="G27" s="165"/>
      <c r="H27" s="559"/>
      <c r="I27" s="226"/>
      <c r="J27" s="226"/>
      <c r="K27" s="226"/>
      <c r="L27" s="226">
        <f>945.5+1741.37</f>
        <v>2686.87</v>
      </c>
      <c r="M27" s="226">
        <f>690+4209+1558</f>
        <v>6457</v>
      </c>
      <c r="N27" s="226">
        <f>3680.48+2119.48</f>
        <v>5799.96</v>
      </c>
      <c r="O27" s="226">
        <f>-1741.37+4504.06+1956.32</f>
        <v>4719.01</v>
      </c>
      <c r="P27" s="226">
        <v>1866.7</v>
      </c>
      <c r="Q27" s="226">
        <v>4646.28</v>
      </c>
      <c r="R27" s="226">
        <f>2302+1637+1741.37</f>
        <v>5680.37</v>
      </c>
      <c r="S27" s="226">
        <f>1479+4480+4430+7952</f>
        <v>18341</v>
      </c>
      <c r="T27" s="226">
        <v>783.15</v>
      </c>
      <c r="U27" s="582"/>
      <c r="V27" s="255">
        <f>SUM(H27:T27)</f>
        <v>50980.34</v>
      </c>
      <c r="W27" s="6"/>
    </row>
    <row r="28" spans="1:25" s="37" customFormat="1" ht="11.25" thickBot="1" x14ac:dyDescent="0.2">
      <c r="A28" s="516" t="s">
        <v>11</v>
      </c>
      <c r="B28" s="517"/>
      <c r="C28" s="518"/>
      <c r="D28" s="519"/>
      <c r="E28" s="516"/>
      <c r="F28" s="520"/>
      <c r="G28" s="521"/>
      <c r="H28" s="522">
        <f>SUM(H27)</f>
        <v>0</v>
      </c>
      <c r="I28" s="522">
        <f>SUM(I27)</f>
        <v>0</v>
      </c>
      <c r="J28" s="522">
        <f t="shared" ref="J28:V28" si="4">SUM(J27)</f>
        <v>0</v>
      </c>
      <c r="K28" s="522">
        <f>SUM(K27)</f>
        <v>0</v>
      </c>
      <c r="L28" s="522">
        <f t="shared" si="4"/>
        <v>2686.87</v>
      </c>
      <c r="M28" s="522">
        <f t="shared" si="4"/>
        <v>6457</v>
      </c>
      <c r="N28" s="522">
        <f t="shared" si="4"/>
        <v>5799.96</v>
      </c>
      <c r="O28" s="522">
        <f>SUM(O27)</f>
        <v>4719.01</v>
      </c>
      <c r="P28" s="522">
        <f t="shared" si="4"/>
        <v>1866.7</v>
      </c>
      <c r="Q28" s="522">
        <f t="shared" si="4"/>
        <v>4646.28</v>
      </c>
      <c r="R28" s="522">
        <f t="shared" si="4"/>
        <v>5680.37</v>
      </c>
      <c r="S28" s="522">
        <f t="shared" si="4"/>
        <v>18341</v>
      </c>
      <c r="T28" s="522">
        <f t="shared" si="4"/>
        <v>783.15</v>
      </c>
      <c r="U28" s="522">
        <f t="shared" si="4"/>
        <v>0</v>
      </c>
      <c r="V28" s="522">
        <f t="shared" si="4"/>
        <v>50980.34</v>
      </c>
      <c r="W28" s="97" t="str">
        <f>+IF(V28=SUM(H28:T28),"contrôle ok", "erreur")</f>
        <v>contrôle ok</v>
      </c>
      <c r="X28" s="16"/>
      <c r="Y28" s="16"/>
    </row>
    <row r="29" spans="1:25" ht="11.25" thickTop="1" x14ac:dyDescent="0.15">
      <c r="A29" s="43"/>
      <c r="B29" s="46"/>
      <c r="C29" s="47"/>
      <c r="D29" s="57"/>
      <c r="E29" s="49"/>
      <c r="F29" s="48"/>
      <c r="G29" s="122"/>
      <c r="H29" s="293"/>
      <c r="I29" s="293"/>
      <c r="J29" s="294"/>
      <c r="K29" s="294"/>
      <c r="L29" s="294"/>
      <c r="M29" s="294"/>
      <c r="N29" s="294"/>
      <c r="O29" s="294"/>
      <c r="P29" s="294"/>
      <c r="Q29" s="294"/>
      <c r="R29" s="294"/>
      <c r="S29" s="294"/>
      <c r="T29" s="294"/>
      <c r="U29" s="294"/>
      <c r="V29" s="295"/>
    </row>
    <row r="30" spans="1:25" x14ac:dyDescent="0.15">
      <c r="A30" s="27" t="s">
        <v>369</v>
      </c>
      <c r="B30" s="28"/>
      <c r="C30" s="29"/>
      <c r="D30" s="30"/>
      <c r="E30" s="30"/>
      <c r="F30" s="31"/>
      <c r="G30" s="101"/>
      <c r="H30" s="224"/>
      <c r="I30" s="224"/>
      <c r="J30" s="251"/>
      <c r="K30" s="224"/>
      <c r="L30" s="224"/>
      <c r="M30" s="224"/>
      <c r="N30" s="224"/>
      <c r="O30" s="224"/>
      <c r="P30" s="224"/>
      <c r="Q30" s="224"/>
      <c r="R30" s="224"/>
      <c r="S30" s="224"/>
      <c r="T30" s="224"/>
      <c r="U30" s="224"/>
      <c r="V30" s="252"/>
    </row>
    <row r="31" spans="1:25" x14ac:dyDescent="0.15">
      <c r="A31" s="614" t="s">
        <v>305</v>
      </c>
      <c r="B31" s="614"/>
      <c r="C31" s="321"/>
      <c r="D31" s="319"/>
      <c r="E31" s="145" t="s">
        <v>163</v>
      </c>
      <c r="F31" s="145" t="s">
        <v>269</v>
      </c>
      <c r="G31" s="165"/>
      <c r="H31" s="559"/>
      <c r="I31" s="255">
        <v>1824.5</v>
      </c>
      <c r="J31" s="226"/>
      <c r="K31" s="226"/>
      <c r="L31" s="226"/>
      <c r="M31" s="255"/>
      <c r="N31" s="255"/>
      <c r="O31" s="255">
        <v>2008.5</v>
      </c>
      <c r="P31" s="255"/>
      <c r="Q31" s="255"/>
      <c r="R31" s="226"/>
      <c r="S31" s="255"/>
      <c r="T31" s="226">
        <v>1981.5</v>
      </c>
      <c r="U31" s="582"/>
      <c r="V31" s="255">
        <f>SUM(H31:T31)</f>
        <v>5814.5</v>
      </c>
    </row>
    <row r="32" spans="1:25" x14ac:dyDescent="0.15">
      <c r="A32" s="614" t="s">
        <v>430</v>
      </c>
      <c r="B32" s="614"/>
      <c r="C32" s="321"/>
      <c r="D32" s="319"/>
      <c r="E32" s="145" t="s">
        <v>163</v>
      </c>
      <c r="F32" s="145" t="s">
        <v>269</v>
      </c>
      <c r="G32" s="165"/>
      <c r="H32" s="559"/>
      <c r="I32" s="255"/>
      <c r="J32" s="226"/>
      <c r="K32" s="226"/>
      <c r="L32" s="226">
        <v>1930</v>
      </c>
      <c r="M32" s="255"/>
      <c r="N32" s="255"/>
      <c r="O32" s="255"/>
      <c r="P32" s="255"/>
      <c r="Q32" s="255"/>
      <c r="R32" s="255"/>
      <c r="S32" s="255"/>
      <c r="T32" s="226"/>
      <c r="U32" s="582"/>
      <c r="V32" s="255">
        <f>SUM(H32:T32)</f>
        <v>1930</v>
      </c>
    </row>
    <row r="33" spans="1:25" x14ac:dyDescent="0.15">
      <c r="A33" s="614" t="s">
        <v>569</v>
      </c>
      <c r="B33" s="614"/>
      <c r="C33" s="321"/>
      <c r="D33" s="71"/>
      <c r="E33" s="172" t="s">
        <v>163</v>
      </c>
      <c r="F33" s="168" t="s">
        <v>192</v>
      </c>
      <c r="G33" s="165"/>
      <c r="H33" s="559"/>
      <c r="I33" s="255"/>
      <c r="J33" s="226"/>
      <c r="K33" s="226"/>
      <c r="L33" s="226"/>
      <c r="M33" s="255"/>
      <c r="N33" s="255"/>
      <c r="O33" s="255"/>
      <c r="P33" s="255"/>
      <c r="Q33" s="255"/>
      <c r="R33" s="255"/>
      <c r="S33" s="255"/>
      <c r="T33" s="255"/>
      <c r="U33" s="582"/>
      <c r="V33" s="255">
        <f>SUM(H33:T33)</f>
        <v>0</v>
      </c>
    </row>
    <row r="34" spans="1:25" ht="11.25" thickBot="1" x14ac:dyDescent="0.2">
      <c r="A34" s="516" t="s">
        <v>11</v>
      </c>
      <c r="B34" s="517"/>
      <c r="C34" s="518"/>
      <c r="D34" s="519"/>
      <c r="E34" s="516"/>
      <c r="F34" s="520"/>
      <c r="G34" s="521"/>
      <c r="H34" s="522">
        <f>SUM(H31:H32)</f>
        <v>0</v>
      </c>
      <c r="I34" s="522">
        <f>SUM(I31:I33)</f>
        <v>1824.5</v>
      </c>
      <c r="J34" s="522">
        <f t="shared" ref="J34:V34" si="5">SUM(J31:J33)</f>
        <v>0</v>
      </c>
      <c r="K34" s="522">
        <f t="shared" si="5"/>
        <v>0</v>
      </c>
      <c r="L34" s="522">
        <f t="shared" si="5"/>
        <v>1930</v>
      </c>
      <c r="M34" s="522">
        <f t="shared" si="5"/>
        <v>0</v>
      </c>
      <c r="N34" s="522">
        <f t="shared" si="5"/>
        <v>0</v>
      </c>
      <c r="O34" s="522">
        <f t="shared" si="5"/>
        <v>2008.5</v>
      </c>
      <c r="P34" s="522">
        <f t="shared" si="5"/>
        <v>0</v>
      </c>
      <c r="Q34" s="522">
        <f t="shared" si="5"/>
        <v>0</v>
      </c>
      <c r="R34" s="522">
        <f t="shared" si="5"/>
        <v>0</v>
      </c>
      <c r="S34" s="522">
        <f t="shared" si="5"/>
        <v>0</v>
      </c>
      <c r="T34" s="522">
        <f t="shared" si="5"/>
        <v>1981.5</v>
      </c>
      <c r="U34" s="522">
        <f t="shared" si="5"/>
        <v>0</v>
      </c>
      <c r="V34" s="522">
        <f t="shared" si="5"/>
        <v>7744.5</v>
      </c>
      <c r="W34" s="97" t="str">
        <f>+IF(V34=SUM(H34:T34),"contrôle ok", "erreur")</f>
        <v>contrôle ok</v>
      </c>
    </row>
    <row r="35" spans="1:25" s="98" customFormat="1" ht="11.25" thickTop="1" x14ac:dyDescent="0.15">
      <c r="A35" s="54"/>
      <c r="B35" s="51"/>
      <c r="C35" s="52"/>
      <c r="D35" s="53"/>
      <c r="E35" s="120"/>
      <c r="F35" s="53"/>
      <c r="G35" s="108"/>
      <c r="H35" s="228"/>
      <c r="I35" s="228"/>
      <c r="J35" s="228"/>
      <c r="K35" s="228"/>
      <c r="L35" s="228"/>
      <c r="M35" s="228"/>
      <c r="N35" s="228"/>
      <c r="O35" s="228"/>
      <c r="P35" s="228"/>
      <c r="Q35" s="228"/>
      <c r="R35" s="228"/>
      <c r="S35" s="228"/>
      <c r="T35" s="228"/>
      <c r="U35" s="228"/>
      <c r="V35" s="228"/>
      <c r="W35" s="97"/>
    </row>
    <row r="36" spans="1:25" x14ac:dyDescent="0.15">
      <c r="A36" s="27" t="s">
        <v>374</v>
      </c>
      <c r="B36" s="28"/>
      <c r="C36" s="29"/>
      <c r="D36" s="30"/>
      <c r="E36" s="30"/>
      <c r="F36" s="31"/>
      <c r="G36" s="101"/>
      <c r="H36" s="224"/>
      <c r="I36" s="224"/>
      <c r="J36" s="251"/>
      <c r="K36" s="224"/>
      <c r="L36" s="224"/>
      <c r="M36" s="224"/>
      <c r="N36" s="224"/>
      <c r="O36" s="224"/>
      <c r="P36" s="224"/>
      <c r="Q36" s="224"/>
      <c r="R36" s="224"/>
      <c r="S36" s="224"/>
      <c r="T36" s="224"/>
      <c r="U36" s="224"/>
      <c r="V36" s="252"/>
    </row>
    <row r="37" spans="1:25" x14ac:dyDescent="0.15">
      <c r="A37" s="33"/>
      <c r="B37" s="33"/>
      <c r="C37" s="34"/>
      <c r="D37" s="319"/>
      <c r="E37" s="145" t="s">
        <v>75</v>
      </c>
      <c r="F37" s="145" t="s">
        <v>192</v>
      </c>
      <c r="G37" s="165"/>
      <c r="H37" s="559"/>
      <c r="I37" s="226"/>
      <c r="J37" s="226"/>
      <c r="K37" s="226"/>
      <c r="L37" s="226"/>
      <c r="M37" s="226"/>
      <c r="N37" s="226"/>
      <c r="O37" s="170"/>
      <c r="P37" s="226"/>
      <c r="Q37" s="323"/>
      <c r="R37" s="323"/>
      <c r="S37" s="226"/>
      <c r="T37" s="226"/>
      <c r="U37" s="582"/>
      <c r="V37" s="255">
        <f>SUM(H37:T37)</f>
        <v>0</v>
      </c>
    </row>
    <row r="38" spans="1:25" ht="11.25" thickBot="1" x14ac:dyDescent="0.2">
      <c r="A38" s="516" t="s">
        <v>11</v>
      </c>
      <c r="B38" s="517"/>
      <c r="C38" s="518"/>
      <c r="D38" s="519"/>
      <c r="E38" s="516"/>
      <c r="F38" s="520"/>
      <c r="G38" s="521"/>
      <c r="H38" s="522">
        <f>SUM(H37)</f>
        <v>0</v>
      </c>
      <c r="I38" s="522">
        <f>SUM(I37)</f>
        <v>0</v>
      </c>
      <c r="J38" s="522">
        <f t="shared" ref="J38:V38" si="6">SUM(J37)</f>
        <v>0</v>
      </c>
      <c r="K38" s="522">
        <f t="shared" si="6"/>
        <v>0</v>
      </c>
      <c r="L38" s="522">
        <f t="shared" si="6"/>
        <v>0</v>
      </c>
      <c r="M38" s="522">
        <f t="shared" si="6"/>
        <v>0</v>
      </c>
      <c r="N38" s="522">
        <f t="shared" si="6"/>
        <v>0</v>
      </c>
      <c r="O38" s="522"/>
      <c r="P38" s="522">
        <f>SUM(P37)</f>
        <v>0</v>
      </c>
      <c r="Q38" s="522">
        <f>SUM(Q37)</f>
        <v>0</v>
      </c>
      <c r="R38" s="522">
        <f>SUM(R37)</f>
        <v>0</v>
      </c>
      <c r="S38" s="522">
        <f t="shared" si="6"/>
        <v>0</v>
      </c>
      <c r="T38" s="522">
        <f t="shared" si="6"/>
        <v>0</v>
      </c>
      <c r="U38" s="522">
        <f t="shared" si="6"/>
        <v>0</v>
      </c>
      <c r="V38" s="522">
        <f t="shared" si="6"/>
        <v>0</v>
      </c>
      <c r="W38" s="97" t="str">
        <f>+IF(V38=SUM(H38:T38),"contrôle ok", "erreur")</f>
        <v>contrôle ok</v>
      </c>
    </row>
    <row r="39" spans="1:25" s="98" customFormat="1" ht="11.25" thickTop="1" x14ac:dyDescent="0.15">
      <c r="A39" s="54"/>
      <c r="B39" s="51"/>
      <c r="C39" s="52"/>
      <c r="D39" s="53"/>
      <c r="E39" s="120"/>
      <c r="F39" s="53"/>
      <c r="G39" s="108"/>
      <c r="H39" s="228"/>
      <c r="I39" s="228"/>
      <c r="J39" s="228"/>
      <c r="K39" s="228"/>
      <c r="L39" s="228"/>
      <c r="M39" s="228"/>
      <c r="N39" s="228"/>
      <c r="O39" s="228"/>
      <c r="P39" s="228"/>
      <c r="Q39" s="228"/>
      <c r="R39" s="228"/>
      <c r="S39" s="228"/>
      <c r="T39" s="228"/>
      <c r="U39" s="228"/>
      <c r="V39" s="228"/>
      <c r="W39" s="97"/>
    </row>
    <row r="40" spans="1:25" s="37" customFormat="1" x14ac:dyDescent="0.15">
      <c r="A40" s="27" t="s">
        <v>23</v>
      </c>
      <c r="B40" s="28"/>
      <c r="C40" s="29"/>
      <c r="D40" s="30"/>
      <c r="E40" s="30"/>
      <c r="F40" s="31"/>
      <c r="G40" s="101"/>
      <c r="H40" s="224"/>
      <c r="I40" s="224"/>
      <c r="J40" s="251"/>
      <c r="K40" s="224"/>
      <c r="L40" s="224"/>
      <c r="M40" s="224"/>
      <c r="N40" s="224"/>
      <c r="O40" s="224"/>
      <c r="P40" s="224"/>
      <c r="Q40" s="224"/>
      <c r="R40" s="224"/>
      <c r="S40" s="224"/>
      <c r="T40" s="224"/>
      <c r="U40" s="224"/>
      <c r="V40" s="252"/>
      <c r="W40" s="16"/>
      <c r="X40" s="16"/>
      <c r="Y40" s="16"/>
    </row>
    <row r="41" spans="1:25" s="37" customFormat="1" x14ac:dyDescent="0.15">
      <c r="A41" s="143" t="s">
        <v>193</v>
      </c>
      <c r="B41" s="143"/>
      <c r="C41" s="144"/>
      <c r="D41" s="145">
        <v>615140</v>
      </c>
      <c r="E41" s="145" t="s">
        <v>73</v>
      </c>
      <c r="F41" s="145" t="s">
        <v>192</v>
      </c>
      <c r="G41" s="165"/>
      <c r="H41" s="559"/>
      <c r="I41" s="226"/>
      <c r="J41" s="226"/>
      <c r="K41" s="226"/>
      <c r="L41" s="226"/>
      <c r="M41" s="226"/>
      <c r="N41" s="226"/>
      <c r="O41" s="226"/>
      <c r="P41" s="226"/>
      <c r="Q41" s="226"/>
      <c r="R41" s="226"/>
      <c r="S41" s="226"/>
      <c r="T41" s="323"/>
      <c r="U41" s="323"/>
      <c r="V41" s="255">
        <f>SUM(H41:T41)</f>
        <v>0</v>
      </c>
      <c r="W41" s="6"/>
      <c r="X41" s="16"/>
      <c r="Y41" s="16"/>
    </row>
    <row r="42" spans="1:25" x14ac:dyDescent="0.15">
      <c r="A42" s="143" t="s">
        <v>402</v>
      </c>
      <c r="B42" s="143" t="s">
        <v>434</v>
      </c>
      <c r="C42" s="144"/>
      <c r="D42" s="145">
        <v>615140</v>
      </c>
      <c r="E42" s="145" t="s">
        <v>73</v>
      </c>
      <c r="F42" s="145" t="s">
        <v>179</v>
      </c>
      <c r="G42" s="165">
        <v>3183.16</v>
      </c>
      <c r="H42" s="559"/>
      <c r="I42" s="226">
        <v>3183.16</v>
      </c>
      <c r="J42" s="226">
        <v>3183.16</v>
      </c>
      <c r="K42" s="226">
        <f>0.99+3215</f>
        <v>3215.99</v>
      </c>
      <c r="L42" s="226">
        <v>3215</v>
      </c>
      <c r="M42" s="226">
        <v>3215</v>
      </c>
      <c r="N42" s="226">
        <v>3215</v>
      </c>
      <c r="O42" s="226">
        <v>3215</v>
      </c>
      <c r="P42" s="226">
        <v>3215</v>
      </c>
      <c r="Q42" s="226">
        <v>3215</v>
      </c>
      <c r="R42" s="226">
        <v>3215</v>
      </c>
      <c r="S42" s="226">
        <v>3215</v>
      </c>
      <c r="T42" s="226">
        <v>3215</v>
      </c>
      <c r="U42" s="582"/>
      <c r="V42" s="255">
        <f>SUM(H42:T42)</f>
        <v>38517.31</v>
      </c>
      <c r="W42" s="6"/>
    </row>
    <row r="43" spans="1:25" ht="11.25" thickBot="1" x14ac:dyDescent="0.2">
      <c r="A43" s="516" t="s">
        <v>11</v>
      </c>
      <c r="B43" s="517"/>
      <c r="C43" s="518"/>
      <c r="D43" s="519"/>
      <c r="E43" s="516"/>
      <c r="F43" s="520"/>
      <c r="G43" s="521"/>
      <c r="H43" s="522">
        <f>SUM(H41:H42)</f>
        <v>0</v>
      </c>
      <c r="I43" s="522">
        <f t="shared" ref="I43:V43" si="7">SUM(I41:I42)</f>
        <v>3183.16</v>
      </c>
      <c r="J43" s="522">
        <f t="shared" si="7"/>
        <v>3183.16</v>
      </c>
      <c r="K43" s="522">
        <f t="shared" si="7"/>
        <v>3215.99</v>
      </c>
      <c r="L43" s="522">
        <f t="shared" si="7"/>
        <v>3215</v>
      </c>
      <c r="M43" s="522">
        <f t="shared" si="7"/>
        <v>3215</v>
      </c>
      <c r="N43" s="522">
        <f t="shared" si="7"/>
        <v>3215</v>
      </c>
      <c r="O43" s="522">
        <f t="shared" si="7"/>
        <v>3215</v>
      </c>
      <c r="P43" s="522">
        <f t="shared" si="7"/>
        <v>3215</v>
      </c>
      <c r="Q43" s="522">
        <f t="shared" si="7"/>
        <v>3215</v>
      </c>
      <c r="R43" s="522">
        <f t="shared" si="7"/>
        <v>3215</v>
      </c>
      <c r="S43" s="522">
        <f t="shared" si="7"/>
        <v>3215</v>
      </c>
      <c r="T43" s="522">
        <f t="shared" si="7"/>
        <v>3215</v>
      </c>
      <c r="U43" s="522">
        <f t="shared" si="7"/>
        <v>0</v>
      </c>
      <c r="V43" s="522">
        <f t="shared" si="7"/>
        <v>38517.31</v>
      </c>
      <c r="W43" s="97" t="str">
        <f>+IF(V43=SUM(H43:T43),"contrôle ok", "erreur")</f>
        <v>contrôle ok</v>
      </c>
    </row>
    <row r="44" spans="1:25" s="37" customFormat="1" ht="11.25" thickTop="1" x14ac:dyDescent="0.15">
      <c r="A44" s="33"/>
      <c r="B44" s="33"/>
      <c r="C44" s="34"/>
      <c r="D44" s="35"/>
      <c r="E44" s="36"/>
      <c r="F44" s="35"/>
      <c r="G44" s="100"/>
      <c r="H44" s="229"/>
      <c r="I44" s="229"/>
      <c r="J44" s="229"/>
      <c r="K44" s="229"/>
      <c r="L44" s="229"/>
      <c r="M44" s="229"/>
      <c r="N44" s="257"/>
      <c r="O44" s="229"/>
      <c r="P44" s="229"/>
      <c r="Q44" s="229"/>
      <c r="R44" s="229"/>
      <c r="S44" s="229"/>
      <c r="T44" s="229"/>
      <c r="U44" s="229"/>
      <c r="V44" s="258"/>
      <c r="X44" s="16"/>
      <c r="Y44" s="16"/>
    </row>
    <row r="45" spans="1:25" s="37" customFormat="1" x14ac:dyDescent="0.15">
      <c r="A45" s="27" t="s">
        <v>129</v>
      </c>
      <c r="B45" s="28"/>
      <c r="C45" s="29"/>
      <c r="D45" s="30"/>
      <c r="E45" s="30"/>
      <c r="F45" s="31"/>
      <c r="G45" s="101"/>
      <c r="H45" s="224"/>
      <c r="I45" s="224"/>
      <c r="J45" s="251"/>
      <c r="K45" s="224"/>
      <c r="L45" s="224"/>
      <c r="M45" s="224"/>
      <c r="N45" s="224"/>
      <c r="O45" s="224"/>
      <c r="P45" s="224"/>
      <c r="Q45" s="224"/>
      <c r="R45" s="224"/>
      <c r="S45" s="224"/>
      <c r="T45" s="224"/>
      <c r="U45" s="224"/>
      <c r="V45" s="252"/>
      <c r="W45" s="16"/>
      <c r="X45" s="16"/>
      <c r="Y45" s="16"/>
    </row>
    <row r="46" spans="1:25" x14ac:dyDescent="0.15">
      <c r="A46" s="143" t="s">
        <v>193</v>
      </c>
      <c r="B46" s="143"/>
      <c r="C46" s="144"/>
      <c r="D46" s="145">
        <v>615145</v>
      </c>
      <c r="E46" s="145" t="s">
        <v>163</v>
      </c>
      <c r="F46" s="145" t="s">
        <v>192</v>
      </c>
      <c r="G46" s="165"/>
      <c r="H46" s="559"/>
      <c r="I46" s="226"/>
      <c r="J46" s="226"/>
      <c r="K46" s="226"/>
      <c r="L46" s="226"/>
      <c r="M46" s="226"/>
      <c r="N46" s="226"/>
      <c r="O46" s="226"/>
      <c r="P46" s="226"/>
      <c r="Q46" s="226"/>
      <c r="R46" s="226"/>
      <c r="S46" s="226"/>
      <c r="T46" s="226"/>
      <c r="U46" s="582"/>
      <c r="V46" s="255">
        <f>SUM(H46:T46)</f>
        <v>0</v>
      </c>
      <c r="W46" s="6"/>
    </row>
    <row r="47" spans="1:25" ht="11.25" thickBot="1" x14ac:dyDescent="0.2">
      <c r="A47" s="516" t="s">
        <v>11</v>
      </c>
      <c r="B47" s="517"/>
      <c r="C47" s="518"/>
      <c r="D47" s="519"/>
      <c r="E47" s="516"/>
      <c r="F47" s="520"/>
      <c r="G47" s="521"/>
      <c r="H47" s="522">
        <f>SUM(H46)</f>
        <v>0</v>
      </c>
      <c r="I47" s="522">
        <f>SUM(I46)</f>
        <v>0</v>
      </c>
      <c r="J47" s="522">
        <f t="shared" ref="J47:V47" si="8">SUM(J46)</f>
        <v>0</v>
      </c>
      <c r="K47" s="522">
        <f t="shared" si="8"/>
        <v>0</v>
      </c>
      <c r="L47" s="522">
        <f t="shared" si="8"/>
        <v>0</v>
      </c>
      <c r="M47" s="522">
        <f t="shared" si="8"/>
        <v>0</v>
      </c>
      <c r="N47" s="522">
        <f t="shared" si="8"/>
        <v>0</v>
      </c>
      <c r="O47" s="522">
        <f t="shared" si="8"/>
        <v>0</v>
      </c>
      <c r="P47" s="522">
        <f t="shared" si="8"/>
        <v>0</v>
      </c>
      <c r="Q47" s="522">
        <f t="shared" si="8"/>
        <v>0</v>
      </c>
      <c r="R47" s="522">
        <f t="shared" si="8"/>
        <v>0</v>
      </c>
      <c r="S47" s="522">
        <f t="shared" si="8"/>
        <v>0</v>
      </c>
      <c r="T47" s="522">
        <f t="shared" si="8"/>
        <v>0</v>
      </c>
      <c r="U47" s="522">
        <f t="shared" si="8"/>
        <v>0</v>
      </c>
      <c r="V47" s="522">
        <f t="shared" si="8"/>
        <v>0</v>
      </c>
      <c r="W47" s="97" t="str">
        <f>+IF(V47=SUM(H47:T47),"contrôle ok", "erreur")</f>
        <v>contrôle ok</v>
      </c>
    </row>
    <row r="48" spans="1:25" s="37" customFormat="1" ht="11.25" thickTop="1" x14ac:dyDescent="0.15">
      <c r="A48" s="33"/>
      <c r="B48" s="33"/>
      <c r="C48" s="34"/>
      <c r="D48" s="35"/>
      <c r="E48" s="36"/>
      <c r="F48" s="35"/>
      <c r="G48" s="100"/>
      <c r="H48" s="229"/>
      <c r="I48" s="229"/>
      <c r="J48" s="229"/>
      <c r="K48" s="229"/>
      <c r="L48" s="229"/>
      <c r="M48" s="229"/>
      <c r="N48" s="257"/>
      <c r="O48" s="229"/>
      <c r="P48" s="229"/>
      <c r="Q48" s="229"/>
      <c r="R48" s="229"/>
      <c r="S48" s="229"/>
      <c r="T48" s="229"/>
      <c r="U48" s="229"/>
      <c r="V48" s="258"/>
      <c r="X48" s="16"/>
      <c r="Y48" s="16"/>
    </row>
    <row r="49" spans="1:25" s="37" customFormat="1" x14ac:dyDescent="0.15">
      <c r="A49" s="27" t="s">
        <v>95</v>
      </c>
      <c r="B49" s="28"/>
      <c r="C49" s="29"/>
      <c r="D49" s="30"/>
      <c r="E49" s="30"/>
      <c r="F49" s="31"/>
      <c r="G49" s="101"/>
      <c r="H49" s="224"/>
      <c r="I49" s="224"/>
      <c r="J49" s="251"/>
      <c r="K49" s="224"/>
      <c r="L49" s="224"/>
      <c r="M49" s="224"/>
      <c r="N49" s="224"/>
      <c r="O49" s="224"/>
      <c r="P49" s="224"/>
      <c r="Q49" s="224"/>
      <c r="R49" s="224"/>
      <c r="S49" s="224"/>
      <c r="T49" s="224"/>
      <c r="U49" s="224"/>
      <c r="V49" s="252"/>
      <c r="W49" s="16"/>
      <c r="X49" s="16"/>
      <c r="Y49" s="16"/>
    </row>
    <row r="50" spans="1:25" x14ac:dyDescent="0.15">
      <c r="A50" s="143" t="s">
        <v>193</v>
      </c>
      <c r="B50" s="143"/>
      <c r="C50" s="144"/>
      <c r="D50" s="145">
        <v>615150</v>
      </c>
      <c r="E50" s="145" t="s">
        <v>73</v>
      </c>
      <c r="F50" s="145" t="s">
        <v>192</v>
      </c>
      <c r="G50" s="165"/>
      <c r="H50" s="559"/>
      <c r="I50" s="226"/>
      <c r="J50" s="226"/>
      <c r="K50" s="226"/>
      <c r="L50" s="226"/>
      <c r="M50" s="226"/>
      <c r="N50" s="226"/>
      <c r="O50" s="226"/>
      <c r="P50" s="226"/>
      <c r="Q50" s="226"/>
      <c r="R50" s="226"/>
      <c r="S50" s="226"/>
      <c r="T50" s="226"/>
      <c r="U50" s="582"/>
      <c r="V50" s="255">
        <f>SUM(H50:T50)</f>
        <v>0</v>
      </c>
      <c r="W50" s="6"/>
    </row>
    <row r="51" spans="1:25" ht="11.25" thickBot="1" x14ac:dyDescent="0.2">
      <c r="A51" s="516" t="s">
        <v>11</v>
      </c>
      <c r="B51" s="517"/>
      <c r="C51" s="518"/>
      <c r="D51" s="519"/>
      <c r="E51" s="516"/>
      <c r="F51" s="520"/>
      <c r="G51" s="521"/>
      <c r="H51" s="522">
        <f>SUM(H50)</f>
        <v>0</v>
      </c>
      <c r="I51" s="522">
        <f>SUM(I50)</f>
        <v>0</v>
      </c>
      <c r="J51" s="522">
        <f t="shared" ref="J51:V51" si="9">SUM(J50)</f>
        <v>0</v>
      </c>
      <c r="K51" s="522">
        <f t="shared" si="9"/>
        <v>0</v>
      </c>
      <c r="L51" s="522">
        <f t="shared" si="9"/>
        <v>0</v>
      </c>
      <c r="M51" s="522">
        <f t="shared" si="9"/>
        <v>0</v>
      </c>
      <c r="N51" s="522">
        <f t="shared" si="9"/>
        <v>0</v>
      </c>
      <c r="O51" s="522">
        <f t="shared" si="9"/>
        <v>0</v>
      </c>
      <c r="P51" s="522">
        <f t="shared" si="9"/>
        <v>0</v>
      </c>
      <c r="Q51" s="522">
        <f t="shared" si="9"/>
        <v>0</v>
      </c>
      <c r="R51" s="522">
        <f t="shared" si="9"/>
        <v>0</v>
      </c>
      <c r="S51" s="522">
        <f t="shared" si="9"/>
        <v>0</v>
      </c>
      <c r="T51" s="522">
        <f t="shared" si="9"/>
        <v>0</v>
      </c>
      <c r="U51" s="522">
        <f t="shared" si="9"/>
        <v>0</v>
      </c>
      <c r="V51" s="522">
        <f t="shared" si="9"/>
        <v>0</v>
      </c>
      <c r="W51" s="97" t="str">
        <f>+IF(V51=SUM(H51:T51),"contrôle ok", "erreur")</f>
        <v>contrôle ok</v>
      </c>
    </row>
    <row r="52" spans="1:25" ht="11.25" thickTop="1" x14ac:dyDescent="0.15">
      <c r="A52" s="33"/>
      <c r="B52" s="33"/>
      <c r="C52" s="34"/>
      <c r="D52" s="35"/>
      <c r="E52" s="36"/>
      <c r="F52" s="35"/>
      <c r="G52" s="100"/>
      <c r="H52" s="229"/>
      <c r="I52" s="229"/>
      <c r="J52" s="229"/>
      <c r="K52" s="229"/>
      <c r="L52" s="229"/>
      <c r="M52" s="229"/>
      <c r="N52" s="257"/>
      <c r="O52" s="229"/>
      <c r="P52" s="229"/>
      <c r="Q52" s="229"/>
      <c r="R52" s="229"/>
      <c r="S52" s="229"/>
      <c r="T52" s="229"/>
      <c r="U52" s="229"/>
      <c r="V52" s="258"/>
      <c r="W52" s="37"/>
    </row>
    <row r="53" spans="1:25" x14ac:dyDescent="0.15">
      <c r="A53" s="27" t="s">
        <v>82</v>
      </c>
      <c r="B53" s="28"/>
      <c r="C53" s="29"/>
      <c r="D53" s="30"/>
      <c r="E53" s="30"/>
      <c r="F53" s="31"/>
      <c r="G53" s="101"/>
      <c r="H53" s="224"/>
      <c r="I53" s="224"/>
      <c r="J53" s="251"/>
      <c r="K53" s="224"/>
      <c r="L53" s="224"/>
      <c r="M53" s="224"/>
      <c r="N53" s="224"/>
      <c r="O53" s="224"/>
      <c r="P53" s="224"/>
      <c r="Q53" s="224"/>
      <c r="R53" s="224"/>
      <c r="S53" s="224"/>
      <c r="T53" s="224"/>
      <c r="U53" s="224"/>
      <c r="V53" s="252"/>
    </row>
    <row r="54" spans="1:25" x14ac:dyDescent="0.15">
      <c r="A54" s="143" t="s">
        <v>416</v>
      </c>
      <c r="B54" s="322"/>
      <c r="C54" s="144"/>
      <c r="D54" s="145">
        <v>615155</v>
      </c>
      <c r="E54" s="145" t="s">
        <v>73</v>
      </c>
      <c r="F54" s="145" t="s">
        <v>179</v>
      </c>
      <c r="G54" s="165">
        <v>413.39</v>
      </c>
      <c r="H54" s="559"/>
      <c r="I54" s="226">
        <f>423.73-10.28</f>
        <v>413.45000000000005</v>
      </c>
      <c r="J54" s="226">
        <f>423.73-10.34</f>
        <v>413.39000000000004</v>
      </c>
      <c r="K54" s="226">
        <f>423.73-10.34</f>
        <v>413.39000000000004</v>
      </c>
      <c r="L54" s="226">
        <f>423.73-10.34</f>
        <v>413.39000000000004</v>
      </c>
      <c r="M54" s="226">
        <f>423.73-10.34</f>
        <v>413.39000000000004</v>
      </c>
      <c r="N54" s="226">
        <v>413.39</v>
      </c>
      <c r="O54" s="226">
        <v>413.39</v>
      </c>
      <c r="P54" s="226">
        <v>413.39</v>
      </c>
      <c r="Q54" s="226">
        <v>413.39</v>
      </c>
      <c r="R54" s="226">
        <v>413.39</v>
      </c>
      <c r="S54" s="226">
        <v>413.39</v>
      </c>
      <c r="T54" s="226">
        <f>423.72-10.34</f>
        <v>413.38000000000005</v>
      </c>
      <c r="U54" s="582"/>
      <c r="V54" s="255">
        <f>SUM(H54:T54)</f>
        <v>4960.7300000000005</v>
      </c>
      <c r="W54" s="6"/>
    </row>
    <row r="55" spans="1:25" x14ac:dyDescent="0.15">
      <c r="A55" s="143" t="s">
        <v>164</v>
      </c>
      <c r="B55" s="143"/>
      <c r="C55" s="144"/>
      <c r="D55" s="145">
        <v>615155</v>
      </c>
      <c r="E55" s="145" t="s">
        <v>73</v>
      </c>
      <c r="F55" s="145" t="s">
        <v>192</v>
      </c>
      <c r="G55" s="165"/>
      <c r="H55" s="559"/>
      <c r="I55" s="226"/>
      <c r="J55" s="226"/>
      <c r="K55" s="226"/>
      <c r="L55" s="226"/>
      <c r="M55" s="226"/>
      <c r="N55" s="226"/>
      <c r="O55" s="226"/>
      <c r="P55" s="226"/>
      <c r="Q55" s="226"/>
      <c r="R55" s="226"/>
      <c r="S55" s="226"/>
      <c r="T55" s="226"/>
      <c r="U55" s="582"/>
      <c r="V55" s="255">
        <f>SUM(H55:T55)</f>
        <v>0</v>
      </c>
      <c r="W55" s="6"/>
    </row>
    <row r="56" spans="1:25" ht="11.25" thickBot="1" x14ac:dyDescent="0.2">
      <c r="A56" s="516" t="s">
        <v>11</v>
      </c>
      <c r="B56" s="517"/>
      <c r="C56" s="518"/>
      <c r="D56" s="519"/>
      <c r="E56" s="516"/>
      <c r="F56" s="520"/>
      <c r="G56" s="521"/>
      <c r="H56" s="522">
        <f>SUM(H54:H55)</f>
        <v>0</v>
      </c>
      <c r="I56" s="522">
        <f t="shared" ref="I56:V56" si="10">SUM(I54:I55)</f>
        <v>413.45000000000005</v>
      </c>
      <c r="J56" s="522">
        <f t="shared" si="10"/>
        <v>413.39000000000004</v>
      </c>
      <c r="K56" s="522">
        <f t="shared" si="10"/>
        <v>413.39000000000004</v>
      </c>
      <c r="L56" s="522">
        <f t="shared" si="10"/>
        <v>413.39000000000004</v>
      </c>
      <c r="M56" s="522">
        <f t="shared" si="10"/>
        <v>413.39000000000004</v>
      </c>
      <c r="N56" s="522">
        <f t="shared" si="10"/>
        <v>413.39</v>
      </c>
      <c r="O56" s="522">
        <f t="shared" si="10"/>
        <v>413.39</v>
      </c>
      <c r="P56" s="522">
        <f t="shared" si="10"/>
        <v>413.39</v>
      </c>
      <c r="Q56" s="522">
        <f t="shared" si="10"/>
        <v>413.39</v>
      </c>
      <c r="R56" s="522">
        <f t="shared" si="10"/>
        <v>413.39</v>
      </c>
      <c r="S56" s="522">
        <f t="shared" si="10"/>
        <v>413.39</v>
      </c>
      <c r="T56" s="522">
        <f t="shared" si="10"/>
        <v>413.38000000000005</v>
      </c>
      <c r="U56" s="522">
        <f t="shared" si="10"/>
        <v>0</v>
      </c>
      <c r="V56" s="522">
        <f t="shared" si="10"/>
        <v>4960.7300000000005</v>
      </c>
      <c r="W56" s="97" t="str">
        <f>+IF(V56=SUM(H56:T56),"contrôle ok", "erreur")</f>
        <v>contrôle ok</v>
      </c>
    </row>
    <row r="57" spans="1:25" s="37" customFormat="1" ht="11.25" thickTop="1" x14ac:dyDescent="0.15">
      <c r="A57" s="93"/>
      <c r="B57" s="33"/>
      <c r="C57" s="34"/>
      <c r="D57" s="35"/>
      <c r="E57" s="36"/>
      <c r="F57" s="35"/>
      <c r="G57" s="100"/>
      <c r="H57" s="229"/>
      <c r="I57" s="229"/>
      <c r="J57" s="229"/>
      <c r="K57" s="229"/>
      <c r="L57" s="229"/>
      <c r="M57" s="229"/>
      <c r="N57" s="229"/>
      <c r="O57" s="229"/>
      <c r="P57" s="229"/>
      <c r="Q57" s="229"/>
      <c r="R57" s="229"/>
      <c r="S57" s="229"/>
      <c r="T57" s="229"/>
      <c r="U57" s="229"/>
      <c r="V57" s="283"/>
      <c r="W57" s="16"/>
      <c r="X57" s="16"/>
    </row>
    <row r="58" spans="1:25" s="56" customFormat="1" x14ac:dyDescent="0.15">
      <c r="A58" s="27" t="s">
        <v>92</v>
      </c>
      <c r="B58" s="28"/>
      <c r="C58" s="29"/>
      <c r="D58" s="30"/>
      <c r="E58" s="30"/>
      <c r="F58" s="31"/>
      <c r="G58" s="101"/>
      <c r="H58" s="224"/>
      <c r="I58" s="224"/>
      <c r="J58" s="251"/>
      <c r="K58" s="224"/>
      <c r="L58" s="224"/>
      <c r="M58" s="224"/>
      <c r="N58" s="224"/>
      <c r="O58" s="224"/>
      <c r="P58" s="224"/>
      <c r="Q58" s="224"/>
      <c r="R58" s="224"/>
      <c r="S58" s="224"/>
      <c r="T58" s="224"/>
      <c r="U58" s="224"/>
      <c r="V58" s="252"/>
      <c r="W58" s="16"/>
      <c r="X58" s="98"/>
    </row>
    <row r="59" spans="1:25" x14ac:dyDescent="0.15">
      <c r="A59" s="143" t="s">
        <v>193</v>
      </c>
      <c r="B59" s="143"/>
      <c r="C59" s="144"/>
      <c r="D59" s="145">
        <v>615170</v>
      </c>
      <c r="E59" s="145" t="s">
        <v>73</v>
      </c>
      <c r="F59" s="145" t="s">
        <v>192</v>
      </c>
      <c r="G59" s="165"/>
      <c r="H59" s="559"/>
      <c r="I59" s="226"/>
      <c r="J59" s="226">
        <v>239.85</v>
      </c>
      <c r="K59" s="226">
        <v>385</v>
      </c>
      <c r="L59" s="255"/>
      <c r="M59" s="226">
        <f>3095.24+1296.66</f>
        <v>4391.8999999999996</v>
      </c>
      <c r="N59" s="226"/>
      <c r="O59" s="226">
        <v>239.85</v>
      </c>
      <c r="P59" s="226"/>
      <c r="Q59" s="226">
        <v>1052.03</v>
      </c>
      <c r="R59" s="226"/>
      <c r="S59" s="226">
        <v>1020.55</v>
      </c>
      <c r="T59" s="226"/>
      <c r="U59" s="226"/>
      <c r="V59" s="255">
        <f>SUM(H59:T59)</f>
        <v>7329.18</v>
      </c>
      <c r="W59" s="6"/>
    </row>
    <row r="60" spans="1:25" s="98" customFormat="1" ht="11.25" thickBot="1" x14ac:dyDescent="0.2">
      <c r="A60" s="516" t="s">
        <v>11</v>
      </c>
      <c r="B60" s="517"/>
      <c r="C60" s="518"/>
      <c r="D60" s="519"/>
      <c r="E60" s="516"/>
      <c r="F60" s="520"/>
      <c r="G60" s="521"/>
      <c r="H60" s="522">
        <f>SUM(H59)</f>
        <v>0</v>
      </c>
      <c r="I60" s="522">
        <f>SUM(I59)</f>
        <v>0</v>
      </c>
      <c r="J60" s="522">
        <f>SUM(J59)</f>
        <v>239.85</v>
      </c>
      <c r="K60" s="522">
        <f>SUM(K59)</f>
        <v>385</v>
      </c>
      <c r="L60" s="522">
        <f>SUM(L59)</f>
        <v>0</v>
      </c>
      <c r="M60" s="522">
        <f t="shared" ref="M60:V60" si="11">SUM(M59)</f>
        <v>4391.8999999999996</v>
      </c>
      <c r="N60" s="522">
        <f t="shared" si="11"/>
        <v>0</v>
      </c>
      <c r="O60" s="522">
        <f t="shared" si="11"/>
        <v>239.85</v>
      </c>
      <c r="P60" s="522">
        <f t="shared" si="11"/>
        <v>0</v>
      </c>
      <c r="Q60" s="522">
        <f t="shared" si="11"/>
        <v>1052.03</v>
      </c>
      <c r="R60" s="522">
        <f t="shared" si="11"/>
        <v>0</v>
      </c>
      <c r="S60" s="522">
        <f t="shared" si="11"/>
        <v>1020.55</v>
      </c>
      <c r="T60" s="522">
        <f t="shared" si="11"/>
        <v>0</v>
      </c>
      <c r="U60" s="522">
        <f t="shared" si="11"/>
        <v>0</v>
      </c>
      <c r="V60" s="522">
        <f t="shared" si="11"/>
        <v>7329.18</v>
      </c>
      <c r="W60" s="97" t="str">
        <f>+IF(V60=SUM(H60:T60),"contrôle ok", "erreur")</f>
        <v>contrôle ok</v>
      </c>
    </row>
    <row r="61" spans="1:25" s="37" customFormat="1" ht="11.25" thickTop="1" x14ac:dyDescent="0.15">
      <c r="A61" s="54"/>
      <c r="B61" s="51"/>
      <c r="C61" s="52"/>
      <c r="D61" s="53"/>
      <c r="E61" s="54"/>
      <c r="F61" s="53"/>
      <c r="G61" s="108"/>
      <c r="H61" s="228"/>
      <c r="I61" s="228"/>
      <c r="J61" s="228"/>
      <c r="K61" s="228"/>
      <c r="L61" s="228"/>
      <c r="M61" s="228"/>
      <c r="N61" s="228"/>
      <c r="O61" s="228"/>
      <c r="P61" s="228"/>
      <c r="Q61" s="228"/>
      <c r="R61" s="228"/>
      <c r="S61" s="228"/>
      <c r="T61" s="228"/>
      <c r="U61" s="228"/>
      <c r="V61" s="228"/>
      <c r="W61" s="97"/>
      <c r="X61" s="16"/>
    </row>
    <row r="62" spans="1:25" s="37" customFormat="1" x14ac:dyDescent="0.15">
      <c r="A62" s="27" t="s">
        <v>328</v>
      </c>
      <c r="B62" s="28"/>
      <c r="C62" s="29"/>
      <c r="D62" s="30"/>
      <c r="E62" s="30"/>
      <c r="F62" s="31"/>
      <c r="G62" s="101"/>
      <c r="H62" s="224"/>
      <c r="I62" s="224"/>
      <c r="J62" s="251"/>
      <c r="K62" s="224"/>
      <c r="L62" s="224"/>
      <c r="M62" s="224"/>
      <c r="N62" s="224"/>
      <c r="O62" s="224"/>
      <c r="P62" s="224"/>
      <c r="Q62" s="224"/>
      <c r="R62" s="224"/>
      <c r="S62" s="224"/>
      <c r="T62" s="224"/>
      <c r="U62" s="224"/>
      <c r="V62" s="252"/>
      <c r="W62" s="16"/>
      <c r="X62" s="16"/>
    </row>
    <row r="63" spans="1:25" x14ac:dyDescent="0.15">
      <c r="A63" s="46" t="s">
        <v>452</v>
      </c>
      <c r="B63" s="484" t="s">
        <v>472</v>
      </c>
      <c r="C63" s="487" t="s">
        <v>521</v>
      </c>
      <c r="D63" s="179">
        <v>615175</v>
      </c>
      <c r="E63" s="488" t="s">
        <v>163</v>
      </c>
      <c r="F63" s="145" t="s">
        <v>179</v>
      </c>
      <c r="G63" s="169">
        <v>226.58</v>
      </c>
      <c r="H63" s="559"/>
      <c r="I63" s="226">
        <v>226.58</v>
      </c>
      <c r="J63" s="226">
        <v>226.58</v>
      </c>
      <c r="K63" s="226">
        <v>226.58</v>
      </c>
      <c r="L63" s="226">
        <v>226.58</v>
      </c>
      <c r="M63" s="226">
        <v>226.58</v>
      </c>
      <c r="N63" s="226">
        <v>226.58</v>
      </c>
      <c r="O63" s="226">
        <v>226.58</v>
      </c>
      <c r="P63" s="226">
        <v>226.58</v>
      </c>
      <c r="Q63" s="226">
        <v>226.58</v>
      </c>
      <c r="R63" s="226">
        <v>226.58</v>
      </c>
      <c r="S63" s="226">
        <v>226.58</v>
      </c>
      <c r="T63" s="226">
        <v>226.58</v>
      </c>
      <c r="U63" s="582"/>
      <c r="V63" s="255">
        <f t="shared" ref="V63:V70" si="12">SUM(H63:T63)</f>
        <v>2718.9599999999996</v>
      </c>
      <c r="W63" s="6"/>
    </row>
    <row r="64" spans="1:25" x14ac:dyDescent="0.15">
      <c r="A64" s="46" t="s">
        <v>452</v>
      </c>
      <c r="B64" s="484" t="s">
        <v>522</v>
      </c>
      <c r="C64" s="487" t="s">
        <v>521</v>
      </c>
      <c r="D64" s="179">
        <v>615175</v>
      </c>
      <c r="E64" s="488" t="s">
        <v>163</v>
      </c>
      <c r="F64" s="145" t="s">
        <v>179</v>
      </c>
      <c r="G64" s="169">
        <v>33.33</v>
      </c>
      <c r="H64" s="559"/>
      <c r="I64" s="226">
        <v>33.33</v>
      </c>
      <c r="J64" s="226">
        <v>33.33</v>
      </c>
      <c r="K64" s="226">
        <v>33.33</v>
      </c>
      <c r="L64" s="226">
        <v>33.33</v>
      </c>
      <c r="M64" s="226">
        <v>33.33</v>
      </c>
      <c r="N64" s="226">
        <v>33.33</v>
      </c>
      <c r="O64" s="226">
        <v>33.33</v>
      </c>
      <c r="P64" s="226">
        <v>33.33</v>
      </c>
      <c r="Q64" s="226">
        <v>33.33</v>
      </c>
      <c r="R64" s="226">
        <v>33.33</v>
      </c>
      <c r="S64" s="226">
        <v>33.33</v>
      </c>
      <c r="T64" s="226">
        <v>33.33</v>
      </c>
      <c r="U64" s="582"/>
      <c r="V64" s="255">
        <f t="shared" si="12"/>
        <v>399.95999999999987</v>
      </c>
      <c r="W64" s="6"/>
    </row>
    <row r="65" spans="1:24" x14ac:dyDescent="0.15">
      <c r="A65" s="179" t="s">
        <v>452</v>
      </c>
      <c r="B65" s="485" t="s">
        <v>459</v>
      </c>
      <c r="C65" s="486"/>
      <c r="D65" s="179">
        <v>615175</v>
      </c>
      <c r="E65" s="153" t="s">
        <v>163</v>
      </c>
      <c r="F65" s="151" t="s">
        <v>179</v>
      </c>
      <c r="G65" s="163">
        <v>146.77000000000001</v>
      </c>
      <c r="H65" s="559"/>
      <c r="I65" s="226">
        <v>146.77000000000001</v>
      </c>
      <c r="J65" s="226">
        <v>146.72999999999999</v>
      </c>
      <c r="K65" s="582">
        <v>150</v>
      </c>
      <c r="L65" s="582">
        <v>150</v>
      </c>
      <c r="M65" s="582">
        <v>150</v>
      </c>
      <c r="N65" s="582">
        <v>150</v>
      </c>
      <c r="O65" s="582">
        <v>150</v>
      </c>
      <c r="P65" s="582">
        <v>150</v>
      </c>
      <c r="Q65" s="582">
        <v>150</v>
      </c>
      <c r="R65" s="582">
        <v>150</v>
      </c>
      <c r="S65" s="582">
        <v>-1200</v>
      </c>
      <c r="T65" s="226"/>
      <c r="U65" s="582"/>
      <c r="V65" s="255">
        <f t="shared" si="12"/>
        <v>293.5</v>
      </c>
      <c r="W65" s="180"/>
    </row>
    <row r="66" spans="1:24" x14ac:dyDescent="0.15">
      <c r="A66" s="513" t="s">
        <v>452</v>
      </c>
      <c r="B66" s="484" t="s">
        <v>546</v>
      </c>
      <c r="C66" s="137" t="s">
        <v>552</v>
      </c>
      <c r="D66" s="153">
        <v>615175</v>
      </c>
      <c r="E66" s="153" t="s">
        <v>163</v>
      </c>
      <c r="F66" s="151" t="s">
        <v>179</v>
      </c>
      <c r="G66" s="163">
        <v>68.75</v>
      </c>
      <c r="H66" s="559"/>
      <c r="I66" s="226">
        <v>68.75</v>
      </c>
      <c r="J66" s="226">
        <v>68.75</v>
      </c>
      <c r="K66" s="226">
        <v>68.75</v>
      </c>
      <c r="L66" s="226">
        <v>68.75</v>
      </c>
      <c r="M66" s="226">
        <v>68.75</v>
      </c>
      <c r="N66" s="226">
        <v>68.75</v>
      </c>
      <c r="O66" s="226">
        <v>68.75</v>
      </c>
      <c r="P66" s="226">
        <v>68.75</v>
      </c>
      <c r="Q66" s="226">
        <v>68.75</v>
      </c>
      <c r="R66" s="226">
        <v>68.75</v>
      </c>
      <c r="S66" s="226">
        <v>68.75</v>
      </c>
      <c r="T66" s="226">
        <v>68.75</v>
      </c>
      <c r="U66" s="582"/>
      <c r="V66" s="255">
        <f t="shared" si="12"/>
        <v>825</v>
      </c>
      <c r="W66" s="180"/>
    </row>
    <row r="67" spans="1:24" x14ac:dyDescent="0.15">
      <c r="A67" s="179" t="s">
        <v>452</v>
      </c>
      <c r="B67" s="485" t="s">
        <v>459</v>
      </c>
      <c r="C67" s="486" t="s">
        <v>667</v>
      </c>
      <c r="D67" s="179">
        <v>615175</v>
      </c>
      <c r="E67" s="153" t="s">
        <v>163</v>
      </c>
      <c r="F67" s="151" t="s">
        <v>179</v>
      </c>
      <c r="G67" s="163">
        <v>51.75</v>
      </c>
      <c r="H67" s="559"/>
      <c r="I67" s="226">
        <v>51.75</v>
      </c>
      <c r="J67" s="226">
        <v>51.75</v>
      </c>
      <c r="K67" s="226">
        <v>51.75</v>
      </c>
      <c r="L67" s="226">
        <v>51.75</v>
      </c>
      <c r="M67" s="226">
        <v>51.75</v>
      </c>
      <c r="N67" s="226">
        <v>51.75</v>
      </c>
      <c r="O67" s="226">
        <v>51.75</v>
      </c>
      <c r="P67" s="226">
        <v>51.75</v>
      </c>
      <c r="Q67" s="226">
        <v>51.75</v>
      </c>
      <c r="R67" s="226">
        <v>51.75</v>
      </c>
      <c r="S67" s="226">
        <v>51.75</v>
      </c>
      <c r="T67" s="226">
        <v>51.75</v>
      </c>
      <c r="U67" s="582"/>
      <c r="V67" s="255">
        <f t="shared" si="12"/>
        <v>621</v>
      </c>
      <c r="W67" s="180"/>
    </row>
    <row r="68" spans="1:24" x14ac:dyDescent="0.15">
      <c r="A68" s="46" t="s">
        <v>452</v>
      </c>
      <c r="B68" s="484"/>
      <c r="C68" s="487"/>
      <c r="D68" s="179">
        <v>615175</v>
      </c>
      <c r="E68" s="488" t="s">
        <v>163</v>
      </c>
      <c r="F68" s="145" t="s">
        <v>179</v>
      </c>
      <c r="G68" s="165">
        <v>150</v>
      </c>
      <c r="H68" s="559"/>
      <c r="I68" s="582">
        <v>150</v>
      </c>
      <c r="J68" s="584">
        <v>150</v>
      </c>
      <c r="K68" s="582">
        <v>150</v>
      </c>
      <c r="L68" s="582">
        <v>150</v>
      </c>
      <c r="M68" s="582">
        <v>150</v>
      </c>
      <c r="N68" s="582">
        <v>150</v>
      </c>
      <c r="O68" s="582">
        <v>150</v>
      </c>
      <c r="P68" s="584">
        <v>150</v>
      </c>
      <c r="Q68" s="582">
        <v>150</v>
      </c>
      <c r="R68" s="584">
        <v>150</v>
      </c>
      <c r="S68" s="582">
        <v>-1500</v>
      </c>
      <c r="T68" s="226"/>
      <c r="U68" s="582"/>
      <c r="V68" s="255">
        <f t="shared" si="12"/>
        <v>0</v>
      </c>
      <c r="W68" s="6"/>
    </row>
    <row r="69" spans="1:24" x14ac:dyDescent="0.15">
      <c r="A69" s="491" t="s">
        <v>452</v>
      </c>
      <c r="B69" s="489"/>
      <c r="C69" s="490"/>
      <c r="D69" s="491">
        <v>615175</v>
      </c>
      <c r="E69" s="153" t="s">
        <v>163</v>
      </c>
      <c r="F69" s="151" t="s">
        <v>179</v>
      </c>
      <c r="G69" s="163">
        <v>13.75</v>
      </c>
      <c r="H69" s="559"/>
      <c r="I69" s="226">
        <v>13.75</v>
      </c>
      <c r="J69" s="226">
        <v>13.75</v>
      </c>
      <c r="K69" s="226">
        <v>13.75</v>
      </c>
      <c r="L69" s="226">
        <v>13.75</v>
      </c>
      <c r="M69" s="226">
        <v>13.75</v>
      </c>
      <c r="N69" s="226">
        <v>13.75</v>
      </c>
      <c r="O69" s="226">
        <v>13.75</v>
      </c>
      <c r="P69" s="226">
        <v>13.75</v>
      </c>
      <c r="Q69" s="226">
        <v>13.75</v>
      </c>
      <c r="R69" s="226">
        <v>13.75</v>
      </c>
      <c r="S69" s="226">
        <v>13.75</v>
      </c>
      <c r="T69" s="226">
        <v>13.75</v>
      </c>
      <c r="U69" s="582"/>
      <c r="V69" s="255">
        <f t="shared" si="12"/>
        <v>165</v>
      </c>
      <c r="W69" s="180"/>
    </row>
    <row r="70" spans="1:24" x14ac:dyDescent="0.15">
      <c r="A70" s="179"/>
      <c r="B70" s="485"/>
      <c r="C70" s="486"/>
      <c r="D70" s="491">
        <v>615175</v>
      </c>
      <c r="E70" s="153" t="s">
        <v>163</v>
      </c>
      <c r="F70" s="151" t="s">
        <v>192</v>
      </c>
      <c r="G70" s="164"/>
      <c r="H70" s="562">
        <v>-32</v>
      </c>
      <c r="I70" s="227"/>
      <c r="J70" s="227"/>
      <c r="K70" s="227"/>
      <c r="L70" s="227"/>
      <c r="M70" s="227"/>
      <c r="N70" s="227"/>
      <c r="O70" s="227"/>
      <c r="P70" s="227"/>
      <c r="Q70" s="227"/>
      <c r="R70" s="227"/>
      <c r="S70" s="227"/>
      <c r="T70" s="227"/>
      <c r="U70" s="649"/>
      <c r="V70" s="255">
        <f t="shared" si="12"/>
        <v>-32</v>
      </c>
      <c r="W70" s="180"/>
    </row>
    <row r="71" spans="1:24" ht="11.25" thickBot="1" x14ac:dyDescent="0.2">
      <c r="A71" s="516" t="s">
        <v>11</v>
      </c>
      <c r="B71" s="527"/>
      <c r="C71" s="533"/>
      <c r="D71" s="534"/>
      <c r="E71" s="516"/>
      <c r="F71" s="520"/>
      <c r="G71" s="521"/>
      <c r="H71" s="522">
        <f>SUM(H63:H70)</f>
        <v>-32</v>
      </c>
      <c r="I71" s="522">
        <f t="shared" ref="I71:V71" si="13">SUM(I63:I70)</f>
        <v>690.93000000000006</v>
      </c>
      <c r="J71" s="522">
        <f t="shared" si="13"/>
        <v>690.89</v>
      </c>
      <c r="K71" s="522">
        <f t="shared" si="13"/>
        <v>694.16000000000008</v>
      </c>
      <c r="L71" s="522">
        <f t="shared" si="13"/>
        <v>694.16000000000008</v>
      </c>
      <c r="M71" s="522">
        <f t="shared" si="13"/>
        <v>694.16000000000008</v>
      </c>
      <c r="N71" s="522">
        <f t="shared" si="13"/>
        <v>694.16000000000008</v>
      </c>
      <c r="O71" s="522">
        <f t="shared" si="13"/>
        <v>694.16000000000008</v>
      </c>
      <c r="P71" s="522">
        <f t="shared" si="13"/>
        <v>694.16000000000008</v>
      </c>
      <c r="Q71" s="522">
        <f t="shared" si="13"/>
        <v>694.16000000000008</v>
      </c>
      <c r="R71" s="522">
        <f t="shared" si="13"/>
        <v>694.16000000000008</v>
      </c>
      <c r="S71" s="522">
        <f t="shared" si="13"/>
        <v>-2305.84</v>
      </c>
      <c r="T71" s="522">
        <f t="shared" si="13"/>
        <v>394.16</v>
      </c>
      <c r="U71" s="522">
        <f t="shared" si="13"/>
        <v>0</v>
      </c>
      <c r="V71" s="522">
        <f t="shared" si="13"/>
        <v>4991.42</v>
      </c>
      <c r="W71" s="97" t="str">
        <f>+IF(V71=SUM(H71:T71),"contrôle ok", "erreur")</f>
        <v>contrôle ok</v>
      </c>
    </row>
    <row r="72" spans="1:24" s="37" customFormat="1" ht="11.25" thickTop="1" x14ac:dyDescent="0.15">
      <c r="A72" s="33"/>
      <c r="B72" s="33"/>
      <c r="C72" s="34"/>
      <c r="D72" s="35"/>
      <c r="E72" s="36"/>
      <c r="F72" s="35"/>
      <c r="G72" s="100"/>
      <c r="H72" s="229"/>
      <c r="I72" s="229"/>
      <c r="J72" s="229"/>
      <c r="K72" s="229"/>
      <c r="L72" s="229"/>
      <c r="M72" s="229"/>
      <c r="N72" s="257"/>
      <c r="O72" s="229"/>
      <c r="P72" s="229"/>
      <c r="Q72" s="229"/>
      <c r="R72" s="229"/>
      <c r="S72" s="229"/>
      <c r="T72" s="229"/>
      <c r="U72" s="229"/>
      <c r="V72" s="258"/>
      <c r="X72" s="16"/>
    </row>
    <row r="73" spans="1:24" s="37" customFormat="1" x14ac:dyDescent="0.15">
      <c r="A73" s="27" t="s">
        <v>265</v>
      </c>
      <c r="B73" s="28"/>
      <c r="C73" s="29"/>
      <c r="D73" s="30"/>
      <c r="E73" s="30"/>
      <c r="F73" s="31"/>
      <c r="G73" s="101"/>
      <c r="H73" s="224"/>
      <c r="I73" s="224"/>
      <c r="J73" s="251"/>
      <c r="K73" s="224"/>
      <c r="L73" s="224"/>
      <c r="M73" s="224"/>
      <c r="N73" s="224"/>
      <c r="O73" s="224"/>
      <c r="P73" s="224"/>
      <c r="Q73" s="224"/>
      <c r="R73" s="224"/>
      <c r="S73" s="224"/>
      <c r="T73" s="224"/>
      <c r="U73" s="224"/>
      <c r="V73" s="252"/>
      <c r="W73" s="16"/>
      <c r="X73" s="16"/>
    </row>
    <row r="74" spans="1:24" x14ac:dyDescent="0.15">
      <c r="A74" s="491" t="s">
        <v>452</v>
      </c>
      <c r="B74" s="143"/>
      <c r="C74" s="144"/>
      <c r="D74" s="145">
        <v>615176</v>
      </c>
      <c r="E74" s="145" t="s">
        <v>163</v>
      </c>
      <c r="F74" s="145" t="s">
        <v>192</v>
      </c>
      <c r="G74" s="165"/>
      <c r="H74" s="559"/>
      <c r="I74" s="226"/>
      <c r="J74" s="226"/>
      <c r="K74" s="226"/>
      <c r="L74" s="226">
        <v>484.84</v>
      </c>
      <c r="M74" s="226"/>
      <c r="N74" s="226"/>
      <c r="O74" s="226"/>
      <c r="P74" s="226"/>
      <c r="Q74" s="301"/>
      <c r="R74" s="226"/>
      <c r="S74" s="226"/>
      <c r="T74" s="226"/>
      <c r="U74" s="582"/>
      <c r="V74" s="255">
        <f>SUM(H74:T74)</f>
        <v>484.84</v>
      </c>
      <c r="W74" s="6"/>
    </row>
    <row r="75" spans="1:24" x14ac:dyDescent="0.15">
      <c r="A75" s="143" t="s">
        <v>178</v>
      </c>
      <c r="B75" s="143" t="s">
        <v>272</v>
      </c>
      <c r="C75" s="144"/>
      <c r="D75" s="145">
        <v>615176</v>
      </c>
      <c r="E75" s="145" t="s">
        <v>163</v>
      </c>
      <c r="F75" s="145" t="s">
        <v>192</v>
      </c>
      <c r="G75" s="165"/>
      <c r="H75" s="559"/>
      <c r="I75" s="226"/>
      <c r="J75" s="226"/>
      <c r="K75" s="226"/>
      <c r="L75" s="226">
        <v>455</v>
      </c>
      <c r="M75" s="226">
        <v>530.17999999999995</v>
      </c>
      <c r="N75" s="226"/>
      <c r="O75" s="226"/>
      <c r="P75" s="226"/>
      <c r="Q75" s="622">
        <v>399</v>
      </c>
      <c r="R75" s="226"/>
      <c r="S75" s="226">
        <f>1924+3622.42</f>
        <v>5546.42</v>
      </c>
      <c r="T75" s="226">
        <v>130</v>
      </c>
      <c r="U75" s="582"/>
      <c r="V75" s="255">
        <f>SUM(H75:T75)</f>
        <v>7060.6</v>
      </c>
      <c r="W75" s="6"/>
    </row>
    <row r="76" spans="1:24" ht="11.25" thickBot="1" x14ac:dyDescent="0.2">
      <c r="A76" s="516" t="s">
        <v>11</v>
      </c>
      <c r="B76" s="517"/>
      <c r="C76" s="518"/>
      <c r="D76" s="519"/>
      <c r="E76" s="516"/>
      <c r="F76" s="520"/>
      <c r="G76" s="521"/>
      <c r="H76" s="522">
        <f>SUM(H74:H75)</f>
        <v>0</v>
      </c>
      <c r="I76" s="522">
        <f t="shared" ref="I76:V76" si="14">SUM(I74:I75)</f>
        <v>0</v>
      </c>
      <c r="J76" s="522">
        <f t="shared" si="14"/>
        <v>0</v>
      </c>
      <c r="K76" s="522">
        <f t="shared" si="14"/>
        <v>0</v>
      </c>
      <c r="L76" s="522">
        <f t="shared" si="14"/>
        <v>939.83999999999992</v>
      </c>
      <c r="M76" s="522">
        <f t="shared" si="14"/>
        <v>530.17999999999995</v>
      </c>
      <c r="N76" s="522">
        <f t="shared" si="14"/>
        <v>0</v>
      </c>
      <c r="O76" s="522">
        <f t="shared" si="14"/>
        <v>0</v>
      </c>
      <c r="P76" s="522">
        <f t="shared" si="14"/>
        <v>0</v>
      </c>
      <c r="Q76" s="522">
        <f t="shared" si="14"/>
        <v>399</v>
      </c>
      <c r="R76" s="522">
        <f t="shared" si="14"/>
        <v>0</v>
      </c>
      <c r="S76" s="522">
        <f t="shared" si="14"/>
        <v>5546.42</v>
      </c>
      <c r="T76" s="522">
        <f t="shared" si="14"/>
        <v>130</v>
      </c>
      <c r="U76" s="522">
        <f t="shared" si="14"/>
        <v>0</v>
      </c>
      <c r="V76" s="522">
        <f t="shared" si="14"/>
        <v>7545.4400000000005</v>
      </c>
      <c r="W76" s="97" t="str">
        <f>+IF(V76=SUM(H76:T76),"contrôle ok", "erreur")</f>
        <v>contrôle ok</v>
      </c>
    </row>
    <row r="77" spans="1:24" s="37" customFormat="1" ht="11.25" thickTop="1" x14ac:dyDescent="0.15">
      <c r="A77" s="33"/>
      <c r="B77" s="33"/>
      <c r="C77" s="34"/>
      <c r="D77" s="35"/>
      <c r="E77" s="94"/>
      <c r="F77" s="35"/>
      <c r="G77" s="100"/>
      <c r="H77" s="229"/>
      <c r="I77" s="229"/>
      <c r="J77" s="229"/>
      <c r="K77" s="229"/>
      <c r="L77" s="229"/>
      <c r="M77" s="229"/>
      <c r="N77" s="257"/>
      <c r="O77" s="229"/>
      <c r="P77" s="229"/>
      <c r="Q77" s="229"/>
      <c r="R77" s="229"/>
      <c r="S77" s="229"/>
      <c r="T77" s="229"/>
      <c r="U77" s="229"/>
      <c r="V77" s="258"/>
      <c r="X77" s="16"/>
    </row>
    <row r="78" spans="1:24" s="37" customFormat="1" x14ac:dyDescent="0.15">
      <c r="A78" s="27" t="s">
        <v>873</v>
      </c>
      <c r="B78" s="28"/>
      <c r="C78" s="29"/>
      <c r="D78" s="30"/>
      <c r="E78" s="30"/>
      <c r="F78" s="31"/>
      <c r="G78" s="101"/>
      <c r="H78" s="224"/>
      <c r="I78" s="224"/>
      <c r="J78" s="251"/>
      <c r="K78" s="224"/>
      <c r="L78" s="224"/>
      <c r="M78" s="224"/>
      <c r="N78" s="224"/>
      <c r="O78" s="224"/>
      <c r="P78" s="224"/>
      <c r="Q78" s="224"/>
      <c r="R78" s="224"/>
      <c r="S78" s="224"/>
      <c r="T78" s="224"/>
      <c r="U78" s="224"/>
      <c r="V78" s="252"/>
      <c r="W78" s="16"/>
      <c r="X78" s="16"/>
    </row>
    <row r="79" spans="1:24" x14ac:dyDescent="0.15">
      <c r="A79" s="480" t="s">
        <v>305</v>
      </c>
      <c r="B79" s="143"/>
      <c r="C79" s="144"/>
      <c r="D79" s="145">
        <v>615180</v>
      </c>
      <c r="E79" s="145" t="s">
        <v>73</v>
      </c>
      <c r="F79" s="145" t="s">
        <v>268</v>
      </c>
      <c r="G79" s="165">
        <v>792.92</v>
      </c>
      <c r="H79" s="559"/>
      <c r="I79" s="226">
        <v>793</v>
      </c>
      <c r="J79" s="170">
        <v>793</v>
      </c>
      <c r="K79" s="226">
        <v>793</v>
      </c>
      <c r="L79" s="226">
        <v>793</v>
      </c>
      <c r="M79" s="226">
        <v>793</v>
      </c>
      <c r="N79" s="226">
        <v>793</v>
      </c>
      <c r="O79" s="226">
        <v>793</v>
      </c>
      <c r="P79" s="226">
        <v>793</v>
      </c>
      <c r="Q79" s="226">
        <v>793</v>
      </c>
      <c r="R79" s="226">
        <v>793</v>
      </c>
      <c r="S79" s="226">
        <v>793</v>
      </c>
      <c r="T79" s="226"/>
      <c r="U79" s="582"/>
      <c r="V79" s="255">
        <f>SUM(H79:T79)</f>
        <v>8723</v>
      </c>
      <c r="W79" s="6"/>
    </row>
    <row r="80" spans="1:24" ht="11.25" thickBot="1" x14ac:dyDescent="0.2">
      <c r="A80" s="516" t="s">
        <v>11</v>
      </c>
      <c r="B80" s="517"/>
      <c r="C80" s="518"/>
      <c r="D80" s="519"/>
      <c r="E80" s="516"/>
      <c r="F80" s="520"/>
      <c r="G80" s="521"/>
      <c r="H80" s="522">
        <f>SUM(H79:H79)</f>
        <v>0</v>
      </c>
      <c r="I80" s="522">
        <f t="shared" ref="I80:V80" si="15">SUM(I79:I79)</f>
        <v>793</v>
      </c>
      <c r="J80" s="522">
        <f t="shared" si="15"/>
        <v>793</v>
      </c>
      <c r="K80" s="522">
        <f t="shared" si="15"/>
        <v>793</v>
      </c>
      <c r="L80" s="522">
        <f t="shared" si="15"/>
        <v>793</v>
      </c>
      <c r="M80" s="522">
        <f t="shared" si="15"/>
        <v>793</v>
      </c>
      <c r="N80" s="522">
        <f t="shared" si="15"/>
        <v>793</v>
      </c>
      <c r="O80" s="522">
        <f t="shared" si="15"/>
        <v>793</v>
      </c>
      <c r="P80" s="522">
        <f t="shared" si="15"/>
        <v>793</v>
      </c>
      <c r="Q80" s="522">
        <f t="shared" si="15"/>
        <v>793</v>
      </c>
      <c r="R80" s="522">
        <f t="shared" si="15"/>
        <v>793</v>
      </c>
      <c r="S80" s="522">
        <f t="shared" si="15"/>
        <v>793</v>
      </c>
      <c r="T80" s="522">
        <f t="shared" si="15"/>
        <v>0</v>
      </c>
      <c r="U80" s="522">
        <f t="shared" si="15"/>
        <v>0</v>
      </c>
      <c r="V80" s="522">
        <f t="shared" si="15"/>
        <v>8723</v>
      </c>
      <c r="W80" s="97" t="str">
        <f>+IF(V80=SUM(H80:T80),"contrôle ok", "erreur")</f>
        <v>contrôle ok</v>
      </c>
    </row>
    <row r="81" spans="1:24" ht="11.25" thickTop="1" x14ac:dyDescent="0.15">
      <c r="A81" s="33"/>
      <c r="B81" s="33"/>
      <c r="C81" s="34"/>
      <c r="D81" s="35"/>
      <c r="E81" s="36"/>
      <c r="F81" s="35"/>
      <c r="G81" s="100"/>
      <c r="H81" s="229"/>
      <c r="I81" s="229"/>
      <c r="J81" s="229"/>
      <c r="K81" s="229"/>
      <c r="L81" s="229"/>
      <c r="M81" s="229"/>
      <c r="N81" s="257"/>
      <c r="O81" s="229"/>
      <c r="P81" s="229"/>
      <c r="Q81" s="229"/>
      <c r="R81" s="229"/>
      <c r="S81" s="229"/>
      <c r="T81" s="229"/>
      <c r="U81" s="229"/>
      <c r="V81" s="258"/>
      <c r="W81" s="37"/>
    </row>
    <row r="82" spans="1:24" x14ac:dyDescent="0.15">
      <c r="A82" s="27" t="s">
        <v>96</v>
      </c>
      <c r="B82" s="28"/>
      <c r="C82" s="29"/>
      <c r="D82" s="30"/>
      <c r="E82" s="30"/>
      <c r="F82" s="31"/>
      <c r="G82" s="101"/>
      <c r="H82" s="224"/>
      <c r="I82" s="224"/>
      <c r="J82" s="251"/>
      <c r="K82" s="224"/>
      <c r="L82" s="224"/>
      <c r="M82" s="224"/>
      <c r="N82" s="224"/>
      <c r="O82" s="224"/>
      <c r="P82" s="224"/>
      <c r="Q82" s="224"/>
      <c r="R82" s="224"/>
      <c r="S82" s="224"/>
      <c r="T82" s="224"/>
      <c r="U82" s="224"/>
      <c r="V82" s="252"/>
    </row>
    <row r="83" spans="1:24" x14ac:dyDescent="0.15">
      <c r="A83" s="143"/>
      <c r="B83" s="143"/>
      <c r="C83" s="144"/>
      <c r="D83" s="145">
        <v>615190</v>
      </c>
      <c r="E83" s="145" t="s">
        <v>73</v>
      </c>
      <c r="F83" s="145" t="s">
        <v>199</v>
      </c>
      <c r="G83" s="165"/>
      <c r="H83" s="559"/>
      <c r="I83" s="226"/>
      <c r="J83" s="226"/>
      <c r="K83" s="226"/>
      <c r="L83" s="261"/>
      <c r="M83" s="226"/>
      <c r="N83" s="226"/>
      <c r="O83" s="226"/>
      <c r="P83" s="226"/>
      <c r="Q83" s="226"/>
      <c r="R83" s="226"/>
      <c r="S83" s="226"/>
      <c r="T83" s="226"/>
      <c r="U83" s="582"/>
      <c r="V83" s="255">
        <f t="shared" ref="V83:V92" si="16">SUM(H83:T83)</f>
        <v>0</v>
      </c>
      <c r="W83" s="6"/>
    </row>
    <row r="84" spans="1:24" x14ac:dyDescent="0.15">
      <c r="A84" s="143"/>
      <c r="B84" s="143"/>
      <c r="C84" s="144"/>
      <c r="D84" s="145">
        <v>615190</v>
      </c>
      <c r="E84" s="145" t="s">
        <v>73</v>
      </c>
      <c r="F84" s="145" t="s">
        <v>185</v>
      </c>
      <c r="G84" s="165"/>
      <c r="H84" s="559"/>
      <c r="I84" s="226"/>
      <c r="J84" s="226"/>
      <c r="K84" s="226"/>
      <c r="L84" s="226"/>
      <c r="M84" s="226"/>
      <c r="N84" s="226"/>
      <c r="O84" s="226"/>
      <c r="P84" s="226"/>
      <c r="Q84" s="226"/>
      <c r="R84" s="226"/>
      <c r="S84" s="226"/>
      <c r="T84" s="226"/>
      <c r="U84" s="582"/>
      <c r="V84" s="255">
        <f t="shared" si="16"/>
        <v>0</v>
      </c>
      <c r="W84" s="6"/>
    </row>
    <row r="85" spans="1:24" ht="12.75" customHeight="1" x14ac:dyDescent="0.15">
      <c r="A85" s="143"/>
      <c r="B85" s="143"/>
      <c r="C85" s="144"/>
      <c r="D85" s="145">
        <v>615190</v>
      </c>
      <c r="E85" s="145" t="s">
        <v>73</v>
      </c>
      <c r="F85" s="145" t="s">
        <v>192</v>
      </c>
      <c r="G85" s="165"/>
      <c r="H85" s="559">
        <v>-385.25</v>
      </c>
      <c r="I85" s="226">
        <f>1118+1492</f>
        <v>2610</v>
      </c>
      <c r="J85" s="226"/>
      <c r="K85" s="226">
        <v>460</v>
      </c>
      <c r="L85" s="261">
        <f>480*2+298.5</f>
        <v>1258.5</v>
      </c>
      <c r="M85" s="226"/>
      <c r="N85" s="226">
        <v>597</v>
      </c>
      <c r="O85" s="296"/>
      <c r="P85" s="296"/>
      <c r="Q85" s="578">
        <v>920</v>
      </c>
      <c r="R85" s="226">
        <v>380</v>
      </c>
      <c r="S85" s="226">
        <f>45.42+617.63+556.56</f>
        <v>1219.6099999999999</v>
      </c>
      <c r="T85" s="226"/>
      <c r="U85" s="582"/>
      <c r="V85" s="255">
        <f t="shared" si="16"/>
        <v>7059.86</v>
      </c>
      <c r="W85" s="6"/>
    </row>
    <row r="86" spans="1:24" x14ac:dyDescent="0.15">
      <c r="A86" s="143"/>
      <c r="B86" s="143"/>
      <c r="C86" s="144"/>
      <c r="D86" s="145">
        <v>615190</v>
      </c>
      <c r="E86" s="145" t="s">
        <v>73</v>
      </c>
      <c r="F86" s="145" t="s">
        <v>200</v>
      </c>
      <c r="G86" s="165"/>
      <c r="H86" s="559"/>
      <c r="I86" s="226"/>
      <c r="J86" s="226"/>
      <c r="K86" s="226"/>
      <c r="L86" s="226"/>
      <c r="M86" s="226"/>
      <c r="N86" s="226"/>
      <c r="O86" s="226"/>
      <c r="P86" s="226"/>
      <c r="Q86" s="226"/>
      <c r="R86" s="226"/>
      <c r="S86" s="226"/>
      <c r="T86" s="226"/>
      <c r="U86" s="582"/>
      <c r="V86" s="255">
        <f t="shared" si="16"/>
        <v>0</v>
      </c>
      <c r="W86" s="6"/>
    </row>
    <row r="87" spans="1:24" x14ac:dyDescent="0.15">
      <c r="A87" s="143"/>
      <c r="B87" s="143"/>
      <c r="C87" s="144"/>
      <c r="D87" s="145">
        <v>615190</v>
      </c>
      <c r="E87" s="145" t="s">
        <v>73</v>
      </c>
      <c r="F87" s="145" t="s">
        <v>181</v>
      </c>
      <c r="G87" s="165"/>
      <c r="H87" s="559"/>
      <c r="I87" s="226"/>
      <c r="J87" s="226"/>
      <c r="K87" s="226"/>
      <c r="L87" s="226"/>
      <c r="M87" s="226"/>
      <c r="N87" s="226">
        <v>1028.58</v>
      </c>
      <c r="O87" s="226"/>
      <c r="P87" s="226"/>
      <c r="Q87" s="226"/>
      <c r="R87" s="226"/>
      <c r="S87" s="226"/>
      <c r="T87" s="226"/>
      <c r="U87" s="582"/>
      <c r="V87" s="255">
        <f t="shared" si="16"/>
        <v>1028.58</v>
      </c>
      <c r="W87" s="6"/>
    </row>
    <row r="88" spans="1:24" x14ac:dyDescent="0.15">
      <c r="A88" s="143" t="s">
        <v>565</v>
      </c>
      <c r="B88" s="143"/>
      <c r="C88" s="144"/>
      <c r="D88" s="145">
        <v>615190</v>
      </c>
      <c r="E88" s="145" t="s">
        <v>73</v>
      </c>
      <c r="F88" s="145" t="s">
        <v>196</v>
      </c>
      <c r="G88" s="165">
        <v>111.87</v>
      </c>
      <c r="H88" s="559"/>
      <c r="I88" s="226">
        <v>111.84</v>
      </c>
      <c r="J88" s="226">
        <v>111.84</v>
      </c>
      <c r="K88" s="226">
        <v>111.84</v>
      </c>
      <c r="L88" s="226">
        <v>111.84</v>
      </c>
      <c r="M88" s="226">
        <v>111.84</v>
      </c>
      <c r="N88" s="226">
        <v>111.84</v>
      </c>
      <c r="O88" s="226">
        <v>111.84</v>
      </c>
      <c r="P88" s="226">
        <v>111.84</v>
      </c>
      <c r="Q88" s="226">
        <v>111.84</v>
      </c>
      <c r="R88" s="226">
        <v>111.84</v>
      </c>
      <c r="S88" s="226">
        <v>111.73</v>
      </c>
      <c r="T88" s="226"/>
      <c r="U88" s="582"/>
      <c r="V88" s="255">
        <f t="shared" si="16"/>
        <v>1230.1300000000001</v>
      </c>
      <c r="W88" s="6"/>
    </row>
    <row r="89" spans="1:24" s="37" customFormat="1" x14ac:dyDescent="0.15">
      <c r="A89" s="143"/>
      <c r="B89" s="143"/>
      <c r="C89" s="144"/>
      <c r="D89" s="145">
        <v>615190</v>
      </c>
      <c r="E89" s="145" t="s">
        <v>73</v>
      </c>
      <c r="F89" s="145" t="s">
        <v>184</v>
      </c>
      <c r="G89" s="165"/>
      <c r="H89" s="559"/>
      <c r="I89" s="226"/>
      <c r="J89" s="226"/>
      <c r="K89" s="226"/>
      <c r="L89" s="226"/>
      <c r="M89" s="226"/>
      <c r="N89" s="226"/>
      <c r="O89" s="226"/>
      <c r="P89" s="226"/>
      <c r="Q89" s="226"/>
      <c r="R89" s="226"/>
      <c r="S89" s="226"/>
      <c r="T89" s="226"/>
      <c r="U89" s="582"/>
      <c r="V89" s="255">
        <f t="shared" si="16"/>
        <v>0</v>
      </c>
      <c r="W89" s="6"/>
      <c r="X89" s="16"/>
    </row>
    <row r="90" spans="1:24" s="37" customFormat="1" x14ac:dyDescent="0.15">
      <c r="A90" s="143"/>
      <c r="B90" s="143"/>
      <c r="C90" s="144"/>
      <c r="D90" s="145">
        <v>615190</v>
      </c>
      <c r="E90" s="145" t="s">
        <v>73</v>
      </c>
      <c r="F90" s="145" t="s">
        <v>198</v>
      </c>
      <c r="G90" s="165"/>
      <c r="H90" s="559"/>
      <c r="I90" s="226"/>
      <c r="J90" s="226"/>
      <c r="K90" s="226"/>
      <c r="L90" s="226"/>
      <c r="M90" s="226"/>
      <c r="N90" s="226"/>
      <c r="O90" s="226"/>
      <c r="P90" s="226"/>
      <c r="Q90" s="226"/>
      <c r="R90" s="226"/>
      <c r="S90" s="226"/>
      <c r="T90" s="226"/>
      <c r="U90" s="582"/>
      <c r="V90" s="255">
        <f t="shared" si="16"/>
        <v>0</v>
      </c>
      <c r="W90" s="6"/>
      <c r="X90" s="16"/>
    </row>
    <row r="91" spans="1:24" s="37" customFormat="1" x14ac:dyDescent="0.15">
      <c r="A91" s="143" t="s">
        <v>854</v>
      </c>
      <c r="B91" s="143"/>
      <c r="C91" s="144" t="s">
        <v>870</v>
      </c>
      <c r="D91" s="145">
        <v>615190</v>
      </c>
      <c r="E91" s="145" t="s">
        <v>73</v>
      </c>
      <c r="F91" s="145" t="s">
        <v>179</v>
      </c>
      <c r="G91" s="165">
        <v>11.83</v>
      </c>
      <c r="H91" s="559"/>
      <c r="I91" s="226"/>
      <c r="J91" s="226"/>
      <c r="K91" s="226"/>
      <c r="L91" s="226"/>
      <c r="M91" s="226"/>
      <c r="N91" s="226"/>
      <c r="O91" s="226"/>
      <c r="P91" s="226"/>
      <c r="Q91" s="226"/>
      <c r="R91" s="226"/>
      <c r="S91" s="226"/>
      <c r="T91" s="226">
        <v>111.83</v>
      </c>
      <c r="U91" s="582"/>
      <c r="V91" s="255"/>
      <c r="W91" s="6"/>
      <c r="X91" s="16"/>
    </row>
    <row r="92" spans="1:24" x14ac:dyDescent="0.15">
      <c r="A92" s="143" t="s">
        <v>104</v>
      </c>
      <c r="B92" s="143"/>
      <c r="C92" s="144"/>
      <c r="D92" s="145">
        <v>615190</v>
      </c>
      <c r="E92" s="145" t="s">
        <v>73</v>
      </c>
      <c r="F92" s="145" t="s">
        <v>197</v>
      </c>
      <c r="G92" s="165">
        <v>1460.78</v>
      </c>
      <c r="H92" s="559">
        <f>2685-2685</f>
        <v>0</v>
      </c>
      <c r="I92" s="226">
        <v>1460.8</v>
      </c>
      <c r="J92" s="226">
        <v>1460.8</v>
      </c>
      <c r="K92" s="226">
        <v>1460.78</v>
      </c>
      <c r="L92" s="226">
        <v>1460.78</v>
      </c>
      <c r="M92" s="226">
        <v>1460.78</v>
      </c>
      <c r="N92" s="226">
        <v>1460.78</v>
      </c>
      <c r="O92" s="226">
        <v>1460.78</v>
      </c>
      <c r="P92" s="226">
        <v>1460.78</v>
      </c>
      <c r="Q92" s="226">
        <v>1460.78</v>
      </c>
      <c r="R92" s="226">
        <v>1460.78</v>
      </c>
      <c r="S92" s="226">
        <v>1460.78</v>
      </c>
      <c r="T92" s="226">
        <v>1460.78</v>
      </c>
      <c r="U92" s="582"/>
      <c r="V92" s="255">
        <f t="shared" si="16"/>
        <v>17529.400000000001</v>
      </c>
      <c r="W92" s="6"/>
    </row>
    <row r="93" spans="1:24" ht="11.25" thickBot="1" x14ac:dyDescent="0.2">
      <c r="A93" s="516" t="s">
        <v>11</v>
      </c>
      <c r="B93" s="517"/>
      <c r="C93" s="518"/>
      <c r="D93" s="519"/>
      <c r="E93" s="516"/>
      <c r="F93" s="520"/>
      <c r="G93" s="521"/>
      <c r="H93" s="522">
        <f>SUM(H83:H92)</f>
        <v>-385.25</v>
      </c>
      <c r="I93" s="522">
        <f t="shared" ref="I93:V93" si="17">SUM(I83:I92)</f>
        <v>4182.6400000000003</v>
      </c>
      <c r="J93" s="522">
        <f t="shared" si="17"/>
        <v>1572.6399999999999</v>
      </c>
      <c r="K93" s="522">
        <f t="shared" si="17"/>
        <v>2032.62</v>
      </c>
      <c r="L93" s="522">
        <f>SUM(L83:L92)</f>
        <v>2831.12</v>
      </c>
      <c r="M93" s="522">
        <f>SUM(M83:M92)</f>
        <v>1572.62</v>
      </c>
      <c r="N93" s="522">
        <f t="shared" si="17"/>
        <v>3198.2</v>
      </c>
      <c r="O93" s="522">
        <f t="shared" si="17"/>
        <v>1572.62</v>
      </c>
      <c r="P93" s="522">
        <f t="shared" si="17"/>
        <v>1572.62</v>
      </c>
      <c r="Q93" s="522">
        <f t="shared" si="17"/>
        <v>2492.62</v>
      </c>
      <c r="R93" s="522">
        <f t="shared" si="17"/>
        <v>1952.62</v>
      </c>
      <c r="S93" s="522">
        <f t="shared" si="17"/>
        <v>2792.12</v>
      </c>
      <c r="T93" s="522">
        <f t="shared" si="17"/>
        <v>1572.61</v>
      </c>
      <c r="U93" s="522">
        <f t="shared" si="17"/>
        <v>0</v>
      </c>
      <c r="V93" s="522">
        <f t="shared" si="17"/>
        <v>26847.97</v>
      </c>
      <c r="W93" s="97" t="str">
        <f>+IF(V93=SUM(H93:T93),"contrôle ok", "erreur")</f>
        <v>erreur</v>
      </c>
    </row>
    <row r="94" spans="1:24" ht="11.25" thickTop="1" x14ac:dyDescent="0.15">
      <c r="A94" s="33"/>
      <c r="B94" s="33"/>
      <c r="C94" s="34"/>
      <c r="D94" s="35"/>
      <c r="E94" s="36"/>
      <c r="F94" s="35"/>
      <c r="G94" s="100"/>
      <c r="H94" s="229"/>
      <c r="I94" s="229"/>
      <c r="J94" s="229"/>
      <c r="K94" s="229"/>
      <c r="L94" s="229"/>
      <c r="M94" s="229"/>
      <c r="N94" s="257"/>
      <c r="O94" s="229"/>
      <c r="P94" s="229"/>
      <c r="Q94" s="229"/>
      <c r="R94" s="229"/>
      <c r="S94" s="229"/>
      <c r="T94" s="229"/>
      <c r="U94" s="229"/>
      <c r="V94" s="258"/>
      <c r="W94" s="37"/>
    </row>
    <row r="95" spans="1:24" x14ac:dyDescent="0.15">
      <c r="A95" s="27" t="s">
        <v>127</v>
      </c>
      <c r="B95" s="28"/>
      <c r="C95" s="29"/>
      <c r="D95" s="30"/>
      <c r="E95" s="30"/>
      <c r="F95" s="31"/>
      <c r="G95" s="101"/>
      <c r="H95" s="224"/>
      <c r="I95" s="224"/>
      <c r="J95" s="251"/>
      <c r="K95" s="224"/>
      <c r="L95" s="224"/>
      <c r="M95" s="224"/>
      <c r="N95" s="224"/>
      <c r="O95" s="224"/>
      <c r="P95" s="224"/>
      <c r="Q95" s="224"/>
      <c r="R95" s="224"/>
      <c r="S95" s="224"/>
      <c r="T95" s="224"/>
      <c r="U95" s="224"/>
      <c r="V95" s="252"/>
    </row>
    <row r="96" spans="1:24" x14ac:dyDescent="0.15">
      <c r="A96" s="143"/>
      <c r="B96" s="143"/>
      <c r="C96" s="144"/>
      <c r="D96" s="145">
        <v>615191</v>
      </c>
      <c r="E96" s="145" t="s">
        <v>73</v>
      </c>
      <c r="F96" s="145" t="s">
        <v>435</v>
      </c>
      <c r="G96" s="165"/>
      <c r="H96" s="559"/>
      <c r="I96" s="226"/>
      <c r="J96" s="226"/>
      <c r="K96" s="226" t="s">
        <v>10</v>
      </c>
      <c r="L96" s="226"/>
      <c r="M96" s="226"/>
      <c r="N96" s="226"/>
      <c r="O96" s="226"/>
      <c r="P96" s="226">
        <v>1932</v>
      </c>
      <c r="Q96" s="680"/>
      <c r="R96" s="681"/>
      <c r="S96" s="226"/>
      <c r="T96" s="226"/>
      <c r="U96" s="582"/>
      <c r="V96" s="255">
        <f>SUM(H96:T96)</f>
        <v>1932</v>
      </c>
      <c r="W96" s="6"/>
    </row>
    <row r="97" spans="1:24" x14ac:dyDescent="0.15">
      <c r="A97" s="143"/>
      <c r="B97" s="143"/>
      <c r="C97" s="144"/>
      <c r="D97" s="145">
        <v>615191</v>
      </c>
      <c r="E97" s="145" t="s">
        <v>73</v>
      </c>
      <c r="F97" s="145" t="s">
        <v>834</v>
      </c>
      <c r="G97" s="165"/>
      <c r="H97" s="559"/>
      <c r="I97" s="226"/>
      <c r="J97" s="226"/>
      <c r="K97" s="226"/>
      <c r="L97" s="226"/>
      <c r="M97" s="226"/>
      <c r="N97" s="226"/>
      <c r="O97" s="226"/>
      <c r="P97" s="226"/>
      <c r="Q97" s="578"/>
      <c r="R97" s="650"/>
      <c r="S97" s="226"/>
      <c r="T97" s="226">
        <v>724.47</v>
      </c>
      <c r="U97" s="582"/>
      <c r="V97" s="255"/>
      <c r="W97" s="6"/>
    </row>
    <row r="98" spans="1:24" x14ac:dyDescent="0.15">
      <c r="A98" s="143"/>
      <c r="B98" s="143"/>
      <c r="C98" s="144"/>
      <c r="D98" s="145">
        <v>615191</v>
      </c>
      <c r="E98" s="145" t="s">
        <v>73</v>
      </c>
      <c r="F98" s="145" t="s">
        <v>192</v>
      </c>
      <c r="G98" s="165"/>
      <c r="H98" s="559">
        <v>1560</v>
      </c>
      <c r="I98" s="226">
        <v>2676</v>
      </c>
      <c r="J98" s="226">
        <f>721+979</f>
        <v>1700</v>
      </c>
      <c r="K98" s="226">
        <v>210</v>
      </c>
      <c r="L98" s="226">
        <v>1095</v>
      </c>
      <c r="M98" s="226">
        <f>1467/2</f>
        <v>733.5</v>
      </c>
      <c r="N98" s="226">
        <f>1467/2</f>
        <v>733.5</v>
      </c>
      <c r="O98" s="226"/>
      <c r="P98" s="226">
        <v>140</v>
      </c>
      <c r="Q98" s="226"/>
      <c r="R98" s="226">
        <f>523+897+187.18</f>
        <v>1607.18</v>
      </c>
      <c r="S98" s="226">
        <f>385+181.14</f>
        <v>566.14</v>
      </c>
      <c r="T98" s="226"/>
      <c r="U98" s="582"/>
      <c r="V98" s="255">
        <f>SUM(H98:T98)</f>
        <v>11021.32</v>
      </c>
      <c r="W98" s="6"/>
    </row>
    <row r="99" spans="1:24" s="37" customFormat="1" x14ac:dyDescent="0.15">
      <c r="A99" s="143" t="s">
        <v>240</v>
      </c>
      <c r="B99" s="143"/>
      <c r="C99" s="144"/>
      <c r="D99" s="145">
        <v>615191</v>
      </c>
      <c r="E99" s="145" t="s">
        <v>73</v>
      </c>
      <c r="F99" s="145" t="s">
        <v>191</v>
      </c>
      <c r="G99" s="165"/>
      <c r="H99" s="559"/>
      <c r="I99" s="226"/>
      <c r="J99" s="226"/>
      <c r="K99" s="226"/>
      <c r="L99" s="226"/>
      <c r="M99" s="226">
        <v>300</v>
      </c>
      <c r="N99" s="226"/>
      <c r="O99" s="226"/>
      <c r="P99" s="226"/>
      <c r="Q99" s="226"/>
      <c r="R99" s="226"/>
      <c r="S99" s="226"/>
      <c r="T99" s="226">
        <v>774.08</v>
      </c>
      <c r="U99" s="582"/>
      <c r="V99" s="255">
        <f>SUM(H99:T99)</f>
        <v>1074.08</v>
      </c>
      <c r="W99" s="6"/>
      <c r="X99" s="16"/>
    </row>
    <row r="100" spans="1:24" x14ac:dyDescent="0.15">
      <c r="A100" s="143" t="s">
        <v>225</v>
      </c>
      <c r="B100" s="143" t="s">
        <v>144</v>
      </c>
      <c r="C100" s="144" t="s">
        <v>857</v>
      </c>
      <c r="D100" s="145">
        <v>615191</v>
      </c>
      <c r="E100" s="145" t="s">
        <v>73</v>
      </c>
      <c r="F100" s="145" t="s">
        <v>179</v>
      </c>
      <c r="G100" s="165">
        <v>70.09</v>
      </c>
      <c r="H100" s="559"/>
      <c r="I100" s="226">
        <v>70.09</v>
      </c>
      <c r="J100" s="226">
        <v>70.09</v>
      </c>
      <c r="K100" s="226">
        <v>70.09</v>
      </c>
      <c r="L100" s="226">
        <v>70.09</v>
      </c>
      <c r="M100" s="226">
        <v>70.09</v>
      </c>
      <c r="N100" s="226">
        <v>70.09</v>
      </c>
      <c r="O100" s="226">
        <v>70.09</v>
      </c>
      <c r="P100" s="226">
        <v>70.09</v>
      </c>
      <c r="Q100" s="226">
        <v>70.09</v>
      </c>
      <c r="R100" s="226">
        <v>70.09</v>
      </c>
      <c r="S100" s="226">
        <v>70.010000000000005</v>
      </c>
      <c r="T100" s="226">
        <v>70.92</v>
      </c>
      <c r="U100" s="582"/>
      <c r="V100" s="255">
        <f>SUM(H100:T100)</f>
        <v>841.83000000000015</v>
      </c>
      <c r="W100" s="6"/>
    </row>
    <row r="101" spans="1:24" ht="11.25" thickBot="1" x14ac:dyDescent="0.2">
      <c r="A101" s="516" t="s">
        <v>11</v>
      </c>
      <c r="B101" s="517"/>
      <c r="C101" s="518"/>
      <c r="D101" s="519"/>
      <c r="E101" s="516"/>
      <c r="F101" s="520"/>
      <c r="G101" s="521"/>
      <c r="H101" s="522">
        <f t="shared" ref="H101:V101" si="18">SUM(H96:H100)</f>
        <v>1560</v>
      </c>
      <c r="I101" s="522">
        <f t="shared" si="18"/>
        <v>2746.09</v>
      </c>
      <c r="J101" s="522">
        <f t="shared" si="18"/>
        <v>1770.09</v>
      </c>
      <c r="K101" s="522">
        <f t="shared" si="18"/>
        <v>280.09000000000003</v>
      </c>
      <c r="L101" s="522">
        <f t="shared" si="18"/>
        <v>1165.0899999999999</v>
      </c>
      <c r="M101" s="522">
        <f t="shared" si="18"/>
        <v>1103.5899999999999</v>
      </c>
      <c r="N101" s="522">
        <f t="shared" si="18"/>
        <v>803.59</v>
      </c>
      <c r="O101" s="522">
        <f t="shared" si="18"/>
        <v>70.09</v>
      </c>
      <c r="P101" s="522">
        <f t="shared" si="18"/>
        <v>2142.09</v>
      </c>
      <c r="Q101" s="522">
        <f t="shared" si="18"/>
        <v>70.09</v>
      </c>
      <c r="R101" s="522">
        <f t="shared" si="18"/>
        <v>1677.27</v>
      </c>
      <c r="S101" s="522">
        <f t="shared" si="18"/>
        <v>636.15</v>
      </c>
      <c r="T101" s="522">
        <f t="shared" si="18"/>
        <v>1569.4700000000003</v>
      </c>
      <c r="U101" s="522">
        <f t="shared" si="18"/>
        <v>0</v>
      </c>
      <c r="V101" s="522">
        <f t="shared" si="18"/>
        <v>14869.23</v>
      </c>
      <c r="W101" s="97" t="str">
        <f>+IF(V101=SUM(H101:T101),"contrôle ok", "erreur")</f>
        <v>erreur</v>
      </c>
    </row>
    <row r="102" spans="1:24" ht="11.25" thickTop="1" x14ac:dyDescent="0.15">
      <c r="A102" s="45"/>
      <c r="B102" s="46"/>
      <c r="C102" s="34"/>
      <c r="D102" s="44"/>
      <c r="E102" s="36"/>
      <c r="F102" s="35"/>
      <c r="G102" s="100"/>
      <c r="H102" s="229"/>
      <c r="I102" s="229"/>
      <c r="J102" s="229"/>
      <c r="K102" s="229"/>
      <c r="L102" s="229"/>
      <c r="M102" s="229"/>
      <c r="N102" s="229"/>
      <c r="O102" s="229"/>
      <c r="P102" s="229"/>
      <c r="Q102" s="229"/>
      <c r="R102" s="229"/>
      <c r="S102" s="229"/>
      <c r="T102" s="229"/>
      <c r="U102" s="229"/>
      <c r="V102" s="258"/>
    </row>
    <row r="103" spans="1:24" x14ac:dyDescent="0.15">
      <c r="A103" s="27" t="s">
        <v>93</v>
      </c>
      <c r="B103" s="28"/>
      <c r="C103" s="29"/>
      <c r="D103" s="30"/>
      <c r="E103" s="30"/>
      <c r="F103" s="31"/>
      <c r="G103" s="101"/>
      <c r="H103" s="224"/>
      <c r="I103" s="224"/>
      <c r="J103" s="251"/>
      <c r="K103" s="224"/>
      <c r="L103" s="224"/>
      <c r="M103" s="224"/>
      <c r="N103" s="224"/>
      <c r="O103" s="224"/>
      <c r="P103" s="224"/>
      <c r="Q103" s="224"/>
      <c r="R103" s="224"/>
      <c r="S103" s="224"/>
      <c r="T103" s="224"/>
      <c r="U103" s="224"/>
      <c r="V103" s="252"/>
    </row>
    <row r="104" spans="1:24" x14ac:dyDescent="0.15">
      <c r="A104" s="143" t="s">
        <v>99</v>
      </c>
      <c r="B104" s="143"/>
      <c r="C104" s="144"/>
      <c r="D104" s="145">
        <v>615193</v>
      </c>
      <c r="E104" s="145" t="s">
        <v>73</v>
      </c>
      <c r="F104" s="145" t="s">
        <v>189</v>
      </c>
      <c r="G104" s="165"/>
      <c r="H104" s="559">
        <v>132.05000000000001</v>
      </c>
      <c r="I104" s="226"/>
      <c r="J104" s="226"/>
      <c r="K104" s="226"/>
      <c r="L104" s="226">
        <v>137.63999999999999</v>
      </c>
      <c r="M104" s="226"/>
      <c r="N104" s="226">
        <v>137.63999999999999</v>
      </c>
      <c r="O104" s="226"/>
      <c r="P104" s="226"/>
      <c r="Q104" s="226">
        <v>137.63999999999999</v>
      </c>
      <c r="R104" s="143"/>
      <c r="S104" s="226"/>
      <c r="T104" s="226"/>
      <c r="U104" s="582"/>
      <c r="V104" s="255">
        <f t="shared" ref="V104:V110" si="19">SUM(H104:T104)</f>
        <v>544.97</v>
      </c>
      <c r="W104" s="6"/>
    </row>
    <row r="105" spans="1:24" x14ac:dyDescent="0.15">
      <c r="A105" s="143" t="s">
        <v>99</v>
      </c>
      <c r="B105" s="143"/>
      <c r="C105" s="144"/>
      <c r="D105" s="145">
        <v>615193</v>
      </c>
      <c r="E105" s="145" t="s">
        <v>73</v>
      </c>
      <c r="F105" s="145" t="s">
        <v>191</v>
      </c>
      <c r="G105" s="165"/>
      <c r="H105" s="559"/>
      <c r="I105" s="226"/>
      <c r="J105" s="226">
        <v>840.25</v>
      </c>
      <c r="K105" s="226">
        <v>482.99</v>
      </c>
      <c r="L105" s="226"/>
      <c r="M105" s="226"/>
      <c r="N105" s="226"/>
      <c r="O105" s="226"/>
      <c r="P105" s="226"/>
      <c r="Q105" s="226"/>
      <c r="R105" s="226"/>
      <c r="S105" s="226"/>
      <c r="T105" s="226"/>
      <c r="U105" s="582"/>
      <c r="V105" s="255">
        <f t="shared" si="19"/>
        <v>1323.24</v>
      </c>
      <c r="W105" s="6"/>
    </row>
    <row r="106" spans="1:24" x14ac:dyDescent="0.15">
      <c r="A106" s="143"/>
      <c r="B106" s="143"/>
      <c r="C106" s="144"/>
      <c r="D106" s="145">
        <v>615193</v>
      </c>
      <c r="E106" s="145" t="s">
        <v>73</v>
      </c>
      <c r="F106" s="145" t="s">
        <v>201</v>
      </c>
      <c r="G106" s="165"/>
      <c r="H106" s="559"/>
      <c r="I106" s="226"/>
      <c r="J106" s="226"/>
      <c r="K106" s="226"/>
      <c r="L106" s="226">
        <v>23.94</v>
      </c>
      <c r="M106" s="226"/>
      <c r="N106" s="226"/>
      <c r="O106" s="226"/>
      <c r="P106" s="226"/>
      <c r="Q106" s="226"/>
      <c r="R106" s="226"/>
      <c r="S106" s="143"/>
      <c r="T106" s="226"/>
      <c r="U106" s="582"/>
      <c r="V106" s="255">
        <f t="shared" si="19"/>
        <v>23.94</v>
      </c>
      <c r="W106" s="6"/>
    </row>
    <row r="107" spans="1:24" x14ac:dyDescent="0.15">
      <c r="A107" s="143"/>
      <c r="B107" s="143"/>
      <c r="C107" s="144"/>
      <c r="D107" s="145">
        <v>615193</v>
      </c>
      <c r="E107" s="145" t="s">
        <v>73</v>
      </c>
      <c r="F107" s="145" t="s">
        <v>184</v>
      </c>
      <c r="G107" s="165"/>
      <c r="H107" s="559"/>
      <c r="I107" s="226"/>
      <c r="J107" s="226"/>
      <c r="K107" s="226"/>
      <c r="L107" s="226">
        <v>502.37</v>
      </c>
      <c r="M107" s="226"/>
      <c r="N107" s="226"/>
      <c r="O107" s="226"/>
      <c r="P107" s="226"/>
      <c r="Q107" s="226"/>
      <c r="R107" s="226"/>
      <c r="S107" s="143"/>
      <c r="T107" s="226"/>
      <c r="U107" s="582"/>
      <c r="V107" s="255">
        <f t="shared" si="19"/>
        <v>502.37</v>
      </c>
      <c r="W107" s="6"/>
    </row>
    <row r="108" spans="1:24" s="37" customFormat="1" x14ac:dyDescent="0.15">
      <c r="A108" s="143"/>
      <c r="B108" s="143"/>
      <c r="C108" s="144"/>
      <c r="D108" s="145">
        <v>615193</v>
      </c>
      <c r="E108" s="145" t="s">
        <v>73</v>
      </c>
      <c r="F108" s="145" t="s">
        <v>179</v>
      </c>
      <c r="G108" s="165"/>
      <c r="H108" s="559"/>
      <c r="I108" s="226"/>
      <c r="J108" s="226"/>
      <c r="K108" s="226"/>
      <c r="L108" s="226">
        <v>430.58</v>
      </c>
      <c r="M108" s="226"/>
      <c r="N108" s="226"/>
      <c r="O108" s="226"/>
      <c r="P108" s="226"/>
      <c r="Q108" s="226"/>
      <c r="R108" s="226"/>
      <c r="S108" s="143"/>
      <c r="T108" s="226"/>
      <c r="U108" s="582"/>
      <c r="V108" s="255">
        <f t="shared" si="19"/>
        <v>430.58</v>
      </c>
      <c r="W108" s="6"/>
      <c r="X108" s="16"/>
    </row>
    <row r="109" spans="1:24" x14ac:dyDescent="0.15">
      <c r="A109" s="143"/>
      <c r="B109" s="143"/>
      <c r="C109" s="144"/>
      <c r="D109" s="145">
        <v>615193</v>
      </c>
      <c r="E109" s="145" t="s">
        <v>73</v>
      </c>
      <c r="F109" s="145" t="s">
        <v>243</v>
      </c>
      <c r="G109" s="165"/>
      <c r="H109" s="559"/>
      <c r="I109" s="226"/>
      <c r="J109" s="226"/>
      <c r="K109" s="226"/>
      <c r="L109" s="226">
        <v>813.36</v>
      </c>
      <c r="M109" s="226"/>
      <c r="N109" s="226"/>
      <c r="O109" s="226"/>
      <c r="P109" s="226"/>
      <c r="Q109" s="226"/>
      <c r="R109" s="143"/>
      <c r="S109" s="143"/>
      <c r="T109" s="226"/>
      <c r="U109" s="582"/>
      <c r="V109" s="255">
        <f t="shared" si="19"/>
        <v>813.36</v>
      </c>
      <c r="W109" s="6"/>
    </row>
    <row r="110" spans="1:24" x14ac:dyDescent="0.15">
      <c r="A110" s="143" t="s">
        <v>166</v>
      </c>
      <c r="B110" s="143"/>
      <c r="C110" s="144"/>
      <c r="D110" s="145">
        <v>615193</v>
      </c>
      <c r="E110" s="145" t="s">
        <v>73</v>
      </c>
      <c r="F110" s="145" t="s">
        <v>192</v>
      </c>
      <c r="G110" s="165"/>
      <c r="H110" s="559"/>
      <c r="I110" s="226"/>
      <c r="J110" s="226"/>
      <c r="K110" s="226"/>
      <c r="L110" s="226"/>
      <c r="M110" s="261">
        <f>588+1747.77</f>
        <v>2335.77</v>
      </c>
      <c r="N110" s="226"/>
      <c r="O110" s="98"/>
      <c r="P110" s="226"/>
      <c r="Q110" s="226">
        <f>1805.89+588+598</f>
        <v>2991.8900000000003</v>
      </c>
      <c r="R110" s="226"/>
      <c r="S110" s="143"/>
      <c r="T110" s="226"/>
      <c r="U110" s="582"/>
      <c r="V110" s="255">
        <f t="shared" si="19"/>
        <v>5327.66</v>
      </c>
      <c r="W110" s="6"/>
    </row>
    <row r="111" spans="1:24" ht="11.25" thickBot="1" x14ac:dyDescent="0.2">
      <c r="A111" s="516" t="s">
        <v>11</v>
      </c>
      <c r="B111" s="517"/>
      <c r="C111" s="518"/>
      <c r="D111" s="519"/>
      <c r="E111" s="516"/>
      <c r="F111" s="520"/>
      <c r="G111" s="521"/>
      <c r="H111" s="522">
        <f>SUM(H104:H110)</f>
        <v>132.05000000000001</v>
      </c>
      <c r="I111" s="522">
        <f>SUM(I104:I110)</f>
        <v>0</v>
      </c>
      <c r="J111" s="522">
        <f t="shared" ref="J111:U111" si="20">SUM(J104:J110)</f>
        <v>840.25</v>
      </c>
      <c r="K111" s="522">
        <f t="shared" si="20"/>
        <v>482.99</v>
      </c>
      <c r="L111" s="522">
        <f t="shared" si="20"/>
        <v>1907.8899999999999</v>
      </c>
      <c r="M111" s="522">
        <f t="shared" si="20"/>
        <v>2335.77</v>
      </c>
      <c r="N111" s="522">
        <f t="shared" ref="N111:S111" si="21">SUM(N104:N110)</f>
        <v>137.63999999999999</v>
      </c>
      <c r="O111" s="522">
        <f t="shared" si="21"/>
        <v>0</v>
      </c>
      <c r="P111" s="522">
        <f t="shared" si="21"/>
        <v>0</v>
      </c>
      <c r="Q111" s="522">
        <f t="shared" si="21"/>
        <v>3129.53</v>
      </c>
      <c r="R111" s="522">
        <f t="shared" si="21"/>
        <v>0</v>
      </c>
      <c r="S111" s="522">
        <f t="shared" si="21"/>
        <v>0</v>
      </c>
      <c r="T111" s="522">
        <f t="shared" si="20"/>
        <v>0</v>
      </c>
      <c r="U111" s="522">
        <f t="shared" si="20"/>
        <v>0</v>
      </c>
      <c r="V111" s="522">
        <f>SUM(V104:V110)</f>
        <v>8966.119999999999</v>
      </c>
      <c r="W111" s="97" t="str">
        <f>+IF(V111=SUM(H111:T111),"contrôle ok", "erreur")</f>
        <v>contrôle ok</v>
      </c>
    </row>
    <row r="112" spans="1:24" ht="11.25" thickTop="1" x14ac:dyDescent="0.15">
      <c r="A112" s="95"/>
      <c r="B112" s="33"/>
      <c r="C112" s="34"/>
      <c r="D112" s="35"/>
      <c r="E112" s="36"/>
      <c r="F112" s="35"/>
      <c r="G112" s="100"/>
      <c r="H112" s="229"/>
      <c r="I112" s="229"/>
      <c r="J112" s="229"/>
      <c r="K112" s="229"/>
      <c r="L112" s="229"/>
      <c r="M112" s="229"/>
      <c r="N112" s="229"/>
      <c r="O112" s="229"/>
      <c r="P112" s="229"/>
      <c r="Q112" s="229"/>
      <c r="R112" s="229"/>
      <c r="S112" s="229"/>
      <c r="T112" s="246"/>
      <c r="U112" s="246"/>
      <c r="V112" s="278"/>
    </row>
    <row r="113" spans="1:24" s="37" customFormat="1" x14ac:dyDescent="0.15">
      <c r="A113" s="27" t="s">
        <v>128</v>
      </c>
      <c r="B113" s="28"/>
      <c r="C113" s="29"/>
      <c r="D113" s="30"/>
      <c r="E113" s="30"/>
      <c r="F113" s="31"/>
      <c r="G113" s="101"/>
      <c r="H113" s="224"/>
      <c r="I113" s="224"/>
      <c r="J113" s="251"/>
      <c r="K113" s="224"/>
      <c r="L113" s="224"/>
      <c r="M113" s="224"/>
      <c r="N113" s="224"/>
      <c r="O113" s="224"/>
      <c r="P113" s="224"/>
      <c r="Q113" s="224"/>
      <c r="R113" s="224"/>
      <c r="S113" s="224"/>
      <c r="T113" s="224"/>
      <c r="U113" s="224"/>
      <c r="V113" s="252"/>
      <c r="W113" s="16"/>
      <c r="X113" s="16"/>
    </row>
    <row r="114" spans="1:24" s="37" customFormat="1" x14ac:dyDescent="0.15">
      <c r="A114" s="143"/>
      <c r="B114" s="143"/>
      <c r="C114" s="144"/>
      <c r="D114" s="145">
        <v>615194</v>
      </c>
      <c r="E114" s="145" t="s">
        <v>73</v>
      </c>
      <c r="F114" s="145" t="s">
        <v>192</v>
      </c>
      <c r="G114" s="165"/>
      <c r="H114" s="559"/>
      <c r="I114" s="226"/>
      <c r="J114" s="226"/>
      <c r="K114" s="226"/>
      <c r="L114" s="226"/>
      <c r="M114" s="226"/>
      <c r="N114" s="226"/>
      <c r="O114" s="226"/>
      <c r="P114" s="226"/>
      <c r="Q114" s="226"/>
      <c r="R114" s="226"/>
      <c r="S114" s="226"/>
      <c r="T114" s="226"/>
      <c r="U114" s="582"/>
      <c r="V114" s="255">
        <f>SUM(H114:T114)</f>
        <v>0</v>
      </c>
      <c r="W114" s="6"/>
      <c r="X114" s="16"/>
    </row>
    <row r="115" spans="1:24" x14ac:dyDescent="0.15">
      <c r="A115" s="143"/>
      <c r="B115" s="143"/>
      <c r="C115" s="144"/>
      <c r="D115" s="145">
        <v>615194</v>
      </c>
      <c r="E115" s="145" t="s">
        <v>73</v>
      </c>
      <c r="F115" s="145" t="s">
        <v>179</v>
      </c>
      <c r="G115" s="165"/>
      <c r="H115" s="559"/>
      <c r="I115" s="226"/>
      <c r="J115" s="226"/>
      <c r="K115" s="226"/>
      <c r="L115" s="226"/>
      <c r="M115" s="226"/>
      <c r="N115" s="226"/>
      <c r="O115" s="226"/>
      <c r="P115" s="226"/>
      <c r="Q115" s="226"/>
      <c r="R115" s="226"/>
      <c r="S115" s="226"/>
      <c r="T115" s="226"/>
      <c r="U115" s="582"/>
      <c r="V115" s="255">
        <f>SUM(H115:T115)</f>
        <v>0</v>
      </c>
      <c r="W115" s="6"/>
    </row>
    <row r="116" spans="1:24" ht="11.25" thickBot="1" x14ac:dyDescent="0.2">
      <c r="A116" s="516" t="s">
        <v>11</v>
      </c>
      <c r="B116" s="517"/>
      <c r="C116" s="518"/>
      <c r="D116" s="519"/>
      <c r="E116" s="516"/>
      <c r="F116" s="520"/>
      <c r="G116" s="521"/>
      <c r="H116" s="522">
        <f>SUM(H114:H115)</f>
        <v>0</v>
      </c>
      <c r="I116" s="522">
        <f t="shared" ref="I116:V116" si="22">SUM(I114:I115)</f>
        <v>0</v>
      </c>
      <c r="J116" s="522">
        <f t="shared" si="22"/>
        <v>0</v>
      </c>
      <c r="K116" s="522">
        <f t="shared" si="22"/>
        <v>0</v>
      </c>
      <c r="L116" s="522">
        <f t="shared" si="22"/>
        <v>0</v>
      </c>
      <c r="M116" s="522">
        <f t="shared" si="22"/>
        <v>0</v>
      </c>
      <c r="N116" s="522">
        <f t="shared" si="22"/>
        <v>0</v>
      </c>
      <c r="O116" s="522">
        <f t="shared" si="22"/>
        <v>0</v>
      </c>
      <c r="P116" s="522">
        <f t="shared" si="22"/>
        <v>0</v>
      </c>
      <c r="Q116" s="522">
        <f t="shared" si="22"/>
        <v>0</v>
      </c>
      <c r="R116" s="522">
        <f t="shared" si="22"/>
        <v>0</v>
      </c>
      <c r="S116" s="522">
        <f t="shared" si="22"/>
        <v>0</v>
      </c>
      <c r="T116" s="522">
        <f t="shared" si="22"/>
        <v>0</v>
      </c>
      <c r="U116" s="522">
        <f t="shared" si="22"/>
        <v>0</v>
      </c>
      <c r="V116" s="522">
        <f t="shared" si="22"/>
        <v>0</v>
      </c>
      <c r="W116" s="97" t="str">
        <f>+IF(V116=SUM(H116:T116),"contrôle ok", "erreur")</f>
        <v>contrôle ok</v>
      </c>
    </row>
    <row r="117" spans="1:24" ht="11.25" thickTop="1" x14ac:dyDescent="0.15">
      <c r="A117" s="33"/>
      <c r="B117" s="33"/>
      <c r="C117" s="34"/>
      <c r="D117" s="35"/>
      <c r="E117" s="36"/>
      <c r="F117" s="35"/>
      <c r="G117" s="100"/>
      <c r="H117" s="229"/>
      <c r="I117" s="229"/>
      <c r="J117" s="229"/>
      <c r="K117" s="229"/>
      <c r="L117" s="229"/>
      <c r="M117" s="229"/>
      <c r="N117" s="257"/>
      <c r="O117" s="229"/>
      <c r="P117" s="229"/>
      <c r="Q117" s="229"/>
      <c r="R117" s="229"/>
      <c r="S117" s="229"/>
      <c r="T117" s="229"/>
      <c r="U117" s="229"/>
      <c r="V117" s="258"/>
      <c r="W117" s="37"/>
    </row>
    <row r="118" spans="1:24" x14ac:dyDescent="0.15">
      <c r="A118" s="27" t="s">
        <v>89</v>
      </c>
      <c r="B118" s="28"/>
      <c r="C118" s="29"/>
      <c r="D118" s="30"/>
      <c r="E118" s="30"/>
      <c r="F118" s="31"/>
      <c r="G118" s="101"/>
      <c r="H118" s="224"/>
      <c r="I118" s="224"/>
      <c r="J118" s="251"/>
      <c r="K118" s="224"/>
      <c r="L118" s="224"/>
      <c r="M118" s="224"/>
      <c r="N118" s="224"/>
      <c r="O118" s="224"/>
      <c r="P118" s="224"/>
      <c r="Q118" s="224"/>
      <c r="R118" s="224"/>
      <c r="S118" s="224"/>
      <c r="T118" s="224"/>
      <c r="U118" s="224"/>
      <c r="V118" s="252"/>
    </row>
    <row r="119" spans="1:24" x14ac:dyDescent="0.15">
      <c r="A119" s="143"/>
      <c r="B119" s="143"/>
      <c r="C119" s="144"/>
      <c r="D119" s="145">
        <v>615195</v>
      </c>
      <c r="E119" s="145" t="s">
        <v>73</v>
      </c>
      <c r="F119" s="145" t="s">
        <v>214</v>
      </c>
      <c r="G119" s="165"/>
      <c r="H119" s="559"/>
      <c r="I119" s="226"/>
      <c r="J119" s="226"/>
      <c r="K119" s="226"/>
      <c r="L119" s="226"/>
      <c r="M119" s="226"/>
      <c r="N119" s="226"/>
      <c r="O119" s="226"/>
      <c r="P119" s="226"/>
      <c r="Q119" s="226"/>
      <c r="R119" s="226"/>
      <c r="S119" s="226"/>
      <c r="T119" s="226"/>
      <c r="U119" s="582"/>
      <c r="V119" s="255">
        <f t="shared" ref="V119:V126" si="23">SUM(H119:T119)</f>
        <v>0</v>
      </c>
      <c r="W119" s="6"/>
    </row>
    <row r="120" spans="1:24" x14ac:dyDescent="0.15">
      <c r="A120" s="143"/>
      <c r="B120" s="143"/>
      <c r="C120" s="144"/>
      <c r="D120" s="145">
        <v>615195</v>
      </c>
      <c r="E120" s="145" t="s">
        <v>73</v>
      </c>
      <c r="F120" s="145" t="s">
        <v>188</v>
      </c>
      <c r="G120" s="165"/>
      <c r="H120" s="559"/>
      <c r="I120" s="226"/>
      <c r="J120" s="226"/>
      <c r="K120" s="226"/>
      <c r="L120" s="226"/>
      <c r="M120" s="226"/>
      <c r="N120" s="226"/>
      <c r="O120" s="226"/>
      <c r="P120" s="226"/>
      <c r="Q120" s="226"/>
      <c r="R120" s="226"/>
      <c r="S120" s="226"/>
      <c r="T120" s="226"/>
      <c r="U120" s="582"/>
      <c r="V120" s="255">
        <f t="shared" si="23"/>
        <v>0</v>
      </c>
      <c r="W120" s="6"/>
    </row>
    <row r="121" spans="1:24" x14ac:dyDescent="0.15">
      <c r="A121" s="143"/>
      <c r="B121" s="143"/>
      <c r="C121" s="144"/>
      <c r="D121" s="145">
        <v>615195</v>
      </c>
      <c r="E121" s="145" t="s">
        <v>73</v>
      </c>
      <c r="F121" s="145" t="s">
        <v>185</v>
      </c>
      <c r="G121" s="165"/>
      <c r="H121" s="559"/>
      <c r="I121" s="226"/>
      <c r="J121" s="226"/>
      <c r="K121" s="226"/>
      <c r="L121" s="226"/>
      <c r="M121" s="226"/>
      <c r="N121" s="226"/>
      <c r="O121" s="226"/>
      <c r="P121" s="226">
        <v>958</v>
      </c>
      <c r="Q121" s="226">
        <f>2499+374</f>
        <v>2873</v>
      </c>
      <c r="S121" s="226">
        <f>827+565</f>
        <v>1392</v>
      </c>
      <c r="T121" s="226">
        <f>785+420</f>
        <v>1205</v>
      </c>
      <c r="U121" s="582"/>
      <c r="V121" s="255">
        <f>SUM(H121:T121)</f>
        <v>6428</v>
      </c>
      <c r="W121" s="6"/>
    </row>
    <row r="122" spans="1:24" x14ac:dyDescent="0.15">
      <c r="A122" s="143"/>
      <c r="B122" s="143"/>
      <c r="C122" s="144"/>
      <c r="D122" s="145">
        <v>615195</v>
      </c>
      <c r="E122" s="145" t="s">
        <v>73</v>
      </c>
      <c r="F122" s="145" t="s">
        <v>203</v>
      </c>
      <c r="G122" s="165"/>
      <c r="H122" s="559"/>
      <c r="I122" s="226"/>
      <c r="K122" s="226"/>
      <c r="L122" s="226"/>
      <c r="M122" s="226"/>
      <c r="N122" s="226"/>
      <c r="O122" s="226"/>
      <c r="P122" s="226"/>
      <c r="Q122" s="226"/>
      <c r="R122" s="226"/>
      <c r="S122" s="226"/>
      <c r="T122" s="226"/>
      <c r="U122" s="582"/>
      <c r="V122" s="255">
        <f t="shared" si="23"/>
        <v>0</v>
      </c>
      <c r="W122" s="6"/>
    </row>
    <row r="123" spans="1:24" s="37" customFormat="1" x14ac:dyDescent="0.15">
      <c r="A123" s="143"/>
      <c r="B123" s="143"/>
      <c r="C123" s="144"/>
      <c r="D123" s="145">
        <v>615195</v>
      </c>
      <c r="E123" s="145" t="s">
        <v>73</v>
      </c>
      <c r="F123" s="145" t="s">
        <v>192</v>
      </c>
      <c r="G123" s="165"/>
      <c r="H123" s="559">
        <f>2080-2080</f>
        <v>0</v>
      </c>
      <c r="I123" s="595"/>
      <c r="J123" s="594"/>
      <c r="K123" s="226">
        <f>180-180+3560+9155</f>
        <v>12715</v>
      </c>
      <c r="L123" s="226">
        <f>475+420+255+2321</f>
        <v>3471</v>
      </c>
      <c r="M123" s="226">
        <f>1537</f>
        <v>1537</v>
      </c>
      <c r="N123" s="226">
        <f>310+785+530+620+223</f>
        <v>2468</v>
      </c>
      <c r="O123" s="226">
        <f>870.68+140+198.64</f>
        <v>1209.32</v>
      </c>
      <c r="P123" s="226"/>
      <c r="Q123" s="323">
        <f>163.34+860+2960+5636+1150+6655-6655</f>
        <v>10769.34</v>
      </c>
      <c r="R123" s="226">
        <f>879.44+794.93+872+2850+455</f>
        <v>5851.37</v>
      </c>
      <c r="S123" s="226">
        <f>1611+1900+2950+491</f>
        <v>6952</v>
      </c>
      <c r="T123" s="226">
        <f>1140+337.96</f>
        <v>1477.96</v>
      </c>
      <c r="U123" s="582"/>
      <c r="V123" s="255">
        <f t="shared" si="23"/>
        <v>46450.99</v>
      </c>
      <c r="W123" s="6"/>
      <c r="X123" s="6"/>
    </row>
    <row r="124" spans="1:24" x14ac:dyDescent="0.15">
      <c r="A124" s="143"/>
      <c r="B124" s="143"/>
      <c r="C124" s="144"/>
      <c r="D124" s="145">
        <v>615195</v>
      </c>
      <c r="E124" s="145" t="s">
        <v>73</v>
      </c>
      <c r="F124" s="145" t="s">
        <v>187</v>
      </c>
      <c r="G124" s="165"/>
      <c r="H124" s="559"/>
      <c r="I124" s="226"/>
      <c r="J124" s="226"/>
      <c r="K124" s="226"/>
      <c r="L124" s="226"/>
      <c r="M124" s="226"/>
      <c r="N124" s="226"/>
      <c r="O124" s="226"/>
      <c r="P124" s="226"/>
      <c r="Q124" s="226"/>
      <c r="R124" s="226"/>
      <c r="S124" s="226"/>
      <c r="T124" s="226"/>
      <c r="U124" s="582"/>
      <c r="V124" s="255">
        <f t="shared" si="23"/>
        <v>0</v>
      </c>
      <c r="W124" s="6"/>
    </row>
    <row r="125" spans="1:24" x14ac:dyDescent="0.15">
      <c r="A125" s="143"/>
      <c r="B125" s="143"/>
      <c r="C125" s="144"/>
      <c r="D125" s="145">
        <v>615195</v>
      </c>
      <c r="E125" s="145" t="s">
        <v>73</v>
      </c>
      <c r="F125" s="145" t="s">
        <v>184</v>
      </c>
      <c r="G125" s="165"/>
      <c r="H125" s="559"/>
      <c r="I125" s="226"/>
      <c r="J125" s="226"/>
      <c r="K125" s="226"/>
      <c r="L125" s="226"/>
      <c r="M125" s="226"/>
      <c r="N125" s="226"/>
      <c r="O125" s="226"/>
      <c r="P125" s="226"/>
      <c r="Q125" s="226"/>
      <c r="R125" s="226"/>
      <c r="S125" s="226"/>
      <c r="T125" s="226"/>
      <c r="U125" s="582"/>
      <c r="V125" s="255">
        <f>SUM(H125:T125)</f>
        <v>0</v>
      </c>
      <c r="W125" s="6"/>
    </row>
    <row r="126" spans="1:24" x14ac:dyDescent="0.15">
      <c r="A126" s="143"/>
      <c r="B126" s="143"/>
      <c r="C126" s="144"/>
      <c r="D126" s="145">
        <v>615195</v>
      </c>
      <c r="E126" s="145" t="s">
        <v>73</v>
      </c>
      <c r="F126" s="145" t="s">
        <v>834</v>
      </c>
      <c r="G126" s="165"/>
      <c r="H126" s="559"/>
      <c r="I126" s="226"/>
      <c r="J126" s="226"/>
      <c r="K126" s="226"/>
      <c r="L126" s="226"/>
      <c r="M126" s="226"/>
      <c r="N126" s="226"/>
      <c r="O126" s="226"/>
      <c r="P126" s="226"/>
      <c r="Q126" s="226"/>
      <c r="R126" s="226">
        <v>612</v>
      </c>
      <c r="S126" s="226">
        <v>250</v>
      </c>
      <c r="T126" s="226"/>
      <c r="U126" s="582"/>
      <c r="V126" s="255">
        <f t="shared" si="23"/>
        <v>862</v>
      </c>
      <c r="W126" s="6"/>
    </row>
    <row r="127" spans="1:24" ht="11.25" thickBot="1" x14ac:dyDescent="0.2">
      <c r="A127" s="516" t="s">
        <v>11</v>
      </c>
      <c r="B127" s="517"/>
      <c r="C127" s="518"/>
      <c r="D127" s="519"/>
      <c r="E127" s="516"/>
      <c r="F127" s="520"/>
      <c r="G127" s="521"/>
      <c r="H127" s="522">
        <f t="shared" ref="H127:V127" si="24">SUM(H119:H126)</f>
        <v>0</v>
      </c>
      <c r="I127" s="522">
        <f t="shared" si="24"/>
        <v>0</v>
      </c>
      <c r="J127" s="522">
        <f t="shared" si="24"/>
        <v>0</v>
      </c>
      <c r="K127" s="522">
        <f t="shared" si="24"/>
        <v>12715</v>
      </c>
      <c r="L127" s="522">
        <f t="shared" si="24"/>
        <v>3471</v>
      </c>
      <c r="M127" s="522">
        <f t="shared" si="24"/>
        <v>1537</v>
      </c>
      <c r="N127" s="522">
        <f t="shared" si="24"/>
        <v>2468</v>
      </c>
      <c r="O127" s="522">
        <f t="shared" si="24"/>
        <v>1209.32</v>
      </c>
      <c r="P127" s="522">
        <f t="shared" si="24"/>
        <v>958</v>
      </c>
      <c r="Q127" s="522">
        <f t="shared" si="24"/>
        <v>13642.34</v>
      </c>
      <c r="R127" s="522">
        <f t="shared" si="24"/>
        <v>6463.37</v>
      </c>
      <c r="S127" s="522">
        <f t="shared" si="24"/>
        <v>8594</v>
      </c>
      <c r="T127" s="522">
        <f t="shared" si="24"/>
        <v>2682.96</v>
      </c>
      <c r="U127" s="522">
        <f t="shared" si="24"/>
        <v>0</v>
      </c>
      <c r="V127" s="522">
        <f t="shared" si="24"/>
        <v>53740.99</v>
      </c>
      <c r="W127" s="97" t="str">
        <f>+IF(V127=SUM(H127:T127),"contrôle ok", "erreur")</f>
        <v>contrôle ok</v>
      </c>
    </row>
    <row r="128" spans="1:24" ht="11.25" thickTop="1" x14ac:dyDescent="0.15">
      <c r="A128" s="43"/>
      <c r="B128" s="33"/>
      <c r="C128" s="34"/>
      <c r="D128" s="35"/>
      <c r="E128" s="36"/>
      <c r="F128" s="35"/>
      <c r="G128" s="100"/>
      <c r="H128" s="229"/>
      <c r="I128" s="229"/>
      <c r="J128" s="229"/>
      <c r="K128" s="229"/>
      <c r="L128" s="229"/>
      <c r="M128" s="229"/>
      <c r="N128" s="229"/>
      <c r="O128" s="229"/>
      <c r="P128" s="228"/>
      <c r="Q128" s="228"/>
      <c r="R128" s="229"/>
      <c r="S128" s="229"/>
      <c r="T128" s="229"/>
      <c r="U128" s="229"/>
      <c r="V128" s="258"/>
    </row>
    <row r="129" spans="1:24" x14ac:dyDescent="0.15">
      <c r="A129" s="27" t="s">
        <v>150</v>
      </c>
      <c r="B129" s="28"/>
      <c r="C129" s="29"/>
      <c r="D129" s="30"/>
      <c r="E129" s="30"/>
      <c r="F129" s="31"/>
      <c r="G129" s="101"/>
      <c r="H129" s="224"/>
      <c r="I129" s="224"/>
      <c r="J129" s="251"/>
      <c r="K129" s="224"/>
      <c r="L129" s="224"/>
      <c r="M129" s="224"/>
      <c r="N129" s="224"/>
      <c r="O129" s="224"/>
      <c r="P129" s="224"/>
      <c r="Q129" s="224"/>
      <c r="R129" s="224"/>
      <c r="S129" s="224"/>
      <c r="T129" s="224"/>
      <c r="U129" s="224"/>
      <c r="V129" s="252"/>
    </row>
    <row r="130" spans="1:24" s="37" customFormat="1" x14ac:dyDescent="0.15">
      <c r="A130" s="143"/>
      <c r="B130" s="143"/>
      <c r="C130" s="144"/>
      <c r="D130" s="145">
        <v>615196</v>
      </c>
      <c r="E130" s="145" t="s">
        <v>73</v>
      </c>
      <c r="F130" s="145" t="s">
        <v>192</v>
      </c>
      <c r="G130" s="165"/>
      <c r="H130" s="559"/>
      <c r="I130" s="226"/>
      <c r="J130" s="226"/>
      <c r="K130" s="226"/>
      <c r="L130" s="226"/>
      <c r="M130" s="226"/>
      <c r="N130" s="226"/>
      <c r="O130" s="226"/>
      <c r="P130" s="226"/>
      <c r="Q130" s="226">
        <v>1274.69</v>
      </c>
      <c r="R130" s="226">
        <v>112.34</v>
      </c>
      <c r="S130" s="323"/>
      <c r="T130" s="226"/>
      <c r="U130" s="582"/>
      <c r="V130" s="255">
        <f>SUM(H130:T130)</f>
        <v>1387.03</v>
      </c>
      <c r="W130" s="6"/>
      <c r="X130" s="16"/>
    </row>
    <row r="131" spans="1:24" x14ac:dyDescent="0.15">
      <c r="A131" s="143"/>
      <c r="B131" s="143"/>
      <c r="C131" s="144"/>
      <c r="D131" s="145">
        <v>615196</v>
      </c>
      <c r="E131" s="145" t="s">
        <v>73</v>
      </c>
      <c r="F131" s="145" t="s">
        <v>183</v>
      </c>
      <c r="G131" s="165"/>
      <c r="H131" s="559"/>
      <c r="I131" s="226"/>
      <c r="J131" s="226">
        <v>248.94</v>
      </c>
      <c r="K131" s="226"/>
      <c r="L131" s="226"/>
      <c r="M131" s="226"/>
      <c r="N131" s="226"/>
      <c r="O131" s="226"/>
      <c r="P131" s="226"/>
      <c r="Q131" s="226"/>
      <c r="R131" s="226"/>
      <c r="S131" s="323"/>
      <c r="T131" s="226"/>
      <c r="U131" s="582"/>
      <c r="V131" s="255">
        <f>SUM(H131:T131)</f>
        <v>248.94</v>
      </c>
      <c r="W131" s="6"/>
    </row>
    <row r="132" spans="1:24" x14ac:dyDescent="0.15">
      <c r="A132" s="143" t="s">
        <v>587</v>
      </c>
      <c r="B132" s="143" t="s">
        <v>589</v>
      </c>
      <c r="C132" s="144">
        <v>2017</v>
      </c>
      <c r="D132" s="145">
        <v>615196</v>
      </c>
      <c r="E132" s="145" t="s">
        <v>73</v>
      </c>
      <c r="F132" s="145" t="s">
        <v>182</v>
      </c>
      <c r="G132" s="165">
        <v>510.14</v>
      </c>
      <c r="H132" s="559"/>
      <c r="I132" s="226">
        <v>510.11</v>
      </c>
      <c r="J132" s="226">
        <v>510.14</v>
      </c>
      <c r="K132" s="226">
        <v>510.14</v>
      </c>
      <c r="L132" s="226">
        <v>510.15</v>
      </c>
      <c r="M132" s="226">
        <v>510.15</v>
      </c>
      <c r="N132" s="226">
        <v>510.15</v>
      </c>
      <c r="O132" s="226">
        <v>510.15</v>
      </c>
      <c r="P132" s="226">
        <v>510.15</v>
      </c>
      <c r="Q132" s="226">
        <v>510.15</v>
      </c>
      <c r="R132" s="226">
        <v>510.15</v>
      </c>
      <c r="S132" s="226">
        <v>510.15</v>
      </c>
      <c r="T132" s="226">
        <v>510.06</v>
      </c>
      <c r="U132" s="582"/>
      <c r="V132" s="255">
        <f>SUM(H132:T132)</f>
        <v>6121.65</v>
      </c>
      <c r="W132" s="6"/>
    </row>
    <row r="133" spans="1:24" ht="11.25" thickBot="1" x14ac:dyDescent="0.2">
      <c r="A133" s="516" t="s">
        <v>11</v>
      </c>
      <c r="B133" s="517"/>
      <c r="C133" s="518"/>
      <c r="D133" s="519"/>
      <c r="E133" s="516"/>
      <c r="F133" s="520"/>
      <c r="G133" s="521"/>
      <c r="H133" s="522">
        <f>SUM(H130:H132)</f>
        <v>0</v>
      </c>
      <c r="I133" s="522">
        <f t="shared" ref="I133:V133" si="25">SUM(I130:I132)</f>
        <v>510.11</v>
      </c>
      <c r="J133" s="522">
        <f t="shared" si="25"/>
        <v>759.07999999999993</v>
      </c>
      <c r="K133" s="522">
        <f t="shared" si="25"/>
        <v>510.14</v>
      </c>
      <c r="L133" s="522">
        <f t="shared" si="25"/>
        <v>510.15</v>
      </c>
      <c r="M133" s="522">
        <f t="shared" si="25"/>
        <v>510.15</v>
      </c>
      <c r="N133" s="522">
        <f t="shared" si="25"/>
        <v>510.15</v>
      </c>
      <c r="O133" s="522">
        <f t="shared" si="25"/>
        <v>510.15</v>
      </c>
      <c r="P133" s="522">
        <f t="shared" si="25"/>
        <v>510.15</v>
      </c>
      <c r="Q133" s="522">
        <f t="shared" si="25"/>
        <v>1784.8400000000001</v>
      </c>
      <c r="R133" s="522">
        <f t="shared" si="25"/>
        <v>622.49</v>
      </c>
      <c r="S133" s="522">
        <f>SUM(S130:S132)</f>
        <v>510.15</v>
      </c>
      <c r="T133" s="522">
        <f t="shared" si="25"/>
        <v>510.06</v>
      </c>
      <c r="U133" s="522">
        <f t="shared" si="25"/>
        <v>0</v>
      </c>
      <c r="V133" s="522">
        <f t="shared" si="25"/>
        <v>7757.62</v>
      </c>
      <c r="W133" s="97" t="str">
        <f>+IF(V133=SUM(H133:T133),"contrôle ok", "erreur")</f>
        <v>contrôle ok</v>
      </c>
    </row>
    <row r="134" spans="1:24" ht="11.25" thickTop="1" x14ac:dyDescent="0.15">
      <c r="A134" s="43"/>
      <c r="B134" s="33"/>
      <c r="C134" s="34"/>
      <c r="D134" s="35"/>
      <c r="E134" s="36"/>
      <c r="F134" s="35"/>
      <c r="G134" s="100"/>
      <c r="H134" s="229"/>
      <c r="I134" s="229"/>
      <c r="J134" s="229"/>
      <c r="K134" s="229"/>
      <c r="L134" s="229"/>
      <c r="M134" s="229"/>
      <c r="N134" s="229"/>
      <c r="O134" s="229"/>
      <c r="P134" s="229"/>
      <c r="Q134" s="229"/>
      <c r="R134" s="229"/>
      <c r="S134" s="229"/>
      <c r="T134" s="229"/>
      <c r="U134" s="229"/>
      <c r="V134" s="255">
        <f>SUM(H134:T134)</f>
        <v>0</v>
      </c>
    </row>
    <row r="135" spans="1:24" s="37" customFormat="1" x14ac:dyDescent="0.15">
      <c r="A135" s="27" t="s">
        <v>9</v>
      </c>
      <c r="B135" s="28"/>
      <c r="C135" s="29"/>
      <c r="D135" s="30"/>
      <c r="E135" s="30"/>
      <c r="F135" s="31"/>
      <c r="G135" s="101"/>
      <c r="H135" s="224"/>
      <c r="I135" s="224"/>
      <c r="J135" s="251"/>
      <c r="K135" s="224"/>
      <c r="L135" s="224"/>
      <c r="M135" s="224"/>
      <c r="N135" s="224"/>
      <c r="O135" s="224"/>
      <c r="P135" s="224"/>
      <c r="Q135" s="224"/>
      <c r="R135" s="224"/>
      <c r="S135" s="224"/>
      <c r="T135" s="224"/>
      <c r="U135" s="224"/>
      <c r="V135" s="252"/>
      <c r="W135" s="16"/>
      <c r="X135" s="16"/>
    </row>
    <row r="136" spans="1:24" s="37" customFormat="1" x14ac:dyDescent="0.15">
      <c r="A136" s="143"/>
      <c r="B136" s="143"/>
      <c r="C136" s="144"/>
      <c r="D136" s="145">
        <v>615200</v>
      </c>
      <c r="E136" s="145" t="s">
        <v>74</v>
      </c>
      <c r="F136" s="145" t="s">
        <v>192</v>
      </c>
      <c r="G136" s="165"/>
      <c r="H136" s="559"/>
      <c r="I136" s="226"/>
      <c r="J136" s="226"/>
      <c r="K136" s="226"/>
      <c r="L136" s="226"/>
      <c r="M136" s="226"/>
      <c r="N136" s="226"/>
      <c r="O136" s="226"/>
      <c r="P136" s="226"/>
      <c r="Q136" s="226"/>
      <c r="R136" s="226"/>
      <c r="S136" s="226"/>
      <c r="T136" s="226"/>
      <c r="U136" s="582"/>
      <c r="V136" s="255">
        <f>SUM(H136:T136)</f>
        <v>0</v>
      </c>
      <c r="W136" s="6"/>
      <c r="X136" s="16"/>
    </row>
    <row r="137" spans="1:24" s="37" customFormat="1" x14ac:dyDescent="0.15">
      <c r="A137" s="570" t="s">
        <v>399</v>
      </c>
      <c r="B137" s="143"/>
      <c r="C137" s="144"/>
      <c r="D137" s="145">
        <v>615200</v>
      </c>
      <c r="E137" s="145" t="s">
        <v>74</v>
      </c>
      <c r="F137" s="145" t="s">
        <v>179</v>
      </c>
      <c r="G137" s="165">
        <v>1530</v>
      </c>
      <c r="H137" s="559">
        <f>1530-1703.4</f>
        <v>-173.40000000000009</v>
      </c>
      <c r="I137" s="226">
        <f>1530-353.3</f>
        <v>1176.7</v>
      </c>
      <c r="J137" s="226">
        <v>1703.4</v>
      </c>
      <c r="K137" s="226">
        <v>1530</v>
      </c>
      <c r="L137" s="226"/>
      <c r="M137" s="226"/>
      <c r="N137" s="226"/>
      <c r="O137" s="226"/>
      <c r="P137" s="226"/>
      <c r="Q137" s="226">
        <v>-530.01</v>
      </c>
      <c r="R137" s="226"/>
      <c r="S137" s="226"/>
      <c r="T137" s="226"/>
      <c r="U137" s="582"/>
      <c r="V137" s="255">
        <f>SUM(H137:T137)</f>
        <v>3706.6899999999996</v>
      </c>
      <c r="W137" s="6"/>
      <c r="X137" s="16"/>
    </row>
    <row r="138" spans="1:24" s="37" customFormat="1" x14ac:dyDescent="0.15">
      <c r="A138" s="143" t="s">
        <v>105</v>
      </c>
      <c r="B138" s="143"/>
      <c r="C138" s="144"/>
      <c r="D138" s="145">
        <v>615200</v>
      </c>
      <c r="E138" s="145" t="s">
        <v>74</v>
      </c>
      <c r="F138" s="145" t="s">
        <v>179</v>
      </c>
      <c r="G138" s="165"/>
      <c r="H138" s="559"/>
      <c r="I138" s="226"/>
      <c r="J138" s="326">
        <v>1480</v>
      </c>
      <c r="K138" s="300">
        <v>1480</v>
      </c>
      <c r="L138" s="226">
        <f>3200+1700-1665-3200</f>
        <v>35</v>
      </c>
      <c r="M138" s="226">
        <v>1700</v>
      </c>
      <c r="N138" s="226">
        <v>1700</v>
      </c>
      <c r="O138" s="226">
        <v>1700</v>
      </c>
      <c r="P138" s="226">
        <v>2124</v>
      </c>
      <c r="Q138" s="226">
        <v>2124</v>
      </c>
      <c r="R138" s="226">
        <v>2124</v>
      </c>
      <c r="S138" s="226">
        <v>2124</v>
      </c>
      <c r="T138" s="226"/>
      <c r="U138" s="582"/>
      <c r="V138" s="255">
        <f>SUM(H138:T138)</f>
        <v>16591</v>
      </c>
      <c r="W138" s="6"/>
      <c r="X138" s="16"/>
    </row>
    <row r="139" spans="1:24" ht="11.25" thickBot="1" x14ac:dyDescent="0.2">
      <c r="A139" s="516" t="s">
        <v>11</v>
      </c>
      <c r="B139" s="517"/>
      <c r="C139" s="518"/>
      <c r="D139" s="519"/>
      <c r="E139" s="516"/>
      <c r="F139" s="520"/>
      <c r="G139" s="521"/>
      <c r="H139" s="522">
        <f>SUM(H136:H137)</f>
        <v>-173.40000000000009</v>
      </c>
      <c r="I139" s="522">
        <f>SUM(I136:I137)</f>
        <v>1176.7</v>
      </c>
      <c r="J139" s="522">
        <f>SUM(J136:J138)</f>
        <v>3183.4</v>
      </c>
      <c r="K139" s="522">
        <f t="shared" ref="K139:V139" si="26">SUM(K136:K138)</f>
        <v>3010</v>
      </c>
      <c r="L139" s="522">
        <f t="shared" si="26"/>
        <v>35</v>
      </c>
      <c r="M139" s="522">
        <f t="shared" si="26"/>
        <v>1700</v>
      </c>
      <c r="N139" s="522">
        <f t="shared" si="26"/>
        <v>1700</v>
      </c>
      <c r="O139" s="522">
        <f t="shared" si="26"/>
        <v>1700</v>
      </c>
      <c r="P139" s="522">
        <f t="shared" si="26"/>
        <v>2124</v>
      </c>
      <c r="Q139" s="522">
        <f t="shared" si="26"/>
        <v>1593.99</v>
      </c>
      <c r="R139" s="522">
        <f t="shared" si="26"/>
        <v>2124</v>
      </c>
      <c r="S139" s="522">
        <f t="shared" si="26"/>
        <v>2124</v>
      </c>
      <c r="T139" s="522">
        <f t="shared" si="26"/>
        <v>0</v>
      </c>
      <c r="U139" s="522">
        <f t="shared" si="26"/>
        <v>0</v>
      </c>
      <c r="V139" s="522">
        <f t="shared" si="26"/>
        <v>20297.689999999999</v>
      </c>
      <c r="W139" s="97" t="str">
        <f>+IF(V139=SUM(H139:T139),"contrôle ok", "erreur")</f>
        <v>contrôle ok</v>
      </c>
    </row>
    <row r="140" spans="1:24" s="37" customFormat="1" ht="11.25" thickTop="1" x14ac:dyDescent="0.15">
      <c r="A140" s="33"/>
      <c r="B140" s="33"/>
      <c r="C140" s="34"/>
      <c r="D140" s="35"/>
      <c r="E140" s="36"/>
      <c r="F140" s="35"/>
      <c r="G140" s="100"/>
      <c r="H140" s="229"/>
      <c r="I140" s="229"/>
      <c r="J140" s="229"/>
      <c r="K140" s="229"/>
      <c r="L140" s="229"/>
      <c r="M140" s="229"/>
      <c r="N140" s="257"/>
      <c r="O140" s="229"/>
      <c r="P140" s="229"/>
      <c r="Q140" s="229"/>
      <c r="R140" s="229"/>
      <c r="S140" s="229"/>
      <c r="T140" s="229"/>
      <c r="U140" s="229"/>
      <c r="V140" s="258"/>
      <c r="X140" s="16"/>
    </row>
    <row r="141" spans="1:24" x14ac:dyDescent="0.15">
      <c r="A141" s="27" t="s">
        <v>136</v>
      </c>
      <c r="B141" s="28"/>
      <c r="C141" s="29"/>
      <c r="D141" s="30"/>
      <c r="E141" s="30"/>
      <c r="F141" s="31"/>
      <c r="G141" s="101"/>
      <c r="H141" s="224"/>
      <c r="I141" s="224"/>
      <c r="J141" s="251"/>
      <c r="K141" s="224"/>
      <c r="L141" s="224"/>
      <c r="M141" s="224"/>
      <c r="N141" s="224"/>
      <c r="O141" s="224"/>
      <c r="P141" s="224"/>
      <c r="Q141" s="224"/>
      <c r="R141" s="224"/>
      <c r="S141" s="224"/>
      <c r="T141" s="224"/>
      <c r="U141" s="224"/>
      <c r="V141" s="252"/>
    </row>
    <row r="142" spans="1:24" x14ac:dyDescent="0.15">
      <c r="A142" s="143"/>
      <c r="B142" s="143"/>
      <c r="C142" s="144"/>
      <c r="D142" s="145">
        <v>615210</v>
      </c>
      <c r="E142" s="145" t="s">
        <v>73</v>
      </c>
      <c r="F142" s="145" t="s">
        <v>192</v>
      </c>
      <c r="G142" s="165"/>
      <c r="H142" s="559"/>
      <c r="I142" s="226"/>
      <c r="J142" s="226"/>
      <c r="K142" s="226">
        <v>295</v>
      </c>
      <c r="L142" s="226"/>
      <c r="M142" s="226">
        <v>268</v>
      </c>
      <c r="N142" s="226">
        <f>-295</f>
        <v>-295</v>
      </c>
      <c r="O142" s="226"/>
      <c r="P142" s="226"/>
      <c r="Q142" s="226"/>
      <c r="R142" s="226"/>
      <c r="S142" s="226">
        <f>550+668</f>
        <v>1218</v>
      </c>
      <c r="T142" s="226"/>
      <c r="U142" s="582"/>
      <c r="V142" s="255">
        <f>SUM(H142:T142)</f>
        <v>1486</v>
      </c>
      <c r="W142" s="6"/>
    </row>
    <row r="143" spans="1:24" x14ac:dyDescent="0.15">
      <c r="A143" s="143"/>
      <c r="B143" s="143"/>
      <c r="C143" s="144"/>
      <c r="D143" s="145">
        <v>615210</v>
      </c>
      <c r="E143" s="145" t="s">
        <v>147</v>
      </c>
      <c r="F143" s="145"/>
      <c r="G143" s="165"/>
      <c r="H143" s="559"/>
      <c r="I143" s="226"/>
      <c r="J143" s="226"/>
      <c r="K143" s="226"/>
      <c r="L143" s="226"/>
      <c r="M143" s="226"/>
      <c r="N143" s="226"/>
      <c r="O143" s="226"/>
      <c r="P143" s="226">
        <v>1008</v>
      </c>
      <c r="Q143" s="226"/>
      <c r="R143" s="226"/>
      <c r="S143" s="226"/>
      <c r="T143" s="226"/>
      <c r="U143" s="582"/>
      <c r="V143" s="255">
        <f>SUM(H143:T143)</f>
        <v>1008</v>
      </c>
      <c r="W143" s="6"/>
    </row>
    <row r="144" spans="1:24" ht="11.25" thickBot="1" x14ac:dyDescent="0.2">
      <c r="A144" s="516" t="s">
        <v>11</v>
      </c>
      <c r="B144" s="517"/>
      <c r="C144" s="518"/>
      <c r="D144" s="519"/>
      <c r="E144" s="516"/>
      <c r="F144" s="520"/>
      <c r="G144" s="521"/>
      <c r="H144" s="522">
        <f>SUM(H142:H143)</f>
        <v>0</v>
      </c>
      <c r="I144" s="522">
        <f t="shared" ref="I144:V144" si="27">SUM(I142:I143)</f>
        <v>0</v>
      </c>
      <c r="J144" s="522">
        <f t="shared" si="27"/>
        <v>0</v>
      </c>
      <c r="K144" s="522">
        <f t="shared" si="27"/>
        <v>295</v>
      </c>
      <c r="L144" s="522">
        <f t="shared" si="27"/>
        <v>0</v>
      </c>
      <c r="M144" s="522">
        <f t="shared" si="27"/>
        <v>268</v>
      </c>
      <c r="N144" s="522">
        <f t="shared" si="27"/>
        <v>-295</v>
      </c>
      <c r="O144" s="522">
        <f t="shared" si="27"/>
        <v>0</v>
      </c>
      <c r="P144" s="522">
        <f t="shared" si="27"/>
        <v>1008</v>
      </c>
      <c r="Q144" s="522">
        <f t="shared" si="27"/>
        <v>0</v>
      </c>
      <c r="R144" s="522">
        <f t="shared" si="27"/>
        <v>0</v>
      </c>
      <c r="S144" s="522">
        <f t="shared" si="27"/>
        <v>1218</v>
      </c>
      <c r="T144" s="522">
        <f t="shared" si="27"/>
        <v>0</v>
      </c>
      <c r="U144" s="522">
        <f t="shared" si="27"/>
        <v>0</v>
      </c>
      <c r="V144" s="522">
        <f t="shared" si="27"/>
        <v>2494</v>
      </c>
      <c r="W144" s="97" t="str">
        <f>+IF(V144=SUM(H144:T144),"contrôle ok", "erreur")</f>
        <v>contrôle ok</v>
      </c>
    </row>
    <row r="145" spans="1:23" ht="11.25" thickTop="1" x14ac:dyDescent="0.15">
      <c r="A145" s="96"/>
      <c r="B145" s="34"/>
      <c r="C145" s="34"/>
      <c r="D145" s="35"/>
      <c r="E145" s="94"/>
      <c r="F145" s="35"/>
      <c r="G145" s="100"/>
      <c r="H145" s="246"/>
      <c r="I145" s="246"/>
      <c r="J145" s="229"/>
      <c r="K145" s="229"/>
      <c r="L145" s="229"/>
      <c r="M145" s="229"/>
      <c r="N145" s="229"/>
      <c r="O145" s="229"/>
      <c r="P145" s="229"/>
      <c r="Q145" s="257"/>
      <c r="R145" s="229"/>
      <c r="S145" s="246"/>
      <c r="T145" s="229"/>
      <c r="U145" s="229"/>
      <c r="V145" s="219"/>
    </row>
    <row r="146" spans="1:23" x14ac:dyDescent="0.15">
      <c r="A146" s="27" t="s">
        <v>712</v>
      </c>
      <c r="B146" s="28"/>
      <c r="C146" s="29"/>
      <c r="D146" s="30"/>
      <c r="E146" s="30"/>
      <c r="F146" s="31"/>
      <c r="G146" s="101"/>
      <c r="H146" s="224"/>
      <c r="I146" s="224"/>
      <c r="J146" s="251"/>
      <c r="K146" s="224"/>
      <c r="L146" s="224"/>
      <c r="M146" s="224"/>
      <c r="N146" s="224"/>
      <c r="O146" s="224"/>
      <c r="P146" s="224"/>
      <c r="Q146" s="224"/>
      <c r="R146" s="224"/>
      <c r="S146" s="224"/>
      <c r="T146" s="224"/>
      <c r="U146" s="224"/>
      <c r="V146" s="252"/>
    </row>
    <row r="147" spans="1:23" x14ac:dyDescent="0.15">
      <c r="A147" s="143" t="s">
        <v>441</v>
      </c>
      <c r="B147" s="143" t="s">
        <v>740</v>
      </c>
      <c r="C147" s="144"/>
      <c r="D147" s="145">
        <v>615215</v>
      </c>
      <c r="E147" s="145" t="s">
        <v>73</v>
      </c>
      <c r="F147" s="591" t="s">
        <v>700</v>
      </c>
      <c r="G147" s="165"/>
      <c r="H147" s="559">
        <v>-178.72</v>
      </c>
      <c r="I147" s="226"/>
      <c r="J147" s="226"/>
      <c r="K147" s="226"/>
      <c r="L147" s="226"/>
      <c r="M147" s="226"/>
      <c r="N147" s="226"/>
      <c r="O147" s="226"/>
      <c r="P147" s="226">
        <v>271.92</v>
      </c>
      <c r="Q147" s="226"/>
      <c r="R147" s="226"/>
      <c r="S147" s="226"/>
      <c r="T147" s="226"/>
      <c r="U147" s="582"/>
      <c r="V147" s="255">
        <f>SUM(H147:T147)</f>
        <v>93.200000000000017</v>
      </c>
      <c r="W147" s="6"/>
    </row>
    <row r="148" spans="1:23" x14ac:dyDescent="0.15">
      <c r="A148" s="143" t="s">
        <v>808</v>
      </c>
      <c r="B148" s="143"/>
      <c r="C148" s="144"/>
      <c r="D148" s="145">
        <v>615215</v>
      </c>
      <c r="E148" s="145" t="s">
        <v>73</v>
      </c>
      <c r="F148" s="145"/>
      <c r="G148" s="165"/>
      <c r="H148" s="559"/>
      <c r="I148" s="226"/>
      <c r="J148" s="226"/>
      <c r="K148" s="226"/>
      <c r="L148" s="226"/>
      <c r="M148" s="226"/>
      <c r="N148" s="226"/>
      <c r="O148" s="226"/>
      <c r="P148" s="226">
        <v>1063.6500000000001</v>
      </c>
      <c r="Q148" s="226"/>
      <c r="R148" s="226"/>
      <c r="S148" s="226"/>
      <c r="T148" s="226"/>
      <c r="U148" s="582"/>
      <c r="V148" s="255">
        <f>SUM(H148:T148)</f>
        <v>1063.6500000000001</v>
      </c>
      <c r="W148" s="6"/>
    </row>
    <row r="149" spans="1:23" x14ac:dyDescent="0.15">
      <c r="A149" s="143" t="s">
        <v>441</v>
      </c>
      <c r="B149" s="143"/>
      <c r="C149" s="144"/>
      <c r="D149" s="145">
        <v>615215</v>
      </c>
      <c r="E149" s="145" t="s">
        <v>73</v>
      </c>
      <c r="F149" s="145"/>
      <c r="G149" s="165"/>
      <c r="H149" s="559">
        <f>1620.35-900-1300</f>
        <v>-579.65000000000009</v>
      </c>
      <c r="I149" s="226">
        <v>1804.72</v>
      </c>
      <c r="J149" s="226">
        <v>791.73</v>
      </c>
      <c r="K149" s="226">
        <v>818.87</v>
      </c>
      <c r="L149" s="226">
        <v>1631.63</v>
      </c>
      <c r="M149" s="226">
        <v>688.27</v>
      </c>
      <c r="N149" s="226">
        <v>991.51</v>
      </c>
      <c r="O149" s="226">
        <v>975.04</v>
      </c>
      <c r="P149" s="226">
        <v>2512.0100000000002</v>
      </c>
      <c r="Q149" s="226">
        <v>792.44</v>
      </c>
      <c r="R149" s="226">
        <v>699.02</v>
      </c>
      <c r="S149" s="226">
        <f>90.64+247.42+269.7+104.65+425</f>
        <v>1137.4099999999999</v>
      </c>
      <c r="T149" s="226"/>
      <c r="U149" s="582"/>
      <c r="V149" s="255">
        <f>SUM(H149:T149)</f>
        <v>12263.000000000002</v>
      </c>
      <c r="W149" s="6"/>
    </row>
    <row r="150" spans="1:23" x14ac:dyDescent="0.15">
      <c r="A150" s="143" t="s">
        <v>441</v>
      </c>
      <c r="B150" s="143" t="s">
        <v>741</v>
      </c>
      <c r="C150" s="144"/>
      <c r="D150" s="145">
        <v>615215</v>
      </c>
      <c r="E150" s="145" t="s">
        <v>147</v>
      </c>
      <c r="F150" s="145"/>
      <c r="G150" s="165"/>
      <c r="H150" s="559">
        <f>-90.64+4532-4532-1168</f>
        <v>-1258.6400000000003</v>
      </c>
      <c r="I150" s="226">
        <v>4260.08</v>
      </c>
      <c r="J150" s="226">
        <v>3897.52</v>
      </c>
      <c r="K150" s="226">
        <v>4441.3599999999997</v>
      </c>
      <c r="L150" s="226">
        <v>5166.4799999999996</v>
      </c>
      <c r="M150" s="226">
        <v>5166.4799999999996</v>
      </c>
      <c r="N150" s="226">
        <v>4350.72</v>
      </c>
      <c r="O150" s="226">
        <v>4260.08</v>
      </c>
      <c r="P150" s="226">
        <v>6254.16</v>
      </c>
      <c r="Q150" s="226">
        <v>4532</v>
      </c>
      <c r="R150" s="226">
        <v>4169.4399999999996</v>
      </c>
      <c r="S150" s="226">
        <f>90.64+181.28+90.64+4441.36</f>
        <v>4803.92</v>
      </c>
      <c r="T150" s="226"/>
      <c r="U150" s="582"/>
      <c r="V150" s="255">
        <f>SUM(H150:T150)</f>
        <v>50043.600000000006</v>
      </c>
      <c r="W150" s="6"/>
    </row>
    <row r="151" spans="1:23" x14ac:dyDescent="0.15">
      <c r="A151" s="143" t="s">
        <v>739</v>
      </c>
      <c r="B151" s="143"/>
      <c r="C151" s="144"/>
      <c r="D151" s="145">
        <v>615215</v>
      </c>
      <c r="E151" s="145" t="s">
        <v>73</v>
      </c>
      <c r="F151" s="145"/>
      <c r="G151" s="165"/>
      <c r="H151" s="559"/>
      <c r="I151" s="226"/>
      <c r="J151" s="226"/>
      <c r="K151" s="226"/>
      <c r="M151" s="226"/>
      <c r="N151" s="226"/>
      <c r="O151" s="226"/>
      <c r="P151" s="226"/>
      <c r="Q151" s="226"/>
      <c r="R151" s="226">
        <v>138.63999999999999</v>
      </c>
      <c r="S151" s="226"/>
      <c r="T151" s="226"/>
      <c r="U151" s="582"/>
      <c r="V151" s="255">
        <f>SUM(H151:T151)</f>
        <v>138.63999999999999</v>
      </c>
      <c r="W151" s="6"/>
    </row>
    <row r="152" spans="1:23" ht="11.25" thickBot="1" x14ac:dyDescent="0.2">
      <c r="A152" s="516" t="s">
        <v>11</v>
      </c>
      <c r="B152" s="517"/>
      <c r="C152" s="518"/>
      <c r="D152" s="519"/>
      <c r="E152" s="516"/>
      <c r="F152" s="520"/>
      <c r="G152" s="521"/>
      <c r="H152" s="522">
        <f t="shared" ref="H152:V152" si="28">SUM(H147:H151)</f>
        <v>-2017.0100000000004</v>
      </c>
      <c r="I152" s="522">
        <f t="shared" si="28"/>
        <v>6064.8</v>
      </c>
      <c r="J152" s="522">
        <f t="shared" si="28"/>
        <v>4689.25</v>
      </c>
      <c r="K152" s="522">
        <f t="shared" si="28"/>
        <v>5260.23</v>
      </c>
      <c r="L152" s="522">
        <f>SUM(L147:L150)</f>
        <v>6798.11</v>
      </c>
      <c r="M152" s="522">
        <f t="shared" si="28"/>
        <v>5854.75</v>
      </c>
      <c r="N152" s="522">
        <f t="shared" si="28"/>
        <v>5342.2300000000005</v>
      </c>
      <c r="O152" s="522">
        <f t="shared" si="28"/>
        <v>5235.12</v>
      </c>
      <c r="P152" s="522">
        <f t="shared" si="28"/>
        <v>10101.74</v>
      </c>
      <c r="Q152" s="522">
        <f t="shared" si="28"/>
        <v>5324.4400000000005</v>
      </c>
      <c r="R152" s="522">
        <f t="shared" si="28"/>
        <v>5007.0999999999995</v>
      </c>
      <c r="S152" s="522">
        <f t="shared" si="28"/>
        <v>5941.33</v>
      </c>
      <c r="T152" s="522">
        <f t="shared" si="28"/>
        <v>0</v>
      </c>
      <c r="U152" s="522">
        <f t="shared" si="28"/>
        <v>0</v>
      </c>
      <c r="V152" s="522">
        <f t="shared" si="28"/>
        <v>63602.090000000011</v>
      </c>
      <c r="W152" s="97" t="str">
        <f>+IF(V152=SUM(H152:T152),"contrôle ok", "erreur")</f>
        <v>contrôle ok</v>
      </c>
    </row>
    <row r="153" spans="1:23" ht="11.25" thickTop="1" x14ac:dyDescent="0.15">
      <c r="A153" s="96"/>
      <c r="B153" s="34"/>
      <c r="C153" s="34"/>
      <c r="D153" s="35"/>
      <c r="E153" s="94"/>
      <c r="F153" s="35"/>
      <c r="G153" s="100"/>
      <c r="H153" s="246"/>
      <c r="I153" s="246"/>
      <c r="J153" s="229"/>
      <c r="K153" s="229"/>
      <c r="L153" s="229"/>
      <c r="M153" s="229"/>
      <c r="N153" s="229"/>
      <c r="O153" s="229"/>
      <c r="P153" s="229"/>
      <c r="Q153" s="257"/>
      <c r="R153" s="229"/>
      <c r="S153" s="246"/>
      <c r="T153" s="229"/>
      <c r="U153" s="229"/>
      <c r="V153" s="219"/>
    </row>
    <row r="154" spans="1:23" x14ac:dyDescent="0.15">
      <c r="A154" s="27" t="s">
        <v>256</v>
      </c>
      <c r="B154" s="28"/>
      <c r="C154" s="29"/>
      <c r="D154" s="30"/>
      <c r="E154" s="30"/>
      <c r="F154" s="31"/>
      <c r="G154" s="101"/>
      <c r="H154" s="224"/>
      <c r="I154" s="224"/>
      <c r="J154" s="251"/>
      <c r="K154" s="224"/>
      <c r="L154" s="224"/>
      <c r="M154" s="224"/>
      <c r="N154" s="224"/>
      <c r="O154" s="224"/>
      <c r="P154" s="224"/>
      <c r="Q154" s="224"/>
      <c r="R154" s="224"/>
      <c r="S154" s="224"/>
      <c r="T154" s="224"/>
      <c r="U154" s="224"/>
      <c r="V154" s="252"/>
    </row>
    <row r="155" spans="1:23" x14ac:dyDescent="0.15">
      <c r="A155" s="143" t="s">
        <v>294</v>
      </c>
      <c r="B155" s="143" t="s">
        <v>422</v>
      </c>
      <c r="C155" s="144" t="s">
        <v>515</v>
      </c>
      <c r="D155" s="145">
        <v>615220</v>
      </c>
      <c r="E155" s="145" t="s">
        <v>75</v>
      </c>
      <c r="F155" s="145" t="s">
        <v>179</v>
      </c>
      <c r="G155" s="165">
        <v>423.11</v>
      </c>
      <c r="H155" s="559"/>
      <c r="I155" s="226">
        <v>423.11</v>
      </c>
      <c r="J155" s="226">
        <v>423.11</v>
      </c>
      <c r="K155" s="226">
        <v>423.11</v>
      </c>
      <c r="L155" s="226">
        <v>423.11</v>
      </c>
      <c r="M155" s="226">
        <v>423.11</v>
      </c>
      <c r="N155" s="226">
        <v>423.11</v>
      </c>
      <c r="O155" s="226">
        <v>423.11</v>
      </c>
      <c r="P155" s="226">
        <v>423.11</v>
      </c>
      <c r="Q155" s="226">
        <v>423.11</v>
      </c>
      <c r="R155" s="226">
        <v>423.11</v>
      </c>
      <c r="S155" s="226">
        <v>423.11</v>
      </c>
      <c r="T155" s="226">
        <v>423.11</v>
      </c>
      <c r="U155" s="582"/>
      <c r="V155" s="255">
        <f t="shared" ref="V155:V167" si="29">SUM(H155:T155)</f>
        <v>5077.32</v>
      </c>
      <c r="W155" s="6"/>
    </row>
    <row r="156" spans="1:23" x14ac:dyDescent="0.15">
      <c r="A156" s="143" t="s">
        <v>509</v>
      </c>
      <c r="B156" s="143" t="s">
        <v>510</v>
      </c>
      <c r="C156" s="144"/>
      <c r="D156" s="145">
        <v>615220</v>
      </c>
      <c r="E156" s="145" t="s">
        <v>75</v>
      </c>
      <c r="F156" s="145" t="s">
        <v>192</v>
      </c>
      <c r="G156" s="165"/>
      <c r="H156" s="559"/>
      <c r="I156" s="226"/>
      <c r="J156" s="226"/>
      <c r="K156" s="226"/>
      <c r="L156" s="226"/>
      <c r="M156" s="226"/>
      <c r="N156" s="226"/>
      <c r="O156" s="226"/>
      <c r="P156" s="226"/>
      <c r="Q156" s="226"/>
      <c r="R156" s="226"/>
      <c r="S156" s="226"/>
      <c r="T156" s="226"/>
      <c r="U156" s="582"/>
      <c r="V156" s="255">
        <f t="shared" si="29"/>
        <v>0</v>
      </c>
      <c r="W156" s="6"/>
    </row>
    <row r="157" spans="1:23" x14ac:dyDescent="0.15">
      <c r="A157" s="143" t="s">
        <v>491</v>
      </c>
      <c r="B157" s="143"/>
      <c r="C157" s="144"/>
      <c r="D157" s="145">
        <v>615220</v>
      </c>
      <c r="E157" s="145" t="s">
        <v>75</v>
      </c>
      <c r="F157" s="145" t="s">
        <v>192</v>
      </c>
      <c r="G157" s="165"/>
      <c r="H157" s="559"/>
      <c r="I157" s="226"/>
      <c r="J157" s="226"/>
      <c r="K157" s="226"/>
      <c r="L157" s="226"/>
      <c r="M157" s="473"/>
      <c r="N157" s="473"/>
      <c r="O157" s="473"/>
      <c r="P157" s="226"/>
      <c r="Q157" s="226"/>
      <c r="R157" s="226"/>
      <c r="S157" s="226"/>
      <c r="T157" s="226"/>
      <c r="U157" s="582"/>
      <c r="V157" s="255">
        <f t="shared" si="29"/>
        <v>0</v>
      </c>
      <c r="W157" s="6"/>
    </row>
    <row r="158" spans="1:23" x14ac:dyDescent="0.15">
      <c r="A158" s="143"/>
      <c r="B158" s="143"/>
      <c r="C158" s="144"/>
      <c r="D158" s="145"/>
      <c r="E158" s="145"/>
      <c r="F158" s="145"/>
      <c r="G158" s="165"/>
      <c r="H158" s="559"/>
      <c r="I158" s="226"/>
      <c r="J158" s="226"/>
      <c r="K158" s="226"/>
      <c r="L158" s="226"/>
      <c r="M158" s="226"/>
      <c r="N158" s="226"/>
      <c r="O158" s="226"/>
      <c r="P158" s="226"/>
      <c r="Q158" s="226"/>
      <c r="R158" s="226"/>
      <c r="S158" s="226"/>
      <c r="T158" s="226"/>
      <c r="U158" s="582"/>
      <c r="V158" s="255">
        <f t="shared" si="29"/>
        <v>0</v>
      </c>
      <c r="W158" s="6"/>
    </row>
    <row r="159" spans="1:23" x14ac:dyDescent="0.15">
      <c r="A159" s="143" t="s">
        <v>452</v>
      </c>
      <c r="B159" s="143" t="s">
        <v>285</v>
      </c>
      <c r="C159" s="144">
        <v>2017</v>
      </c>
      <c r="D159" s="145">
        <v>615220</v>
      </c>
      <c r="E159" s="145" t="s">
        <v>163</v>
      </c>
      <c r="F159" s="145" t="s">
        <v>179</v>
      </c>
      <c r="G159" s="165">
        <v>7</v>
      </c>
      <c r="H159" s="559">
        <v>-84</v>
      </c>
      <c r="I159" s="582">
        <v>7</v>
      </c>
      <c r="J159" s="584">
        <v>7</v>
      </c>
      <c r="K159" s="582">
        <v>7</v>
      </c>
      <c r="L159" s="582">
        <v>7</v>
      </c>
      <c r="M159" s="582">
        <v>7</v>
      </c>
      <c r="N159" s="582">
        <v>7</v>
      </c>
      <c r="O159" s="226">
        <v>-42</v>
      </c>
      <c r="P159" s="226"/>
      <c r="Q159" s="226"/>
      <c r="R159" s="226"/>
      <c r="S159" s="226"/>
      <c r="T159" s="226"/>
      <c r="U159" s="582"/>
      <c r="V159" s="255">
        <f t="shared" si="29"/>
        <v>-84</v>
      </c>
      <c r="W159" s="6"/>
    </row>
    <row r="160" spans="1:23" x14ac:dyDescent="0.15">
      <c r="A160" s="143" t="s">
        <v>452</v>
      </c>
      <c r="B160" s="143" t="s">
        <v>323</v>
      </c>
      <c r="C160" s="144">
        <v>2017</v>
      </c>
      <c r="D160" s="145">
        <v>615220</v>
      </c>
      <c r="E160" s="145" t="s">
        <v>163</v>
      </c>
      <c r="F160" s="145" t="s">
        <v>179</v>
      </c>
      <c r="G160" s="165"/>
      <c r="H160" s="559"/>
      <c r="I160" s="226"/>
      <c r="J160" s="226"/>
      <c r="K160" s="226"/>
      <c r="L160" s="226"/>
      <c r="M160" s="226"/>
      <c r="N160" s="226"/>
      <c r="O160" s="226"/>
      <c r="P160" s="226"/>
      <c r="Q160" s="226"/>
      <c r="R160" s="226"/>
      <c r="S160" s="226"/>
      <c r="T160" s="226"/>
      <c r="U160" s="582"/>
      <c r="V160" s="255">
        <f t="shared" si="29"/>
        <v>0</v>
      </c>
      <c r="W160" s="6"/>
    </row>
    <row r="161" spans="1:24" x14ac:dyDescent="0.15">
      <c r="A161" s="143" t="s">
        <v>622</v>
      </c>
      <c r="B161" s="143" t="s">
        <v>473</v>
      </c>
      <c r="C161" s="144" t="s">
        <v>623</v>
      </c>
      <c r="D161" s="145">
        <v>615220</v>
      </c>
      <c r="E161" s="145" t="s">
        <v>163</v>
      </c>
      <c r="F161" s="145" t="s">
        <v>179</v>
      </c>
      <c r="G161" s="165">
        <v>135.02000000000001</v>
      </c>
      <c r="H161" s="559"/>
      <c r="I161" s="226">
        <v>135.02000000000001</v>
      </c>
      <c r="J161" s="226">
        <v>135.02000000000001</v>
      </c>
      <c r="K161" s="226">
        <v>135.02000000000001</v>
      </c>
      <c r="L161" s="226">
        <v>135.02000000000001</v>
      </c>
      <c r="M161" s="226">
        <v>135.02000000000001</v>
      </c>
      <c r="N161" s="226">
        <v>135.02000000000001</v>
      </c>
      <c r="O161" s="226">
        <v>135.02000000000001</v>
      </c>
      <c r="P161" s="226">
        <v>135.02000000000001</v>
      </c>
      <c r="Q161" s="226">
        <v>135.02000000000001</v>
      </c>
      <c r="R161" s="226">
        <v>135.02000000000001</v>
      </c>
      <c r="S161" s="226">
        <v>135.02000000000001</v>
      </c>
      <c r="T161" s="226">
        <v>135.02000000000001</v>
      </c>
      <c r="U161" s="582"/>
      <c r="V161" s="255">
        <f t="shared" si="29"/>
        <v>1620.24</v>
      </c>
      <c r="W161" s="6"/>
    </row>
    <row r="162" spans="1:24" x14ac:dyDescent="0.15">
      <c r="A162" s="143" t="s">
        <v>452</v>
      </c>
      <c r="B162" s="143" t="s">
        <v>323</v>
      </c>
      <c r="C162" s="144" t="s">
        <v>528</v>
      </c>
      <c r="D162" s="145">
        <v>615220</v>
      </c>
      <c r="E162" s="145" t="s">
        <v>163</v>
      </c>
      <c r="F162" s="145" t="s">
        <v>179</v>
      </c>
      <c r="G162" s="165">
        <v>101.34</v>
      </c>
      <c r="H162" s="559"/>
      <c r="I162" s="226">
        <v>101.34</v>
      </c>
      <c r="J162" s="226">
        <v>101.34</v>
      </c>
      <c r="K162" s="226">
        <v>101.34</v>
      </c>
      <c r="L162" s="226">
        <v>101.34</v>
      </c>
      <c r="M162" s="226">
        <v>101.34</v>
      </c>
      <c r="N162" s="226">
        <v>101.34</v>
      </c>
      <c r="O162" s="226">
        <v>101.34</v>
      </c>
      <c r="P162" s="226">
        <v>101.34</v>
      </c>
      <c r="Q162" s="226">
        <v>101.34</v>
      </c>
      <c r="R162" s="226">
        <v>101.34</v>
      </c>
      <c r="S162" s="226">
        <v>101.34</v>
      </c>
      <c r="T162" s="226">
        <v>101.2</v>
      </c>
      <c r="U162" s="582"/>
      <c r="V162" s="255">
        <f t="shared" si="29"/>
        <v>1215.9400000000003</v>
      </c>
      <c r="W162" s="6"/>
    </row>
    <row r="163" spans="1:24" x14ac:dyDescent="0.15">
      <c r="A163" s="143"/>
      <c r="B163" s="143"/>
      <c r="C163" s="144"/>
      <c r="D163" s="145">
        <v>615220</v>
      </c>
      <c r="E163" s="145" t="s">
        <v>163</v>
      </c>
      <c r="F163" s="145">
        <v>999999</v>
      </c>
      <c r="G163" s="165"/>
      <c r="H163" s="559"/>
      <c r="I163" s="226"/>
      <c r="J163" s="226"/>
      <c r="K163" s="226"/>
      <c r="L163" s="226"/>
      <c r="M163" s="226"/>
      <c r="N163" s="226"/>
      <c r="O163" s="226"/>
      <c r="P163" s="226"/>
      <c r="Q163" s="226"/>
      <c r="R163" s="226"/>
      <c r="S163" s="226"/>
      <c r="T163" s="226"/>
      <c r="U163" s="582"/>
      <c r="V163" s="255">
        <f t="shared" si="29"/>
        <v>0</v>
      </c>
      <c r="W163" s="6"/>
    </row>
    <row r="164" spans="1:24" x14ac:dyDescent="0.15">
      <c r="A164" s="143"/>
      <c r="B164" s="143"/>
      <c r="C164" s="144"/>
      <c r="D164" s="145"/>
      <c r="E164" s="145"/>
      <c r="F164" s="145"/>
      <c r="G164" s="165"/>
      <c r="H164" s="559"/>
      <c r="I164" s="226"/>
      <c r="J164" s="226"/>
      <c r="K164" s="226"/>
      <c r="L164" s="226"/>
      <c r="M164" s="473"/>
      <c r="N164" s="473"/>
      <c r="O164" s="473"/>
      <c r="P164" s="226"/>
      <c r="Q164" s="226"/>
      <c r="R164" s="226"/>
      <c r="S164" s="226"/>
      <c r="T164" s="226"/>
      <c r="U164" s="582"/>
      <c r="V164" s="255">
        <f t="shared" si="29"/>
        <v>0</v>
      </c>
      <c r="W164" s="6"/>
    </row>
    <row r="165" spans="1:24" x14ac:dyDescent="0.15">
      <c r="A165" s="143" t="s">
        <v>483</v>
      </c>
      <c r="B165" s="143" t="s">
        <v>487</v>
      </c>
      <c r="C165" s="144" t="s">
        <v>543</v>
      </c>
      <c r="D165" s="145">
        <v>615220</v>
      </c>
      <c r="E165" s="145" t="s">
        <v>74</v>
      </c>
      <c r="F165" s="145" t="s">
        <v>179</v>
      </c>
      <c r="G165" s="165">
        <v>47.3</v>
      </c>
      <c r="H165" s="559"/>
      <c r="I165" s="226">
        <v>47.3</v>
      </c>
      <c r="J165" s="226">
        <v>47.3</v>
      </c>
      <c r="K165" s="226">
        <v>47.3</v>
      </c>
      <c r="L165" s="226">
        <v>47.3</v>
      </c>
      <c r="M165" s="226">
        <v>47.3</v>
      </c>
      <c r="N165" s="226">
        <v>47.3</v>
      </c>
      <c r="O165" s="226">
        <v>47.3</v>
      </c>
      <c r="P165" s="226">
        <v>47.3</v>
      </c>
      <c r="Q165" s="226">
        <v>47.3</v>
      </c>
      <c r="R165" s="226">
        <v>47.3</v>
      </c>
      <c r="S165" s="226">
        <v>47.3</v>
      </c>
      <c r="T165" s="226">
        <v>47.1</v>
      </c>
      <c r="U165" s="582"/>
      <c r="V165" s="255">
        <f t="shared" si="29"/>
        <v>567.40000000000009</v>
      </c>
      <c r="W165" s="6"/>
    </row>
    <row r="166" spans="1:24" x14ac:dyDescent="0.15">
      <c r="A166" s="143" t="s">
        <v>483</v>
      </c>
      <c r="B166" s="143" t="s">
        <v>487</v>
      </c>
      <c r="C166" s="144" t="s">
        <v>542</v>
      </c>
      <c r="D166" s="145">
        <v>615220</v>
      </c>
      <c r="E166" s="145" t="s">
        <v>74</v>
      </c>
      <c r="F166" s="145" t="s">
        <v>179</v>
      </c>
      <c r="G166" s="165">
        <v>37.17</v>
      </c>
      <c r="H166" s="559"/>
      <c r="I166" s="226">
        <v>37.17</v>
      </c>
      <c r="J166" s="226">
        <v>37.17</v>
      </c>
      <c r="K166" s="226">
        <v>37.17</v>
      </c>
      <c r="L166" s="226">
        <v>37.17</v>
      </c>
      <c r="M166" s="226">
        <v>37.17</v>
      </c>
      <c r="N166" s="226">
        <v>37.17</v>
      </c>
      <c r="O166" s="226">
        <v>37.17</v>
      </c>
      <c r="P166" s="226">
        <v>37.17</v>
      </c>
      <c r="Q166" s="226">
        <v>37.17</v>
      </c>
      <c r="R166" s="226">
        <v>37.17</v>
      </c>
      <c r="S166" s="226">
        <v>37.17</v>
      </c>
      <c r="T166" s="226">
        <v>37.17</v>
      </c>
      <c r="U166" s="582"/>
      <c r="V166" s="255">
        <f t="shared" si="29"/>
        <v>446.04000000000013</v>
      </c>
      <c r="W166" s="6"/>
    </row>
    <row r="167" spans="1:24" x14ac:dyDescent="0.15">
      <c r="A167" s="143" t="s">
        <v>412</v>
      </c>
      <c r="B167" s="143" t="s">
        <v>479</v>
      </c>
      <c r="C167" s="144" t="s">
        <v>480</v>
      </c>
      <c r="D167" s="145">
        <v>615220</v>
      </c>
      <c r="E167" s="145" t="s">
        <v>74</v>
      </c>
      <c r="F167" s="145" t="s">
        <v>179</v>
      </c>
      <c r="G167" s="165">
        <v>43.89</v>
      </c>
      <c r="H167" s="559"/>
      <c r="I167" s="226">
        <v>43.89</v>
      </c>
      <c r="J167" s="226">
        <v>43.89</v>
      </c>
      <c r="K167" s="226">
        <v>43.89</v>
      </c>
      <c r="L167" s="226">
        <v>43.89</v>
      </c>
      <c r="M167" s="226">
        <v>43.89</v>
      </c>
      <c r="N167" s="226">
        <v>43.89</v>
      </c>
      <c r="O167" s="226">
        <v>43.89</v>
      </c>
      <c r="P167" s="226">
        <v>43.89</v>
      </c>
      <c r="Q167" s="226">
        <v>43.89</v>
      </c>
      <c r="R167" s="226">
        <v>43.89</v>
      </c>
      <c r="S167" s="226">
        <v>43.85</v>
      </c>
      <c r="T167" s="226"/>
      <c r="U167" s="582"/>
      <c r="V167" s="255">
        <f t="shared" si="29"/>
        <v>482.74999999999994</v>
      </c>
      <c r="W167" s="6"/>
    </row>
    <row r="168" spans="1:24" ht="11.25" thickBot="1" x14ac:dyDescent="0.2">
      <c r="A168" s="516" t="s">
        <v>11</v>
      </c>
      <c r="B168" s="517"/>
      <c r="C168" s="518"/>
      <c r="D168" s="519"/>
      <c r="E168" s="516"/>
      <c r="F168" s="520"/>
      <c r="G168" s="521"/>
      <c r="H168" s="522">
        <f t="shared" ref="H168:V168" si="30">SUM(H155:H167)</f>
        <v>-84</v>
      </c>
      <c r="I168" s="522">
        <f t="shared" si="30"/>
        <v>794.82999999999993</v>
      </c>
      <c r="J168" s="522">
        <f t="shared" si="30"/>
        <v>794.82999999999993</v>
      </c>
      <c r="K168" s="522">
        <f t="shared" si="30"/>
        <v>794.82999999999993</v>
      </c>
      <c r="L168" s="522">
        <f t="shared" si="30"/>
        <v>794.82999999999993</v>
      </c>
      <c r="M168" s="522">
        <f t="shared" si="30"/>
        <v>794.82999999999993</v>
      </c>
      <c r="N168" s="522">
        <f t="shared" si="30"/>
        <v>794.82999999999993</v>
      </c>
      <c r="O168" s="522">
        <f t="shared" si="30"/>
        <v>745.82999999999993</v>
      </c>
      <c r="P168" s="522">
        <f t="shared" si="30"/>
        <v>787.82999999999993</v>
      </c>
      <c r="Q168" s="522">
        <f t="shared" si="30"/>
        <v>787.82999999999993</v>
      </c>
      <c r="R168" s="522">
        <f t="shared" si="30"/>
        <v>787.82999999999993</v>
      </c>
      <c r="S168" s="522">
        <f t="shared" si="30"/>
        <v>787.79</v>
      </c>
      <c r="T168" s="522">
        <f t="shared" si="30"/>
        <v>743.6</v>
      </c>
      <c r="U168" s="522">
        <f t="shared" si="30"/>
        <v>0</v>
      </c>
      <c r="V168" s="522">
        <f t="shared" si="30"/>
        <v>9325.69</v>
      </c>
      <c r="W168" s="97" t="str">
        <f>+IF(V168=SUM(H168:T168),"contrôle ok", "erreur")</f>
        <v>contrôle ok</v>
      </c>
    </row>
    <row r="169" spans="1:24" ht="11.25" thickTop="1" x14ac:dyDescent="0.15">
      <c r="A169" s="45"/>
      <c r="B169" s="46"/>
      <c r="C169" s="34"/>
      <c r="D169" s="44"/>
      <c r="E169" s="36"/>
      <c r="F169" s="35"/>
      <c r="G169" s="100"/>
      <c r="H169" s="228"/>
      <c r="I169" s="228"/>
      <c r="J169" s="229"/>
      <c r="K169" s="229"/>
      <c r="L169" s="229"/>
      <c r="M169" s="229"/>
      <c r="N169" s="229"/>
      <c r="O169" s="229"/>
      <c r="P169" s="229"/>
      <c r="Q169" s="229"/>
      <c r="R169" s="229"/>
      <c r="S169" s="229"/>
      <c r="T169" s="229"/>
      <c r="U169" s="229"/>
      <c r="V169" s="258"/>
    </row>
    <row r="170" spans="1:24" x14ac:dyDescent="0.15">
      <c r="A170" s="27" t="s">
        <v>14</v>
      </c>
      <c r="B170" s="28"/>
      <c r="C170" s="29"/>
      <c r="D170" s="30"/>
      <c r="E170" s="30"/>
      <c r="F170" s="31"/>
      <c r="G170" s="101"/>
      <c r="H170" s="224"/>
      <c r="I170" s="224"/>
      <c r="J170" s="251"/>
      <c r="K170" s="224"/>
      <c r="L170" s="224"/>
      <c r="M170" s="224"/>
      <c r="N170" s="224"/>
      <c r="O170" s="224"/>
      <c r="P170" s="224"/>
      <c r="Q170" s="224"/>
      <c r="R170" s="224"/>
      <c r="S170" s="224"/>
      <c r="T170" s="224"/>
      <c r="U170" s="224"/>
      <c r="V170" s="252"/>
    </row>
    <row r="171" spans="1:24" x14ac:dyDescent="0.15">
      <c r="A171" s="143" t="s">
        <v>15</v>
      </c>
      <c r="B171" s="143" t="s">
        <v>445</v>
      </c>
      <c r="C171" s="144" t="s">
        <v>784</v>
      </c>
      <c r="D171" s="145">
        <v>615230</v>
      </c>
      <c r="E171" s="145" t="s">
        <v>74</v>
      </c>
      <c r="F171" s="145" t="s">
        <v>179</v>
      </c>
      <c r="G171" s="165">
        <v>384.37</v>
      </c>
      <c r="H171" s="226"/>
      <c r="I171" s="226">
        <v>384.37</v>
      </c>
      <c r="J171" s="226">
        <v>384.37</v>
      </c>
      <c r="K171" s="226">
        <v>384.37</v>
      </c>
      <c r="L171" s="226">
        <v>384.35</v>
      </c>
      <c r="M171" s="226">
        <v>390.96</v>
      </c>
      <c r="N171" s="226">
        <v>390.96</v>
      </c>
      <c r="O171" s="226">
        <v>390.96</v>
      </c>
      <c r="P171" s="226">
        <v>390.96</v>
      </c>
      <c r="Q171" s="226">
        <v>390.96</v>
      </c>
      <c r="R171" s="226">
        <v>390.96</v>
      </c>
      <c r="S171" s="226">
        <f>390.96+27.2</f>
        <v>418.15999999999997</v>
      </c>
      <c r="T171" s="226">
        <v>390.96</v>
      </c>
      <c r="U171" s="582"/>
      <c r="V171" s="255">
        <f>SUM(H171:T171)</f>
        <v>4692.34</v>
      </c>
      <c r="W171" s="6"/>
    </row>
    <row r="172" spans="1:24" ht="11.25" customHeight="1" x14ac:dyDescent="0.15">
      <c r="A172" s="143" t="s">
        <v>275</v>
      </c>
      <c r="B172" s="143" t="s">
        <v>609</v>
      </c>
      <c r="C172" s="144" t="s">
        <v>586</v>
      </c>
      <c r="D172" s="145">
        <v>615230</v>
      </c>
      <c r="E172" s="145" t="s">
        <v>74</v>
      </c>
      <c r="F172" s="145" t="s">
        <v>179</v>
      </c>
      <c r="G172" s="165">
        <v>14.59</v>
      </c>
      <c r="H172" s="226"/>
      <c r="I172" s="226">
        <v>14.59</v>
      </c>
      <c r="J172" s="226">
        <v>14.59</v>
      </c>
      <c r="K172" s="226">
        <v>14.59</v>
      </c>
      <c r="L172" s="226">
        <v>14.59</v>
      </c>
      <c r="M172" s="226">
        <v>14.59</v>
      </c>
      <c r="N172" s="226">
        <v>14.59</v>
      </c>
      <c r="O172" s="226">
        <v>14.59</v>
      </c>
      <c r="P172" s="226">
        <v>14.59</v>
      </c>
      <c r="Q172" s="226">
        <v>14.59</v>
      </c>
      <c r="R172" s="226">
        <v>14.59</v>
      </c>
      <c r="S172" s="226">
        <v>14.59</v>
      </c>
      <c r="T172" s="226">
        <v>14.59</v>
      </c>
      <c r="U172" s="582"/>
      <c r="V172" s="255">
        <f>SUM(H172:T172)</f>
        <v>175.08</v>
      </c>
      <c r="W172" s="6"/>
    </row>
    <row r="173" spans="1:24" ht="12.75" customHeight="1" x14ac:dyDescent="0.15">
      <c r="A173" s="143" t="s">
        <v>275</v>
      </c>
      <c r="B173" s="143" t="s">
        <v>610</v>
      </c>
      <c r="C173" s="144"/>
      <c r="D173" s="145">
        <v>615230</v>
      </c>
      <c r="E173" s="145" t="s">
        <v>74</v>
      </c>
      <c r="F173" s="145" t="s">
        <v>179</v>
      </c>
      <c r="G173" s="165">
        <v>51.19</v>
      </c>
      <c r="H173" s="226">
        <f>51.19-50</f>
        <v>1.1899999999999977</v>
      </c>
      <c r="I173" s="226">
        <v>51.19</v>
      </c>
      <c r="J173" s="226">
        <v>51.18</v>
      </c>
      <c r="K173" s="226">
        <v>60.13</v>
      </c>
      <c r="L173" s="226">
        <v>60.13</v>
      </c>
      <c r="M173" s="226">
        <v>60.13</v>
      </c>
      <c r="N173" s="226">
        <f>108.96/3</f>
        <v>36.32</v>
      </c>
      <c r="O173" s="226">
        <f>108.96/3</f>
        <v>36.32</v>
      </c>
      <c r="P173" s="226">
        <f>108.96/3</f>
        <v>36.32</v>
      </c>
      <c r="Q173" s="680">
        <v>78.2</v>
      </c>
      <c r="R173" s="683"/>
      <c r="S173" s="681"/>
      <c r="T173" s="226"/>
      <c r="U173" s="582"/>
      <c r="V173" s="255">
        <f>SUM(H173:T173)</f>
        <v>471.10999999999996</v>
      </c>
      <c r="W173" s="6"/>
    </row>
    <row r="174" spans="1:24" x14ac:dyDescent="0.15">
      <c r="A174" s="143" t="s">
        <v>13</v>
      </c>
      <c r="B174" s="143"/>
      <c r="C174" s="144"/>
      <c r="D174" s="145">
        <v>615230</v>
      </c>
      <c r="E174" s="145" t="s">
        <v>74</v>
      </c>
      <c r="F174" s="145" t="s">
        <v>192</v>
      </c>
      <c r="G174" s="165"/>
      <c r="H174" s="226"/>
      <c r="I174" s="226"/>
      <c r="J174" s="226"/>
      <c r="K174" s="226"/>
      <c r="L174" s="226"/>
      <c r="M174" s="226"/>
      <c r="N174" s="226"/>
      <c r="O174" s="226"/>
      <c r="P174" s="226"/>
      <c r="Q174" s="226"/>
      <c r="R174" s="226"/>
      <c r="S174" s="226">
        <v>95</v>
      </c>
      <c r="T174" s="226"/>
      <c r="U174" s="582"/>
      <c r="V174" s="255">
        <f>SUM(H174:T174)</f>
        <v>95</v>
      </c>
      <c r="W174" s="6"/>
    </row>
    <row r="175" spans="1:24" ht="11.25" thickBot="1" x14ac:dyDescent="0.2">
      <c r="A175" s="516" t="s">
        <v>11</v>
      </c>
      <c r="B175" s="517"/>
      <c r="C175" s="518"/>
      <c r="D175" s="519"/>
      <c r="E175" s="516"/>
      <c r="F175" s="520"/>
      <c r="G175" s="521"/>
      <c r="H175" s="522">
        <f t="shared" ref="H175:V175" si="31">SUM(H171:H174)</f>
        <v>1.1899999999999977</v>
      </c>
      <c r="I175" s="522">
        <f t="shared" si="31"/>
        <v>450.15</v>
      </c>
      <c r="J175" s="522">
        <f t="shared" si="31"/>
        <v>450.14</v>
      </c>
      <c r="K175" s="522">
        <f t="shared" si="31"/>
        <v>459.09</v>
      </c>
      <c r="L175" s="522">
        <f t="shared" si="31"/>
        <v>459.07</v>
      </c>
      <c r="M175" s="522">
        <f t="shared" si="31"/>
        <v>465.67999999999995</v>
      </c>
      <c r="N175" s="522">
        <f t="shared" si="31"/>
        <v>441.86999999999995</v>
      </c>
      <c r="O175" s="522">
        <f t="shared" si="31"/>
        <v>441.86999999999995</v>
      </c>
      <c r="P175" s="522">
        <f t="shared" si="31"/>
        <v>441.86999999999995</v>
      </c>
      <c r="Q175" s="522">
        <f t="shared" si="31"/>
        <v>483.74999999999994</v>
      </c>
      <c r="R175" s="522">
        <f t="shared" si="31"/>
        <v>405.54999999999995</v>
      </c>
      <c r="S175" s="522">
        <f t="shared" si="31"/>
        <v>527.75</v>
      </c>
      <c r="T175" s="522">
        <f t="shared" si="31"/>
        <v>405.54999999999995</v>
      </c>
      <c r="U175" s="522">
        <f t="shared" si="31"/>
        <v>0</v>
      </c>
      <c r="V175" s="522">
        <f t="shared" si="31"/>
        <v>5433.53</v>
      </c>
      <c r="W175" s="97" t="str">
        <f>+IF(V175=SUM(H175:T175),"contrôle ok", "erreur")</f>
        <v>contrôle ok</v>
      </c>
    </row>
    <row r="176" spans="1:24" s="37" customFormat="1" ht="11.25" thickTop="1" x14ac:dyDescent="0.15">
      <c r="A176" s="33"/>
      <c r="B176" s="33"/>
      <c r="C176" s="34"/>
      <c r="D176" s="35"/>
      <c r="E176" s="94"/>
      <c r="F176" s="35"/>
      <c r="G176" s="100"/>
      <c r="H176" s="229"/>
      <c r="I176" s="229"/>
      <c r="J176" s="229"/>
      <c r="K176" s="229"/>
      <c r="L176" s="229"/>
      <c r="M176" s="229"/>
      <c r="N176" s="257"/>
      <c r="O176" s="229"/>
      <c r="P176" s="229"/>
      <c r="Q176" s="229"/>
      <c r="R176" s="229"/>
      <c r="S176" s="229"/>
      <c r="T176" s="229"/>
      <c r="U176" s="229"/>
      <c r="V176" s="258"/>
      <c r="X176" s="16"/>
    </row>
    <row r="177" spans="1:24" s="37" customFormat="1" x14ac:dyDescent="0.15">
      <c r="A177" s="27" t="s">
        <v>34</v>
      </c>
      <c r="B177" s="28"/>
      <c r="C177" s="29"/>
      <c r="D177" s="30"/>
      <c r="E177" s="30"/>
      <c r="F177" s="31"/>
      <c r="G177" s="101"/>
      <c r="H177" s="224"/>
      <c r="I177" s="224"/>
      <c r="J177" s="251"/>
      <c r="K177" s="224"/>
      <c r="L177" s="224"/>
      <c r="M177" s="224"/>
      <c r="N177" s="224"/>
      <c r="O177" s="224"/>
      <c r="P177" s="224"/>
      <c r="Q177" s="224"/>
      <c r="R177" s="224"/>
      <c r="S177" s="224"/>
      <c r="T177" s="224"/>
      <c r="U177" s="224"/>
      <c r="V177" s="252"/>
      <c r="W177" s="16"/>
      <c r="X177" s="16"/>
    </row>
    <row r="178" spans="1:24" x14ac:dyDescent="0.15">
      <c r="A178" s="143" t="s">
        <v>35</v>
      </c>
      <c r="B178" s="143" t="s">
        <v>36</v>
      </c>
      <c r="C178" s="144" t="s">
        <v>22</v>
      </c>
      <c r="D178" s="145">
        <v>626300</v>
      </c>
      <c r="E178" s="145" t="s">
        <v>74</v>
      </c>
      <c r="F178" s="145"/>
      <c r="G178" s="165">
        <v>203</v>
      </c>
      <c r="H178" s="559"/>
      <c r="I178" s="226">
        <v>202</v>
      </c>
      <c r="J178" s="226">
        <v>203</v>
      </c>
      <c r="K178" s="226">
        <v>203</v>
      </c>
      <c r="L178" s="226">
        <v>203</v>
      </c>
      <c r="M178" s="226">
        <v>203</v>
      </c>
      <c r="N178" s="226">
        <v>203</v>
      </c>
      <c r="O178" s="226">
        <v>203</v>
      </c>
      <c r="P178" s="226">
        <v>203</v>
      </c>
      <c r="Q178" s="226">
        <v>203</v>
      </c>
      <c r="R178" s="226">
        <v>203</v>
      </c>
      <c r="S178" s="226">
        <v>203</v>
      </c>
      <c r="T178" s="226">
        <v>203</v>
      </c>
      <c r="U178" s="582"/>
      <c r="V178" s="255">
        <f>SUM(H178:T178)</f>
        <v>2435</v>
      </c>
      <c r="W178" s="6"/>
    </row>
    <row r="179" spans="1:24" ht="11.25" thickBot="1" x14ac:dyDescent="0.2">
      <c r="A179" s="516" t="s">
        <v>11</v>
      </c>
      <c r="B179" s="517"/>
      <c r="C179" s="518"/>
      <c r="D179" s="519"/>
      <c r="E179" s="516"/>
      <c r="F179" s="520"/>
      <c r="G179" s="521"/>
      <c r="H179" s="522">
        <f>SUM(H178)</f>
        <v>0</v>
      </c>
      <c r="I179" s="522">
        <f>SUM(I178)</f>
        <v>202</v>
      </c>
      <c r="J179" s="522">
        <f t="shared" ref="J179:V179" si="32">SUM(J178)</f>
        <v>203</v>
      </c>
      <c r="K179" s="522">
        <f t="shared" si="32"/>
        <v>203</v>
      </c>
      <c r="L179" s="522">
        <f t="shared" si="32"/>
        <v>203</v>
      </c>
      <c r="M179" s="522">
        <f t="shared" si="32"/>
        <v>203</v>
      </c>
      <c r="N179" s="522">
        <f t="shared" si="32"/>
        <v>203</v>
      </c>
      <c r="O179" s="522">
        <f t="shared" si="32"/>
        <v>203</v>
      </c>
      <c r="P179" s="522">
        <f t="shared" si="32"/>
        <v>203</v>
      </c>
      <c r="Q179" s="522">
        <f t="shared" si="32"/>
        <v>203</v>
      </c>
      <c r="R179" s="522">
        <f t="shared" si="32"/>
        <v>203</v>
      </c>
      <c r="S179" s="522">
        <f t="shared" si="32"/>
        <v>203</v>
      </c>
      <c r="T179" s="522">
        <f t="shared" si="32"/>
        <v>203</v>
      </c>
      <c r="U179" s="522">
        <f t="shared" si="32"/>
        <v>0</v>
      </c>
      <c r="V179" s="522">
        <f t="shared" si="32"/>
        <v>2435</v>
      </c>
      <c r="W179" s="97" t="str">
        <f>+IF(V179=SUM(H179:T179),"contrôle ok", "erreur")</f>
        <v>contrôle ok</v>
      </c>
    </row>
    <row r="180" spans="1:24" ht="11.25" thickTop="1" x14ac:dyDescent="0.15">
      <c r="A180" s="33"/>
      <c r="B180" s="33"/>
      <c r="C180" s="34"/>
      <c r="D180" s="35"/>
      <c r="E180" s="36"/>
      <c r="F180" s="35"/>
      <c r="G180" s="100"/>
      <c r="H180" s="229"/>
      <c r="I180" s="229"/>
      <c r="J180" s="229"/>
      <c r="K180" s="229"/>
      <c r="L180" s="229"/>
      <c r="M180" s="229"/>
      <c r="N180" s="257"/>
      <c r="O180" s="229"/>
      <c r="P180" s="229"/>
      <c r="Q180" s="229"/>
      <c r="R180" s="229"/>
      <c r="S180" s="229"/>
      <c r="T180" s="229"/>
      <c r="U180" s="229"/>
      <c r="V180" s="258"/>
      <c r="W180" s="37"/>
    </row>
    <row r="181" spans="1:24" x14ac:dyDescent="0.15">
      <c r="A181" s="27" t="s">
        <v>16</v>
      </c>
      <c r="B181" s="28"/>
      <c r="C181" s="29"/>
      <c r="D181" s="30"/>
      <c r="E181" s="30"/>
      <c r="F181" s="31"/>
      <c r="G181" s="101"/>
      <c r="H181" s="224"/>
      <c r="I181" s="224"/>
      <c r="J181" s="251"/>
      <c r="K181" s="224"/>
      <c r="L181" s="224"/>
      <c r="M181" s="224"/>
      <c r="N181" s="224"/>
      <c r="O181" s="224"/>
      <c r="P181" s="224"/>
      <c r="Q181" s="224"/>
      <c r="R181" s="224"/>
      <c r="S181" s="224"/>
      <c r="T181" s="224"/>
      <c r="U181" s="224"/>
      <c r="V181" s="252"/>
    </row>
    <row r="182" spans="1:24" x14ac:dyDescent="0.15">
      <c r="A182" s="143" t="s">
        <v>335</v>
      </c>
      <c r="B182" s="143"/>
      <c r="C182" s="144"/>
      <c r="D182" s="145">
        <v>628500</v>
      </c>
      <c r="E182" s="145" t="s">
        <v>73</v>
      </c>
      <c r="F182" s="145">
        <v>999999</v>
      </c>
      <c r="G182" s="165">
        <v>10940.43</v>
      </c>
      <c r="H182" s="559">
        <f>11380.09-11000</f>
        <v>380.09000000000015</v>
      </c>
      <c r="I182" s="226">
        <v>10940.43</v>
      </c>
      <c r="J182" s="226">
        <v>9766.27</v>
      </c>
      <c r="K182" s="226">
        <v>10725.11</v>
      </c>
      <c r="L182" s="226">
        <v>10929.38</v>
      </c>
      <c r="M182" s="226">
        <v>11683.95</v>
      </c>
      <c r="N182" s="226">
        <v>10725.11</v>
      </c>
      <c r="O182" s="226">
        <v>16320.52</v>
      </c>
      <c r="P182" s="226">
        <v>16404.8</v>
      </c>
      <c r="Q182" s="226">
        <v>15392.16</v>
      </c>
      <c r="R182" s="226">
        <v>15949.14</v>
      </c>
      <c r="S182" s="226">
        <v>16404.8</v>
      </c>
      <c r="T182" s="226"/>
      <c r="U182" s="582"/>
      <c r="V182" s="255">
        <f>SUM(H182:T182)</f>
        <v>145621.76000000001</v>
      </c>
      <c r="W182" s="6"/>
    </row>
    <row r="183" spans="1:24" s="37" customFormat="1" x14ac:dyDescent="0.15">
      <c r="A183" s="143" t="s">
        <v>174</v>
      </c>
      <c r="B183" s="143" t="s">
        <v>229</v>
      </c>
      <c r="C183" s="144"/>
      <c r="D183" s="145">
        <v>628500</v>
      </c>
      <c r="E183" s="145" t="s">
        <v>73</v>
      </c>
      <c r="F183" s="145">
        <v>999999</v>
      </c>
      <c r="G183" s="165">
        <v>91.6</v>
      </c>
      <c r="H183" s="559"/>
      <c r="I183" s="226">
        <v>93.05</v>
      </c>
      <c r="J183" s="226">
        <v>91.69</v>
      </c>
      <c r="K183" s="226">
        <v>91.69</v>
      </c>
      <c r="L183" s="226">
        <v>91.69</v>
      </c>
      <c r="M183" s="226">
        <v>91.69</v>
      </c>
      <c r="N183" s="226">
        <v>91.69</v>
      </c>
      <c r="O183" s="226">
        <v>91.69</v>
      </c>
      <c r="P183" s="226">
        <v>91.69</v>
      </c>
      <c r="Q183" s="226">
        <v>91.69</v>
      </c>
      <c r="R183" s="226">
        <v>91.69</v>
      </c>
      <c r="S183" s="226">
        <v>91.69</v>
      </c>
      <c r="T183" s="226">
        <v>91.69</v>
      </c>
      <c r="U183" s="582"/>
      <c r="V183" s="255">
        <f>SUM(H183:T183)</f>
        <v>1101.6400000000003</v>
      </c>
      <c r="W183" s="6"/>
      <c r="X183" s="16"/>
    </row>
    <row r="184" spans="1:24" ht="11.25" thickBot="1" x14ac:dyDescent="0.2">
      <c r="A184" s="516" t="s">
        <v>11</v>
      </c>
      <c r="B184" s="517"/>
      <c r="C184" s="518"/>
      <c r="D184" s="519"/>
      <c r="E184" s="516"/>
      <c r="F184" s="520"/>
      <c r="G184" s="521"/>
      <c r="H184" s="522">
        <f>SUM(H182:H183)</f>
        <v>380.09000000000015</v>
      </c>
      <c r="I184" s="522">
        <f t="shared" ref="I184:V184" si="33">SUM(I182:I183)</f>
        <v>11033.48</v>
      </c>
      <c r="J184" s="522">
        <f t="shared" si="33"/>
        <v>9857.9600000000009</v>
      </c>
      <c r="K184" s="522">
        <f t="shared" si="33"/>
        <v>10816.800000000001</v>
      </c>
      <c r="L184" s="522">
        <f t="shared" si="33"/>
        <v>11021.07</v>
      </c>
      <c r="M184" s="522">
        <f t="shared" si="33"/>
        <v>11775.640000000001</v>
      </c>
      <c r="N184" s="522">
        <f t="shared" si="33"/>
        <v>10816.800000000001</v>
      </c>
      <c r="O184" s="522">
        <f t="shared" si="33"/>
        <v>16412.21</v>
      </c>
      <c r="P184" s="522">
        <f t="shared" si="33"/>
        <v>16496.489999999998</v>
      </c>
      <c r="Q184" s="522">
        <f t="shared" si="33"/>
        <v>15483.85</v>
      </c>
      <c r="R184" s="522">
        <f t="shared" si="33"/>
        <v>16040.83</v>
      </c>
      <c r="S184" s="522">
        <f t="shared" si="33"/>
        <v>16496.489999999998</v>
      </c>
      <c r="T184" s="522">
        <f t="shared" si="33"/>
        <v>91.69</v>
      </c>
      <c r="U184" s="522">
        <f t="shared" si="33"/>
        <v>0</v>
      </c>
      <c r="V184" s="522">
        <f t="shared" si="33"/>
        <v>146723.40000000002</v>
      </c>
      <c r="W184" s="97" t="str">
        <f>+IF(V184=SUM(H184:T184),"contrôle ok", "erreur")</f>
        <v>contrôle ok</v>
      </c>
    </row>
    <row r="185" spans="1:24" ht="11.25" thickTop="1" x14ac:dyDescent="0.15"/>
    <row r="208" spans="8:9" x14ac:dyDescent="0.15">
      <c r="H208" s="16" t="s">
        <v>317</v>
      </c>
      <c r="I208" s="16" t="s">
        <v>317</v>
      </c>
    </row>
  </sheetData>
  <customSheetViews>
    <customSheetView guid="{4BA9EA0D-01E7-49D1-8245-80B9A9A68B6F}" showPageBreaks="1" fitToPage="1" printArea="1">
      <pane ySplit="4" topLeftCell="A107" activePane="bottomLeft" state="frozen"/>
      <selection pane="bottomLeft" activeCell="T123" sqref="T123"/>
      <rowBreaks count="3" manualBreakCount="3">
        <brk id="71" max="20" man="1"/>
        <brk id="110" max="20" man="1"/>
        <brk id="181" max="20" man="1"/>
      </rowBreaks>
      <pageMargins left="0.25" right="0.25" top="0.75" bottom="0.75" header="0.3" footer="0.3"/>
      <printOptions horizontalCentered="1" verticalCentered="1"/>
      <pageSetup paperSize="9" scale="66" fitToHeight="0" orientation="landscape" r:id="rId1"/>
      <headerFooter alignWithMargins="0">
        <oddFooter>&amp;R&amp;8Le &amp;D
&amp;T</oddFooter>
      </headerFooter>
    </customSheetView>
    <customSheetView guid="{B5B04B19-0628-445C-9CF3-7F5D4D937774}" fitToPage="1">
      <pane ySplit="4" topLeftCell="A140" activePane="bottomLeft" state="frozen"/>
      <selection pane="bottomLeft" activeCell="R109" sqref="R109"/>
      <rowBreaks count="1" manualBreakCount="1">
        <brk id="110" max="20" man="1"/>
      </rowBreaks>
      <pageMargins left="0.25" right="0.25" top="0.75" bottom="0.75" header="0.3" footer="0.3"/>
      <printOptions horizontalCentered="1" verticalCentered="1"/>
      <pageSetup paperSize="9" scale="67" fitToHeight="0" orientation="landscape" r:id="rId2"/>
      <headerFooter alignWithMargins="0">
        <oddFooter>&amp;R&amp;8Le &amp;D
&amp;T</oddFooter>
      </headerFooter>
    </customSheetView>
    <customSheetView guid="{DD021BEF-F767-4779-A362-C9308ACC088B}" fitToPage="1">
      <pane ySplit="4" topLeftCell="A58" activePane="bottomLeft" state="frozen"/>
      <selection pane="bottomLeft" activeCell="S67" sqref="S67"/>
      <rowBreaks count="1" manualBreakCount="1">
        <brk id="110" max="20" man="1"/>
      </rowBreaks>
      <pageMargins left="0.25" right="0.25" top="0.75" bottom="0.75" header="0.3" footer="0.3"/>
      <printOptions horizontalCentered="1" verticalCentered="1"/>
      <pageSetup paperSize="9" scale="66" fitToHeight="0" orientation="landscape" r:id="rId3"/>
      <headerFooter alignWithMargins="0">
        <oddFooter>&amp;R&amp;8Le &amp;D
&amp;T</oddFooter>
      </headerFooter>
    </customSheetView>
    <customSheetView guid="{C8B269C8-9E4E-47CC-A407-F213FAC1E35C}" fitToPage="1">
      <pane ySplit="4" topLeftCell="A5" activePane="bottomLeft" state="frozen"/>
      <selection pane="bottomLeft" activeCell="S29" sqref="S29"/>
      <rowBreaks count="1" manualBreakCount="1">
        <brk id="110" max="20" man="1"/>
      </rowBreaks>
      <pageMargins left="0.25" right="0.25" top="0.75" bottom="0.75" header="0.3" footer="0.3"/>
      <printOptions horizontalCentered="1" verticalCentered="1"/>
      <pageSetup paperSize="9" scale="66" fitToHeight="0" orientation="landscape" r:id="rId4"/>
      <headerFooter alignWithMargins="0">
        <oddFooter>&amp;R&amp;8Le &amp;D
&amp;T</oddFooter>
      </headerFooter>
    </customSheetView>
  </customSheetViews>
  <mergeCells count="3">
    <mergeCell ref="L1:M1"/>
    <mergeCell ref="Q96:R96"/>
    <mergeCell ref="Q173:S173"/>
  </mergeCells>
  <phoneticPr fontId="0" type="noConversion"/>
  <printOptions horizontalCentered="1" verticalCentered="1"/>
  <pageMargins left="0.25" right="0.25" top="0.75" bottom="0.75" header="0.3" footer="0.3"/>
  <pageSetup paperSize="9" scale="66" fitToHeight="0" orientation="landscape" r:id="rId5"/>
  <headerFooter alignWithMargins="0">
    <oddFooter>&amp;R&amp;8Le &amp;D
&amp;T</oddFooter>
  </headerFooter>
  <rowBreaks count="1" manualBreakCount="1">
    <brk id="111" max="20" man="1"/>
  </rowBreaks>
  <drawing r:id="rId6"/>
  <legacyDrawing r:id="rId7"/>
  <controls>
    <mc:AlternateContent xmlns:mc="http://schemas.openxmlformats.org/markup-compatibility/2006">
      <mc:Choice Requires="x14">
        <control shapeId="1040" r:id="rId8" name="ComboBox1">
          <controlPr defaultSize="0" autoFill="0" autoLine="0" listFillRange="COMPTE" r:id="rId9">
            <anchor>
              <from>
                <xdr:col>1</xdr:col>
                <xdr:colOff>190500</xdr:colOff>
                <xdr:row>0</xdr:row>
                <xdr:rowOff>9525</xdr:rowOff>
              </from>
              <to>
                <xdr:col>2</xdr:col>
                <xdr:colOff>152400</xdr:colOff>
                <xdr:row>1</xdr:row>
                <xdr:rowOff>85725</xdr:rowOff>
              </to>
            </anchor>
          </controlPr>
        </control>
      </mc:Choice>
      <mc:Fallback>
        <control shapeId="1040" r:id="rId8" name="Combo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Y199"/>
  <sheetViews>
    <sheetView zoomScale="115" zoomScaleNormal="115" workbookViewId="0">
      <pane xSplit="7" ySplit="3" topLeftCell="K158" activePane="bottomRight" state="frozen"/>
      <selection activeCell="T231" sqref="T231:U231"/>
      <selection pane="topRight" activeCell="T231" sqref="T231:U231"/>
      <selection pane="bottomLeft" activeCell="T231" sqref="T231:U231"/>
      <selection pane="bottomRight" activeCell="E1" sqref="E1:E1048576"/>
    </sheetView>
  </sheetViews>
  <sheetFormatPr baseColWidth="10" defaultRowHeight="10.5" x14ac:dyDescent="0.15"/>
  <cols>
    <col min="1" max="1" width="21.85546875" style="16" customWidth="1"/>
    <col min="2" max="2" width="16.7109375" style="16" customWidth="1"/>
    <col min="3" max="3" width="12.42578125" style="17" customWidth="1"/>
    <col min="4" max="4" width="7.85546875" style="18" bestFit="1" customWidth="1"/>
    <col min="5" max="5" width="7.5703125" style="18" customWidth="1"/>
    <col min="6" max="6" width="8.140625" style="18" customWidth="1"/>
    <col min="7" max="7" width="10.28515625" style="106" customWidth="1"/>
    <col min="8" max="9" width="10.140625" style="16" customWidth="1"/>
    <col min="10" max="10" width="10.28515625" style="16" customWidth="1"/>
    <col min="11" max="11" width="10.5703125" style="16" customWidth="1"/>
    <col min="12" max="13" width="10.42578125" style="16" customWidth="1"/>
    <col min="14" max="14" width="9.42578125" style="16" customWidth="1"/>
    <col min="15" max="15" width="10.85546875" style="16" customWidth="1"/>
    <col min="16" max="17" width="9.28515625" style="16" bestFit="1" customWidth="1"/>
    <col min="18" max="18" width="9.5703125" style="16" customWidth="1"/>
    <col min="19" max="19" width="9.28515625" style="16" bestFit="1" customWidth="1"/>
    <col min="20" max="21" width="10" style="16" customWidth="1"/>
    <col min="22" max="22" width="12" style="16" customWidth="1"/>
    <col min="23" max="16384" width="11.42578125" style="16"/>
  </cols>
  <sheetData>
    <row r="1" spans="1:23" ht="12.75" x14ac:dyDescent="0.2">
      <c r="A1" s="147" t="s">
        <v>674</v>
      </c>
      <c r="G1" s="102"/>
      <c r="H1" s="59"/>
      <c r="I1" s="59"/>
      <c r="J1" s="19"/>
      <c r="K1" s="19"/>
      <c r="L1" s="60"/>
      <c r="M1" s="60"/>
      <c r="N1" s="60"/>
      <c r="O1" s="60"/>
      <c r="P1" s="60"/>
      <c r="Q1" s="60"/>
      <c r="R1" s="60"/>
      <c r="S1" s="14"/>
      <c r="T1" s="14"/>
      <c r="U1" s="14"/>
      <c r="V1" s="14"/>
    </row>
    <row r="2" spans="1:23" ht="11.25" thickBot="1" x14ac:dyDescent="0.2">
      <c r="A2" s="37"/>
      <c r="G2" s="109"/>
      <c r="H2" s="4"/>
      <c r="I2" s="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</row>
    <row r="3" spans="1:23" s="17" customFormat="1" ht="11.25" thickBot="1" x14ac:dyDescent="0.2">
      <c r="A3" s="149" t="s">
        <v>0</v>
      </c>
      <c r="B3" s="63" t="s">
        <v>1</v>
      </c>
      <c r="C3" s="63" t="s">
        <v>2</v>
      </c>
      <c r="D3" s="63"/>
      <c r="E3" s="63"/>
      <c r="F3" s="63"/>
      <c r="G3" s="99" t="s">
        <v>4</v>
      </c>
      <c r="H3" s="408">
        <v>2016</v>
      </c>
      <c r="I3" s="65" t="s">
        <v>55</v>
      </c>
      <c r="J3" s="65" t="s">
        <v>56</v>
      </c>
      <c r="K3" s="65" t="s">
        <v>5</v>
      </c>
      <c r="L3" s="65" t="s">
        <v>6</v>
      </c>
      <c r="M3" s="65" t="s">
        <v>7</v>
      </c>
      <c r="N3" s="65" t="s">
        <v>8</v>
      </c>
      <c r="O3" s="65" t="s">
        <v>65</v>
      </c>
      <c r="P3" s="65" t="s">
        <v>64</v>
      </c>
      <c r="Q3" s="65" t="s">
        <v>49</v>
      </c>
      <c r="R3" s="65" t="s">
        <v>50</v>
      </c>
      <c r="S3" s="65" t="s">
        <v>59</v>
      </c>
      <c r="T3" s="65" t="s">
        <v>51</v>
      </c>
      <c r="U3" s="65" t="s">
        <v>866</v>
      </c>
      <c r="V3" s="67" t="s">
        <v>66</v>
      </c>
    </row>
    <row r="4" spans="1:23" x14ac:dyDescent="0.15">
      <c r="A4" s="86"/>
      <c r="B4" s="87"/>
      <c r="C4" s="88"/>
      <c r="D4" s="90"/>
      <c r="E4" s="90"/>
      <c r="F4" s="90"/>
      <c r="G4" s="121"/>
      <c r="H4" s="112"/>
      <c r="I4" s="112"/>
      <c r="J4" s="91"/>
      <c r="K4" s="91"/>
      <c r="L4" s="91"/>
      <c r="M4" s="91"/>
      <c r="N4" s="91"/>
      <c r="O4" s="91"/>
      <c r="P4" s="91"/>
      <c r="Q4" s="91"/>
      <c r="R4" s="91"/>
      <c r="S4" s="91"/>
      <c r="T4" s="91"/>
      <c r="U4" s="91"/>
      <c r="V4" s="113"/>
    </row>
    <row r="5" spans="1:23" x14ac:dyDescent="0.15">
      <c r="A5" s="27" t="s">
        <v>176</v>
      </c>
      <c r="B5" s="28"/>
      <c r="C5" s="29"/>
      <c r="D5" s="30"/>
      <c r="E5" s="30"/>
      <c r="F5" s="31"/>
      <c r="G5" s="101"/>
      <c r="H5" s="9"/>
      <c r="I5" s="9"/>
      <c r="J5" s="10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32"/>
    </row>
    <row r="6" spans="1:23" x14ac:dyDescent="0.15">
      <c r="A6" s="143" t="s">
        <v>177</v>
      </c>
      <c r="B6" s="143"/>
      <c r="C6" s="144"/>
      <c r="D6" s="145">
        <v>606801</v>
      </c>
      <c r="E6" s="145" t="s">
        <v>68</v>
      </c>
      <c r="F6" s="145">
        <v>999999</v>
      </c>
      <c r="G6" s="165">
        <v>400</v>
      </c>
      <c r="H6" s="559">
        <f>1335.64-800-488+488</f>
        <v>535.6400000000001</v>
      </c>
      <c r="I6" s="226">
        <v>1262</v>
      </c>
      <c r="J6" s="226">
        <v>644.82000000000005</v>
      </c>
      <c r="K6" s="226">
        <v>624.64</v>
      </c>
      <c r="L6" s="226">
        <f>499.54</f>
        <v>499.54</v>
      </c>
      <c r="M6" s="226">
        <v>674.9</v>
      </c>
      <c r="N6" s="327">
        <v>44.63</v>
      </c>
      <c r="O6" s="327">
        <v>1130.99</v>
      </c>
      <c r="P6" s="300">
        <v>609.54</v>
      </c>
      <c r="Q6" s="297">
        <v>571.62</v>
      </c>
      <c r="R6" s="297">
        <v>152.99</v>
      </c>
      <c r="S6" s="620">
        <v>400</v>
      </c>
      <c r="T6" s="297"/>
      <c r="U6" s="620"/>
      <c r="V6" s="226">
        <f>SUM(H6:T6)</f>
        <v>7151.3099999999995</v>
      </c>
    </row>
    <row r="7" spans="1:23" s="37" customFormat="1" ht="11.25" thickBot="1" x14ac:dyDescent="0.2">
      <c r="A7" s="516" t="s">
        <v>11</v>
      </c>
      <c r="B7" s="527"/>
      <c r="C7" s="533"/>
      <c r="D7" s="534"/>
      <c r="E7" s="516"/>
      <c r="F7" s="529"/>
      <c r="G7" s="521"/>
      <c r="H7" s="530">
        <f>SUM(H6:H6)</f>
        <v>535.6400000000001</v>
      </c>
      <c r="I7" s="530">
        <f t="shared" ref="I7:V7" si="0">SUM(I6:I6)</f>
        <v>1262</v>
      </c>
      <c r="J7" s="530">
        <f t="shared" si="0"/>
        <v>644.82000000000005</v>
      </c>
      <c r="K7" s="522">
        <f t="shared" si="0"/>
        <v>624.64</v>
      </c>
      <c r="L7" s="530">
        <f t="shared" si="0"/>
        <v>499.54</v>
      </c>
      <c r="M7" s="530">
        <f t="shared" si="0"/>
        <v>674.9</v>
      </c>
      <c r="N7" s="522">
        <f t="shared" si="0"/>
        <v>44.63</v>
      </c>
      <c r="O7" s="530">
        <f t="shared" si="0"/>
        <v>1130.99</v>
      </c>
      <c r="P7" s="522">
        <f t="shared" si="0"/>
        <v>609.54</v>
      </c>
      <c r="Q7" s="530">
        <f t="shared" si="0"/>
        <v>571.62</v>
      </c>
      <c r="R7" s="522">
        <f t="shared" si="0"/>
        <v>152.99</v>
      </c>
      <c r="S7" s="530">
        <f t="shared" si="0"/>
        <v>400</v>
      </c>
      <c r="T7" s="522">
        <f t="shared" si="0"/>
        <v>0</v>
      </c>
      <c r="U7" s="522">
        <f t="shared" si="0"/>
        <v>0</v>
      </c>
      <c r="V7" s="530">
        <f t="shared" si="0"/>
        <v>7151.3099999999995</v>
      </c>
      <c r="W7" s="97" t="str">
        <f>+IF(V7=SUM(H7:T7),"contrôle ok", "erreur")</f>
        <v>contrôle ok</v>
      </c>
    </row>
    <row r="8" spans="1:23" s="37" customFormat="1" ht="11.25" thickTop="1" x14ac:dyDescent="0.15">
      <c r="A8" s="33"/>
      <c r="B8" s="33"/>
      <c r="C8" s="34"/>
      <c r="D8" s="35"/>
      <c r="E8" s="36"/>
      <c r="F8" s="35"/>
      <c r="G8" s="100"/>
      <c r="H8" s="229"/>
      <c r="I8" s="229"/>
      <c r="J8" s="229"/>
      <c r="K8" s="229"/>
      <c r="L8" s="229"/>
      <c r="M8" s="229"/>
      <c r="N8" s="257"/>
      <c r="O8" s="229"/>
      <c r="P8" s="229"/>
      <c r="Q8" s="229"/>
      <c r="R8" s="229"/>
      <c r="S8" s="229"/>
      <c r="T8" s="229"/>
      <c r="U8" s="229"/>
      <c r="V8" s="258"/>
    </row>
    <row r="9" spans="1:23" x14ac:dyDescent="0.15">
      <c r="A9" s="27" t="s">
        <v>41</v>
      </c>
      <c r="B9" s="28"/>
      <c r="C9" s="29"/>
      <c r="D9" s="30"/>
      <c r="E9" s="30"/>
      <c r="F9" s="31"/>
      <c r="G9" s="101"/>
      <c r="H9" s="224"/>
      <c r="I9" s="224"/>
      <c r="J9" s="251"/>
      <c r="K9" s="224"/>
      <c r="L9" s="224"/>
      <c r="M9" s="224"/>
      <c r="N9" s="224"/>
      <c r="O9" s="224"/>
      <c r="P9" s="224"/>
      <c r="Q9" s="224"/>
      <c r="R9" s="224"/>
      <c r="S9" s="224"/>
      <c r="T9" s="224"/>
      <c r="U9" s="224"/>
      <c r="V9" s="252"/>
    </row>
    <row r="10" spans="1:23" x14ac:dyDescent="0.15">
      <c r="A10" s="198" t="s">
        <v>363</v>
      </c>
      <c r="B10" s="199"/>
      <c r="C10" s="200"/>
      <c r="D10" s="143"/>
      <c r="E10" s="201" t="s">
        <v>234</v>
      </c>
      <c r="F10" s="202" t="s">
        <v>179</v>
      </c>
      <c r="G10" s="165">
        <v>400</v>
      </c>
      <c r="H10" s="566"/>
      <c r="I10" s="324">
        <v>360</v>
      </c>
      <c r="J10" s="324">
        <v>400</v>
      </c>
      <c r="K10" s="324">
        <v>400</v>
      </c>
      <c r="L10" s="324">
        <v>540</v>
      </c>
      <c r="M10" s="324">
        <v>320</v>
      </c>
      <c r="N10" s="324">
        <v>400</v>
      </c>
      <c r="O10" s="324">
        <v>520</v>
      </c>
      <c r="P10" s="324">
        <v>480</v>
      </c>
      <c r="Q10" s="226">
        <v>520</v>
      </c>
      <c r="R10" s="324">
        <v>360</v>
      </c>
      <c r="S10" s="324">
        <v>360</v>
      </c>
      <c r="T10" s="324"/>
      <c r="U10" s="657"/>
      <c r="V10" s="226">
        <f>SUM(H10:T10)</f>
        <v>4660</v>
      </c>
    </row>
    <row r="11" spans="1:23" x14ac:dyDescent="0.15">
      <c r="A11" s="198" t="s">
        <v>548</v>
      </c>
      <c r="B11" s="199"/>
      <c r="C11" s="200"/>
      <c r="D11" s="143"/>
      <c r="E11" s="201" t="s">
        <v>234</v>
      </c>
      <c r="F11" s="202" t="s">
        <v>269</v>
      </c>
      <c r="G11" s="202"/>
      <c r="H11" s="566"/>
      <c r="I11" s="324"/>
      <c r="J11" s="324"/>
      <c r="K11" s="324"/>
      <c r="L11" s="324"/>
      <c r="M11" s="324"/>
      <c r="N11" s="324"/>
      <c r="O11" s="226"/>
      <c r="P11" s="226"/>
      <c r="Q11" s="226"/>
      <c r="R11" s="325"/>
      <c r="S11" s="324"/>
      <c r="T11" s="324"/>
      <c r="U11" s="657"/>
      <c r="V11" s="226">
        <f>SUM(H11:T11)</f>
        <v>0</v>
      </c>
    </row>
    <row r="12" spans="1:23" x14ac:dyDescent="0.15">
      <c r="A12" s="198" t="s">
        <v>449</v>
      </c>
      <c r="B12" s="143"/>
      <c r="C12" s="200"/>
      <c r="D12" s="143"/>
      <c r="E12" s="201" t="s">
        <v>130</v>
      </c>
      <c r="F12" s="202" t="s">
        <v>192</v>
      </c>
      <c r="G12" s="202"/>
      <c r="H12" s="566"/>
      <c r="I12" s="324"/>
      <c r="J12" s="324"/>
      <c r="K12" s="324"/>
      <c r="L12" s="324"/>
      <c r="M12" s="324"/>
      <c r="N12" s="324"/>
      <c r="O12" s="226"/>
      <c r="P12" s="226"/>
      <c r="Q12" s="226"/>
      <c r="R12" s="325"/>
      <c r="S12" s="324"/>
      <c r="T12" s="324"/>
      <c r="U12" s="657"/>
      <c r="V12" s="226">
        <f>SUM(H12:T12)</f>
        <v>0</v>
      </c>
    </row>
    <row r="13" spans="1:23" x14ac:dyDescent="0.15">
      <c r="A13" s="198" t="s">
        <v>591</v>
      </c>
      <c r="B13" s="143"/>
      <c r="C13" s="200"/>
      <c r="D13" s="143"/>
      <c r="E13" s="201" t="s">
        <v>130</v>
      </c>
      <c r="F13" s="202" t="s">
        <v>179</v>
      </c>
      <c r="G13" s="165">
        <v>7243</v>
      </c>
      <c r="H13" s="566"/>
      <c r="I13" s="324">
        <v>7243</v>
      </c>
      <c r="J13" s="324">
        <v>7243</v>
      </c>
      <c r="K13" s="324">
        <v>7243</v>
      </c>
      <c r="L13" s="324">
        <v>7243</v>
      </c>
      <c r="M13" s="324">
        <v>7243</v>
      </c>
      <c r="N13" s="324">
        <v>7243</v>
      </c>
      <c r="O13" s="324">
        <v>7243</v>
      </c>
      <c r="P13" s="324">
        <v>7243</v>
      </c>
      <c r="Q13" s="324">
        <v>7243</v>
      </c>
      <c r="R13" s="324">
        <v>7243</v>
      </c>
      <c r="S13" s="324">
        <v>7243</v>
      </c>
      <c r="T13" s="324">
        <v>7243</v>
      </c>
      <c r="U13" s="657"/>
      <c r="V13" s="226">
        <f>SUM(H13:T13)</f>
        <v>86916</v>
      </c>
    </row>
    <row r="14" spans="1:23" s="37" customFormat="1" ht="11.25" thickBot="1" x14ac:dyDescent="0.2">
      <c r="A14" s="516" t="s">
        <v>11</v>
      </c>
      <c r="B14" s="517"/>
      <c r="C14" s="518"/>
      <c r="D14" s="519"/>
      <c r="E14" s="516"/>
      <c r="F14" s="520"/>
      <c r="G14" s="521"/>
      <c r="H14" s="522">
        <f t="shared" ref="H14:V14" si="1">SUM(H10:H13)</f>
        <v>0</v>
      </c>
      <c r="I14" s="522">
        <f t="shared" si="1"/>
        <v>7603</v>
      </c>
      <c r="J14" s="522">
        <f t="shared" si="1"/>
        <v>7643</v>
      </c>
      <c r="K14" s="522">
        <f t="shared" si="1"/>
        <v>7643</v>
      </c>
      <c r="L14" s="522">
        <f t="shared" si="1"/>
        <v>7783</v>
      </c>
      <c r="M14" s="522">
        <f t="shared" si="1"/>
        <v>7563</v>
      </c>
      <c r="N14" s="522">
        <f t="shared" si="1"/>
        <v>7643</v>
      </c>
      <c r="O14" s="522">
        <f t="shared" si="1"/>
        <v>7763</v>
      </c>
      <c r="P14" s="522">
        <f t="shared" si="1"/>
        <v>7723</v>
      </c>
      <c r="Q14" s="522">
        <f t="shared" si="1"/>
        <v>7763</v>
      </c>
      <c r="R14" s="522">
        <f t="shared" si="1"/>
        <v>7603</v>
      </c>
      <c r="S14" s="522">
        <f t="shared" si="1"/>
        <v>7603</v>
      </c>
      <c r="T14" s="522">
        <f t="shared" si="1"/>
        <v>7243</v>
      </c>
      <c r="U14" s="522">
        <f t="shared" si="1"/>
        <v>0</v>
      </c>
      <c r="V14" s="522">
        <f t="shared" si="1"/>
        <v>91576</v>
      </c>
      <c r="W14" s="97" t="str">
        <f>+IF(V14=SUM(H14:T14),"contrôle ok", "erreur")</f>
        <v>contrôle ok</v>
      </c>
    </row>
    <row r="15" spans="1:23" s="56" customFormat="1" ht="11.25" thickTop="1" x14ac:dyDescent="0.15">
      <c r="A15" s="54"/>
      <c r="B15" s="51"/>
      <c r="C15" s="52"/>
      <c r="D15" s="53"/>
      <c r="E15" s="120"/>
      <c r="F15" s="53"/>
      <c r="G15" s="108"/>
      <c r="H15" s="228"/>
      <c r="I15" s="228"/>
      <c r="J15" s="228"/>
      <c r="K15" s="228"/>
      <c r="L15" s="228"/>
      <c r="M15" s="228"/>
      <c r="N15" s="228"/>
      <c r="O15" s="228"/>
      <c r="P15" s="228"/>
      <c r="Q15" s="228"/>
      <c r="R15" s="228"/>
      <c r="S15" s="228"/>
      <c r="T15" s="228"/>
      <c r="U15" s="656"/>
      <c r="V15" s="228"/>
      <c r="W15" s="97"/>
    </row>
    <row r="16" spans="1:23" x14ac:dyDescent="0.15">
      <c r="A16" s="27" t="s">
        <v>519</v>
      </c>
      <c r="B16" s="28"/>
      <c r="C16" s="29"/>
      <c r="D16" s="30"/>
      <c r="E16" s="30"/>
      <c r="F16" s="31"/>
      <c r="G16" s="101"/>
      <c r="H16" s="224"/>
      <c r="I16" s="224"/>
      <c r="J16" s="251"/>
      <c r="K16" s="224"/>
      <c r="L16" s="224"/>
      <c r="M16" s="224"/>
      <c r="N16" s="224"/>
      <c r="O16" s="224"/>
      <c r="P16" s="224"/>
      <c r="Q16" s="224"/>
      <c r="R16" s="224"/>
      <c r="S16" s="224"/>
      <c r="T16" s="224"/>
      <c r="U16" s="224"/>
      <c r="V16" s="252"/>
    </row>
    <row r="17" spans="1:23" x14ac:dyDescent="0.15">
      <c r="A17" s="143"/>
      <c r="B17" s="143"/>
      <c r="C17" s="144"/>
      <c r="D17" s="145"/>
      <c r="E17" s="145" t="s">
        <v>130</v>
      </c>
      <c r="F17" s="145" t="s">
        <v>192</v>
      </c>
      <c r="G17" s="165"/>
      <c r="H17" s="559"/>
      <c r="I17" s="226"/>
      <c r="J17" s="226"/>
      <c r="K17" s="226"/>
      <c r="L17" s="226"/>
      <c r="M17" s="226"/>
      <c r="N17" s="327"/>
      <c r="O17" s="327"/>
      <c r="P17" s="300"/>
      <c r="Q17" s="326"/>
      <c r="R17" s="300"/>
      <c r="S17" s="226"/>
      <c r="T17" s="226"/>
      <c r="U17" s="583"/>
      <c r="V17" s="226">
        <f>SUM(H17:T17)</f>
        <v>0</v>
      </c>
    </row>
    <row r="18" spans="1:23" s="37" customFormat="1" ht="11.25" thickBot="1" x14ac:dyDescent="0.2">
      <c r="A18" s="516" t="s">
        <v>11</v>
      </c>
      <c r="B18" s="517"/>
      <c r="C18" s="518"/>
      <c r="D18" s="519"/>
      <c r="E18" s="516"/>
      <c r="F18" s="520"/>
      <c r="G18" s="521"/>
      <c r="H18" s="522">
        <f>SUM(H17)</f>
        <v>0</v>
      </c>
      <c r="I18" s="522">
        <f>SUM(I17)</f>
        <v>0</v>
      </c>
      <c r="J18" s="522">
        <f t="shared" ref="J18:V18" si="2">SUM(J17)</f>
        <v>0</v>
      </c>
      <c r="K18" s="522">
        <f t="shared" si="2"/>
        <v>0</v>
      </c>
      <c r="L18" s="522">
        <f t="shared" si="2"/>
        <v>0</v>
      </c>
      <c r="M18" s="522">
        <f t="shared" si="2"/>
        <v>0</v>
      </c>
      <c r="N18" s="522">
        <f t="shared" si="2"/>
        <v>0</v>
      </c>
      <c r="O18" s="522">
        <f t="shared" si="2"/>
        <v>0</v>
      </c>
      <c r="P18" s="522">
        <f t="shared" si="2"/>
        <v>0</v>
      </c>
      <c r="Q18" s="522">
        <f t="shared" si="2"/>
        <v>0</v>
      </c>
      <c r="R18" s="522">
        <f t="shared" si="2"/>
        <v>0</v>
      </c>
      <c r="S18" s="522">
        <f t="shared" si="2"/>
        <v>0</v>
      </c>
      <c r="T18" s="522">
        <f t="shared" si="2"/>
        <v>0</v>
      </c>
      <c r="U18" s="522">
        <f t="shared" si="2"/>
        <v>0</v>
      </c>
      <c r="V18" s="522">
        <f t="shared" si="2"/>
        <v>0</v>
      </c>
      <c r="W18" s="97" t="str">
        <f>+IF(V18=SUM(H18:T18),"contrôle ok", "erreur")</f>
        <v>contrôle ok</v>
      </c>
    </row>
    <row r="19" spans="1:23" s="56" customFormat="1" ht="11.25" thickTop="1" x14ac:dyDescent="0.15">
      <c r="A19" s="54"/>
      <c r="B19" s="51"/>
      <c r="C19" s="52"/>
      <c r="D19" s="53"/>
      <c r="E19" s="120"/>
      <c r="F19" s="53"/>
      <c r="G19" s="108"/>
      <c r="H19" s="228"/>
      <c r="I19" s="228"/>
      <c r="J19" s="228"/>
      <c r="K19" s="228"/>
      <c r="L19" s="228"/>
      <c r="M19" s="228"/>
      <c r="N19" s="228"/>
      <c r="O19" s="228"/>
      <c r="P19" s="228"/>
      <c r="Q19" s="228"/>
      <c r="R19" s="228"/>
      <c r="S19" s="228"/>
      <c r="T19" s="228"/>
      <c r="U19" s="228"/>
      <c r="V19" s="228"/>
      <c r="W19" s="97"/>
    </row>
    <row r="20" spans="1:23" s="56" customFormat="1" x14ac:dyDescent="0.15">
      <c r="A20" s="27" t="s">
        <v>534</v>
      </c>
      <c r="B20" s="28"/>
      <c r="C20" s="29"/>
      <c r="D20" s="134"/>
      <c r="E20" s="30"/>
      <c r="F20" s="31"/>
      <c r="G20" s="101"/>
      <c r="H20" s="224"/>
      <c r="I20" s="224"/>
      <c r="J20" s="251"/>
      <c r="K20" s="224"/>
      <c r="L20" s="224"/>
      <c r="M20" s="224"/>
      <c r="N20" s="224"/>
      <c r="O20" s="224"/>
      <c r="P20" s="224"/>
      <c r="Q20" s="224"/>
      <c r="R20" s="224"/>
      <c r="S20" s="224"/>
      <c r="T20" s="224"/>
      <c r="U20" s="224"/>
      <c r="V20" s="252"/>
      <c r="W20" s="97"/>
    </row>
    <row r="21" spans="1:23" s="56" customFormat="1" x14ac:dyDescent="0.15">
      <c r="A21" s="475" t="s">
        <v>171</v>
      </c>
      <c r="B21" s="494"/>
      <c r="C21" s="495"/>
      <c r="D21" s="496">
        <v>615114</v>
      </c>
      <c r="E21" s="475" t="s">
        <v>234</v>
      </c>
      <c r="F21" s="475" t="s">
        <v>192</v>
      </c>
      <c r="G21" s="163"/>
      <c r="H21" s="226">
        <f>160-160</f>
        <v>0</v>
      </c>
      <c r="I21" s="226">
        <f>160-160</f>
        <v>0</v>
      </c>
      <c r="J21" s="226">
        <f>320-160-160</f>
        <v>0</v>
      </c>
      <c r="K21" s="226"/>
      <c r="L21" s="226">
        <f>160-160</f>
        <v>0</v>
      </c>
      <c r="M21" s="226">
        <f>480-160-320</f>
        <v>0</v>
      </c>
      <c r="N21" s="226">
        <f>160</f>
        <v>160</v>
      </c>
      <c r="O21" s="226">
        <f>160*2</f>
        <v>320</v>
      </c>
      <c r="P21" s="226">
        <f>160*2</f>
        <v>320</v>
      </c>
      <c r="Q21" s="226">
        <f>160-160</f>
        <v>0</v>
      </c>
      <c r="R21" s="226">
        <v>640</v>
      </c>
      <c r="S21" s="226">
        <v>480</v>
      </c>
      <c r="T21" s="226"/>
      <c r="U21" s="583"/>
      <c r="V21" s="226">
        <f>SUM(H21:T21)</f>
        <v>1920</v>
      </c>
      <c r="W21" s="97"/>
    </row>
    <row r="22" spans="1:23" s="56" customFormat="1" x14ac:dyDescent="0.15">
      <c r="A22" s="493"/>
      <c r="B22" s="494"/>
      <c r="C22" s="495"/>
      <c r="D22" s="496">
        <v>615114</v>
      </c>
      <c r="E22" s="475" t="s">
        <v>234</v>
      </c>
      <c r="F22" s="475" t="s">
        <v>192</v>
      </c>
      <c r="G22" s="163"/>
      <c r="H22" s="226"/>
      <c r="I22" s="226"/>
      <c r="J22" s="226"/>
      <c r="K22" s="226"/>
      <c r="L22" s="226"/>
      <c r="M22" s="226"/>
      <c r="N22" s="226"/>
      <c r="O22" s="226"/>
      <c r="P22" s="226"/>
      <c r="Q22" s="226"/>
      <c r="R22" s="226"/>
      <c r="S22" s="226"/>
      <c r="T22" s="226"/>
      <c r="U22" s="583"/>
      <c r="V22" s="226">
        <f>SUM(H22:T22)</f>
        <v>0</v>
      </c>
      <c r="W22" s="97"/>
    </row>
    <row r="23" spans="1:23" s="37" customFormat="1" ht="11.25" thickBot="1" x14ac:dyDescent="0.2">
      <c r="A23" s="516" t="s">
        <v>11</v>
      </c>
      <c r="B23" s="517"/>
      <c r="C23" s="524"/>
      <c r="D23" s="525"/>
      <c r="E23" s="520"/>
      <c r="F23" s="526"/>
      <c r="G23" s="521"/>
      <c r="H23" s="522">
        <f>SUM(H21:H22)</f>
        <v>0</v>
      </c>
      <c r="I23" s="522">
        <f>SUM(I21:I22)</f>
        <v>0</v>
      </c>
      <c r="J23" s="522">
        <f t="shared" ref="J23:V23" si="3">SUM(J21:J22)</f>
        <v>0</v>
      </c>
      <c r="K23" s="522">
        <f t="shared" si="3"/>
        <v>0</v>
      </c>
      <c r="L23" s="522">
        <f t="shared" si="3"/>
        <v>0</v>
      </c>
      <c r="M23" s="522">
        <f t="shared" si="3"/>
        <v>0</v>
      </c>
      <c r="N23" s="522">
        <f t="shared" si="3"/>
        <v>160</v>
      </c>
      <c r="O23" s="522">
        <f t="shared" si="3"/>
        <v>320</v>
      </c>
      <c r="P23" s="522">
        <f t="shared" si="3"/>
        <v>320</v>
      </c>
      <c r="Q23" s="522">
        <f t="shared" si="3"/>
        <v>0</v>
      </c>
      <c r="R23" s="522">
        <f t="shared" si="3"/>
        <v>640</v>
      </c>
      <c r="S23" s="522">
        <f t="shared" si="3"/>
        <v>480</v>
      </c>
      <c r="T23" s="522">
        <f t="shared" si="3"/>
        <v>0</v>
      </c>
      <c r="U23" s="522">
        <f t="shared" si="3"/>
        <v>0</v>
      </c>
      <c r="V23" s="522">
        <f t="shared" si="3"/>
        <v>1920</v>
      </c>
      <c r="W23" s="97" t="str">
        <f>+IF(V23=SUM(H23:T23),"contrôle ok", "erreur")</f>
        <v>contrôle ok</v>
      </c>
    </row>
    <row r="24" spans="1:23" s="56" customFormat="1" ht="11.25" thickTop="1" x14ac:dyDescent="0.15">
      <c r="A24" s="54"/>
      <c r="B24" s="51"/>
      <c r="C24" s="52"/>
      <c r="D24" s="53"/>
      <c r="E24" s="120"/>
      <c r="F24" s="53"/>
      <c r="G24" s="108"/>
      <c r="H24" s="228"/>
      <c r="I24" s="228"/>
      <c r="J24" s="228"/>
      <c r="K24" s="228"/>
      <c r="L24" s="228"/>
      <c r="M24" s="228"/>
      <c r="N24" s="228"/>
      <c r="O24" s="228"/>
      <c r="P24" s="228"/>
      <c r="Q24" s="228"/>
      <c r="R24" s="228"/>
      <c r="S24" s="228"/>
      <c r="T24" s="228"/>
      <c r="U24" s="228"/>
      <c r="V24" s="228"/>
      <c r="W24" s="97"/>
    </row>
    <row r="25" spans="1:23" x14ac:dyDescent="0.15">
      <c r="A25" s="27" t="s">
        <v>244</v>
      </c>
      <c r="B25" s="28"/>
      <c r="C25" s="29"/>
      <c r="D25" s="30"/>
      <c r="E25" s="30"/>
      <c r="F25" s="31"/>
      <c r="G25" s="101"/>
      <c r="H25" s="224"/>
      <c r="I25" s="224"/>
      <c r="J25" s="251"/>
      <c r="K25" s="224"/>
      <c r="L25" s="224"/>
      <c r="M25" s="224"/>
      <c r="N25" s="224"/>
      <c r="O25" s="224"/>
      <c r="P25" s="224"/>
      <c r="Q25" s="224"/>
      <c r="R25" s="224"/>
      <c r="S25" s="224"/>
      <c r="T25" s="224"/>
      <c r="U25" s="224"/>
      <c r="V25" s="252"/>
    </row>
    <row r="26" spans="1:23" x14ac:dyDescent="0.15">
      <c r="A26" s="143"/>
      <c r="B26" s="143"/>
      <c r="C26" s="144"/>
      <c r="D26" s="145">
        <v>615130</v>
      </c>
      <c r="E26" s="145" t="s">
        <v>67</v>
      </c>
      <c r="F26" s="145" t="s">
        <v>248</v>
      </c>
      <c r="G26" s="165"/>
      <c r="H26" s="559"/>
      <c r="I26" s="226"/>
      <c r="J26" s="226"/>
      <c r="K26" s="226"/>
      <c r="L26" s="226"/>
      <c r="M26" s="226"/>
      <c r="N26" s="327"/>
      <c r="O26" s="327">
        <v>3689.23</v>
      </c>
      <c r="P26" s="300"/>
      <c r="Q26" s="326"/>
      <c r="R26" s="326"/>
      <c r="S26" s="326">
        <f>6718+10178+5567+2030+1539.22</f>
        <v>26032.22</v>
      </c>
      <c r="T26" s="226"/>
      <c r="U26" s="583"/>
      <c r="V26" s="226">
        <f>SUM(H26:T26)</f>
        <v>29721.45</v>
      </c>
    </row>
    <row r="27" spans="1:23" s="37" customFormat="1" ht="11.25" thickBot="1" x14ac:dyDescent="0.2">
      <c r="A27" s="516" t="s">
        <v>11</v>
      </c>
      <c r="B27" s="517"/>
      <c r="C27" s="518"/>
      <c r="D27" s="519"/>
      <c r="E27" s="516"/>
      <c r="F27" s="520"/>
      <c r="G27" s="521"/>
      <c r="H27" s="522">
        <f>SUM(H26)</f>
        <v>0</v>
      </c>
      <c r="I27" s="522">
        <f>SUM(I26)</f>
        <v>0</v>
      </c>
      <c r="J27" s="522">
        <f t="shared" ref="J27:V27" si="4">SUM(J26)</f>
        <v>0</v>
      </c>
      <c r="K27" s="522">
        <f t="shared" si="4"/>
        <v>0</v>
      </c>
      <c r="L27" s="522">
        <f t="shared" si="4"/>
        <v>0</v>
      </c>
      <c r="M27" s="522">
        <f t="shared" si="4"/>
        <v>0</v>
      </c>
      <c r="N27" s="522">
        <f t="shared" si="4"/>
        <v>0</v>
      </c>
      <c r="O27" s="522">
        <f t="shared" si="4"/>
        <v>3689.23</v>
      </c>
      <c r="P27" s="522">
        <f t="shared" si="4"/>
        <v>0</v>
      </c>
      <c r="Q27" s="522">
        <f t="shared" si="4"/>
        <v>0</v>
      </c>
      <c r="R27" s="522">
        <f t="shared" si="4"/>
        <v>0</v>
      </c>
      <c r="S27" s="522">
        <f t="shared" si="4"/>
        <v>26032.22</v>
      </c>
      <c r="T27" s="522">
        <f t="shared" si="4"/>
        <v>0</v>
      </c>
      <c r="U27" s="522">
        <f t="shared" si="4"/>
        <v>0</v>
      </c>
      <c r="V27" s="522">
        <f t="shared" si="4"/>
        <v>29721.45</v>
      </c>
      <c r="W27" s="97" t="str">
        <f>+IF(V27=SUM(H27:T27),"contrôle ok", "erreur")</f>
        <v>contrôle ok</v>
      </c>
    </row>
    <row r="28" spans="1:23" s="37" customFormat="1" ht="11.25" thickTop="1" x14ac:dyDescent="0.15">
      <c r="A28" s="33"/>
      <c r="B28" s="33"/>
      <c r="C28" s="34"/>
      <c r="D28" s="35"/>
      <c r="E28" s="36"/>
      <c r="F28" s="35"/>
      <c r="G28" s="100"/>
      <c r="H28" s="229"/>
      <c r="I28" s="229"/>
      <c r="J28" s="229"/>
      <c r="K28" s="229"/>
      <c r="L28" s="229"/>
      <c r="M28" s="229"/>
      <c r="N28" s="257"/>
      <c r="O28" s="229"/>
      <c r="P28" s="229"/>
      <c r="Q28" s="229"/>
      <c r="R28" s="229"/>
      <c r="S28" s="229"/>
      <c r="T28" s="229"/>
      <c r="U28" s="229"/>
      <c r="V28" s="258"/>
    </row>
    <row r="29" spans="1:23" x14ac:dyDescent="0.15">
      <c r="A29" s="27" t="s">
        <v>369</v>
      </c>
      <c r="B29" s="28"/>
      <c r="C29" s="29"/>
      <c r="D29" s="30"/>
      <c r="E29" s="30"/>
      <c r="F29" s="31"/>
      <c r="G29" s="101"/>
      <c r="H29" s="224"/>
      <c r="I29" s="224"/>
      <c r="J29" s="251"/>
      <c r="K29" s="224"/>
      <c r="L29" s="224"/>
      <c r="M29" s="224"/>
      <c r="N29" s="224"/>
      <c r="O29" s="224"/>
      <c r="P29" s="224"/>
      <c r="Q29" s="224"/>
      <c r="R29" s="224"/>
      <c r="S29" s="224"/>
      <c r="T29" s="224"/>
      <c r="U29" s="224"/>
      <c r="V29" s="252"/>
    </row>
    <row r="30" spans="1:23" x14ac:dyDescent="0.15">
      <c r="A30" s="46" t="s">
        <v>506</v>
      </c>
      <c r="B30" s="33"/>
      <c r="C30" s="34"/>
      <c r="D30" s="35"/>
      <c r="E30" s="173" t="s">
        <v>130</v>
      </c>
      <c r="F30" s="48" t="s">
        <v>192</v>
      </c>
      <c r="G30" s="100"/>
      <c r="H30" s="559"/>
      <c r="I30" s="255"/>
      <c r="J30" s="226"/>
      <c r="K30" s="226"/>
      <c r="L30" s="255"/>
      <c r="M30" s="255"/>
      <c r="N30" s="255"/>
      <c r="O30" s="255"/>
      <c r="P30" s="255"/>
      <c r="Q30" s="255"/>
      <c r="R30" s="255"/>
      <c r="S30" s="255"/>
      <c r="T30" s="226">
        <v>3780</v>
      </c>
      <c r="U30" s="583"/>
      <c r="V30" s="226">
        <f>SUM(H30:T30)</f>
        <v>3780</v>
      </c>
    </row>
    <row r="31" spans="1:23" x14ac:dyDescent="0.15">
      <c r="A31" s="46" t="s">
        <v>370</v>
      </c>
      <c r="B31" s="33"/>
      <c r="C31" s="34"/>
      <c r="D31" s="35"/>
      <c r="E31" s="173" t="s">
        <v>130</v>
      </c>
      <c r="F31" s="48" t="s">
        <v>269</v>
      </c>
      <c r="G31" s="100"/>
      <c r="H31" s="559">
        <v>948.8</v>
      </c>
      <c r="I31" s="255"/>
      <c r="J31" s="255">
        <v>1269.29</v>
      </c>
      <c r="K31" s="226"/>
      <c r="L31" s="255"/>
      <c r="M31" s="255">
        <v>340.96</v>
      </c>
      <c r="N31" s="255"/>
      <c r="O31" s="255"/>
      <c r="P31" s="255">
        <v>853.27</v>
      </c>
      <c r="Q31" s="255">
        <v>449.1</v>
      </c>
      <c r="R31" s="255"/>
      <c r="S31" s="255"/>
      <c r="T31" s="226"/>
      <c r="U31" s="583"/>
      <c r="V31" s="226">
        <f>SUM(H31:T31)</f>
        <v>3861.42</v>
      </c>
    </row>
    <row r="32" spans="1:23" ht="11.25" thickBot="1" x14ac:dyDescent="0.2">
      <c r="A32" s="516" t="s">
        <v>11</v>
      </c>
      <c r="B32" s="517"/>
      <c r="C32" s="518"/>
      <c r="D32" s="519"/>
      <c r="E32" s="516"/>
      <c r="F32" s="520"/>
      <c r="G32" s="521"/>
      <c r="H32" s="522">
        <f t="shared" ref="H32:S32" si="5">SUM(H30:H31)</f>
        <v>948.8</v>
      </c>
      <c r="I32" s="522">
        <f t="shared" si="5"/>
        <v>0</v>
      </c>
      <c r="J32" s="522">
        <f t="shared" si="5"/>
        <v>1269.29</v>
      </c>
      <c r="K32" s="522">
        <f t="shared" si="5"/>
        <v>0</v>
      </c>
      <c r="L32" s="522">
        <f t="shared" si="5"/>
        <v>0</v>
      </c>
      <c r="M32" s="522">
        <f t="shared" si="5"/>
        <v>340.96</v>
      </c>
      <c r="N32" s="522">
        <f t="shared" si="5"/>
        <v>0</v>
      </c>
      <c r="O32" s="522">
        <f t="shared" si="5"/>
        <v>0</v>
      </c>
      <c r="P32" s="522">
        <f t="shared" si="5"/>
        <v>853.27</v>
      </c>
      <c r="Q32" s="522">
        <f t="shared" si="5"/>
        <v>449.1</v>
      </c>
      <c r="R32" s="522">
        <f t="shared" si="5"/>
        <v>0</v>
      </c>
      <c r="S32" s="522">
        <f t="shared" si="5"/>
        <v>0</v>
      </c>
      <c r="T32" s="522">
        <f>SUM(T30:T31)</f>
        <v>3780</v>
      </c>
      <c r="U32" s="522">
        <f>SUM(U31:U31)</f>
        <v>0</v>
      </c>
      <c r="V32" s="522">
        <f>SUM(V30:V31)</f>
        <v>7641.42</v>
      </c>
      <c r="W32" s="97" t="str">
        <f>+IF(V32=SUM(H32:T32),"contrôle ok", "erreur")</f>
        <v>contrôle ok</v>
      </c>
    </row>
    <row r="33" spans="1:23" s="37" customFormat="1" ht="11.25" thickTop="1" x14ac:dyDescent="0.15">
      <c r="A33" s="33"/>
      <c r="B33" s="33"/>
      <c r="C33" s="34"/>
      <c r="D33" s="35"/>
      <c r="E33" s="36"/>
      <c r="F33" s="35"/>
      <c r="G33" s="100"/>
      <c r="H33" s="229"/>
      <c r="I33" s="229"/>
      <c r="J33" s="229"/>
      <c r="K33" s="229"/>
      <c r="L33" s="229"/>
      <c r="M33" s="229"/>
      <c r="N33" s="257"/>
      <c r="O33" s="229"/>
      <c r="P33" s="229"/>
      <c r="Q33" s="229"/>
      <c r="R33" s="229"/>
      <c r="S33" s="229"/>
      <c r="T33" s="229"/>
      <c r="U33" s="656"/>
      <c r="V33" s="258"/>
    </row>
    <row r="34" spans="1:23" x14ac:dyDescent="0.15">
      <c r="A34" s="27" t="s">
        <v>374</v>
      </c>
      <c r="B34" s="28"/>
      <c r="C34" s="29"/>
      <c r="D34" s="30"/>
      <c r="E34" s="30"/>
      <c r="F34" s="31"/>
      <c r="G34" s="101"/>
      <c r="H34" s="224"/>
      <c r="I34" s="224"/>
      <c r="J34" s="251"/>
      <c r="K34" s="224"/>
      <c r="L34" s="224"/>
      <c r="M34" s="224"/>
      <c r="N34" s="224"/>
      <c r="O34" s="224"/>
      <c r="P34" s="224"/>
      <c r="Q34" s="224"/>
      <c r="R34" s="224"/>
      <c r="S34" s="224"/>
      <c r="T34" s="224"/>
      <c r="U34" s="224"/>
      <c r="V34" s="252"/>
    </row>
    <row r="35" spans="1:23" x14ac:dyDescent="0.15">
      <c r="A35" s="33"/>
      <c r="B35" s="33"/>
      <c r="C35" s="34"/>
      <c r="D35" s="35"/>
      <c r="E35" s="173" t="s">
        <v>234</v>
      </c>
      <c r="F35" s="48" t="s">
        <v>192</v>
      </c>
      <c r="G35" s="100"/>
      <c r="H35" s="559"/>
      <c r="I35" s="226"/>
      <c r="J35" s="226"/>
      <c r="K35" s="226"/>
      <c r="L35" s="226"/>
      <c r="M35" s="226"/>
      <c r="N35" s="226"/>
      <c r="O35" s="226"/>
      <c r="P35" s="226"/>
      <c r="Q35" s="226"/>
      <c r="R35" s="226"/>
      <c r="S35" s="226"/>
      <c r="T35" s="226"/>
      <c r="U35" s="583"/>
      <c r="V35" s="226">
        <f>SUM(H35:T35)</f>
        <v>0</v>
      </c>
    </row>
    <row r="36" spans="1:23" ht="11.25" thickBot="1" x14ac:dyDescent="0.2">
      <c r="A36" s="516" t="s">
        <v>11</v>
      </c>
      <c r="B36" s="517"/>
      <c r="C36" s="518"/>
      <c r="D36" s="519"/>
      <c r="E36" s="516"/>
      <c r="F36" s="520"/>
      <c r="G36" s="521"/>
      <c r="H36" s="522">
        <f>SUM(H35:H35)</f>
        <v>0</v>
      </c>
      <c r="I36" s="522">
        <f t="shared" ref="I36:V36" si="6">SUM(I35:I35)</f>
        <v>0</v>
      </c>
      <c r="J36" s="522">
        <f t="shared" si="6"/>
        <v>0</v>
      </c>
      <c r="K36" s="522">
        <f t="shared" si="6"/>
        <v>0</v>
      </c>
      <c r="L36" s="522">
        <f t="shared" si="6"/>
        <v>0</v>
      </c>
      <c r="M36" s="522">
        <f t="shared" si="6"/>
        <v>0</v>
      </c>
      <c r="N36" s="522">
        <f t="shared" si="6"/>
        <v>0</v>
      </c>
      <c r="O36" s="522">
        <f t="shared" si="6"/>
        <v>0</v>
      </c>
      <c r="P36" s="522">
        <f t="shared" si="6"/>
        <v>0</v>
      </c>
      <c r="Q36" s="522">
        <f t="shared" si="6"/>
        <v>0</v>
      </c>
      <c r="R36" s="522">
        <f t="shared" si="6"/>
        <v>0</v>
      </c>
      <c r="S36" s="522">
        <f t="shared" si="6"/>
        <v>0</v>
      </c>
      <c r="T36" s="522">
        <f t="shared" si="6"/>
        <v>0</v>
      </c>
      <c r="U36" s="522">
        <f t="shared" si="6"/>
        <v>0</v>
      </c>
      <c r="V36" s="522">
        <f t="shared" si="6"/>
        <v>0</v>
      </c>
      <c r="W36" s="97" t="str">
        <f>+IF(V36=SUM(H36:T36),"contrôle ok", "erreur")</f>
        <v>contrôle ok</v>
      </c>
    </row>
    <row r="37" spans="1:23" s="98" customFormat="1" ht="11.25" thickTop="1" x14ac:dyDescent="0.15">
      <c r="A37" s="54"/>
      <c r="B37" s="51"/>
      <c r="C37" s="52"/>
      <c r="D37" s="53"/>
      <c r="E37" s="120"/>
      <c r="F37" s="53"/>
      <c r="G37" s="108"/>
      <c r="H37" s="228"/>
      <c r="I37" s="228"/>
      <c r="J37" s="228"/>
      <c r="K37" s="228"/>
      <c r="L37" s="228"/>
      <c r="M37" s="228"/>
      <c r="N37" s="228"/>
      <c r="O37" s="228"/>
      <c r="P37" s="228"/>
      <c r="Q37" s="228"/>
      <c r="R37" s="228"/>
      <c r="S37" s="228"/>
      <c r="T37" s="228"/>
      <c r="U37" s="228"/>
      <c r="V37" s="228"/>
      <c r="W37" s="97"/>
    </row>
    <row r="38" spans="1:23" s="37" customFormat="1" x14ac:dyDescent="0.15">
      <c r="A38" s="27" t="s">
        <v>250</v>
      </c>
      <c r="B38" s="28"/>
      <c r="C38" s="29"/>
      <c r="D38" s="30"/>
      <c r="E38" s="30"/>
      <c r="F38" s="31"/>
      <c r="G38" s="101"/>
      <c r="H38" s="224"/>
      <c r="I38" s="224"/>
      <c r="J38" s="251"/>
      <c r="K38" s="224"/>
      <c r="L38" s="224"/>
      <c r="M38" s="224"/>
      <c r="N38" s="224"/>
      <c r="O38" s="224"/>
      <c r="P38" s="224"/>
      <c r="Q38" s="224"/>
      <c r="R38" s="224"/>
      <c r="S38" s="224"/>
      <c r="T38" s="224"/>
      <c r="U38" s="224"/>
      <c r="V38" s="252"/>
      <c r="W38" s="16"/>
    </row>
    <row r="39" spans="1:23" s="37" customFormat="1" x14ac:dyDescent="0.15">
      <c r="A39" s="143" t="s">
        <v>193</v>
      </c>
      <c r="B39" s="143"/>
      <c r="C39" s="144"/>
      <c r="D39" s="145">
        <v>615140</v>
      </c>
      <c r="E39" s="145" t="s">
        <v>67</v>
      </c>
      <c r="F39" s="145" t="s">
        <v>192</v>
      </c>
      <c r="G39" s="165"/>
      <c r="H39" s="559"/>
      <c r="I39" s="226"/>
      <c r="J39" s="226"/>
      <c r="K39" s="226"/>
      <c r="L39" s="226"/>
      <c r="M39" s="226"/>
      <c r="N39" s="299"/>
      <c r="O39" s="296"/>
      <c r="P39" s="296"/>
      <c r="Q39" s="326"/>
      <c r="R39" s="297"/>
      <c r="S39" s="226"/>
      <c r="T39" s="226"/>
      <c r="U39" s="583"/>
      <c r="V39" s="226">
        <f>SUM(H39:T39)</f>
        <v>0</v>
      </c>
      <c r="W39" s="16"/>
    </row>
    <row r="40" spans="1:23" ht="12.6" customHeight="1" x14ac:dyDescent="0.15">
      <c r="A40" s="143" t="s">
        <v>641</v>
      </c>
      <c r="B40" s="143" t="s">
        <v>642</v>
      </c>
      <c r="C40" s="144" t="s">
        <v>415</v>
      </c>
      <c r="D40" s="145">
        <v>615140</v>
      </c>
      <c r="E40" s="145" t="s">
        <v>67</v>
      </c>
      <c r="F40" s="145" t="s">
        <v>179</v>
      </c>
      <c r="G40" s="165">
        <f>5250.75/3</f>
        <v>1750.25</v>
      </c>
      <c r="H40" s="559"/>
      <c r="I40" s="680">
        <v>5250.75</v>
      </c>
      <c r="J40" s="683"/>
      <c r="K40" s="681"/>
      <c r="L40" s="226">
        <v>1750.25</v>
      </c>
      <c r="M40" s="226">
        <v>1750.25</v>
      </c>
      <c r="N40" s="226">
        <v>1750.25</v>
      </c>
      <c r="O40" s="226">
        <v>1750.25</v>
      </c>
      <c r="P40" s="326">
        <v>1750.25</v>
      </c>
      <c r="Q40" s="326">
        <v>1750.25</v>
      </c>
      <c r="R40" s="326">
        <v>1750.25</v>
      </c>
      <c r="S40" s="326">
        <v>1750.25</v>
      </c>
      <c r="T40" s="326">
        <v>1750.25</v>
      </c>
      <c r="U40" s="655"/>
      <c r="V40" s="226">
        <f>SUM(H40:T40)</f>
        <v>21003</v>
      </c>
    </row>
    <row r="41" spans="1:23" ht="13.15" customHeight="1" thickBot="1" x14ac:dyDescent="0.2">
      <c r="A41" s="516" t="s">
        <v>11</v>
      </c>
      <c r="B41" s="517"/>
      <c r="C41" s="518"/>
      <c r="D41" s="519"/>
      <c r="E41" s="516"/>
      <c r="F41" s="520"/>
      <c r="G41" s="521"/>
      <c r="H41" s="522">
        <f t="shared" ref="H41:V41" si="7">SUM(H39:H40)</f>
        <v>0</v>
      </c>
      <c r="I41" s="522">
        <f>+I40</f>
        <v>5250.75</v>
      </c>
      <c r="J41" s="522"/>
      <c r="K41" s="522"/>
      <c r="L41" s="522">
        <f t="shared" si="7"/>
        <v>1750.25</v>
      </c>
      <c r="M41" s="522">
        <f t="shared" si="7"/>
        <v>1750.25</v>
      </c>
      <c r="N41" s="522">
        <f t="shared" si="7"/>
        <v>1750.25</v>
      </c>
      <c r="O41" s="522">
        <f t="shared" si="7"/>
        <v>1750.25</v>
      </c>
      <c r="P41" s="522">
        <f t="shared" si="7"/>
        <v>1750.25</v>
      </c>
      <c r="Q41" s="522">
        <f t="shared" si="7"/>
        <v>1750.25</v>
      </c>
      <c r="R41" s="522">
        <f t="shared" si="7"/>
        <v>1750.25</v>
      </c>
      <c r="S41" s="522">
        <f t="shared" si="7"/>
        <v>1750.25</v>
      </c>
      <c r="T41" s="522">
        <f t="shared" si="7"/>
        <v>1750.25</v>
      </c>
      <c r="U41" s="522">
        <f t="shared" si="7"/>
        <v>0</v>
      </c>
      <c r="V41" s="522">
        <f t="shared" si="7"/>
        <v>21003</v>
      </c>
      <c r="W41" s="97" t="str">
        <f>+IF(V41=SUM(H41:T41),"contrôle ok", "erreur")</f>
        <v>contrôle ok</v>
      </c>
    </row>
    <row r="42" spans="1:23" ht="11.25" thickTop="1" x14ac:dyDescent="0.15">
      <c r="A42" s="93"/>
      <c r="B42" s="33"/>
      <c r="C42" s="34"/>
      <c r="D42" s="35"/>
      <c r="E42" s="36"/>
      <c r="F42" s="35"/>
      <c r="G42" s="100"/>
      <c r="H42" s="229"/>
      <c r="I42" s="229"/>
      <c r="J42" s="229"/>
      <c r="K42" s="229"/>
      <c r="L42" s="229"/>
      <c r="M42" s="229"/>
      <c r="N42" s="257"/>
      <c r="O42" s="229"/>
      <c r="P42" s="229"/>
      <c r="Q42" s="229"/>
      <c r="R42" s="229"/>
      <c r="S42" s="229"/>
      <c r="T42" s="229"/>
      <c r="U42" s="229"/>
      <c r="V42" s="258"/>
      <c r="W42" s="37"/>
    </row>
    <row r="43" spans="1:23" s="37" customFormat="1" x14ac:dyDescent="0.15">
      <c r="A43" s="27" t="s">
        <v>129</v>
      </c>
      <c r="B43" s="28"/>
      <c r="C43" s="29"/>
      <c r="D43" s="30"/>
      <c r="E43" s="30"/>
      <c r="F43" s="31"/>
      <c r="G43" s="101"/>
      <c r="H43" s="224"/>
      <c r="I43" s="224"/>
      <c r="J43" s="251"/>
      <c r="K43" s="224"/>
      <c r="L43" s="224"/>
      <c r="M43" s="224"/>
      <c r="N43" s="224"/>
      <c r="O43" s="224"/>
      <c r="P43" s="224"/>
      <c r="Q43" s="224"/>
      <c r="R43" s="224"/>
      <c r="S43" s="224"/>
      <c r="T43" s="224"/>
      <c r="U43" s="224"/>
      <c r="V43" s="252"/>
      <c r="W43" s="16"/>
    </row>
    <row r="44" spans="1:23" s="37" customFormat="1" x14ac:dyDescent="0.15">
      <c r="A44" s="143" t="s">
        <v>347</v>
      </c>
      <c r="B44" s="143"/>
      <c r="C44" s="144"/>
      <c r="D44" s="145">
        <v>615145</v>
      </c>
      <c r="E44" s="145" t="s">
        <v>68</v>
      </c>
      <c r="F44" s="145" t="s">
        <v>192</v>
      </c>
      <c r="G44" s="165"/>
      <c r="H44" s="559"/>
      <c r="I44" s="226"/>
      <c r="J44" s="226"/>
      <c r="K44" s="226"/>
      <c r="L44" s="226"/>
      <c r="M44" s="226"/>
      <c r="N44" s="297"/>
      <c r="O44" s="327"/>
      <c r="P44" s="300"/>
      <c r="Q44" s="326"/>
      <c r="R44" s="300"/>
      <c r="S44" s="226"/>
      <c r="T44" s="226"/>
      <c r="U44" s="583"/>
      <c r="V44" s="226">
        <f>SUM(H44:T44)</f>
        <v>0</v>
      </c>
      <c r="W44" s="16"/>
    </row>
    <row r="45" spans="1:23" x14ac:dyDescent="0.15">
      <c r="A45" s="143" t="s">
        <v>347</v>
      </c>
      <c r="B45" s="143"/>
      <c r="C45" s="144"/>
      <c r="D45" s="145">
        <v>615145</v>
      </c>
      <c r="E45" s="145" t="s">
        <v>130</v>
      </c>
      <c r="F45" s="145" t="s">
        <v>192</v>
      </c>
      <c r="G45" s="165"/>
      <c r="H45" s="559"/>
      <c r="I45" s="226"/>
      <c r="J45" s="226"/>
      <c r="K45" s="226"/>
      <c r="L45" s="226"/>
      <c r="M45" s="226"/>
      <c r="N45" s="297"/>
      <c r="O45" s="327"/>
      <c r="P45" s="300"/>
      <c r="Q45" s="326">
        <v>30.9</v>
      </c>
      <c r="R45" s="300"/>
      <c r="S45" s="226"/>
      <c r="T45" s="226"/>
      <c r="U45" s="583"/>
      <c r="V45" s="226">
        <f>SUM(H45:T45)</f>
        <v>30.9</v>
      </c>
    </row>
    <row r="46" spans="1:23" ht="11.25" thickBot="1" x14ac:dyDescent="0.2">
      <c r="A46" s="516" t="s">
        <v>11</v>
      </c>
      <c r="B46" s="517"/>
      <c r="C46" s="518"/>
      <c r="D46" s="519"/>
      <c r="E46" s="516"/>
      <c r="F46" s="520"/>
      <c r="G46" s="521">
        <v>0</v>
      </c>
      <c r="H46" s="522">
        <f>SUM(H45)</f>
        <v>0</v>
      </c>
      <c r="I46" s="522">
        <f>SUM(I45)</f>
        <v>0</v>
      </c>
      <c r="J46" s="522">
        <f t="shared" ref="J46:V46" si="8">SUM(J45)</f>
        <v>0</v>
      </c>
      <c r="K46" s="522">
        <f t="shared" si="8"/>
        <v>0</v>
      </c>
      <c r="L46" s="522">
        <f t="shared" si="8"/>
        <v>0</v>
      </c>
      <c r="M46" s="522">
        <f t="shared" si="8"/>
        <v>0</v>
      </c>
      <c r="N46" s="522">
        <f t="shared" si="8"/>
        <v>0</v>
      </c>
      <c r="O46" s="522">
        <f t="shared" si="8"/>
        <v>0</v>
      </c>
      <c r="P46" s="522">
        <f t="shared" si="8"/>
        <v>0</v>
      </c>
      <c r="Q46" s="522">
        <f t="shared" si="8"/>
        <v>30.9</v>
      </c>
      <c r="R46" s="522">
        <f t="shared" si="8"/>
        <v>0</v>
      </c>
      <c r="S46" s="522">
        <f t="shared" si="8"/>
        <v>0</v>
      </c>
      <c r="T46" s="522">
        <f t="shared" si="8"/>
        <v>0</v>
      </c>
      <c r="U46" s="522">
        <f t="shared" si="8"/>
        <v>0</v>
      </c>
      <c r="V46" s="522">
        <f t="shared" si="8"/>
        <v>30.9</v>
      </c>
      <c r="W46" s="97" t="str">
        <f>+IF(V46=SUM(H46:T46),"contrôle ok", "erreur")</f>
        <v>contrôle ok</v>
      </c>
    </row>
    <row r="47" spans="1:23" s="37" customFormat="1" ht="11.25" thickTop="1" x14ac:dyDescent="0.15">
      <c r="A47" s="33"/>
      <c r="B47" s="33"/>
      <c r="C47" s="34"/>
      <c r="D47" s="35"/>
      <c r="E47" s="36"/>
      <c r="F47" s="35"/>
      <c r="G47" s="100"/>
      <c r="H47" s="229"/>
      <c r="I47" s="229"/>
      <c r="J47" s="229"/>
      <c r="K47" s="229"/>
      <c r="L47" s="229"/>
      <c r="M47" s="229"/>
      <c r="N47" s="257"/>
      <c r="O47" s="229"/>
      <c r="P47" s="229"/>
      <c r="Q47" s="229"/>
      <c r="R47" s="229"/>
      <c r="S47" s="229"/>
      <c r="T47" s="229"/>
      <c r="U47" s="229"/>
      <c r="V47" s="258"/>
    </row>
    <row r="48" spans="1:23" x14ac:dyDescent="0.15">
      <c r="A48" s="27" t="s">
        <v>95</v>
      </c>
      <c r="B48" s="28"/>
      <c r="C48" s="29"/>
      <c r="D48" s="30"/>
      <c r="E48" s="30"/>
      <c r="F48" s="31"/>
      <c r="G48" s="101"/>
      <c r="H48" s="224"/>
      <c r="I48" s="224"/>
      <c r="J48" s="251"/>
      <c r="K48" s="224"/>
      <c r="L48" s="224"/>
      <c r="M48" s="224"/>
      <c r="N48" s="224"/>
      <c r="O48" s="224"/>
      <c r="P48" s="224"/>
      <c r="Q48" s="224"/>
      <c r="R48" s="224"/>
      <c r="S48" s="224"/>
      <c r="T48" s="224"/>
      <c r="U48" s="224"/>
      <c r="V48" s="252"/>
    </row>
    <row r="49" spans="1:24" x14ac:dyDescent="0.15">
      <c r="A49" s="143" t="s">
        <v>465</v>
      </c>
      <c r="B49" s="143"/>
      <c r="C49" s="144"/>
      <c r="D49" s="145">
        <v>615150</v>
      </c>
      <c r="E49" s="145" t="s">
        <v>67</v>
      </c>
      <c r="F49" s="145" t="s">
        <v>192</v>
      </c>
      <c r="G49" s="165"/>
      <c r="H49" s="559"/>
      <c r="I49" s="226"/>
      <c r="J49" s="226"/>
      <c r="K49" s="226"/>
      <c r="L49" s="226"/>
      <c r="M49" s="226"/>
      <c r="N49" s="297"/>
      <c r="O49" s="297"/>
      <c r="P49" s="326"/>
      <c r="Q49" s="326"/>
      <c r="R49" s="300"/>
      <c r="S49" s="226"/>
      <c r="T49" s="226"/>
      <c r="U49" s="583"/>
      <c r="V49" s="226">
        <f>SUM(H49:T49)</f>
        <v>0</v>
      </c>
    </row>
    <row r="50" spans="1:24" x14ac:dyDescent="0.15">
      <c r="A50" s="143" t="s">
        <v>193</v>
      </c>
      <c r="B50" s="143"/>
      <c r="C50" s="144"/>
      <c r="D50" s="145">
        <v>615150</v>
      </c>
      <c r="E50" s="145" t="s">
        <v>67</v>
      </c>
      <c r="F50" s="145" t="s">
        <v>192</v>
      </c>
      <c r="G50" s="165"/>
      <c r="H50" s="559"/>
      <c r="I50" s="226"/>
      <c r="J50" s="226"/>
      <c r="K50" s="226"/>
      <c r="L50" s="226"/>
      <c r="M50" s="226"/>
      <c r="N50" s="297"/>
      <c r="O50" s="297"/>
      <c r="P50" s="297"/>
      <c r="Q50" s="326"/>
      <c r="R50" s="300"/>
      <c r="S50" s="226"/>
      <c r="T50" s="226"/>
      <c r="U50" s="583"/>
      <c r="V50" s="226">
        <f>SUM(H50:T50)</f>
        <v>0</v>
      </c>
    </row>
    <row r="51" spans="1:24" ht="11.25" thickBot="1" x14ac:dyDescent="0.2">
      <c r="A51" s="516" t="s">
        <v>11</v>
      </c>
      <c r="B51" s="517"/>
      <c r="C51" s="518"/>
      <c r="D51" s="519"/>
      <c r="E51" s="516"/>
      <c r="F51" s="520"/>
      <c r="G51" s="521">
        <v>0</v>
      </c>
      <c r="H51" s="522">
        <f>SUM(H49:H50)</f>
        <v>0</v>
      </c>
      <c r="I51" s="522">
        <f>SUM(I49:I50)</f>
        <v>0</v>
      </c>
      <c r="J51" s="522">
        <f t="shared" ref="J51:V51" si="9">SUM(J49:J50)</f>
        <v>0</v>
      </c>
      <c r="K51" s="522">
        <f t="shared" si="9"/>
        <v>0</v>
      </c>
      <c r="L51" s="522">
        <f t="shared" si="9"/>
        <v>0</v>
      </c>
      <c r="M51" s="522">
        <f t="shared" si="9"/>
        <v>0</v>
      </c>
      <c r="N51" s="522">
        <f t="shared" si="9"/>
        <v>0</v>
      </c>
      <c r="O51" s="522">
        <f t="shared" si="9"/>
        <v>0</v>
      </c>
      <c r="P51" s="522">
        <f t="shared" si="9"/>
        <v>0</v>
      </c>
      <c r="Q51" s="522">
        <f t="shared" si="9"/>
        <v>0</v>
      </c>
      <c r="R51" s="522">
        <f t="shared" si="9"/>
        <v>0</v>
      </c>
      <c r="S51" s="522">
        <f t="shared" si="9"/>
        <v>0</v>
      </c>
      <c r="T51" s="522">
        <f t="shared" si="9"/>
        <v>0</v>
      </c>
      <c r="U51" s="522">
        <f t="shared" si="9"/>
        <v>0</v>
      </c>
      <c r="V51" s="522">
        <f t="shared" si="9"/>
        <v>0</v>
      </c>
      <c r="W51" s="97" t="str">
        <f>+IF(V51=SUM(H51:T51),"contrôle ok", "erreur")</f>
        <v>contrôle ok</v>
      </c>
    </row>
    <row r="52" spans="1:24" ht="11.25" thickTop="1" x14ac:dyDescent="0.15">
      <c r="A52" s="43"/>
      <c r="B52" s="33"/>
      <c r="C52" s="34"/>
      <c r="D52" s="36"/>
      <c r="E52" s="36"/>
      <c r="F52" s="36"/>
      <c r="G52" s="100"/>
      <c r="H52" s="229"/>
      <c r="I52" s="229"/>
      <c r="J52" s="229"/>
      <c r="K52" s="229"/>
      <c r="L52" s="229"/>
      <c r="M52" s="229"/>
      <c r="N52" s="229"/>
      <c r="O52" s="229"/>
      <c r="P52" s="229"/>
      <c r="Q52" s="229"/>
      <c r="R52" s="229"/>
      <c r="S52" s="229"/>
      <c r="T52" s="229"/>
      <c r="U52" s="229"/>
      <c r="V52" s="258"/>
    </row>
    <row r="53" spans="1:24" x14ac:dyDescent="0.15">
      <c r="A53" s="27" t="s">
        <v>82</v>
      </c>
      <c r="B53" s="28"/>
      <c r="C53" s="29"/>
      <c r="D53" s="30"/>
      <c r="E53" s="30"/>
      <c r="F53" s="31"/>
      <c r="G53" s="101"/>
      <c r="H53" s="224"/>
      <c r="I53" s="224"/>
      <c r="J53" s="251"/>
      <c r="K53" s="224"/>
      <c r="L53" s="224"/>
      <c r="M53" s="224"/>
      <c r="N53" s="224"/>
      <c r="O53" s="224"/>
      <c r="P53" s="224"/>
      <c r="Q53" s="224"/>
      <c r="R53" s="224"/>
      <c r="S53" s="224"/>
      <c r="T53" s="224"/>
      <c r="U53" s="224"/>
      <c r="V53" s="252"/>
    </row>
    <row r="54" spans="1:24" s="37" customFormat="1" x14ac:dyDescent="0.15">
      <c r="A54" s="143" t="s">
        <v>418</v>
      </c>
      <c r="B54" s="468" t="s">
        <v>334</v>
      </c>
      <c r="C54" s="144"/>
      <c r="D54" s="145">
        <v>615155</v>
      </c>
      <c r="E54" s="145" t="s">
        <v>67</v>
      </c>
      <c r="F54" s="145" t="s">
        <v>179</v>
      </c>
      <c r="G54" s="165"/>
      <c r="H54" s="559"/>
      <c r="I54" s="226"/>
      <c r="J54" s="226"/>
      <c r="K54" s="226"/>
      <c r="L54" s="226"/>
      <c r="M54" s="226"/>
      <c r="N54" s="226"/>
      <c r="O54" s="226"/>
      <c r="P54" s="226"/>
      <c r="Q54" s="226"/>
      <c r="R54" s="300"/>
      <c r="S54" s="226"/>
      <c r="T54" s="226"/>
      <c r="U54" s="583"/>
      <c r="V54" s="226">
        <f>SUM(H54:T54)</f>
        <v>0</v>
      </c>
      <c r="W54" s="16"/>
    </row>
    <row r="55" spans="1:24" s="37" customFormat="1" x14ac:dyDescent="0.15">
      <c r="A55" s="143" t="s">
        <v>418</v>
      </c>
      <c r="B55" s="468" t="s">
        <v>334</v>
      </c>
      <c r="C55" s="144">
        <v>2017</v>
      </c>
      <c r="D55" s="145">
        <v>615155</v>
      </c>
      <c r="E55" s="145" t="s">
        <v>67</v>
      </c>
      <c r="F55" s="145" t="s">
        <v>179</v>
      </c>
      <c r="G55" s="165">
        <v>522.91999999999996</v>
      </c>
      <c r="H55" s="559"/>
      <c r="I55" s="226">
        <v>522.91999999999996</v>
      </c>
      <c r="J55" s="226">
        <f>522.92-25.52</f>
        <v>497.4</v>
      </c>
      <c r="K55" s="226">
        <f>522.92-12.76</f>
        <v>510.15999999999997</v>
      </c>
      <c r="L55" s="226">
        <f>522.92-12.76</f>
        <v>510.15999999999997</v>
      </c>
      <c r="M55" s="226">
        <f>522.92-12.76</f>
        <v>510.15999999999997</v>
      </c>
      <c r="N55" s="226">
        <v>510.16</v>
      </c>
      <c r="O55" s="226">
        <v>510.16</v>
      </c>
      <c r="P55" s="226">
        <v>510.16</v>
      </c>
      <c r="Q55" s="226">
        <v>510.16</v>
      </c>
      <c r="R55" s="300">
        <v>510.16</v>
      </c>
      <c r="S55" s="226">
        <v>510.16</v>
      </c>
      <c r="T55" s="572">
        <f>522.84-12.68</f>
        <v>510.16</v>
      </c>
      <c r="U55" s="572"/>
      <c r="V55" s="226">
        <f>SUM(H55:T55)</f>
        <v>6121.9199999999992</v>
      </c>
      <c r="W55" s="16"/>
    </row>
    <row r="56" spans="1:24" x14ac:dyDescent="0.15">
      <c r="A56" s="143" t="s">
        <v>450</v>
      </c>
      <c r="B56" s="143" t="s">
        <v>451</v>
      </c>
      <c r="C56" s="144"/>
      <c r="D56" s="145">
        <v>615155</v>
      </c>
      <c r="E56" s="145" t="s">
        <v>67</v>
      </c>
      <c r="F56" s="145" t="s">
        <v>192</v>
      </c>
      <c r="G56" s="165"/>
      <c r="H56" s="559"/>
      <c r="I56" s="226"/>
      <c r="J56" s="226"/>
      <c r="K56" s="226"/>
      <c r="L56" s="226"/>
      <c r="M56" s="226"/>
      <c r="N56" s="296"/>
      <c r="O56" s="296"/>
      <c r="P56" s="296">
        <v>136</v>
      </c>
      <c r="Q56" s="326"/>
      <c r="R56" s="300"/>
      <c r="S56" s="226"/>
      <c r="T56" s="226"/>
      <c r="U56" s="583"/>
      <c r="V56" s="226">
        <f>SUM(H56:T56)</f>
        <v>136</v>
      </c>
    </row>
    <row r="57" spans="1:24" ht="11.25" thickBot="1" x14ac:dyDescent="0.2">
      <c r="A57" s="516" t="s">
        <v>11</v>
      </c>
      <c r="B57" s="517"/>
      <c r="C57" s="518"/>
      <c r="D57" s="519"/>
      <c r="E57" s="516"/>
      <c r="F57" s="520"/>
      <c r="G57" s="521"/>
      <c r="H57" s="522">
        <f>SUM(H54:H56)</f>
        <v>0</v>
      </c>
      <c r="I57" s="522">
        <f t="shared" ref="I57:U57" si="10">SUM(I54:I56)</f>
        <v>522.91999999999996</v>
      </c>
      <c r="J57" s="522">
        <f t="shared" si="10"/>
        <v>497.4</v>
      </c>
      <c r="K57" s="522">
        <f t="shared" si="10"/>
        <v>510.15999999999997</v>
      </c>
      <c r="L57" s="522">
        <f t="shared" si="10"/>
        <v>510.15999999999997</v>
      </c>
      <c r="M57" s="522">
        <f t="shared" si="10"/>
        <v>510.15999999999997</v>
      </c>
      <c r="N57" s="522">
        <f t="shared" si="10"/>
        <v>510.16</v>
      </c>
      <c r="O57" s="522">
        <f t="shared" si="10"/>
        <v>510.16</v>
      </c>
      <c r="P57" s="522">
        <f t="shared" si="10"/>
        <v>646.16000000000008</v>
      </c>
      <c r="Q57" s="522">
        <f t="shared" si="10"/>
        <v>510.16</v>
      </c>
      <c r="R57" s="522">
        <f t="shared" si="10"/>
        <v>510.16</v>
      </c>
      <c r="S57" s="522">
        <f t="shared" si="10"/>
        <v>510.16</v>
      </c>
      <c r="T57" s="522">
        <f t="shared" si="10"/>
        <v>510.16</v>
      </c>
      <c r="U57" s="522">
        <f t="shared" si="10"/>
        <v>0</v>
      </c>
      <c r="V57" s="522">
        <f>SUM(V54:V56)</f>
        <v>6257.9199999999992</v>
      </c>
      <c r="W57" s="97" t="str">
        <f>+IF(V57=SUM(H57:T57),"contrôle ok", "erreur")</f>
        <v>contrôle ok</v>
      </c>
    </row>
    <row r="58" spans="1:24" s="37" customFormat="1" ht="11.25" thickTop="1" x14ac:dyDescent="0.15">
      <c r="A58" s="33"/>
      <c r="B58" s="33"/>
      <c r="C58" s="34"/>
      <c r="D58" s="35"/>
      <c r="E58" s="36"/>
      <c r="F58" s="35"/>
      <c r="G58" s="100"/>
      <c r="H58" s="229"/>
      <c r="I58" s="229"/>
      <c r="J58" s="229"/>
      <c r="K58" s="229"/>
      <c r="L58" s="229"/>
      <c r="M58" s="229"/>
      <c r="N58" s="257"/>
      <c r="O58" s="229"/>
      <c r="P58" s="229"/>
      <c r="Q58" s="229"/>
      <c r="R58" s="229"/>
      <c r="S58" s="229"/>
      <c r="T58" s="229"/>
      <c r="U58" s="229"/>
      <c r="V58" s="258"/>
    </row>
    <row r="59" spans="1:24" s="56" customFormat="1" x14ac:dyDescent="0.15">
      <c r="A59" s="27" t="s">
        <v>61</v>
      </c>
      <c r="B59" s="28"/>
      <c r="C59" s="29"/>
      <c r="D59" s="30"/>
      <c r="E59" s="30"/>
      <c r="F59" s="31"/>
      <c r="G59" s="101"/>
      <c r="H59" s="224"/>
      <c r="I59" s="224"/>
      <c r="J59" s="251"/>
      <c r="K59" s="224"/>
      <c r="L59" s="224"/>
      <c r="M59" s="224"/>
      <c r="N59" s="224"/>
      <c r="O59" s="224"/>
      <c r="P59" s="224"/>
      <c r="Q59" s="224"/>
      <c r="R59" s="224"/>
      <c r="S59" s="224"/>
      <c r="T59" s="224"/>
      <c r="U59" s="224"/>
      <c r="V59" s="252">
        <f>SUM(I59:T59)</f>
        <v>0</v>
      </c>
      <c r="W59" s="16"/>
    </row>
    <row r="60" spans="1:24" x14ac:dyDescent="0.15">
      <c r="A60" s="143" t="s">
        <v>388</v>
      </c>
      <c r="B60" s="143" t="s">
        <v>389</v>
      </c>
      <c r="C60" s="144"/>
      <c r="D60" s="145">
        <v>615160</v>
      </c>
      <c r="E60" s="145" t="s">
        <v>67</v>
      </c>
      <c r="F60" s="145" t="s">
        <v>192</v>
      </c>
      <c r="G60" s="165"/>
      <c r="H60" s="559"/>
      <c r="I60" s="226"/>
      <c r="J60" s="226"/>
      <c r="K60" s="226"/>
      <c r="L60" s="226"/>
      <c r="M60" s="226"/>
      <c r="N60" s="297"/>
      <c r="O60" s="297"/>
      <c r="P60" s="297"/>
      <c r="Q60" s="326"/>
      <c r="R60" s="300"/>
      <c r="S60" s="226"/>
      <c r="T60" s="226"/>
      <c r="U60" s="583"/>
      <c r="V60" s="226">
        <f>SUM(H60:T60)</f>
        <v>0</v>
      </c>
    </row>
    <row r="61" spans="1:24" s="98" customFormat="1" ht="11.25" thickBot="1" x14ac:dyDescent="0.2">
      <c r="A61" s="516" t="s">
        <v>11</v>
      </c>
      <c r="B61" s="517"/>
      <c r="C61" s="518"/>
      <c r="D61" s="519"/>
      <c r="E61" s="516"/>
      <c r="F61" s="520"/>
      <c r="G61" s="521"/>
      <c r="H61" s="522">
        <f>SUM(H59:H60)</f>
        <v>0</v>
      </c>
      <c r="I61" s="522">
        <f t="shared" ref="I61:V61" si="11">SUM(I59:I60)</f>
        <v>0</v>
      </c>
      <c r="J61" s="522">
        <f t="shared" si="11"/>
        <v>0</v>
      </c>
      <c r="K61" s="522">
        <f t="shared" si="11"/>
        <v>0</v>
      </c>
      <c r="L61" s="522">
        <f t="shared" si="11"/>
        <v>0</v>
      </c>
      <c r="M61" s="522">
        <f t="shared" si="11"/>
        <v>0</v>
      </c>
      <c r="N61" s="522">
        <f t="shared" si="11"/>
        <v>0</v>
      </c>
      <c r="O61" s="522">
        <f t="shared" si="11"/>
        <v>0</v>
      </c>
      <c r="P61" s="522">
        <f t="shared" si="11"/>
        <v>0</v>
      </c>
      <c r="Q61" s="522">
        <f t="shared" si="11"/>
        <v>0</v>
      </c>
      <c r="R61" s="522">
        <f t="shared" si="11"/>
        <v>0</v>
      </c>
      <c r="S61" s="522">
        <f t="shared" si="11"/>
        <v>0</v>
      </c>
      <c r="T61" s="522">
        <f t="shared" si="11"/>
        <v>0</v>
      </c>
      <c r="U61" s="522">
        <f t="shared" si="11"/>
        <v>0</v>
      </c>
      <c r="V61" s="522">
        <f t="shared" si="11"/>
        <v>0</v>
      </c>
      <c r="W61" s="97" t="str">
        <f>+IF(V61=SUM(H61:T61),"contrôle ok", "erreur")</f>
        <v>contrôle ok</v>
      </c>
    </row>
    <row r="62" spans="1:24" s="37" customFormat="1" ht="11.25" thickTop="1" x14ac:dyDescent="0.15">
      <c r="A62" s="54"/>
      <c r="B62" s="51"/>
      <c r="C62" s="52"/>
      <c r="D62" s="53"/>
      <c r="E62" s="54"/>
      <c r="F62" s="53"/>
      <c r="G62" s="108"/>
      <c r="H62" s="228"/>
      <c r="I62" s="228"/>
      <c r="J62" s="228"/>
      <c r="K62" s="228"/>
      <c r="L62" s="228"/>
      <c r="M62" s="228"/>
      <c r="N62" s="228"/>
      <c r="O62" s="228"/>
      <c r="P62" s="228"/>
      <c r="Q62" s="228"/>
      <c r="R62" s="228"/>
      <c r="S62" s="228"/>
      <c r="T62" s="228"/>
      <c r="U62" s="228"/>
      <c r="V62" s="228"/>
      <c r="W62" s="97"/>
      <c r="X62" s="16"/>
    </row>
    <row r="63" spans="1:24" s="56" customFormat="1" x14ac:dyDescent="0.15">
      <c r="A63" s="27" t="s">
        <v>92</v>
      </c>
      <c r="B63" s="28"/>
      <c r="C63" s="29"/>
      <c r="D63" s="30"/>
      <c r="E63" s="30"/>
      <c r="F63" s="31"/>
      <c r="G63" s="101"/>
      <c r="H63" s="224"/>
      <c r="I63" s="224"/>
      <c r="J63" s="251"/>
      <c r="K63" s="224"/>
      <c r="L63" s="224"/>
      <c r="M63" s="224"/>
      <c r="N63" s="224"/>
      <c r="O63" s="224"/>
      <c r="P63" s="224"/>
      <c r="Q63" s="224"/>
      <c r="R63" s="224"/>
      <c r="S63" s="224"/>
      <c r="T63" s="224"/>
      <c r="U63" s="224"/>
      <c r="V63" s="252"/>
      <c r="W63" s="16"/>
      <c r="X63" s="98"/>
    </row>
    <row r="64" spans="1:24" x14ac:dyDescent="0.15">
      <c r="A64" s="143" t="s">
        <v>193</v>
      </c>
      <c r="B64" s="143"/>
      <c r="C64" s="144"/>
      <c r="D64" s="145">
        <v>615170</v>
      </c>
      <c r="E64" s="145" t="s">
        <v>67</v>
      </c>
      <c r="F64" s="145" t="s">
        <v>192</v>
      </c>
      <c r="G64" s="165"/>
      <c r="H64" s="559"/>
      <c r="I64" s="226"/>
      <c r="J64" s="226"/>
      <c r="K64" s="226"/>
      <c r="L64" s="255"/>
      <c r="M64" s="226"/>
      <c r="N64" s="226"/>
      <c r="O64" s="226">
        <v>1369.6</v>
      </c>
      <c r="P64" s="226"/>
      <c r="Q64" s="226">
        <v>3503.1</v>
      </c>
      <c r="R64" s="226"/>
      <c r="S64" s="226"/>
      <c r="T64" s="226">
        <v>505</v>
      </c>
      <c r="U64" s="583"/>
      <c r="V64" s="255">
        <f>SUM(H64:T64)</f>
        <v>5377.7</v>
      </c>
      <c r="W64" s="6"/>
    </row>
    <row r="65" spans="1:23" s="98" customFormat="1" ht="11.25" thickBot="1" x14ac:dyDescent="0.2">
      <c r="A65" s="516" t="s">
        <v>11</v>
      </c>
      <c r="B65" s="517"/>
      <c r="C65" s="518"/>
      <c r="D65" s="519"/>
      <c r="E65" s="516"/>
      <c r="F65" s="520"/>
      <c r="G65" s="521"/>
      <c r="H65" s="522">
        <f>SUM(H64)</f>
        <v>0</v>
      </c>
      <c r="I65" s="522">
        <f>SUM(I64)</f>
        <v>0</v>
      </c>
      <c r="J65" s="522">
        <f>SUM(J64)</f>
        <v>0</v>
      </c>
      <c r="K65" s="522">
        <f>SUM(K64)</f>
        <v>0</v>
      </c>
      <c r="L65" s="522">
        <f>SUM(L64)</f>
        <v>0</v>
      </c>
      <c r="M65" s="522">
        <f t="shared" ref="M65:V65" si="12">SUM(M64)</f>
        <v>0</v>
      </c>
      <c r="N65" s="522">
        <f t="shared" si="12"/>
        <v>0</v>
      </c>
      <c r="O65" s="522">
        <f t="shared" si="12"/>
        <v>1369.6</v>
      </c>
      <c r="P65" s="522">
        <f t="shared" si="12"/>
        <v>0</v>
      </c>
      <c r="Q65" s="522">
        <f t="shared" si="12"/>
        <v>3503.1</v>
      </c>
      <c r="R65" s="522">
        <f t="shared" si="12"/>
        <v>0</v>
      </c>
      <c r="S65" s="522">
        <f t="shared" si="12"/>
        <v>0</v>
      </c>
      <c r="T65" s="522">
        <f t="shared" si="12"/>
        <v>505</v>
      </c>
      <c r="U65" s="522">
        <f t="shared" si="12"/>
        <v>0</v>
      </c>
      <c r="V65" s="522">
        <f t="shared" si="12"/>
        <v>5377.7</v>
      </c>
      <c r="W65" s="97" t="str">
        <f>+IF(V65=SUM(H65:T65),"contrôle ok", "erreur")</f>
        <v>contrôle ok</v>
      </c>
    </row>
    <row r="66" spans="1:23" s="37" customFormat="1" ht="11.25" thickTop="1" x14ac:dyDescent="0.15">
      <c r="A66" s="120"/>
      <c r="B66" s="51"/>
      <c r="C66" s="52"/>
      <c r="D66" s="53"/>
      <c r="E66" s="54"/>
      <c r="F66" s="53"/>
      <c r="G66" s="108"/>
      <c r="H66" s="228"/>
      <c r="I66" s="228"/>
      <c r="J66" s="228"/>
      <c r="K66" s="228"/>
      <c r="L66" s="228"/>
      <c r="M66" s="228"/>
      <c r="N66" s="228"/>
      <c r="O66" s="228"/>
      <c r="P66" s="228"/>
      <c r="Q66" s="228"/>
      <c r="R66" s="228"/>
      <c r="S66" s="228"/>
      <c r="T66" s="228"/>
      <c r="U66" s="228"/>
      <c r="V66" s="228"/>
      <c r="W66" s="97"/>
    </row>
    <row r="67" spans="1:23" x14ac:dyDescent="0.15">
      <c r="A67" s="27" t="s">
        <v>329</v>
      </c>
      <c r="B67" s="28"/>
      <c r="C67" s="29"/>
      <c r="D67" s="30"/>
      <c r="E67" s="30"/>
      <c r="F67" s="31"/>
      <c r="G67" s="101"/>
      <c r="H67" s="251"/>
      <c r="I67" s="251"/>
      <c r="J67" s="251"/>
      <c r="K67" s="224"/>
      <c r="L67" s="224"/>
      <c r="M67" s="224"/>
      <c r="N67" s="224"/>
      <c r="O67" s="224"/>
      <c r="P67" s="224"/>
      <c r="Q67" s="224"/>
      <c r="R67" s="224"/>
      <c r="S67" s="224"/>
      <c r="T67" s="224"/>
      <c r="U67" s="224"/>
      <c r="V67" s="252"/>
    </row>
    <row r="68" spans="1:23" x14ac:dyDescent="0.15">
      <c r="A68" s="153" t="s">
        <v>452</v>
      </c>
      <c r="B68" s="176" t="s">
        <v>460</v>
      </c>
      <c r="C68" s="177"/>
      <c r="D68" s="151">
        <v>615175</v>
      </c>
      <c r="E68" s="179" t="s">
        <v>130</v>
      </c>
      <c r="F68" s="151" t="s">
        <v>179</v>
      </c>
      <c r="G68" s="163"/>
      <c r="H68" s="559"/>
      <c r="I68" s="226">
        <v>36.700000000000003</v>
      </c>
      <c r="J68" s="226">
        <v>36.700000000000003</v>
      </c>
      <c r="K68" s="226"/>
      <c r="L68" s="226"/>
      <c r="M68" s="226"/>
      <c r="N68" s="226"/>
      <c r="O68" s="226"/>
      <c r="P68" s="226"/>
      <c r="Q68" s="226"/>
      <c r="R68" s="226"/>
      <c r="S68" s="226"/>
      <c r="T68" s="226"/>
      <c r="U68" s="583"/>
      <c r="V68" s="226">
        <f t="shared" ref="V68:V74" si="13">SUM(H68:T68)</f>
        <v>73.400000000000006</v>
      </c>
      <c r="W68" s="180"/>
    </row>
    <row r="69" spans="1:23" x14ac:dyDescent="0.15">
      <c r="A69" s="153" t="s">
        <v>452</v>
      </c>
      <c r="B69" s="485"/>
      <c r="C69" s="177" t="s">
        <v>826</v>
      </c>
      <c r="D69" s="151">
        <v>615175</v>
      </c>
      <c r="E69" s="179" t="s">
        <v>130</v>
      </c>
      <c r="F69" s="151" t="s">
        <v>179</v>
      </c>
      <c r="G69" s="163">
        <v>31.01</v>
      </c>
      <c r="H69" s="559"/>
      <c r="I69" s="226">
        <v>31.02</v>
      </c>
      <c r="J69" s="226">
        <v>31.02</v>
      </c>
      <c r="K69" s="226">
        <v>31.02</v>
      </c>
      <c r="L69" s="226">
        <v>31.02</v>
      </c>
      <c r="M69" s="226">
        <v>31.02</v>
      </c>
      <c r="N69" s="226">
        <v>31.02</v>
      </c>
      <c r="O69" s="226">
        <v>31.02</v>
      </c>
      <c r="P69" s="226">
        <v>31.02</v>
      </c>
      <c r="Q69" s="226">
        <v>31.02</v>
      </c>
      <c r="R69" s="226">
        <v>31.02</v>
      </c>
      <c r="S69" s="226">
        <v>31.02</v>
      </c>
      <c r="T69" s="226">
        <v>30.94</v>
      </c>
      <c r="U69" s="583"/>
      <c r="V69" s="226">
        <f t="shared" si="13"/>
        <v>372.15999999999997</v>
      </c>
      <c r="W69" s="180"/>
    </row>
    <row r="70" spans="1:23" s="219" customFormat="1" x14ac:dyDescent="0.15">
      <c r="A70" s="377" t="s">
        <v>452</v>
      </c>
      <c r="B70" s="484" t="s">
        <v>546</v>
      </c>
      <c r="C70" s="137" t="s">
        <v>640</v>
      </c>
      <c r="D70" s="411">
        <v>615175</v>
      </c>
      <c r="E70" s="179" t="s">
        <v>130</v>
      </c>
      <c r="F70" s="411" t="s">
        <v>179</v>
      </c>
      <c r="G70" s="428">
        <v>55</v>
      </c>
      <c r="H70" s="559"/>
      <c r="I70" s="226">
        <v>55</v>
      </c>
      <c r="J70" s="226">
        <v>55</v>
      </c>
      <c r="K70" s="226">
        <v>55</v>
      </c>
      <c r="L70" s="226">
        <v>55</v>
      </c>
      <c r="M70" s="226">
        <v>55</v>
      </c>
      <c r="N70" s="226">
        <v>55</v>
      </c>
      <c r="O70" s="226">
        <v>55</v>
      </c>
      <c r="P70" s="226">
        <v>55</v>
      </c>
      <c r="Q70" s="226">
        <v>55</v>
      </c>
      <c r="R70" s="226">
        <v>55</v>
      </c>
      <c r="S70" s="226">
        <v>55</v>
      </c>
      <c r="T70" s="226">
        <v>55</v>
      </c>
      <c r="U70" s="583"/>
      <c r="V70" s="226">
        <f t="shared" si="13"/>
        <v>660</v>
      </c>
    </row>
    <row r="71" spans="1:23" s="219" customFormat="1" x14ac:dyDescent="0.15">
      <c r="A71" s="377" t="s">
        <v>452</v>
      </c>
      <c r="B71" s="484" t="s">
        <v>553</v>
      </c>
      <c r="C71" s="137" t="s">
        <v>640</v>
      </c>
      <c r="D71" s="411">
        <v>615175</v>
      </c>
      <c r="E71" s="179" t="s">
        <v>130</v>
      </c>
      <c r="F71" s="411" t="s">
        <v>179</v>
      </c>
      <c r="G71" s="428">
        <v>20.92</v>
      </c>
      <c r="H71" s="559"/>
      <c r="I71" s="226">
        <v>20.92</v>
      </c>
      <c r="J71" s="226">
        <v>20.92</v>
      </c>
      <c r="K71" s="226">
        <v>20.92</v>
      </c>
      <c r="L71" s="226">
        <v>20.92</v>
      </c>
      <c r="M71" s="226">
        <v>20.92</v>
      </c>
      <c r="N71" s="226">
        <v>20.92</v>
      </c>
      <c r="O71" s="226">
        <v>20.92</v>
      </c>
      <c r="P71" s="226">
        <v>20.92</v>
      </c>
      <c r="Q71" s="226">
        <v>20.92</v>
      </c>
      <c r="R71" s="226">
        <v>20.92</v>
      </c>
      <c r="S71" s="226">
        <v>20.92</v>
      </c>
      <c r="T71" s="226">
        <v>20.92</v>
      </c>
      <c r="U71" s="583"/>
      <c r="V71" s="226">
        <f t="shared" si="13"/>
        <v>251.04000000000008</v>
      </c>
    </row>
    <row r="72" spans="1:23" x14ac:dyDescent="0.15">
      <c r="A72" s="143" t="s">
        <v>452</v>
      </c>
      <c r="B72" s="143" t="s">
        <v>472</v>
      </c>
      <c r="C72" s="144" t="s">
        <v>532</v>
      </c>
      <c r="D72" s="151">
        <v>615175</v>
      </c>
      <c r="E72" s="145" t="s">
        <v>130</v>
      </c>
      <c r="F72" s="145" t="s">
        <v>179</v>
      </c>
      <c r="G72" s="165">
        <v>195.5</v>
      </c>
      <c r="H72" s="559"/>
      <c r="I72" s="226">
        <v>195.5</v>
      </c>
      <c r="J72" s="226">
        <v>195.5</v>
      </c>
      <c r="K72" s="226">
        <v>195.5</v>
      </c>
      <c r="L72" s="226">
        <v>195.5</v>
      </c>
      <c r="M72" s="226">
        <v>195.5</v>
      </c>
      <c r="N72" s="226">
        <v>195.5</v>
      </c>
      <c r="O72" s="226">
        <v>195.5</v>
      </c>
      <c r="P72" s="226">
        <v>195.5</v>
      </c>
      <c r="Q72" s="226">
        <v>195.5</v>
      </c>
      <c r="R72" s="226">
        <v>195.5</v>
      </c>
      <c r="S72" s="226">
        <v>195.5</v>
      </c>
      <c r="T72" s="226">
        <v>195.5</v>
      </c>
      <c r="U72" s="583"/>
      <c r="V72" s="226">
        <f t="shared" si="13"/>
        <v>2346</v>
      </c>
    </row>
    <row r="73" spans="1:23" x14ac:dyDescent="0.15">
      <c r="A73" s="143" t="s">
        <v>452</v>
      </c>
      <c r="B73" s="143" t="s">
        <v>522</v>
      </c>
      <c r="C73" s="144" t="s">
        <v>532</v>
      </c>
      <c r="D73" s="151">
        <v>615175</v>
      </c>
      <c r="E73" s="145" t="s">
        <v>130</v>
      </c>
      <c r="F73" s="145" t="s">
        <v>179</v>
      </c>
      <c r="G73" s="169">
        <v>29.17</v>
      </c>
      <c r="H73" s="559"/>
      <c r="I73" s="226">
        <v>29.17</v>
      </c>
      <c r="J73" s="226">
        <v>29.17</v>
      </c>
      <c r="K73" s="226">
        <v>29.17</v>
      </c>
      <c r="L73" s="226">
        <v>29.17</v>
      </c>
      <c r="M73" s="226">
        <v>29.17</v>
      </c>
      <c r="N73" s="226">
        <v>29.17</v>
      </c>
      <c r="O73" s="226">
        <v>29.17</v>
      </c>
      <c r="P73" s="226">
        <v>29.17</v>
      </c>
      <c r="Q73" s="226">
        <v>29.17</v>
      </c>
      <c r="R73" s="226">
        <v>29.17</v>
      </c>
      <c r="S73" s="226">
        <v>29.17</v>
      </c>
      <c r="T73" s="226">
        <v>29.17</v>
      </c>
      <c r="U73" s="583"/>
      <c r="V73" s="226">
        <f t="shared" si="13"/>
        <v>350.04000000000013</v>
      </c>
    </row>
    <row r="74" spans="1:23" x14ac:dyDescent="0.15">
      <c r="A74" s="153" t="s">
        <v>452</v>
      </c>
      <c r="B74" s="176"/>
      <c r="C74" s="177"/>
      <c r="D74" s="151">
        <v>615175</v>
      </c>
      <c r="E74" s="179" t="s">
        <v>130</v>
      </c>
      <c r="F74" s="151" t="s">
        <v>179</v>
      </c>
      <c r="G74" s="163">
        <v>13.75</v>
      </c>
      <c r="H74" s="559"/>
      <c r="I74" s="226">
        <v>13.75</v>
      </c>
      <c r="J74" s="226">
        <v>13.75</v>
      </c>
      <c r="K74" s="226">
        <v>13.75</v>
      </c>
      <c r="L74" s="226">
        <v>13.75</v>
      </c>
      <c r="M74" s="226">
        <v>13.75</v>
      </c>
      <c r="N74" s="226">
        <v>13.75</v>
      </c>
      <c r="O74" s="226">
        <v>13.75</v>
      </c>
      <c r="P74" s="226">
        <v>13.75</v>
      </c>
      <c r="Q74" s="226">
        <v>13.75</v>
      </c>
      <c r="R74" s="226">
        <v>13.75</v>
      </c>
      <c r="S74" s="226">
        <v>13.75</v>
      </c>
      <c r="T74" s="226">
        <v>13.75</v>
      </c>
      <c r="U74" s="583"/>
      <c r="V74" s="226">
        <f t="shared" si="13"/>
        <v>165</v>
      </c>
      <c r="W74" s="180"/>
    </row>
    <row r="75" spans="1:23" ht="11.25" thickBot="1" x14ac:dyDescent="0.2">
      <c r="A75" s="516" t="s">
        <v>11</v>
      </c>
      <c r="B75" s="517"/>
      <c r="C75" s="518"/>
      <c r="D75" s="519"/>
      <c r="E75" s="516"/>
      <c r="F75" s="520"/>
      <c r="G75" s="521"/>
      <c r="H75" s="522">
        <f t="shared" ref="H75:V75" si="14">SUM(H68:H74)</f>
        <v>0</v>
      </c>
      <c r="I75" s="522">
        <f t="shared" si="14"/>
        <v>382.06</v>
      </c>
      <c r="J75" s="522">
        <f t="shared" si="14"/>
        <v>382.06</v>
      </c>
      <c r="K75" s="522">
        <f t="shared" si="14"/>
        <v>345.36</v>
      </c>
      <c r="L75" s="522">
        <f t="shared" si="14"/>
        <v>345.36</v>
      </c>
      <c r="M75" s="522">
        <f t="shared" si="14"/>
        <v>345.36</v>
      </c>
      <c r="N75" s="522">
        <f t="shared" si="14"/>
        <v>345.36</v>
      </c>
      <c r="O75" s="522">
        <f t="shared" si="14"/>
        <v>345.36</v>
      </c>
      <c r="P75" s="522">
        <f t="shared" si="14"/>
        <v>345.36</v>
      </c>
      <c r="Q75" s="522">
        <f t="shared" si="14"/>
        <v>345.36</v>
      </c>
      <c r="R75" s="522">
        <f t="shared" si="14"/>
        <v>345.36</v>
      </c>
      <c r="S75" s="522">
        <f t="shared" si="14"/>
        <v>345.36</v>
      </c>
      <c r="T75" s="522">
        <f t="shared" si="14"/>
        <v>345.28000000000003</v>
      </c>
      <c r="U75" s="522">
        <f t="shared" si="14"/>
        <v>0</v>
      </c>
      <c r="V75" s="522">
        <f t="shared" si="14"/>
        <v>4217.6399999999994</v>
      </c>
      <c r="W75" s="97" t="str">
        <f>+IF(V75=SUM(H75:T75),"contrôle ok", "erreur")</f>
        <v>contrôle ok</v>
      </c>
    </row>
    <row r="76" spans="1:23" ht="11.25" thickTop="1" x14ac:dyDescent="0.15">
      <c r="A76" s="93"/>
      <c r="B76" s="33"/>
      <c r="C76" s="34"/>
      <c r="D76" s="35"/>
      <c r="E76" s="36"/>
      <c r="F76" s="35"/>
      <c r="G76" s="100"/>
      <c r="H76" s="229"/>
      <c r="I76" s="229"/>
      <c r="J76" s="229"/>
      <c r="K76" s="229"/>
      <c r="L76" s="229"/>
      <c r="M76" s="229"/>
      <c r="N76" s="229"/>
      <c r="O76" s="229"/>
      <c r="P76" s="229"/>
      <c r="Q76" s="229"/>
      <c r="R76" s="229"/>
      <c r="S76" s="229"/>
      <c r="T76" s="328"/>
      <c r="U76" s="328"/>
      <c r="V76" s="258"/>
    </row>
    <row r="77" spans="1:23" s="37" customFormat="1" x14ac:dyDescent="0.15">
      <c r="A77" s="27" t="s">
        <v>228</v>
      </c>
      <c r="B77" s="28"/>
      <c r="C77" s="29"/>
      <c r="D77" s="30"/>
      <c r="E77" s="30"/>
      <c r="F77" s="31"/>
      <c r="G77" s="101"/>
      <c r="H77" s="251"/>
      <c r="I77" s="251"/>
      <c r="J77" s="251"/>
      <c r="K77" s="224"/>
      <c r="L77" s="224"/>
      <c r="M77" s="224"/>
      <c r="N77" s="224"/>
      <c r="O77" s="224"/>
      <c r="P77" s="224"/>
      <c r="Q77" s="224"/>
      <c r="R77" s="224"/>
      <c r="S77" s="224"/>
      <c r="T77" s="224"/>
      <c r="U77" s="224"/>
      <c r="V77" s="252"/>
      <c r="W77" s="16"/>
    </row>
    <row r="78" spans="1:23" x14ac:dyDescent="0.15">
      <c r="A78" s="143" t="s">
        <v>238</v>
      </c>
      <c r="B78" s="143"/>
      <c r="C78" s="144"/>
      <c r="D78" s="145">
        <v>615176</v>
      </c>
      <c r="E78" s="145" t="s">
        <v>130</v>
      </c>
      <c r="F78" s="145" t="s">
        <v>192</v>
      </c>
      <c r="G78" s="165"/>
      <c r="H78" s="559"/>
      <c r="I78" s="226"/>
      <c r="J78" s="226"/>
      <c r="K78" s="226"/>
      <c r="L78" s="226"/>
      <c r="M78" s="299">
        <v>438.56</v>
      </c>
      <c r="N78" s="296">
        <v>2582.42</v>
      </c>
      <c r="O78" s="296"/>
      <c r="P78" s="297"/>
      <c r="Q78" s="297"/>
      <c r="R78" s="297">
        <v>130</v>
      </c>
      <c r="S78" s="226"/>
      <c r="T78" s="226"/>
      <c r="U78" s="583"/>
      <c r="V78" s="226">
        <f>SUM(H78:T78)</f>
        <v>3150.98</v>
      </c>
    </row>
    <row r="79" spans="1:23" x14ac:dyDescent="0.15">
      <c r="A79" s="68"/>
      <c r="B79" s="68"/>
      <c r="C79" s="69"/>
      <c r="D79" s="145">
        <v>615176</v>
      </c>
      <c r="E79" s="145" t="s">
        <v>130</v>
      </c>
      <c r="F79" s="168" t="s">
        <v>179</v>
      </c>
      <c r="G79" s="169"/>
      <c r="H79" s="559"/>
      <c r="I79" s="226"/>
      <c r="J79" s="226"/>
      <c r="K79" s="226"/>
      <c r="L79" s="226"/>
      <c r="M79" s="226"/>
      <c r="N79" s="226"/>
      <c r="O79" s="226"/>
      <c r="P79" s="296"/>
      <c r="Q79" s="297"/>
      <c r="R79" s="297"/>
      <c r="S79" s="226"/>
      <c r="T79" s="226"/>
      <c r="U79" s="583"/>
      <c r="V79" s="226">
        <f>SUM(H79:T79)</f>
        <v>0</v>
      </c>
      <c r="W79" s="6"/>
    </row>
    <row r="80" spans="1:23" ht="11.25" thickBot="1" x14ac:dyDescent="0.2">
      <c r="A80" s="516" t="s">
        <v>11</v>
      </c>
      <c r="B80" s="517"/>
      <c r="C80" s="518"/>
      <c r="D80" s="519"/>
      <c r="E80" s="516"/>
      <c r="F80" s="520"/>
      <c r="G80" s="521"/>
      <c r="H80" s="522">
        <f t="shared" ref="H80:V80" si="15">SUM(H78:H79)</f>
        <v>0</v>
      </c>
      <c r="I80" s="522">
        <f t="shared" si="15"/>
        <v>0</v>
      </c>
      <c r="J80" s="522">
        <f t="shared" si="15"/>
        <v>0</v>
      </c>
      <c r="K80" s="522">
        <f t="shared" si="15"/>
        <v>0</v>
      </c>
      <c r="L80" s="522">
        <f t="shared" si="15"/>
        <v>0</v>
      </c>
      <c r="M80" s="522">
        <f t="shared" si="15"/>
        <v>438.56</v>
      </c>
      <c r="N80" s="522">
        <f t="shared" si="15"/>
        <v>2582.42</v>
      </c>
      <c r="O80" s="522">
        <f t="shared" si="15"/>
        <v>0</v>
      </c>
      <c r="P80" s="522">
        <f t="shared" si="15"/>
        <v>0</v>
      </c>
      <c r="Q80" s="522">
        <f t="shared" si="15"/>
        <v>0</v>
      </c>
      <c r="R80" s="522">
        <f t="shared" si="15"/>
        <v>130</v>
      </c>
      <c r="S80" s="522">
        <f t="shared" si="15"/>
        <v>0</v>
      </c>
      <c r="T80" s="522">
        <f t="shared" si="15"/>
        <v>0</v>
      </c>
      <c r="U80" s="522">
        <f t="shared" si="15"/>
        <v>0</v>
      </c>
      <c r="V80" s="522">
        <f t="shared" si="15"/>
        <v>3150.98</v>
      </c>
      <c r="W80" s="97" t="str">
        <f>+IF(V80=SUM(H80:T80),"contrôle ok", "erreur")</f>
        <v>contrôle ok</v>
      </c>
    </row>
    <row r="81" spans="1:23" ht="11.25" thickTop="1" x14ac:dyDescent="0.15">
      <c r="A81" s="51"/>
      <c r="B81" s="51"/>
      <c r="C81" s="52"/>
      <c r="D81" s="53"/>
      <c r="E81" s="54"/>
      <c r="F81" s="53"/>
      <c r="G81" s="108"/>
      <c r="H81" s="228"/>
      <c r="I81" s="228"/>
      <c r="J81" s="228"/>
      <c r="K81" s="228"/>
      <c r="L81" s="228"/>
      <c r="M81" s="228"/>
      <c r="N81" s="228"/>
      <c r="O81" s="228"/>
      <c r="P81" s="228"/>
      <c r="Q81" s="228"/>
      <c r="R81" s="228"/>
      <c r="S81" s="228"/>
      <c r="T81" s="228"/>
      <c r="U81" s="228"/>
      <c r="V81" s="283"/>
      <c r="W81" s="55"/>
    </row>
    <row r="82" spans="1:23" x14ac:dyDescent="0.15">
      <c r="A82" s="27" t="s">
        <v>28</v>
      </c>
      <c r="B82" s="28"/>
      <c r="C82" s="29"/>
      <c r="D82" s="30"/>
      <c r="E82" s="30"/>
      <c r="F82" s="31"/>
      <c r="G82" s="101"/>
      <c r="H82" s="224"/>
      <c r="I82" s="224"/>
      <c r="J82" s="251"/>
      <c r="K82" s="224"/>
      <c r="L82" s="224"/>
      <c r="M82" s="224"/>
      <c r="N82" s="224"/>
      <c r="O82" s="224"/>
      <c r="P82" s="224"/>
      <c r="Q82" s="224"/>
      <c r="R82" s="224"/>
      <c r="S82" s="224"/>
      <c r="T82" s="224"/>
      <c r="U82" s="224"/>
      <c r="V82" s="252"/>
    </row>
    <row r="83" spans="1:23" s="37" customFormat="1" x14ac:dyDescent="0.15">
      <c r="A83" s="143" t="s">
        <v>255</v>
      </c>
      <c r="B83" s="143"/>
      <c r="C83" s="144"/>
      <c r="D83" s="145">
        <v>615180</v>
      </c>
      <c r="E83" s="145" t="s">
        <v>67</v>
      </c>
      <c r="F83" s="145" t="s">
        <v>192</v>
      </c>
      <c r="G83" s="165"/>
      <c r="H83" s="559"/>
      <c r="I83" s="226"/>
      <c r="J83" s="226"/>
      <c r="K83" s="226"/>
      <c r="L83" s="226"/>
      <c r="M83" s="226"/>
      <c r="N83" s="296"/>
      <c r="O83" s="296"/>
      <c r="P83" s="296"/>
      <c r="Q83" s="297"/>
      <c r="R83" s="297"/>
      <c r="S83" s="226"/>
      <c r="T83" s="226"/>
      <c r="U83" s="583"/>
      <c r="V83" s="226">
        <f>SUM(H83:T83)</f>
        <v>0</v>
      </c>
      <c r="W83" s="16"/>
    </row>
    <row r="84" spans="1:23" s="37" customFormat="1" x14ac:dyDescent="0.15">
      <c r="A84" s="143" t="s">
        <v>811</v>
      </c>
      <c r="C84" s="144">
        <v>2017</v>
      </c>
      <c r="D84" s="145">
        <v>615180</v>
      </c>
      <c r="E84" s="145" t="s">
        <v>67</v>
      </c>
      <c r="F84" s="145" t="s">
        <v>179</v>
      </c>
      <c r="G84" s="165">
        <v>266.66666666666669</v>
      </c>
      <c r="H84" s="559"/>
      <c r="I84" s="226"/>
      <c r="J84" s="226"/>
      <c r="K84" s="226"/>
      <c r="L84" s="226"/>
      <c r="M84" s="226"/>
      <c r="N84" s="296"/>
      <c r="O84" s="296"/>
      <c r="P84" s="296">
        <v>3200</v>
      </c>
      <c r="Q84" s="297"/>
      <c r="R84" s="297"/>
      <c r="S84" s="297"/>
      <c r="T84" s="297"/>
      <c r="U84" s="620"/>
      <c r="V84" s="226">
        <f>SUM(H84:T84)</f>
        <v>3200</v>
      </c>
      <c r="W84" s="16"/>
    </row>
    <row r="85" spans="1:23" s="37" customFormat="1" x14ac:dyDescent="0.15">
      <c r="A85" s="143" t="s">
        <v>656</v>
      </c>
      <c r="B85" s="144" t="s">
        <v>301</v>
      </c>
      <c r="C85" s="144" t="s">
        <v>778</v>
      </c>
      <c r="D85" s="145">
        <v>615180</v>
      </c>
      <c r="E85" s="145" t="s">
        <v>67</v>
      </c>
      <c r="F85" s="145" t="s">
        <v>179</v>
      </c>
      <c r="G85" s="165">
        <f>590</f>
        <v>590</v>
      </c>
      <c r="H85" s="559"/>
      <c r="I85" s="226"/>
      <c r="J85" s="226"/>
      <c r="K85" s="226">
        <f>147.51+49.17+393.32</f>
        <v>590</v>
      </c>
      <c r="L85" s="226">
        <v>590</v>
      </c>
      <c r="M85" s="226">
        <v>590</v>
      </c>
      <c r="N85" s="296">
        <v>590</v>
      </c>
      <c r="O85" s="296">
        <v>590</v>
      </c>
      <c r="P85" s="296">
        <v>590</v>
      </c>
      <c r="Q85" s="297">
        <v>590</v>
      </c>
      <c r="R85" s="297">
        <v>590</v>
      </c>
      <c r="S85" s="297">
        <v>590</v>
      </c>
      <c r="T85" s="297">
        <v>590</v>
      </c>
      <c r="U85" s="620"/>
      <c r="V85" s="226">
        <f>SUM(H85:T85)</f>
        <v>5900</v>
      </c>
      <c r="W85" s="16"/>
    </row>
    <row r="86" spans="1:23" x14ac:dyDescent="0.15">
      <c r="A86" s="143" t="s">
        <v>242</v>
      </c>
      <c r="B86" s="143" t="s">
        <v>29</v>
      </c>
      <c r="C86" s="144" t="s">
        <v>390</v>
      </c>
      <c r="D86" s="145">
        <v>615180</v>
      </c>
      <c r="E86" s="145" t="s">
        <v>67</v>
      </c>
      <c r="F86" s="145" t="s">
        <v>268</v>
      </c>
      <c r="G86" s="165"/>
      <c r="H86" s="559"/>
      <c r="I86" s="226"/>
      <c r="J86" s="226"/>
      <c r="K86" s="226"/>
      <c r="L86" s="226"/>
      <c r="M86" s="226"/>
      <c r="N86" s="296"/>
      <c r="O86" s="296"/>
      <c r="P86" s="296"/>
      <c r="Q86" s="296"/>
      <c r="R86" s="296"/>
      <c r="S86" s="226"/>
      <c r="T86" s="226"/>
      <c r="U86" s="583"/>
      <c r="V86" s="226">
        <f>SUM(H86:T86)</f>
        <v>0</v>
      </c>
      <c r="W86" s="219"/>
    </row>
    <row r="87" spans="1:23" ht="11.25" thickBot="1" x14ac:dyDescent="0.2">
      <c r="A87" s="516" t="s">
        <v>11</v>
      </c>
      <c r="B87" s="517"/>
      <c r="C87" s="518"/>
      <c r="D87" s="519"/>
      <c r="E87" s="516"/>
      <c r="F87" s="520"/>
      <c r="G87" s="521"/>
      <c r="H87" s="522">
        <f t="shared" ref="H87:V87" si="16">SUM(H83:H86)</f>
        <v>0</v>
      </c>
      <c r="I87" s="522">
        <f t="shared" si="16"/>
        <v>0</v>
      </c>
      <c r="J87" s="522">
        <f t="shared" si="16"/>
        <v>0</v>
      </c>
      <c r="K87" s="522">
        <f t="shared" si="16"/>
        <v>590</v>
      </c>
      <c r="L87" s="522">
        <f t="shared" si="16"/>
        <v>590</v>
      </c>
      <c r="M87" s="522">
        <f t="shared" si="16"/>
        <v>590</v>
      </c>
      <c r="N87" s="522">
        <f t="shared" si="16"/>
        <v>590</v>
      </c>
      <c r="O87" s="522">
        <f t="shared" si="16"/>
        <v>590</v>
      </c>
      <c r="P87" s="522">
        <f t="shared" si="16"/>
        <v>3790</v>
      </c>
      <c r="Q87" s="522">
        <f t="shared" si="16"/>
        <v>590</v>
      </c>
      <c r="R87" s="522">
        <f t="shared" si="16"/>
        <v>590</v>
      </c>
      <c r="S87" s="522">
        <f t="shared" si="16"/>
        <v>590</v>
      </c>
      <c r="T87" s="522">
        <f t="shared" si="16"/>
        <v>590</v>
      </c>
      <c r="U87" s="522">
        <f t="shared" si="16"/>
        <v>0</v>
      </c>
      <c r="V87" s="522">
        <f t="shared" si="16"/>
        <v>9100</v>
      </c>
      <c r="W87" s="97" t="str">
        <f>+IF(V87=SUM(H87:T87),"contrôle ok", "erreur")</f>
        <v>contrôle ok</v>
      </c>
    </row>
    <row r="88" spans="1:23" ht="11.25" thickTop="1" x14ac:dyDescent="0.15">
      <c r="A88" s="115"/>
      <c r="B88" s="33"/>
      <c r="C88" s="34"/>
      <c r="D88" s="35"/>
      <c r="E88" s="36"/>
      <c r="F88" s="35"/>
      <c r="G88" s="100"/>
      <c r="H88" s="229"/>
      <c r="I88" s="229"/>
      <c r="J88" s="229"/>
      <c r="K88" s="229"/>
      <c r="L88" s="229"/>
      <c r="M88" s="229"/>
      <c r="N88" s="229"/>
      <c r="O88" s="229"/>
      <c r="P88" s="229"/>
      <c r="Q88" s="229"/>
      <c r="R88" s="229"/>
      <c r="S88" s="229"/>
      <c r="T88" s="328"/>
      <c r="U88" s="328"/>
      <c r="V88" s="258"/>
    </row>
    <row r="89" spans="1:23" x14ac:dyDescent="0.15">
      <c r="A89" s="27" t="s">
        <v>91</v>
      </c>
      <c r="B89" s="28"/>
      <c r="C89" s="29"/>
      <c r="D89" s="30"/>
      <c r="E89" s="30"/>
      <c r="F89" s="31"/>
      <c r="G89" s="101"/>
      <c r="H89" s="224"/>
      <c r="I89" s="224"/>
      <c r="J89" s="251"/>
      <c r="K89" s="224"/>
      <c r="L89" s="224"/>
      <c r="M89" s="224"/>
      <c r="N89" s="224"/>
      <c r="O89" s="224"/>
      <c r="P89" s="224"/>
      <c r="Q89" s="224"/>
      <c r="R89" s="224"/>
      <c r="S89" s="224"/>
      <c r="T89" s="224"/>
      <c r="U89" s="224"/>
      <c r="V89" s="252"/>
    </row>
    <row r="90" spans="1:23" x14ac:dyDescent="0.15">
      <c r="A90" s="143"/>
      <c r="B90" s="143"/>
      <c r="C90" s="144"/>
      <c r="D90" s="145">
        <v>615190</v>
      </c>
      <c r="E90" s="145" t="s">
        <v>67</v>
      </c>
      <c r="F90" s="145" t="s">
        <v>181</v>
      </c>
      <c r="G90" s="165"/>
      <c r="H90" s="559"/>
      <c r="I90" s="226"/>
      <c r="J90" s="226"/>
      <c r="K90" s="226"/>
      <c r="L90" s="226"/>
      <c r="M90" s="226"/>
      <c r="N90" s="296"/>
      <c r="O90" s="296"/>
      <c r="P90" s="296"/>
      <c r="Q90" s="296"/>
      <c r="R90" s="300"/>
      <c r="S90" s="226"/>
      <c r="T90" s="226"/>
      <c r="U90" s="583"/>
      <c r="V90" s="226">
        <f t="shared" ref="V90:V100" si="17">SUM(H90:T90)</f>
        <v>0</v>
      </c>
    </row>
    <row r="91" spans="1:23" x14ac:dyDescent="0.15">
      <c r="A91" s="143" t="s">
        <v>207</v>
      </c>
      <c r="B91" s="143"/>
      <c r="C91" s="144"/>
      <c r="D91" s="145">
        <v>615190</v>
      </c>
      <c r="E91" s="145" t="s">
        <v>67</v>
      </c>
      <c r="F91" s="145" t="s">
        <v>185</v>
      </c>
      <c r="G91" s="165"/>
      <c r="H91" s="559"/>
      <c r="I91" s="226"/>
      <c r="J91" s="226"/>
      <c r="K91" s="226"/>
      <c r="L91" s="226"/>
      <c r="M91" s="226"/>
      <c r="N91" s="296"/>
      <c r="O91" s="296"/>
      <c r="P91" s="296"/>
      <c r="Q91" s="297"/>
      <c r="R91" s="297"/>
      <c r="S91" s="226"/>
      <c r="T91" s="226"/>
      <c r="U91" s="583"/>
      <c r="V91" s="226">
        <f t="shared" si="17"/>
        <v>0</v>
      </c>
    </row>
    <row r="92" spans="1:23" x14ac:dyDescent="0.15">
      <c r="A92" s="143"/>
      <c r="B92" s="143"/>
      <c r="C92" s="144"/>
      <c r="D92" s="145">
        <v>615190</v>
      </c>
      <c r="E92" s="145" t="s">
        <v>67</v>
      </c>
      <c r="F92" s="145" t="s">
        <v>199</v>
      </c>
      <c r="G92" s="165"/>
      <c r="H92" s="559"/>
      <c r="I92" s="226"/>
      <c r="J92" s="226"/>
      <c r="K92" s="226"/>
      <c r="L92" s="226"/>
      <c r="M92" s="226"/>
      <c r="N92" s="296"/>
      <c r="O92" s="296"/>
      <c r="P92" s="296"/>
      <c r="Q92" s="297">
        <f>931.02+10.93</f>
        <v>941.94999999999993</v>
      </c>
      <c r="R92" s="297"/>
      <c r="S92" s="226"/>
      <c r="T92" s="226">
        <v>122.4</v>
      </c>
      <c r="U92" s="583"/>
      <c r="V92" s="226">
        <f t="shared" si="17"/>
        <v>1064.3499999999999</v>
      </c>
    </row>
    <row r="93" spans="1:23" x14ac:dyDescent="0.15">
      <c r="A93" s="143"/>
      <c r="B93" s="143"/>
      <c r="C93" s="144"/>
      <c r="D93" s="145">
        <v>615190</v>
      </c>
      <c r="E93" s="145" t="s">
        <v>67</v>
      </c>
      <c r="F93" s="145" t="s">
        <v>200</v>
      </c>
      <c r="G93" s="165"/>
      <c r="H93" s="559"/>
      <c r="I93" s="226"/>
      <c r="J93" s="226"/>
      <c r="K93" s="226"/>
      <c r="L93" s="226"/>
      <c r="M93" s="226"/>
      <c r="N93" s="296"/>
      <c r="O93" s="296"/>
      <c r="P93" s="296"/>
      <c r="Q93" s="297"/>
      <c r="R93" s="297"/>
      <c r="S93" s="226"/>
      <c r="T93" s="226"/>
      <c r="U93" s="583"/>
      <c r="V93" s="226">
        <f t="shared" si="17"/>
        <v>0</v>
      </c>
    </row>
    <row r="94" spans="1:23" x14ac:dyDescent="0.15">
      <c r="A94" s="143"/>
      <c r="B94" s="143"/>
      <c r="C94" s="144"/>
      <c r="D94" s="145">
        <v>615190</v>
      </c>
      <c r="E94" s="145" t="s">
        <v>67</v>
      </c>
      <c r="F94" s="145" t="s">
        <v>192</v>
      </c>
      <c r="G94" s="165"/>
      <c r="H94" s="559"/>
      <c r="I94" s="226"/>
      <c r="J94" s="226"/>
      <c r="K94" s="226"/>
      <c r="L94" s="226"/>
      <c r="M94" s="226"/>
      <c r="N94" s="296"/>
      <c r="O94" s="296"/>
      <c r="P94" s="296"/>
      <c r="Q94" s="297"/>
      <c r="R94" s="297">
        <f>26400-234+3420</f>
        <v>29586</v>
      </c>
      <c r="S94" s="226"/>
      <c r="T94" s="226">
        <v>1540.8</v>
      </c>
      <c r="U94" s="583"/>
      <c r="V94" s="226">
        <f t="shared" si="17"/>
        <v>31126.799999999999</v>
      </c>
    </row>
    <row r="95" spans="1:23" x14ac:dyDescent="0.15">
      <c r="A95" s="143" t="s">
        <v>358</v>
      </c>
      <c r="B95" s="143" t="s">
        <v>685</v>
      </c>
      <c r="C95" s="144">
        <v>2017</v>
      </c>
      <c r="D95" s="145">
        <v>615190</v>
      </c>
      <c r="E95" s="145" t="s">
        <v>67</v>
      </c>
      <c r="F95" s="145" t="s">
        <v>196</v>
      </c>
      <c r="G95" s="165">
        <f>2777.34/12</f>
        <v>231.44500000000002</v>
      </c>
      <c r="H95" s="559"/>
      <c r="I95" s="226">
        <v>231.49</v>
      </c>
      <c r="J95" s="226">
        <v>231.44</v>
      </c>
      <c r="K95" s="226">
        <v>231.44</v>
      </c>
      <c r="L95" s="226">
        <v>231.44</v>
      </c>
      <c r="M95" s="226">
        <v>231.44</v>
      </c>
      <c r="N95" s="296">
        <v>231.44</v>
      </c>
      <c r="O95" s="296">
        <v>231.44</v>
      </c>
      <c r="P95" s="296">
        <v>231.44</v>
      </c>
      <c r="Q95" s="297">
        <v>231.44</v>
      </c>
      <c r="R95" s="297">
        <v>231.44</v>
      </c>
      <c r="S95" s="226">
        <v>231.44</v>
      </c>
      <c r="T95" s="226">
        <v>231.45</v>
      </c>
      <c r="U95" s="583"/>
      <c r="V95" s="226">
        <f t="shared" si="17"/>
        <v>2777.34</v>
      </c>
    </row>
    <row r="96" spans="1:23" x14ac:dyDescent="0.15">
      <c r="A96" s="143" t="s">
        <v>207</v>
      </c>
      <c r="B96" s="143"/>
      <c r="C96" s="144"/>
      <c r="D96" s="145">
        <v>615190</v>
      </c>
      <c r="E96" s="145" t="s">
        <v>67</v>
      </c>
      <c r="F96" s="145" t="s">
        <v>184</v>
      </c>
      <c r="G96" s="165"/>
      <c r="H96" s="559"/>
      <c r="I96" s="226"/>
      <c r="J96" s="226"/>
      <c r="K96" s="226"/>
      <c r="L96" s="226"/>
      <c r="M96" s="226"/>
      <c r="N96" s="296"/>
      <c r="O96" s="296"/>
      <c r="P96" s="296"/>
      <c r="Q96" s="297"/>
      <c r="R96" s="297"/>
      <c r="S96" s="226"/>
      <c r="T96" s="226"/>
      <c r="U96" s="583"/>
      <c r="V96" s="226">
        <f t="shared" si="17"/>
        <v>0</v>
      </c>
    </row>
    <row r="97" spans="1:23" s="37" customFormat="1" x14ac:dyDescent="0.15">
      <c r="A97" s="143" t="s">
        <v>207</v>
      </c>
      <c r="B97" s="143" t="s">
        <v>431</v>
      </c>
      <c r="C97" s="144"/>
      <c r="D97" s="145">
        <v>615190</v>
      </c>
      <c r="E97" s="145" t="s">
        <v>67</v>
      </c>
      <c r="F97" s="145" t="s">
        <v>198</v>
      </c>
      <c r="G97" s="165"/>
      <c r="H97" s="559"/>
      <c r="I97" s="226"/>
      <c r="J97" s="226"/>
      <c r="K97" s="226"/>
      <c r="L97" s="226"/>
      <c r="M97" s="226">
        <v>459.44</v>
      </c>
      <c r="N97" s="296">
        <v>36.07</v>
      </c>
      <c r="O97" s="296"/>
      <c r="P97" s="296"/>
      <c r="Q97" s="297"/>
      <c r="R97" s="297"/>
      <c r="S97" s="226"/>
      <c r="T97" s="226"/>
      <c r="U97" s="583"/>
      <c r="V97" s="226">
        <f t="shared" si="17"/>
        <v>495.51</v>
      </c>
      <c r="W97" s="16"/>
    </row>
    <row r="98" spans="1:23" x14ac:dyDescent="0.15">
      <c r="A98" s="143" t="s">
        <v>104</v>
      </c>
      <c r="B98" s="143" t="s">
        <v>779</v>
      </c>
      <c r="C98" s="144">
        <v>2017</v>
      </c>
      <c r="D98" s="145">
        <v>615190</v>
      </c>
      <c r="E98" s="145" t="s">
        <v>67</v>
      </c>
      <c r="F98" s="145" t="s">
        <v>197</v>
      </c>
      <c r="G98" s="165">
        <v>482.08333333333331</v>
      </c>
      <c r="H98" s="559"/>
      <c r="I98" s="226">
        <v>482.09</v>
      </c>
      <c r="J98" s="226">
        <v>482.09</v>
      </c>
      <c r="K98" s="226">
        <v>482.1</v>
      </c>
      <c r="L98" s="226">
        <v>482.08</v>
      </c>
      <c r="M98" s="226">
        <v>482.08</v>
      </c>
      <c r="N98" s="296">
        <v>482.08</v>
      </c>
      <c r="O98" s="296">
        <v>482.08</v>
      </c>
      <c r="P98" s="296">
        <v>482.08</v>
      </c>
      <c r="Q98" s="297">
        <v>482.08</v>
      </c>
      <c r="R98" s="297">
        <v>482.08</v>
      </c>
      <c r="S98" s="226">
        <v>482.08</v>
      </c>
      <c r="T98" s="226">
        <v>482.08</v>
      </c>
      <c r="U98" s="583"/>
      <c r="V98" s="226">
        <f t="shared" si="17"/>
        <v>5785</v>
      </c>
    </row>
    <row r="99" spans="1:23" x14ac:dyDescent="0.15">
      <c r="A99" s="143" t="s">
        <v>207</v>
      </c>
      <c r="B99" s="143"/>
      <c r="C99" s="144"/>
      <c r="D99" s="145">
        <v>615190</v>
      </c>
      <c r="E99" s="145" t="s">
        <v>67</v>
      </c>
      <c r="F99" s="145" t="s">
        <v>179</v>
      </c>
      <c r="G99" s="165"/>
      <c r="H99" s="559"/>
      <c r="I99" s="226"/>
      <c r="J99" s="226"/>
      <c r="K99" s="226"/>
      <c r="L99" s="226"/>
      <c r="M99" s="226"/>
      <c r="N99" s="296"/>
      <c r="O99" s="296"/>
      <c r="P99" s="296"/>
      <c r="Q99" s="297"/>
      <c r="R99" s="297"/>
      <c r="S99" s="226"/>
      <c r="T99" s="226"/>
      <c r="U99" s="583"/>
      <c r="V99" s="226">
        <f>SUM(H99:T99)</f>
        <v>0</v>
      </c>
    </row>
    <row r="100" spans="1:23" x14ac:dyDescent="0.15">
      <c r="A100" s="143" t="s">
        <v>104</v>
      </c>
      <c r="B100" s="143" t="s">
        <v>637</v>
      </c>
      <c r="C100" s="144" t="s">
        <v>638</v>
      </c>
      <c r="D100" s="145">
        <v>615190</v>
      </c>
      <c r="E100" s="145" t="s">
        <v>67</v>
      </c>
      <c r="F100" s="145" t="s">
        <v>179</v>
      </c>
      <c r="G100" s="165"/>
      <c r="H100" s="559"/>
      <c r="I100" s="226"/>
      <c r="J100" s="226"/>
      <c r="K100" s="226"/>
      <c r="L100" s="226"/>
      <c r="M100" s="226"/>
      <c r="N100" s="296"/>
      <c r="O100" s="296"/>
      <c r="P100" s="296"/>
      <c r="Q100" s="297"/>
      <c r="R100" s="297"/>
      <c r="S100" s="226"/>
      <c r="T100" s="226"/>
      <c r="U100" s="583"/>
      <c r="V100" s="226">
        <f t="shared" si="17"/>
        <v>0</v>
      </c>
    </row>
    <row r="101" spans="1:23" ht="11.25" thickBot="1" x14ac:dyDescent="0.2">
      <c r="A101" s="516" t="s">
        <v>11</v>
      </c>
      <c r="B101" s="517"/>
      <c r="C101" s="518"/>
      <c r="D101" s="519"/>
      <c r="E101" s="516"/>
      <c r="F101" s="520"/>
      <c r="G101" s="521"/>
      <c r="H101" s="522">
        <f>SUM(H90:H100)</f>
        <v>0</v>
      </c>
      <c r="I101" s="522">
        <f>SUM(I90:I100)</f>
        <v>713.57999999999993</v>
      </c>
      <c r="J101" s="522">
        <f t="shared" ref="J101:V101" si="18">SUM(J90:J100)</f>
        <v>713.53</v>
      </c>
      <c r="K101" s="522">
        <f t="shared" si="18"/>
        <v>713.54</v>
      </c>
      <c r="L101" s="522">
        <f t="shared" si="18"/>
        <v>713.52</v>
      </c>
      <c r="M101" s="522">
        <f t="shared" si="18"/>
        <v>1172.96</v>
      </c>
      <c r="N101" s="522">
        <f t="shared" si="18"/>
        <v>749.58999999999992</v>
      </c>
      <c r="O101" s="522">
        <f t="shared" si="18"/>
        <v>713.52</v>
      </c>
      <c r="P101" s="522">
        <f t="shared" si="18"/>
        <v>713.52</v>
      </c>
      <c r="Q101" s="522">
        <f t="shared" si="18"/>
        <v>1655.4699999999998</v>
      </c>
      <c r="R101" s="522">
        <f t="shared" si="18"/>
        <v>30299.52</v>
      </c>
      <c r="S101" s="522">
        <f t="shared" si="18"/>
        <v>713.52</v>
      </c>
      <c r="T101" s="522">
        <f t="shared" si="18"/>
        <v>2376.73</v>
      </c>
      <c r="U101" s="522">
        <f t="shared" si="18"/>
        <v>0</v>
      </c>
      <c r="V101" s="522">
        <f t="shared" si="18"/>
        <v>41249</v>
      </c>
      <c r="W101" s="97" t="str">
        <f>+IF(V101=SUM(H101:T101),"contrôle ok", "erreur")</f>
        <v>contrôle ok</v>
      </c>
    </row>
    <row r="102" spans="1:23" ht="11.25" thickTop="1" x14ac:dyDescent="0.15">
      <c r="A102" s="115"/>
      <c r="B102" s="33"/>
      <c r="C102" s="34"/>
      <c r="D102" s="35"/>
      <c r="E102" s="36"/>
      <c r="F102" s="35"/>
      <c r="G102" s="100"/>
      <c r="H102" s="229"/>
      <c r="I102" s="229"/>
      <c r="J102" s="229"/>
      <c r="K102" s="229"/>
      <c r="L102" s="229"/>
      <c r="M102" s="229"/>
      <c r="N102" s="229"/>
      <c r="O102" s="229"/>
      <c r="P102" s="229"/>
      <c r="Q102" s="229"/>
      <c r="R102" s="229"/>
      <c r="S102" s="229"/>
      <c r="T102" s="328"/>
      <c r="U102" s="328"/>
      <c r="V102" s="258"/>
    </row>
    <row r="103" spans="1:23" s="37" customFormat="1" x14ac:dyDescent="0.15">
      <c r="A103" s="27" t="s">
        <v>127</v>
      </c>
      <c r="B103" s="28"/>
      <c r="C103" s="29"/>
      <c r="D103" s="30"/>
      <c r="E103" s="30"/>
      <c r="F103" s="31"/>
      <c r="G103" s="101"/>
      <c r="H103" s="224"/>
      <c r="I103" s="224"/>
      <c r="J103" s="251"/>
      <c r="K103" s="224"/>
      <c r="L103" s="224"/>
      <c r="M103" s="224"/>
      <c r="N103" s="224"/>
      <c r="O103" s="224"/>
      <c r="P103" s="224"/>
      <c r="Q103" s="224"/>
      <c r="R103" s="224"/>
      <c r="S103" s="224"/>
      <c r="T103" s="224"/>
      <c r="U103" s="224"/>
      <c r="V103" s="252"/>
      <c r="W103" s="16"/>
    </row>
    <row r="104" spans="1:23" s="37" customFormat="1" x14ac:dyDescent="0.15">
      <c r="A104" s="143" t="s">
        <v>852</v>
      </c>
      <c r="B104" s="143"/>
      <c r="C104" s="144"/>
      <c r="D104" s="145">
        <v>615191</v>
      </c>
      <c r="E104" s="145" t="s">
        <v>67</v>
      </c>
      <c r="F104" s="145" t="s">
        <v>179</v>
      </c>
      <c r="G104" s="165"/>
      <c r="H104" s="559"/>
      <c r="I104" s="226"/>
      <c r="J104" s="226"/>
      <c r="K104" s="226"/>
      <c r="L104" s="226"/>
      <c r="M104" s="226"/>
      <c r="N104" s="296"/>
      <c r="O104" s="296"/>
      <c r="P104" s="296"/>
      <c r="Q104" s="296">
        <v>3800</v>
      </c>
      <c r="R104" s="300"/>
      <c r="S104" s="300"/>
      <c r="T104" s="226"/>
      <c r="U104" s="583"/>
      <c r="V104" s="226">
        <f>SUM(H104:T104)</f>
        <v>3800</v>
      </c>
      <c r="W104" s="6"/>
    </row>
    <row r="105" spans="1:23" s="37" customFormat="1" x14ac:dyDescent="0.15">
      <c r="A105" s="143" t="s">
        <v>644</v>
      </c>
      <c r="B105" s="143"/>
      <c r="C105" s="144"/>
      <c r="D105" s="145">
        <v>615191</v>
      </c>
      <c r="E105" s="145" t="s">
        <v>67</v>
      </c>
      <c r="F105" s="145" t="s">
        <v>192</v>
      </c>
      <c r="G105" s="165"/>
      <c r="H105" s="559"/>
      <c r="I105" s="226"/>
      <c r="J105" s="226"/>
      <c r="K105" s="226"/>
      <c r="L105" s="226"/>
      <c r="M105" s="226"/>
      <c r="N105" s="296"/>
      <c r="O105" s="296"/>
      <c r="P105" s="296"/>
      <c r="Q105" s="296"/>
      <c r="R105" s="300"/>
      <c r="S105" s="226">
        <f>949.8+482.3+3173.2</f>
        <v>4605.2999999999993</v>
      </c>
      <c r="T105" s="226"/>
      <c r="U105" s="583"/>
      <c r="V105" s="226">
        <f>SUM(H105:T105)</f>
        <v>4605.2999999999993</v>
      </c>
      <c r="W105" s="6"/>
    </row>
    <row r="106" spans="1:23" ht="11.25" thickBot="1" x14ac:dyDescent="0.2">
      <c r="A106" s="516" t="s">
        <v>11</v>
      </c>
      <c r="B106" s="517"/>
      <c r="C106" s="518"/>
      <c r="D106" s="519"/>
      <c r="E106" s="516"/>
      <c r="F106" s="520"/>
      <c r="G106" s="521"/>
      <c r="H106" s="522">
        <f>SUM(H104:H105)</f>
        <v>0</v>
      </c>
      <c r="I106" s="522">
        <f t="shared" ref="I106:V106" si="19">SUM(I104:I105)</f>
        <v>0</v>
      </c>
      <c r="J106" s="522">
        <f t="shared" si="19"/>
        <v>0</v>
      </c>
      <c r="K106" s="522">
        <f t="shared" si="19"/>
        <v>0</v>
      </c>
      <c r="L106" s="522">
        <f t="shared" si="19"/>
        <v>0</v>
      </c>
      <c r="M106" s="522">
        <f t="shared" si="19"/>
        <v>0</v>
      </c>
      <c r="N106" s="522">
        <f t="shared" si="19"/>
        <v>0</v>
      </c>
      <c r="O106" s="522">
        <f t="shared" si="19"/>
        <v>0</v>
      </c>
      <c r="P106" s="522">
        <f t="shared" si="19"/>
        <v>0</v>
      </c>
      <c r="Q106" s="522">
        <f t="shared" si="19"/>
        <v>3800</v>
      </c>
      <c r="R106" s="522">
        <f t="shared" si="19"/>
        <v>0</v>
      </c>
      <c r="S106" s="522">
        <f t="shared" si="19"/>
        <v>4605.2999999999993</v>
      </c>
      <c r="T106" s="522">
        <f t="shared" si="19"/>
        <v>0</v>
      </c>
      <c r="U106" s="522">
        <f t="shared" si="19"/>
        <v>0</v>
      </c>
      <c r="V106" s="522">
        <f t="shared" si="19"/>
        <v>8405.2999999999993</v>
      </c>
      <c r="W106" s="97" t="str">
        <f>+IF(V106=SUM(H106:T106),"contrôle ok", "erreur")</f>
        <v>contrôle ok</v>
      </c>
    </row>
    <row r="107" spans="1:23" ht="11.25" thickTop="1" x14ac:dyDescent="0.15">
      <c r="A107" s="33"/>
      <c r="B107" s="33"/>
      <c r="C107" s="34"/>
      <c r="D107" s="35"/>
      <c r="E107" s="36"/>
      <c r="F107" s="35"/>
      <c r="G107" s="100"/>
      <c r="H107" s="229"/>
      <c r="I107" s="229"/>
      <c r="J107" s="229"/>
      <c r="K107" s="229"/>
      <c r="L107" s="229"/>
      <c r="M107" s="229"/>
      <c r="N107" s="257"/>
      <c r="O107" s="229"/>
      <c r="P107" s="229"/>
      <c r="Q107" s="229"/>
      <c r="R107" s="229"/>
      <c r="S107" s="229"/>
      <c r="T107" s="229"/>
      <c r="U107" s="229"/>
      <c r="V107" s="258"/>
      <c r="W107" s="37"/>
    </row>
    <row r="108" spans="1:23" x14ac:dyDescent="0.15">
      <c r="A108" s="27" t="s">
        <v>93</v>
      </c>
      <c r="B108" s="28"/>
      <c r="C108" s="29"/>
      <c r="D108" s="30"/>
      <c r="E108" s="30"/>
      <c r="F108" s="31"/>
      <c r="G108" s="101"/>
      <c r="H108" s="224"/>
      <c r="I108" s="224"/>
      <c r="J108" s="251"/>
      <c r="K108" s="224"/>
      <c r="L108" s="224"/>
      <c r="M108" s="224"/>
      <c r="N108" s="224"/>
      <c r="O108" s="224"/>
      <c r="P108" s="224"/>
      <c r="Q108" s="224"/>
      <c r="R108" s="224"/>
      <c r="S108" s="224"/>
      <c r="T108" s="224"/>
      <c r="U108" s="224"/>
      <c r="V108" s="252"/>
    </row>
    <row r="109" spans="1:23" x14ac:dyDescent="0.15">
      <c r="A109" s="143" t="s">
        <v>99</v>
      </c>
      <c r="B109" s="143"/>
      <c r="C109" s="144" t="s">
        <v>858</v>
      </c>
      <c r="D109" s="145">
        <v>615193</v>
      </c>
      <c r="E109" s="145" t="s">
        <v>67</v>
      </c>
      <c r="F109" s="145" t="s">
        <v>189</v>
      </c>
      <c r="G109" s="165">
        <v>91.76</v>
      </c>
      <c r="H109" s="559">
        <f>-35.68-15.28</f>
        <v>-50.96</v>
      </c>
      <c r="I109" s="226"/>
      <c r="J109" s="226">
        <f>35.68-15.28</f>
        <v>20.399999999999999</v>
      </c>
      <c r="K109" s="226"/>
      <c r="L109" s="226"/>
      <c r="M109" s="226">
        <f>35.68-35.68+91.76</f>
        <v>91.76</v>
      </c>
      <c r="N109" s="296"/>
      <c r="O109" s="296"/>
      <c r="P109" s="226">
        <f>35.68-35.68+91.76</f>
        <v>91.76</v>
      </c>
      <c r="Q109" s="297"/>
      <c r="R109" s="297"/>
      <c r="S109" s="226">
        <v>91.76</v>
      </c>
      <c r="T109" s="226"/>
      <c r="U109" s="583"/>
      <c r="V109" s="226">
        <f t="shared" ref="V109:V118" si="20">SUM(H109:T109)</f>
        <v>244.72000000000003</v>
      </c>
    </row>
    <row r="110" spans="1:23" x14ac:dyDescent="0.15">
      <c r="A110" s="143" t="s">
        <v>99</v>
      </c>
      <c r="B110" s="143" t="s">
        <v>574</v>
      </c>
      <c r="C110" s="144"/>
      <c r="D110" s="145">
        <v>615193</v>
      </c>
      <c r="E110" s="145" t="s">
        <v>67</v>
      </c>
      <c r="F110" s="145" t="s">
        <v>243</v>
      </c>
      <c r="G110" s="165">
        <f>1825.25/28*20</f>
        <v>1303.75</v>
      </c>
      <c r="H110" s="559"/>
      <c r="I110" s="226"/>
      <c r="J110" s="226"/>
      <c r="K110" s="226"/>
      <c r="L110" s="226"/>
      <c r="M110" s="226"/>
      <c r="N110" s="296"/>
      <c r="O110" s="296"/>
      <c r="P110" s="226"/>
      <c r="Q110" s="297"/>
      <c r="R110" s="297"/>
      <c r="S110" s="226"/>
      <c r="T110" s="226"/>
      <c r="U110" s="583"/>
      <c r="V110" s="226">
        <f t="shared" si="20"/>
        <v>0</v>
      </c>
    </row>
    <row r="111" spans="1:23" x14ac:dyDescent="0.15">
      <c r="A111" s="143" t="s">
        <v>99</v>
      </c>
      <c r="B111" s="143"/>
      <c r="C111" s="144"/>
      <c r="D111" s="145">
        <v>615193</v>
      </c>
      <c r="E111" s="145" t="s">
        <v>67</v>
      </c>
      <c r="F111" s="145" t="s">
        <v>191</v>
      </c>
      <c r="G111" s="165"/>
      <c r="H111" s="559"/>
      <c r="I111" s="226"/>
      <c r="J111" s="226"/>
      <c r="K111" s="226"/>
      <c r="L111" s="226">
        <v>1531.22</v>
      </c>
      <c r="M111" s="226"/>
      <c r="N111" s="296"/>
      <c r="O111" s="296"/>
      <c r="P111" s="226"/>
      <c r="Q111" s="297"/>
      <c r="R111" s="297"/>
      <c r="S111" s="226"/>
      <c r="T111" s="226"/>
      <c r="U111" s="583"/>
      <c r="V111" s="226">
        <f t="shared" si="20"/>
        <v>1531.22</v>
      </c>
    </row>
    <row r="112" spans="1:23" x14ac:dyDescent="0.15">
      <c r="A112" s="143"/>
      <c r="B112" s="143"/>
      <c r="C112" s="144"/>
      <c r="D112" s="145">
        <v>615193</v>
      </c>
      <c r="E112" s="145" t="s">
        <v>67</v>
      </c>
      <c r="F112" s="145" t="s">
        <v>201</v>
      </c>
      <c r="G112" s="165"/>
      <c r="H112" s="559"/>
      <c r="I112" s="226"/>
      <c r="J112" s="226"/>
      <c r="K112" s="226"/>
      <c r="L112" s="226"/>
      <c r="M112" s="226"/>
      <c r="N112" s="296"/>
      <c r="O112" s="296"/>
      <c r="P112" s="226"/>
      <c r="Q112" s="297"/>
      <c r="R112" s="297"/>
      <c r="S112" s="226"/>
      <c r="T112" s="226"/>
      <c r="U112" s="583"/>
      <c r="V112" s="226">
        <f t="shared" si="20"/>
        <v>0</v>
      </c>
    </row>
    <row r="113" spans="1:23" s="37" customFormat="1" x14ac:dyDescent="0.15">
      <c r="A113" s="143" t="s">
        <v>99</v>
      </c>
      <c r="B113" s="143" t="s">
        <v>574</v>
      </c>
      <c r="C113" s="144"/>
      <c r="D113" s="145">
        <v>615193</v>
      </c>
      <c r="E113" s="145" t="s">
        <v>67</v>
      </c>
      <c r="F113" s="145" t="s">
        <v>184</v>
      </c>
      <c r="G113" s="165">
        <f>1825.25/28*1</f>
        <v>65.1875</v>
      </c>
      <c r="H113" s="559"/>
      <c r="I113" s="226"/>
      <c r="J113" s="226"/>
      <c r="K113" s="226"/>
      <c r="L113" s="226"/>
      <c r="M113" s="226"/>
      <c r="N113" s="296"/>
      <c r="O113" s="296"/>
      <c r="P113" s="226"/>
      <c r="Q113" s="297"/>
      <c r="R113" s="297"/>
      <c r="S113" s="226"/>
      <c r="T113" s="226"/>
      <c r="U113" s="583"/>
      <c r="V113" s="226">
        <f t="shared" si="20"/>
        <v>0</v>
      </c>
      <c r="W113" s="16"/>
    </row>
    <row r="114" spans="1:23" s="37" customFormat="1" x14ac:dyDescent="0.15">
      <c r="A114" s="143" t="s">
        <v>99</v>
      </c>
      <c r="B114" s="143" t="s">
        <v>574</v>
      </c>
      <c r="C114" s="144">
        <v>32069614</v>
      </c>
      <c r="D114" s="145">
        <v>615193</v>
      </c>
      <c r="E114" s="145" t="s">
        <v>67</v>
      </c>
      <c r="F114" s="145" t="s">
        <v>179</v>
      </c>
      <c r="G114" s="165"/>
      <c r="H114" s="559"/>
      <c r="I114" s="226"/>
      <c r="J114" s="226">
        <f>656.24</f>
        <v>656.24</v>
      </c>
      <c r="K114" s="226"/>
      <c r="L114" s="226"/>
      <c r="M114" s="226"/>
      <c r="N114" s="296"/>
      <c r="O114" s="296"/>
      <c r="P114" s="226"/>
      <c r="Q114" s="297"/>
      <c r="R114" s="297"/>
      <c r="S114" s="226"/>
      <c r="T114" s="226"/>
      <c r="U114" s="583"/>
      <c r="V114" s="226">
        <f>SUM(H114:T114)</f>
        <v>656.24</v>
      </c>
      <c r="W114" s="16"/>
    </row>
    <row r="115" spans="1:23" s="37" customFormat="1" x14ac:dyDescent="0.15">
      <c r="A115" s="143" t="s">
        <v>99</v>
      </c>
      <c r="B115" s="143" t="s">
        <v>848</v>
      </c>
      <c r="C115" s="144">
        <v>30338292</v>
      </c>
      <c r="D115" s="145">
        <v>615193</v>
      </c>
      <c r="E115" s="145" t="s">
        <v>67</v>
      </c>
      <c r="F115" s="145" t="s">
        <v>179</v>
      </c>
      <c r="G115" s="165"/>
      <c r="H115" s="559">
        <v>-25.48</v>
      </c>
      <c r="I115" s="226"/>
      <c r="J115" s="226">
        <v>71.36</v>
      </c>
      <c r="K115" s="226"/>
      <c r="L115" s="226"/>
      <c r="M115" s="226">
        <f>71.36-71.36</f>
        <v>0</v>
      </c>
      <c r="N115" s="296"/>
      <c r="O115" s="296"/>
      <c r="P115" s="226">
        <f>69.88-69.88</f>
        <v>0</v>
      </c>
      <c r="Q115" s="297"/>
      <c r="R115" s="297"/>
      <c r="S115" s="226">
        <v>3477.08</v>
      </c>
      <c r="T115" s="226"/>
      <c r="U115" s="583"/>
      <c r="V115" s="226">
        <f>SUM(H115:T115)</f>
        <v>3522.96</v>
      </c>
      <c r="W115" s="16"/>
    </row>
    <row r="116" spans="1:23" s="37" customFormat="1" x14ac:dyDescent="0.15">
      <c r="A116" s="143" t="s">
        <v>99</v>
      </c>
      <c r="B116" s="143" t="s">
        <v>785</v>
      </c>
      <c r="C116" s="144" t="s">
        <v>791</v>
      </c>
      <c r="D116" s="145">
        <v>615193</v>
      </c>
      <c r="E116" s="145" t="s">
        <v>67</v>
      </c>
      <c r="F116" s="145" t="s">
        <v>179</v>
      </c>
      <c r="G116" s="165"/>
      <c r="H116" s="559"/>
      <c r="I116" s="226"/>
      <c r="J116" s="226"/>
      <c r="K116" s="226"/>
      <c r="L116" s="226"/>
      <c r="M116" s="226">
        <f>509.96+107.04-107.04</f>
        <v>509.96</v>
      </c>
      <c r="N116" s="296"/>
      <c r="O116" s="296"/>
      <c r="P116" s="296"/>
      <c r="Q116" s="297"/>
      <c r="R116" s="297">
        <v>1122.8800000000001</v>
      </c>
      <c r="S116" s="226">
        <v>2700</v>
      </c>
      <c r="T116" s="226"/>
      <c r="U116" s="583"/>
      <c r="V116" s="226">
        <f t="shared" si="20"/>
        <v>4332.84</v>
      </c>
      <c r="W116" s="16"/>
    </row>
    <row r="117" spans="1:23" s="37" customFormat="1" x14ac:dyDescent="0.15">
      <c r="A117" s="143" t="s">
        <v>579</v>
      </c>
      <c r="B117" s="143"/>
      <c r="C117" s="144"/>
      <c r="D117" s="145">
        <v>615193</v>
      </c>
      <c r="E117" s="145" t="s">
        <v>67</v>
      </c>
      <c r="F117" s="145" t="s">
        <v>179</v>
      </c>
      <c r="G117" s="165"/>
      <c r="H117" s="559"/>
      <c r="I117" s="226"/>
      <c r="J117" s="226"/>
      <c r="K117" s="226"/>
      <c r="L117" s="226"/>
      <c r="M117" s="226"/>
      <c r="N117" s="296"/>
      <c r="O117" s="296"/>
      <c r="P117" s="296"/>
      <c r="Q117" s="297"/>
      <c r="R117" s="297"/>
      <c r="S117" s="226"/>
      <c r="T117" s="226"/>
      <c r="U117" s="583"/>
      <c r="V117" s="226">
        <f t="shared" si="20"/>
        <v>0</v>
      </c>
      <c r="W117" s="16"/>
    </row>
    <row r="118" spans="1:23" x14ac:dyDescent="0.15">
      <c r="A118" s="143" t="s">
        <v>99</v>
      </c>
      <c r="B118" s="143"/>
      <c r="C118" s="144" t="s">
        <v>578</v>
      </c>
      <c r="D118" s="145">
        <v>615193</v>
      </c>
      <c r="E118" s="145" t="s">
        <v>67</v>
      </c>
      <c r="F118" s="145" t="s">
        <v>192</v>
      </c>
      <c r="G118" s="165">
        <v>461</v>
      </c>
      <c r="H118" s="559"/>
      <c r="I118" s="226"/>
      <c r="J118" s="226"/>
      <c r="K118" s="226"/>
      <c r="L118" s="226"/>
      <c r="M118" s="226"/>
      <c r="N118" s="296"/>
      <c r="O118" s="296"/>
      <c r="P118" s="296"/>
      <c r="Q118" s="296"/>
      <c r="R118" s="226"/>
      <c r="S118" s="226"/>
      <c r="T118" s="226"/>
      <c r="U118" s="583"/>
      <c r="V118" s="226">
        <f t="shared" si="20"/>
        <v>0</v>
      </c>
    </row>
    <row r="119" spans="1:23" ht="11.25" thickBot="1" x14ac:dyDescent="0.2">
      <c r="A119" s="516" t="s">
        <v>11</v>
      </c>
      <c r="B119" s="517"/>
      <c r="C119" s="518"/>
      <c r="D119" s="519"/>
      <c r="E119" s="516"/>
      <c r="F119" s="520"/>
      <c r="G119" s="521"/>
      <c r="H119" s="522">
        <f>SUM(H109:H118)</f>
        <v>-76.44</v>
      </c>
      <c r="I119" s="522">
        <f>SUM(I109:I118)</f>
        <v>0</v>
      </c>
      <c r="J119" s="522">
        <f t="shared" ref="J119:U119" si="21">SUM(J109:J118)</f>
        <v>748</v>
      </c>
      <c r="K119" s="522">
        <f t="shared" si="21"/>
        <v>0</v>
      </c>
      <c r="L119" s="522">
        <f t="shared" si="21"/>
        <v>1531.22</v>
      </c>
      <c r="M119" s="522">
        <f t="shared" si="21"/>
        <v>601.72</v>
      </c>
      <c r="N119" s="522">
        <f t="shared" si="21"/>
        <v>0</v>
      </c>
      <c r="O119" s="522">
        <f t="shared" si="21"/>
        <v>0</v>
      </c>
      <c r="P119" s="522">
        <f t="shared" si="21"/>
        <v>91.76</v>
      </c>
      <c r="Q119" s="522">
        <f t="shared" si="21"/>
        <v>0</v>
      </c>
      <c r="R119" s="522">
        <f t="shared" si="21"/>
        <v>1122.8800000000001</v>
      </c>
      <c r="S119" s="522">
        <f t="shared" si="21"/>
        <v>6268.84</v>
      </c>
      <c r="T119" s="522">
        <f t="shared" si="21"/>
        <v>0</v>
      </c>
      <c r="U119" s="522">
        <f t="shared" si="21"/>
        <v>0</v>
      </c>
      <c r="V119" s="522">
        <f>SUM(V109:V118)</f>
        <v>10287.98</v>
      </c>
      <c r="W119" s="97" t="str">
        <f>+IF(V119=SUM(H119:T119),"contrôle ok", "erreur")</f>
        <v>contrôle ok</v>
      </c>
    </row>
    <row r="120" spans="1:23" ht="11.25" thickTop="1" x14ac:dyDescent="0.15">
      <c r="A120" s="33"/>
      <c r="B120" s="33"/>
      <c r="C120" s="34"/>
      <c r="D120" s="35"/>
      <c r="E120" s="36"/>
      <c r="F120" s="35"/>
      <c r="G120" s="100"/>
      <c r="H120" s="229"/>
      <c r="I120" s="229"/>
      <c r="J120" s="229"/>
      <c r="K120" s="229"/>
      <c r="L120" s="229"/>
      <c r="M120" s="229"/>
      <c r="N120" s="257"/>
      <c r="O120" s="229"/>
      <c r="P120" s="229"/>
      <c r="Q120" s="229"/>
      <c r="R120" s="229"/>
      <c r="S120" s="229"/>
      <c r="T120" s="229"/>
      <c r="U120" s="229"/>
      <c r="V120" s="258"/>
      <c r="W120" s="37"/>
    </row>
    <row r="121" spans="1:23" s="37" customFormat="1" x14ac:dyDescent="0.15">
      <c r="A121" s="27" t="s">
        <v>128</v>
      </c>
      <c r="B121" s="28"/>
      <c r="C121" s="29"/>
      <c r="D121" s="30"/>
      <c r="E121" s="30"/>
      <c r="F121" s="31"/>
      <c r="G121" s="101"/>
      <c r="H121" s="224"/>
      <c r="I121" s="224"/>
      <c r="J121" s="251"/>
      <c r="K121" s="224"/>
      <c r="L121" s="224"/>
      <c r="M121" s="224"/>
      <c r="N121" s="224"/>
      <c r="O121" s="224"/>
      <c r="P121" s="224"/>
      <c r="Q121" s="224"/>
      <c r="R121" s="224"/>
      <c r="S121" s="224"/>
      <c r="T121" s="224"/>
      <c r="U121" s="224"/>
      <c r="V121" s="252"/>
      <c r="W121" s="16"/>
    </row>
    <row r="122" spans="1:23" s="37" customFormat="1" x14ac:dyDescent="0.15">
      <c r="A122" s="143"/>
      <c r="B122" s="143"/>
      <c r="C122" s="144"/>
      <c r="D122" s="145">
        <v>615194</v>
      </c>
      <c r="E122" s="145" t="s">
        <v>67</v>
      </c>
      <c r="F122" s="145" t="s">
        <v>192</v>
      </c>
      <c r="G122" s="165"/>
      <c r="H122" s="559"/>
      <c r="I122" s="226"/>
      <c r="J122" s="226"/>
      <c r="K122" s="226"/>
      <c r="L122" s="226"/>
      <c r="M122" s="226"/>
      <c r="N122" s="297"/>
      <c r="O122" s="297"/>
      <c r="P122" s="297"/>
      <c r="Q122" s="326"/>
      <c r="R122" s="300"/>
      <c r="S122" s="226"/>
      <c r="T122" s="226"/>
      <c r="U122" s="583"/>
      <c r="V122" s="226">
        <f>SUM(H122:T122)</f>
        <v>0</v>
      </c>
      <c r="W122" s="16"/>
    </row>
    <row r="123" spans="1:23" x14ac:dyDescent="0.15">
      <c r="A123" s="143"/>
      <c r="B123" s="143"/>
      <c r="C123" s="144"/>
      <c r="D123" s="145">
        <v>615194</v>
      </c>
      <c r="E123" s="145" t="s">
        <v>67</v>
      </c>
      <c r="F123" s="145" t="s">
        <v>179</v>
      </c>
      <c r="G123" s="165"/>
      <c r="H123" s="559"/>
      <c r="I123" s="226"/>
      <c r="J123" s="226"/>
      <c r="K123" s="226"/>
      <c r="L123" s="226"/>
      <c r="M123" s="226"/>
      <c r="N123" s="297"/>
      <c r="O123" s="297"/>
      <c r="P123" s="297"/>
      <c r="Q123" s="326"/>
      <c r="R123" s="300"/>
      <c r="S123" s="226"/>
      <c r="T123" s="226"/>
      <c r="U123" s="583"/>
      <c r="V123" s="226">
        <f>SUM(H123:T123)</f>
        <v>0</v>
      </c>
    </row>
    <row r="124" spans="1:23" ht="11.25" thickBot="1" x14ac:dyDescent="0.2">
      <c r="A124" s="516" t="s">
        <v>11</v>
      </c>
      <c r="B124" s="517"/>
      <c r="C124" s="518"/>
      <c r="D124" s="519"/>
      <c r="E124" s="516"/>
      <c r="F124" s="520"/>
      <c r="G124" s="521"/>
      <c r="H124" s="522">
        <f>SUM(H122:H123)</f>
        <v>0</v>
      </c>
      <c r="I124" s="522">
        <f t="shared" ref="I124:V124" si="22">SUM(I122:I123)</f>
        <v>0</v>
      </c>
      <c r="J124" s="522">
        <f t="shared" si="22"/>
        <v>0</v>
      </c>
      <c r="K124" s="522">
        <f t="shared" si="22"/>
        <v>0</v>
      </c>
      <c r="L124" s="522">
        <f t="shared" si="22"/>
        <v>0</v>
      </c>
      <c r="M124" s="522">
        <f t="shared" si="22"/>
        <v>0</v>
      </c>
      <c r="N124" s="522">
        <f t="shared" si="22"/>
        <v>0</v>
      </c>
      <c r="O124" s="522">
        <f t="shared" si="22"/>
        <v>0</v>
      </c>
      <c r="P124" s="522">
        <f t="shared" si="22"/>
        <v>0</v>
      </c>
      <c r="Q124" s="522">
        <f t="shared" si="22"/>
        <v>0</v>
      </c>
      <c r="R124" s="522">
        <f t="shared" si="22"/>
        <v>0</v>
      </c>
      <c r="S124" s="522">
        <f t="shared" si="22"/>
        <v>0</v>
      </c>
      <c r="T124" s="522">
        <f t="shared" si="22"/>
        <v>0</v>
      </c>
      <c r="U124" s="522">
        <f t="shared" si="22"/>
        <v>0</v>
      </c>
      <c r="V124" s="522">
        <f t="shared" si="22"/>
        <v>0</v>
      </c>
      <c r="W124" s="97" t="str">
        <f>+IF(V124=SUM(H124:T124),"contrôle ok", "erreur")</f>
        <v>contrôle ok</v>
      </c>
    </row>
    <row r="125" spans="1:23" ht="11.25" thickTop="1" x14ac:dyDescent="0.15">
      <c r="A125" s="33"/>
      <c r="B125" s="33"/>
      <c r="C125" s="34"/>
      <c r="D125" s="35"/>
      <c r="E125" s="36"/>
      <c r="F125" s="35"/>
      <c r="G125" s="100"/>
      <c r="H125" s="229"/>
      <c r="I125" s="229"/>
      <c r="J125" s="229"/>
      <c r="K125" s="229"/>
      <c r="L125" s="229"/>
      <c r="M125" s="229"/>
      <c r="N125" s="257"/>
      <c r="O125" s="229"/>
      <c r="P125" s="229"/>
      <c r="Q125" s="229"/>
      <c r="R125" s="229"/>
      <c r="S125" s="229"/>
      <c r="T125" s="229"/>
      <c r="U125" s="229"/>
      <c r="V125" s="258"/>
      <c r="W125" s="37"/>
    </row>
    <row r="126" spans="1:23" x14ac:dyDescent="0.15">
      <c r="A126" s="27" t="s">
        <v>89</v>
      </c>
      <c r="B126" s="28"/>
      <c r="C126" s="29"/>
      <c r="D126" s="30"/>
      <c r="E126" s="30"/>
      <c r="F126" s="31"/>
      <c r="G126" s="101"/>
      <c r="H126" s="224"/>
      <c r="I126" s="224"/>
      <c r="J126" s="251"/>
      <c r="K126" s="224"/>
      <c r="L126" s="224"/>
      <c r="M126" s="224"/>
      <c r="N126" s="224"/>
      <c r="O126" s="224"/>
      <c r="P126" s="224"/>
      <c r="Q126" s="224"/>
      <c r="R126" s="224"/>
      <c r="S126" s="224"/>
      <c r="T126" s="224"/>
      <c r="U126" s="224"/>
      <c r="V126" s="252"/>
    </row>
    <row r="127" spans="1:23" x14ac:dyDescent="0.15">
      <c r="A127" s="143"/>
      <c r="B127" s="143"/>
      <c r="C127" s="144"/>
      <c r="D127" s="145">
        <v>615195</v>
      </c>
      <c r="E127" s="145" t="s">
        <v>67</v>
      </c>
      <c r="F127" s="145" t="s">
        <v>188</v>
      </c>
      <c r="G127" s="165"/>
      <c r="H127" s="559"/>
      <c r="I127" s="226"/>
      <c r="J127" s="226"/>
      <c r="K127" s="226"/>
      <c r="L127" s="226"/>
      <c r="M127" s="226"/>
      <c r="N127" s="296"/>
      <c r="O127" s="296"/>
      <c r="P127" s="296"/>
      <c r="Q127" s="297"/>
      <c r="R127" s="297"/>
      <c r="S127" s="226"/>
      <c r="T127" s="226"/>
      <c r="U127" s="583"/>
      <c r="V127" s="226">
        <f t="shared" ref="V127:V133" si="23">SUM(H127:T127)</f>
        <v>0</v>
      </c>
    </row>
    <row r="128" spans="1:23" x14ac:dyDescent="0.15">
      <c r="A128" s="143"/>
      <c r="B128" s="143"/>
      <c r="C128" s="144"/>
      <c r="D128" s="145">
        <v>615195</v>
      </c>
      <c r="E128" s="145" t="s">
        <v>67</v>
      </c>
      <c r="F128" s="145" t="s">
        <v>185</v>
      </c>
      <c r="G128" s="165"/>
      <c r="H128" s="559"/>
      <c r="I128" s="226"/>
      <c r="J128" s="226"/>
      <c r="K128" s="226">
        <v>300</v>
      </c>
      <c r="L128" s="226"/>
      <c r="M128" s="226"/>
      <c r="N128" s="296"/>
      <c r="O128" s="296"/>
      <c r="P128" s="296"/>
      <c r="Q128" s="296"/>
      <c r="R128" s="297"/>
      <c r="S128" s="226"/>
      <c r="T128" s="226"/>
      <c r="U128" s="583"/>
      <c r="V128" s="226">
        <f t="shared" si="23"/>
        <v>300</v>
      </c>
    </row>
    <row r="129" spans="1:23" x14ac:dyDescent="0.15">
      <c r="A129" s="143"/>
      <c r="B129" s="143"/>
      <c r="C129" s="144"/>
      <c r="D129" s="145">
        <v>615195</v>
      </c>
      <c r="E129" s="145" t="s">
        <v>67</v>
      </c>
      <c r="F129" s="145" t="s">
        <v>203</v>
      </c>
      <c r="G129" s="165"/>
      <c r="H129" s="559"/>
      <c r="I129" s="226"/>
      <c r="J129" s="226"/>
      <c r="K129" s="226"/>
      <c r="L129" s="226"/>
      <c r="M129" s="226"/>
      <c r="N129" s="296"/>
      <c r="O129" s="296"/>
      <c r="P129" s="296"/>
      <c r="Q129" s="297"/>
      <c r="R129" s="297"/>
      <c r="S129" s="226"/>
      <c r="T129" s="226"/>
      <c r="U129" s="583"/>
      <c r="V129" s="226">
        <f t="shared" si="23"/>
        <v>0</v>
      </c>
    </row>
    <row r="130" spans="1:23" x14ac:dyDescent="0.15">
      <c r="A130" s="143"/>
      <c r="B130" s="143"/>
      <c r="C130" s="144"/>
      <c r="D130" s="145">
        <v>615195</v>
      </c>
      <c r="E130" s="145" t="s">
        <v>67</v>
      </c>
      <c r="F130" s="145" t="s">
        <v>192</v>
      </c>
      <c r="G130" s="165"/>
      <c r="H130" s="559"/>
      <c r="I130" s="226"/>
      <c r="J130" s="226"/>
      <c r="K130" s="226"/>
      <c r="L130" s="226">
        <v>350</v>
      </c>
      <c r="M130" s="226">
        <v>445.3</v>
      </c>
      <c r="N130" s="226">
        <v>489</v>
      </c>
      <c r="O130" s="296"/>
      <c r="P130" s="296"/>
      <c r="Q130" s="296">
        <v>873.39</v>
      </c>
      <c r="R130" s="617">
        <v>322.5</v>
      </c>
      <c r="S130" s="296"/>
      <c r="T130" s="300">
        <f>493+466+1923.86</f>
        <v>2882.8599999999997</v>
      </c>
      <c r="U130" s="654"/>
      <c r="V130" s="226">
        <f t="shared" si="23"/>
        <v>5363.0499999999993</v>
      </c>
      <c r="W130" s="16" t="s">
        <v>10</v>
      </c>
    </row>
    <row r="131" spans="1:23" s="37" customFormat="1" x14ac:dyDescent="0.15">
      <c r="A131" s="143" t="s">
        <v>186</v>
      </c>
      <c r="B131" s="606">
        <v>42865</v>
      </c>
      <c r="C131" s="144"/>
      <c r="D131" s="145">
        <v>615195</v>
      </c>
      <c r="E131" s="145" t="s">
        <v>67</v>
      </c>
      <c r="F131" s="145" t="s">
        <v>187</v>
      </c>
      <c r="G131" s="165"/>
      <c r="H131" s="559"/>
      <c r="I131" s="226"/>
      <c r="J131" s="226"/>
      <c r="K131" s="226"/>
      <c r="L131" s="226"/>
      <c r="M131" s="226">
        <v>1029</v>
      </c>
      <c r="N131" s="296"/>
      <c r="O131" s="296"/>
      <c r="P131" s="296"/>
      <c r="Q131" s="297"/>
      <c r="R131" s="297"/>
      <c r="S131" s="226"/>
      <c r="T131" s="226"/>
      <c r="U131" s="583"/>
      <c r="V131" s="226">
        <f t="shared" si="23"/>
        <v>1029</v>
      </c>
      <c r="W131" s="16"/>
    </row>
    <row r="132" spans="1:23" s="37" customFormat="1" x14ac:dyDescent="0.15">
      <c r="A132" s="143" t="s">
        <v>644</v>
      </c>
      <c r="B132" s="143" t="s">
        <v>645</v>
      </c>
      <c r="C132" s="144"/>
      <c r="D132" s="145">
        <v>615195</v>
      </c>
      <c r="E132" s="145" t="s">
        <v>67</v>
      </c>
      <c r="F132" s="145" t="s">
        <v>191</v>
      </c>
      <c r="G132" s="165"/>
      <c r="H132" s="559"/>
      <c r="I132" s="226"/>
      <c r="J132" s="226"/>
      <c r="K132" s="226"/>
      <c r="L132" s="226"/>
      <c r="M132" s="226"/>
      <c r="N132" s="296"/>
      <c r="O132" s="296"/>
      <c r="P132" s="296"/>
      <c r="Q132" s="297"/>
      <c r="R132" s="297"/>
      <c r="S132" s="226"/>
      <c r="T132" s="226"/>
      <c r="U132" s="583"/>
      <c r="V132" s="226">
        <f t="shared" si="23"/>
        <v>0</v>
      </c>
      <c r="W132" s="16"/>
    </row>
    <row r="133" spans="1:23" x14ac:dyDescent="0.15">
      <c r="A133" s="143"/>
      <c r="B133" s="143"/>
      <c r="C133" s="144"/>
      <c r="D133" s="145">
        <v>615195</v>
      </c>
      <c r="E133" s="145" t="s">
        <v>67</v>
      </c>
      <c r="F133" s="145" t="s">
        <v>184</v>
      </c>
      <c r="G133" s="165"/>
      <c r="H133" s="559"/>
      <c r="I133" s="226"/>
      <c r="J133" s="226"/>
      <c r="K133" s="226"/>
      <c r="L133" s="226"/>
      <c r="M133" s="226"/>
      <c r="N133" s="296"/>
      <c r="O133" s="296"/>
      <c r="P133" s="296"/>
      <c r="Q133" s="297"/>
      <c r="R133" s="297"/>
      <c r="S133" s="226"/>
      <c r="T133" s="226"/>
      <c r="U133" s="583"/>
      <c r="V133" s="226">
        <f t="shared" si="23"/>
        <v>0</v>
      </c>
    </row>
    <row r="134" spans="1:23" ht="11.25" thickBot="1" x14ac:dyDescent="0.2">
      <c r="A134" s="516" t="s">
        <v>11</v>
      </c>
      <c r="B134" s="517"/>
      <c r="C134" s="518"/>
      <c r="D134" s="519"/>
      <c r="E134" s="516"/>
      <c r="F134" s="520"/>
      <c r="G134" s="521"/>
      <c r="H134" s="522">
        <f>SUM(H127:H133)</f>
        <v>0</v>
      </c>
      <c r="I134" s="522">
        <f t="shared" ref="I134:V134" si="24">SUM(I127:I133)</f>
        <v>0</v>
      </c>
      <c r="J134" s="522">
        <f t="shared" si="24"/>
        <v>0</v>
      </c>
      <c r="K134" s="522">
        <f t="shared" si="24"/>
        <v>300</v>
      </c>
      <c r="L134" s="522">
        <f t="shared" si="24"/>
        <v>350</v>
      </c>
      <c r="M134" s="522">
        <f t="shared" si="24"/>
        <v>1474.3</v>
      </c>
      <c r="N134" s="522">
        <f t="shared" si="24"/>
        <v>489</v>
      </c>
      <c r="O134" s="522">
        <f t="shared" si="24"/>
        <v>0</v>
      </c>
      <c r="P134" s="522">
        <f t="shared" si="24"/>
        <v>0</v>
      </c>
      <c r="Q134" s="522">
        <f t="shared" si="24"/>
        <v>873.39</v>
      </c>
      <c r="R134" s="522">
        <f t="shared" si="24"/>
        <v>322.5</v>
      </c>
      <c r="S134" s="522">
        <f t="shared" si="24"/>
        <v>0</v>
      </c>
      <c r="T134" s="522">
        <f t="shared" si="24"/>
        <v>2882.8599999999997</v>
      </c>
      <c r="U134" s="522">
        <f t="shared" si="24"/>
        <v>0</v>
      </c>
      <c r="V134" s="522">
        <f t="shared" si="24"/>
        <v>6692.0499999999993</v>
      </c>
      <c r="W134" s="97" t="str">
        <f>+IF(V134=SUM(H134:T134),"contrôle ok", "erreur")</f>
        <v>contrôle ok</v>
      </c>
    </row>
    <row r="135" spans="1:23" ht="11.25" thickTop="1" x14ac:dyDescent="0.15">
      <c r="A135" s="33"/>
      <c r="B135" s="33"/>
      <c r="C135" s="34"/>
      <c r="D135" s="35"/>
      <c r="E135" s="36"/>
      <c r="F135" s="35"/>
      <c r="G135" s="100"/>
      <c r="H135" s="229"/>
      <c r="I135" s="229"/>
      <c r="J135" s="229"/>
      <c r="K135" s="229"/>
      <c r="L135" s="229"/>
      <c r="M135" s="229"/>
      <c r="N135" s="257"/>
      <c r="O135" s="229"/>
      <c r="P135" s="229"/>
      <c r="Q135" s="229"/>
      <c r="R135" s="229"/>
      <c r="S135" s="229"/>
      <c r="T135" s="229"/>
      <c r="U135" s="229"/>
      <c r="V135" s="258"/>
      <c r="W135" s="37"/>
    </row>
    <row r="136" spans="1:23" x14ac:dyDescent="0.15">
      <c r="A136" s="27" t="s">
        <v>94</v>
      </c>
      <c r="B136" s="28"/>
      <c r="C136" s="29"/>
      <c r="D136" s="30"/>
      <c r="E136" s="30"/>
      <c r="F136" s="31"/>
      <c r="G136" s="101"/>
      <c r="H136" s="224"/>
      <c r="I136" s="224"/>
      <c r="J136" s="251"/>
      <c r="K136" s="224"/>
      <c r="L136" s="224"/>
      <c r="M136" s="224"/>
      <c r="N136" s="224"/>
      <c r="O136" s="224"/>
      <c r="P136" s="224"/>
      <c r="Q136" s="224"/>
      <c r="R136" s="224"/>
      <c r="S136" s="224"/>
      <c r="T136" s="224"/>
      <c r="U136" s="224"/>
      <c r="V136" s="252"/>
    </row>
    <row r="137" spans="1:23" s="37" customFormat="1" x14ac:dyDescent="0.15">
      <c r="A137" s="143"/>
      <c r="B137" s="143"/>
      <c r="C137" s="144"/>
      <c r="D137" s="145">
        <v>615196</v>
      </c>
      <c r="E137" s="145" t="s">
        <v>67</v>
      </c>
      <c r="F137" s="145" t="s">
        <v>192</v>
      </c>
      <c r="G137" s="165"/>
      <c r="H137" s="559"/>
      <c r="I137" s="226"/>
      <c r="J137" s="226"/>
      <c r="K137" s="226"/>
      <c r="L137" s="226"/>
      <c r="M137" s="226"/>
      <c r="N137" s="296"/>
      <c r="O137" s="296"/>
      <c r="P137" s="296"/>
      <c r="Q137" s="297"/>
      <c r="R137" s="297"/>
      <c r="S137" s="226"/>
      <c r="T137" s="226"/>
      <c r="U137" s="583"/>
      <c r="V137" s="226">
        <f>SUM(H137:T137)</f>
        <v>0</v>
      </c>
      <c r="W137" s="16"/>
    </row>
    <row r="138" spans="1:23" s="37" customFormat="1" x14ac:dyDescent="0.15">
      <c r="A138" s="143"/>
      <c r="B138" s="143"/>
      <c r="C138" s="144"/>
      <c r="D138" s="145">
        <v>615196</v>
      </c>
      <c r="E138" s="145" t="s">
        <v>67</v>
      </c>
      <c r="F138" s="145" t="s">
        <v>183</v>
      </c>
      <c r="G138" s="165"/>
      <c r="H138" s="559"/>
      <c r="I138" s="226"/>
      <c r="J138" s="226"/>
      <c r="K138" s="226"/>
      <c r="L138" s="226"/>
      <c r="M138" s="226"/>
      <c r="N138" s="296"/>
      <c r="O138" s="296"/>
      <c r="P138" s="296">
        <v>439.35</v>
      </c>
      <c r="Q138" s="297"/>
      <c r="R138" s="297">
        <v>803.96</v>
      </c>
      <c r="S138" s="226"/>
      <c r="T138" s="226"/>
      <c r="U138" s="583"/>
      <c r="V138" s="226">
        <f>SUM(H138:T138)</f>
        <v>1243.31</v>
      </c>
      <c r="W138" s="16"/>
    </row>
    <row r="139" spans="1:23" x14ac:dyDescent="0.15">
      <c r="A139" s="143" t="s">
        <v>587</v>
      </c>
      <c r="B139" s="143" t="s">
        <v>590</v>
      </c>
      <c r="C139" s="144">
        <v>2017</v>
      </c>
      <c r="D139" s="145">
        <v>615196</v>
      </c>
      <c r="E139" s="145" t="s">
        <v>67</v>
      </c>
      <c r="F139" s="145" t="s">
        <v>182</v>
      </c>
      <c r="G139" s="165">
        <f>6300/12</f>
        <v>525</v>
      </c>
      <c r="H139" s="559"/>
      <c r="I139" s="296">
        <v>525</v>
      </c>
      <c r="J139" s="296">
        <v>525</v>
      </c>
      <c r="K139" s="296">
        <v>525</v>
      </c>
      <c r="L139" s="226">
        <v>525</v>
      </c>
      <c r="M139" s="226">
        <v>525</v>
      </c>
      <c r="N139" s="296">
        <v>525</v>
      </c>
      <c r="O139" s="296">
        <v>525</v>
      </c>
      <c r="P139" s="296">
        <v>525</v>
      </c>
      <c r="Q139" s="297">
        <v>525</v>
      </c>
      <c r="R139" s="297">
        <v>525</v>
      </c>
      <c r="S139" s="226">
        <v>525</v>
      </c>
      <c r="T139" s="226">
        <v>525</v>
      </c>
      <c r="U139" s="583"/>
      <c r="V139" s="226">
        <f>SUM(H139:T139)</f>
        <v>6300</v>
      </c>
    </row>
    <row r="140" spans="1:23" ht="11.25" thickBot="1" x14ac:dyDescent="0.2">
      <c r="A140" s="516" t="s">
        <v>11</v>
      </c>
      <c r="B140" s="517"/>
      <c r="C140" s="518"/>
      <c r="D140" s="519"/>
      <c r="E140" s="516"/>
      <c r="F140" s="520"/>
      <c r="G140" s="521"/>
      <c r="H140" s="522">
        <f>SUM(H137:H139)</f>
        <v>0</v>
      </c>
      <c r="I140" s="522">
        <f>SUM(I137:I139)</f>
        <v>525</v>
      </c>
      <c r="J140" s="522">
        <f t="shared" ref="J140:U140" si="25">SUM(J137:J139)</f>
        <v>525</v>
      </c>
      <c r="K140" s="522">
        <f t="shared" si="25"/>
        <v>525</v>
      </c>
      <c r="L140" s="522">
        <f t="shared" si="25"/>
        <v>525</v>
      </c>
      <c r="M140" s="522">
        <f t="shared" si="25"/>
        <v>525</v>
      </c>
      <c r="N140" s="522">
        <f t="shared" si="25"/>
        <v>525</v>
      </c>
      <c r="O140" s="522">
        <f t="shared" si="25"/>
        <v>525</v>
      </c>
      <c r="P140" s="522">
        <f t="shared" si="25"/>
        <v>964.35</v>
      </c>
      <c r="Q140" s="522">
        <f t="shared" si="25"/>
        <v>525</v>
      </c>
      <c r="R140" s="522">
        <f t="shared" si="25"/>
        <v>1328.96</v>
      </c>
      <c r="S140" s="522">
        <f t="shared" si="25"/>
        <v>525</v>
      </c>
      <c r="T140" s="522">
        <f t="shared" si="25"/>
        <v>525</v>
      </c>
      <c r="U140" s="522">
        <f t="shared" si="25"/>
        <v>0</v>
      </c>
      <c r="V140" s="522">
        <f>SUM(V137:V139)</f>
        <v>7543.3099999999995</v>
      </c>
      <c r="W140" s="97" t="str">
        <f>+IF(V140=SUM(H140:T140),"contrôle ok", "erreur")</f>
        <v>contrôle ok</v>
      </c>
    </row>
    <row r="141" spans="1:23" ht="11.25" thickTop="1" x14ac:dyDescent="0.15">
      <c r="A141" s="33"/>
      <c r="B141" s="33"/>
      <c r="C141" s="34"/>
      <c r="D141" s="35"/>
      <c r="E141" s="36"/>
      <c r="F141" s="35"/>
      <c r="G141" s="100"/>
      <c r="H141" s="229"/>
      <c r="I141" s="229"/>
      <c r="J141" s="229"/>
      <c r="K141" s="229"/>
      <c r="L141" s="229"/>
      <c r="M141" s="229"/>
      <c r="N141" s="257"/>
      <c r="O141" s="229"/>
      <c r="P141" s="229"/>
      <c r="Q141" s="229"/>
      <c r="R141" s="229"/>
      <c r="S141" s="229"/>
      <c r="T141" s="229"/>
      <c r="U141" s="229"/>
      <c r="V141" s="258"/>
      <c r="W141" s="37"/>
    </row>
    <row r="142" spans="1:23" s="37" customFormat="1" ht="10.9" customHeight="1" x14ac:dyDescent="0.15">
      <c r="A142" s="27" t="s">
        <v>9</v>
      </c>
      <c r="B142" s="28"/>
      <c r="C142" s="29"/>
      <c r="D142" s="30"/>
      <c r="E142" s="30"/>
      <c r="F142" s="31"/>
      <c r="G142" s="101"/>
      <c r="H142" s="224"/>
      <c r="I142" s="224"/>
      <c r="J142" s="251"/>
      <c r="K142" s="224"/>
      <c r="L142" s="224"/>
      <c r="M142" s="224"/>
      <c r="N142" s="224"/>
      <c r="O142" s="224"/>
      <c r="P142" s="224"/>
      <c r="Q142" s="224"/>
      <c r="R142" s="224"/>
      <c r="S142" s="224"/>
      <c r="T142" s="224"/>
      <c r="U142" s="224"/>
      <c r="V142" s="252"/>
      <c r="W142" s="16"/>
    </row>
    <row r="143" spans="1:23" x14ac:dyDescent="0.15">
      <c r="A143" s="143" t="s">
        <v>591</v>
      </c>
      <c r="B143" s="143" t="s">
        <v>617</v>
      </c>
      <c r="C143" s="144"/>
      <c r="D143" s="145">
        <v>615200</v>
      </c>
      <c r="E143" s="145" t="s">
        <v>68</v>
      </c>
      <c r="F143" s="145" t="s">
        <v>179</v>
      </c>
      <c r="G143" s="165">
        <f>3357+85</f>
        <v>3442</v>
      </c>
      <c r="H143" s="559"/>
      <c r="I143" s="226">
        <v>3442</v>
      </c>
      <c r="J143" s="226">
        <v>3442</v>
      </c>
      <c r="K143" s="226">
        <f t="shared" ref="K143:Q143" si="26">3357+85</f>
        <v>3442</v>
      </c>
      <c r="L143" s="226">
        <f t="shared" si="26"/>
        <v>3442</v>
      </c>
      <c r="M143" s="226">
        <f t="shared" si="26"/>
        <v>3442</v>
      </c>
      <c r="N143" s="226">
        <f t="shared" si="26"/>
        <v>3442</v>
      </c>
      <c r="O143" s="226">
        <f t="shared" si="26"/>
        <v>3442</v>
      </c>
      <c r="P143" s="226">
        <f t="shared" si="26"/>
        <v>3442</v>
      </c>
      <c r="Q143" s="226">
        <f t="shared" si="26"/>
        <v>3442</v>
      </c>
      <c r="R143" s="226">
        <v>3442</v>
      </c>
      <c r="S143" s="226">
        <v>3442</v>
      </c>
      <c r="T143" s="226">
        <v>3442</v>
      </c>
      <c r="U143" s="583"/>
      <c r="V143" s="226">
        <f>SUM(H143:T143)</f>
        <v>41304</v>
      </c>
      <c r="W143" s="219"/>
    </row>
    <row r="144" spans="1:23" x14ac:dyDescent="0.15">
      <c r="A144" s="143"/>
      <c r="B144" s="143"/>
      <c r="C144" s="144"/>
      <c r="D144" s="145">
        <v>615200</v>
      </c>
      <c r="E144" s="145" t="s">
        <v>68</v>
      </c>
      <c r="F144" s="145" t="s">
        <v>192</v>
      </c>
      <c r="G144" s="165"/>
      <c r="H144" s="559"/>
      <c r="I144" s="226"/>
      <c r="J144" s="226"/>
      <c r="K144" s="226"/>
      <c r="L144" s="226"/>
      <c r="M144" s="226"/>
      <c r="N144" s="234"/>
      <c r="O144" s="234"/>
      <c r="P144" s="226"/>
      <c r="Q144" s="226">
        <v>558</v>
      </c>
      <c r="R144" s="226"/>
      <c r="S144" s="226"/>
      <c r="T144" s="300"/>
      <c r="U144" s="300"/>
      <c r="V144" s="226">
        <f>SUM(H144:T144)</f>
        <v>558</v>
      </c>
    </row>
    <row r="145" spans="1:23" ht="11.25" thickBot="1" x14ac:dyDescent="0.2">
      <c r="A145" s="516" t="s">
        <v>11</v>
      </c>
      <c r="B145" s="517"/>
      <c r="C145" s="518"/>
      <c r="D145" s="519"/>
      <c r="E145" s="516"/>
      <c r="F145" s="520"/>
      <c r="G145" s="521"/>
      <c r="H145" s="522">
        <f>SUM(H143:H144)</f>
        <v>0</v>
      </c>
      <c r="I145" s="522">
        <f t="shared" ref="I145:V145" si="27">SUM(I143:I144)</f>
        <v>3442</v>
      </c>
      <c r="J145" s="522">
        <f t="shared" si="27"/>
        <v>3442</v>
      </c>
      <c r="K145" s="522">
        <f t="shared" si="27"/>
        <v>3442</v>
      </c>
      <c r="L145" s="522">
        <f t="shared" si="27"/>
        <v>3442</v>
      </c>
      <c r="M145" s="522">
        <f t="shared" si="27"/>
        <v>3442</v>
      </c>
      <c r="N145" s="522">
        <f t="shared" si="27"/>
        <v>3442</v>
      </c>
      <c r="O145" s="522">
        <f t="shared" si="27"/>
        <v>3442</v>
      </c>
      <c r="P145" s="522">
        <f t="shared" si="27"/>
        <v>3442</v>
      </c>
      <c r="Q145" s="522">
        <f t="shared" si="27"/>
        <v>4000</v>
      </c>
      <c r="R145" s="522">
        <f t="shared" si="27"/>
        <v>3442</v>
      </c>
      <c r="S145" s="522">
        <f t="shared" si="27"/>
        <v>3442</v>
      </c>
      <c r="T145" s="522">
        <f t="shared" si="27"/>
        <v>3442</v>
      </c>
      <c r="U145" s="522">
        <f t="shared" si="27"/>
        <v>0</v>
      </c>
      <c r="V145" s="522">
        <f t="shared" si="27"/>
        <v>41862</v>
      </c>
      <c r="W145" s="97" t="str">
        <f>+IF(V145=SUM(H145:T145),"contrôle ok", "erreur")</f>
        <v>contrôle ok</v>
      </c>
    </row>
    <row r="146" spans="1:23" ht="11.25" thickTop="1" x14ac:dyDescent="0.15">
      <c r="A146" s="33"/>
      <c r="B146" s="33"/>
      <c r="C146" s="34"/>
      <c r="D146" s="35"/>
      <c r="E146" s="36"/>
      <c r="F146" s="35"/>
      <c r="G146" s="100"/>
      <c r="H146" s="229"/>
      <c r="I146" s="229"/>
      <c r="J146" s="229"/>
      <c r="K146" s="229"/>
      <c r="L146" s="229"/>
      <c r="M146" s="229"/>
      <c r="N146" s="257"/>
      <c r="O146" s="229"/>
      <c r="P146" s="229"/>
      <c r="Q146" s="229"/>
      <c r="R146" s="229"/>
      <c r="S146" s="229"/>
      <c r="T146" s="229"/>
      <c r="U146" s="229"/>
      <c r="V146" s="258"/>
      <c r="W146" s="37"/>
    </row>
    <row r="147" spans="1:23" s="37" customFormat="1" ht="10.9" customHeight="1" x14ac:dyDescent="0.15">
      <c r="A147" s="27" t="s">
        <v>101</v>
      </c>
      <c r="B147" s="28"/>
      <c r="C147" s="29"/>
      <c r="D147" s="30"/>
      <c r="E147" s="30"/>
      <c r="F147" s="31"/>
      <c r="G147" s="101"/>
      <c r="H147" s="224"/>
      <c r="I147" s="224"/>
      <c r="J147" s="251"/>
      <c r="K147" s="224"/>
      <c r="L147" s="224"/>
      <c r="M147" s="224"/>
      <c r="N147" s="224"/>
      <c r="O147" s="224"/>
      <c r="P147" s="224"/>
      <c r="Q147" s="224"/>
      <c r="R147" s="224"/>
      <c r="S147" s="224"/>
      <c r="T147" s="224"/>
      <c r="U147" s="224"/>
      <c r="V147" s="252"/>
      <c r="W147" s="16"/>
    </row>
    <row r="148" spans="1:23" x14ac:dyDescent="0.15">
      <c r="A148" s="143" t="s">
        <v>651</v>
      </c>
      <c r="B148" s="143" t="s">
        <v>652</v>
      </c>
      <c r="C148" s="144" t="s">
        <v>812</v>
      </c>
      <c r="D148" s="145">
        <v>615205</v>
      </c>
      <c r="E148" s="145" t="s">
        <v>68</v>
      </c>
      <c r="F148" s="145" t="s">
        <v>179</v>
      </c>
      <c r="G148" s="165">
        <f>1935.83/6</f>
        <v>322.63833333333332</v>
      </c>
      <c r="H148" s="559"/>
      <c r="I148" s="226">
        <v>315</v>
      </c>
      <c r="J148" s="226">
        <v>315</v>
      </c>
      <c r="K148" s="226">
        <v>315</v>
      </c>
      <c r="L148" s="226">
        <v>315</v>
      </c>
      <c r="M148" s="226">
        <v>315</v>
      </c>
      <c r="N148" s="226">
        <v>315</v>
      </c>
      <c r="O148" s="226">
        <v>315</v>
      </c>
      <c r="P148" s="226">
        <v>315</v>
      </c>
      <c r="Q148" s="226">
        <v>322.64</v>
      </c>
      <c r="R148" s="226">
        <v>322.64</v>
      </c>
      <c r="S148" s="226">
        <v>322.64</v>
      </c>
      <c r="T148" s="226">
        <v>322.64</v>
      </c>
      <c r="U148" s="583"/>
      <c r="V148" s="226">
        <f>SUM(H148:T148)</f>
        <v>3810.5599999999995</v>
      </c>
      <c r="W148" s="219"/>
    </row>
    <row r="149" spans="1:23" x14ac:dyDescent="0.15">
      <c r="A149" s="143"/>
      <c r="B149" s="143"/>
      <c r="C149" s="144"/>
      <c r="D149" s="145">
        <v>615205</v>
      </c>
      <c r="E149" s="145" t="s">
        <v>68</v>
      </c>
      <c r="F149" s="145" t="s">
        <v>192</v>
      </c>
      <c r="G149" s="165"/>
      <c r="H149" s="559"/>
      <c r="I149" s="226"/>
      <c r="J149" s="226"/>
      <c r="K149" s="226"/>
      <c r="L149" s="226"/>
      <c r="M149" s="226"/>
      <c r="N149" s="226"/>
      <c r="O149" s="226"/>
      <c r="P149" s="226"/>
      <c r="Q149" s="226">
        <v>515.66</v>
      </c>
      <c r="R149" s="226"/>
      <c r="S149" s="226"/>
      <c r="T149" s="300"/>
      <c r="U149" s="300"/>
      <c r="V149" s="226">
        <f>SUM(H149:T149)</f>
        <v>515.66</v>
      </c>
      <c r="W149" s="219"/>
    </row>
    <row r="150" spans="1:23" ht="11.25" thickBot="1" x14ac:dyDescent="0.2">
      <c r="A150" s="516" t="s">
        <v>11</v>
      </c>
      <c r="B150" s="517"/>
      <c r="C150" s="518"/>
      <c r="D150" s="519"/>
      <c r="E150" s="516"/>
      <c r="F150" s="520"/>
      <c r="G150" s="521"/>
      <c r="H150" s="522">
        <f>SUM(H149:H149)</f>
        <v>0</v>
      </c>
      <c r="I150" s="522">
        <f t="shared" ref="I150:T150" si="28">SUM(I148:I149)</f>
        <v>315</v>
      </c>
      <c r="J150" s="522">
        <f t="shared" si="28"/>
        <v>315</v>
      </c>
      <c r="K150" s="522">
        <f t="shared" si="28"/>
        <v>315</v>
      </c>
      <c r="L150" s="522">
        <f t="shared" si="28"/>
        <v>315</v>
      </c>
      <c r="M150" s="522">
        <f t="shared" si="28"/>
        <v>315</v>
      </c>
      <c r="N150" s="522">
        <f t="shared" si="28"/>
        <v>315</v>
      </c>
      <c r="O150" s="522">
        <f t="shared" si="28"/>
        <v>315</v>
      </c>
      <c r="P150" s="522">
        <f t="shared" si="28"/>
        <v>315</v>
      </c>
      <c r="Q150" s="522">
        <f t="shared" si="28"/>
        <v>838.3</v>
      </c>
      <c r="R150" s="522">
        <f t="shared" si="28"/>
        <v>322.64</v>
      </c>
      <c r="S150" s="522">
        <f t="shared" si="28"/>
        <v>322.64</v>
      </c>
      <c r="T150" s="522">
        <f t="shared" si="28"/>
        <v>322.64</v>
      </c>
      <c r="U150" s="522">
        <f>SUM(U148:U149)</f>
        <v>0</v>
      </c>
      <c r="V150" s="522">
        <f>SUM(V148:V149)</f>
        <v>4326.2199999999993</v>
      </c>
      <c r="W150" s="97" t="str">
        <f>+IF(V150=SUM(H150:T150),"contrôle ok", "erreur")</f>
        <v>contrôle ok</v>
      </c>
    </row>
    <row r="151" spans="1:23" ht="11.25" thickTop="1" x14ac:dyDescent="0.15">
      <c r="A151" s="93"/>
      <c r="B151" s="114"/>
      <c r="C151" s="34"/>
      <c r="D151" s="35"/>
      <c r="E151" s="36"/>
      <c r="F151" s="35"/>
      <c r="G151" s="100"/>
      <c r="H151" s="229"/>
      <c r="I151" s="229"/>
      <c r="J151" s="229"/>
      <c r="K151" s="229"/>
      <c r="L151" s="229"/>
      <c r="M151" s="229"/>
      <c r="N151" s="257"/>
      <c r="O151" s="229"/>
      <c r="P151" s="229"/>
      <c r="Q151" s="229"/>
      <c r="R151" s="229"/>
      <c r="S151" s="229"/>
      <c r="T151" s="229"/>
      <c r="U151" s="229"/>
      <c r="V151" s="258"/>
      <c r="W151" s="37"/>
    </row>
    <row r="152" spans="1:23" s="37" customFormat="1" x14ac:dyDescent="0.15">
      <c r="A152" s="27" t="s">
        <v>136</v>
      </c>
      <c r="B152" s="28"/>
      <c r="C152" s="29"/>
      <c r="D152" s="30"/>
      <c r="E152" s="30"/>
      <c r="F152" s="31"/>
      <c r="G152" s="101"/>
      <c r="H152" s="224"/>
      <c r="I152" s="224"/>
      <c r="J152" s="251"/>
      <c r="K152" s="224"/>
      <c r="L152" s="224"/>
      <c r="M152" s="224"/>
      <c r="N152" s="224"/>
      <c r="O152" s="224"/>
      <c r="P152" s="224"/>
      <c r="Q152" s="224"/>
      <c r="R152" s="224"/>
      <c r="S152" s="224"/>
      <c r="T152" s="224"/>
      <c r="U152" s="224"/>
      <c r="V152" s="252"/>
      <c r="W152" s="16"/>
    </row>
    <row r="153" spans="1:23" s="37" customFormat="1" x14ac:dyDescent="0.15">
      <c r="A153" s="143" t="s">
        <v>627</v>
      </c>
      <c r="B153" s="143" t="s">
        <v>690</v>
      </c>
      <c r="C153" s="144">
        <v>2017</v>
      </c>
      <c r="D153" s="145">
        <v>615210</v>
      </c>
      <c r="E153" s="145" t="s">
        <v>658</v>
      </c>
      <c r="F153" s="145" t="s">
        <v>189</v>
      </c>
      <c r="G153" s="165">
        <v>42</v>
      </c>
      <c r="H153" s="559"/>
      <c r="I153" s="226">
        <v>42</v>
      </c>
      <c r="J153" s="226">
        <v>42</v>
      </c>
      <c r="K153" s="226">
        <v>42</v>
      </c>
      <c r="L153" s="226">
        <v>42</v>
      </c>
      <c r="M153" s="226">
        <v>42</v>
      </c>
      <c r="N153" s="326">
        <v>42</v>
      </c>
      <c r="O153" s="327">
        <v>42</v>
      </c>
      <c r="P153" s="300">
        <v>42</v>
      </c>
      <c r="Q153" s="326">
        <v>42</v>
      </c>
      <c r="R153" s="300">
        <v>42</v>
      </c>
      <c r="S153" s="226">
        <v>42</v>
      </c>
      <c r="T153" s="226">
        <v>42</v>
      </c>
      <c r="U153" s="583"/>
      <c r="V153" s="226">
        <f>SUM(H153:T153)</f>
        <v>504</v>
      </c>
      <c r="W153" s="16"/>
    </row>
    <row r="154" spans="1:23" s="37" customFormat="1" x14ac:dyDescent="0.15">
      <c r="A154" s="143" t="s">
        <v>627</v>
      </c>
      <c r="B154" s="143" t="s">
        <v>690</v>
      </c>
      <c r="C154" s="144"/>
      <c r="D154" s="145">
        <v>615210</v>
      </c>
      <c r="E154" s="145" t="s">
        <v>658</v>
      </c>
      <c r="F154" s="145" t="s">
        <v>628</v>
      </c>
      <c r="G154" s="165"/>
      <c r="H154" s="559"/>
      <c r="I154" s="226"/>
      <c r="J154" s="226"/>
      <c r="K154" s="226"/>
      <c r="L154" s="226"/>
      <c r="M154" s="226">
        <f>630-630</f>
        <v>0</v>
      </c>
      <c r="N154" s="326"/>
      <c r="O154" s="327"/>
      <c r="P154" s="300"/>
      <c r="Q154" s="326"/>
      <c r="R154" s="300">
        <f>255-255</f>
        <v>0</v>
      </c>
      <c r="S154" s="226"/>
      <c r="T154" s="226"/>
      <c r="U154" s="583"/>
      <c r="V154" s="226">
        <f>SUM(H154:T154)</f>
        <v>0</v>
      </c>
      <c r="W154" s="16"/>
    </row>
    <row r="155" spans="1:23" x14ac:dyDescent="0.15">
      <c r="A155" s="143"/>
      <c r="B155" s="143"/>
      <c r="C155" s="144"/>
      <c r="D155" s="145">
        <v>615210</v>
      </c>
      <c r="E155" s="145" t="s">
        <v>67</v>
      </c>
      <c r="F155" s="145" t="s">
        <v>192</v>
      </c>
      <c r="G155" s="165"/>
      <c r="H155" s="559"/>
      <c r="I155" s="226"/>
      <c r="J155" s="226"/>
      <c r="K155" s="226"/>
      <c r="L155" s="226"/>
      <c r="M155" s="226"/>
      <c r="N155" s="326"/>
      <c r="O155" s="327"/>
      <c r="P155" s="300"/>
      <c r="Q155" s="326"/>
      <c r="R155" s="300"/>
      <c r="S155" s="226"/>
      <c r="T155" s="226"/>
      <c r="U155" s="583"/>
      <c r="V155" s="226">
        <f>SUM(H155:T155)</f>
        <v>0</v>
      </c>
    </row>
    <row r="156" spans="1:23" ht="11.25" thickBot="1" x14ac:dyDescent="0.2">
      <c r="A156" s="516" t="s">
        <v>11</v>
      </c>
      <c r="B156" s="517"/>
      <c r="C156" s="518"/>
      <c r="D156" s="519"/>
      <c r="E156" s="516"/>
      <c r="F156" s="520"/>
      <c r="G156" s="521"/>
      <c r="H156" s="522">
        <f>SUM(H153:H155)</f>
        <v>0</v>
      </c>
      <c r="I156" s="522">
        <f t="shared" ref="I156:V156" si="29">SUM(I153:I155)</f>
        <v>42</v>
      </c>
      <c r="J156" s="522">
        <f t="shared" si="29"/>
        <v>42</v>
      </c>
      <c r="K156" s="522">
        <f t="shared" si="29"/>
        <v>42</v>
      </c>
      <c r="L156" s="522">
        <f t="shared" si="29"/>
        <v>42</v>
      </c>
      <c r="M156" s="522">
        <f t="shared" si="29"/>
        <v>42</v>
      </c>
      <c r="N156" s="522">
        <f t="shared" si="29"/>
        <v>42</v>
      </c>
      <c r="O156" s="522">
        <f t="shared" si="29"/>
        <v>42</v>
      </c>
      <c r="P156" s="522">
        <f t="shared" si="29"/>
        <v>42</v>
      </c>
      <c r="Q156" s="522">
        <f t="shared" si="29"/>
        <v>42</v>
      </c>
      <c r="R156" s="522">
        <f t="shared" si="29"/>
        <v>42</v>
      </c>
      <c r="S156" s="522">
        <f t="shared" si="29"/>
        <v>42</v>
      </c>
      <c r="T156" s="522">
        <f t="shared" si="29"/>
        <v>42</v>
      </c>
      <c r="U156" s="522">
        <f t="shared" si="29"/>
        <v>0</v>
      </c>
      <c r="V156" s="522">
        <f t="shared" si="29"/>
        <v>504</v>
      </c>
      <c r="W156" s="97" t="str">
        <f>+IF(V156=SUM(H156:T156),"contrôle ok", "erreur")</f>
        <v>contrôle ok</v>
      </c>
    </row>
    <row r="157" spans="1:23" ht="11.25" thickTop="1" x14ac:dyDescent="0.15">
      <c r="A157" s="93"/>
      <c r="B157" s="114"/>
      <c r="C157" s="34"/>
      <c r="D157" s="35"/>
      <c r="E157" s="36"/>
      <c r="F157" s="35"/>
      <c r="G157" s="100"/>
      <c r="H157" s="229"/>
      <c r="I157" s="229"/>
      <c r="J157" s="229"/>
      <c r="K157" s="229"/>
      <c r="L157" s="229"/>
      <c r="M157" s="229"/>
      <c r="N157" s="257"/>
      <c r="O157" s="229"/>
      <c r="P157" s="229"/>
      <c r="Q157" s="229"/>
      <c r="R157" s="229"/>
      <c r="S157" s="229"/>
      <c r="T157" s="229"/>
      <c r="U157" s="229"/>
      <c r="V157" s="258"/>
      <c r="W157" s="37"/>
    </row>
    <row r="158" spans="1:23" s="37" customFormat="1" x14ac:dyDescent="0.15">
      <c r="A158" s="27" t="s">
        <v>712</v>
      </c>
      <c r="B158" s="28"/>
      <c r="C158" s="29"/>
      <c r="D158" s="30"/>
      <c r="E158" s="30"/>
      <c r="F158" s="31"/>
      <c r="G158" s="101"/>
      <c r="H158" s="224"/>
      <c r="I158" s="224"/>
      <c r="J158" s="251"/>
      <c r="K158" s="224"/>
      <c r="L158" s="224"/>
      <c r="M158" s="224"/>
      <c r="N158" s="224"/>
      <c r="O158" s="224"/>
      <c r="P158" s="224"/>
      <c r="Q158" s="224"/>
      <c r="R158" s="224"/>
      <c r="S158" s="224"/>
      <c r="T158" s="224"/>
      <c r="U158" s="224"/>
      <c r="V158" s="252"/>
      <c r="W158" s="16"/>
    </row>
    <row r="159" spans="1:23" s="37" customFormat="1" x14ac:dyDescent="0.15">
      <c r="A159" s="143"/>
      <c r="B159" s="143"/>
      <c r="C159" s="144"/>
      <c r="D159" s="145">
        <v>615215</v>
      </c>
      <c r="E159" s="145" t="s">
        <v>67</v>
      </c>
      <c r="F159" s="145"/>
      <c r="G159" s="165"/>
      <c r="H159" s="559"/>
      <c r="I159" s="226"/>
      <c r="J159" s="226"/>
      <c r="K159" s="226"/>
      <c r="L159" s="226"/>
      <c r="M159" s="226"/>
      <c r="N159" s="297"/>
      <c r="O159" s="297"/>
      <c r="P159" s="297"/>
      <c r="Q159" s="297"/>
      <c r="R159" s="297"/>
      <c r="S159" s="226"/>
      <c r="T159" s="226"/>
      <c r="U159" s="583"/>
      <c r="V159" s="226">
        <f t="shared" ref="V159:V166" si="30">SUM(H159:T159)</f>
        <v>0</v>
      </c>
      <c r="W159" s="16"/>
    </row>
    <row r="160" spans="1:23" s="37" customFormat="1" x14ac:dyDescent="0.15">
      <c r="A160" s="143" t="s">
        <v>441</v>
      </c>
      <c r="B160" s="143" t="s">
        <v>746</v>
      </c>
      <c r="C160" s="144"/>
      <c r="D160" s="145">
        <v>615215</v>
      </c>
      <c r="E160" s="145" t="s">
        <v>67</v>
      </c>
      <c r="F160" s="145"/>
      <c r="G160" s="165"/>
      <c r="H160" s="559">
        <f>1093.71-2100</f>
        <v>-1006.29</v>
      </c>
      <c r="I160" s="226">
        <v>1059.02</v>
      </c>
      <c r="J160" s="226"/>
      <c r="K160" s="226">
        <v>988.3</v>
      </c>
      <c r="L160" s="226"/>
      <c r="M160" s="226">
        <v>957.7</v>
      </c>
      <c r="N160" s="297"/>
      <c r="O160" s="297">
        <v>652.21</v>
      </c>
      <c r="P160" s="297">
        <v>373.91</v>
      </c>
      <c r="Q160" s="297"/>
      <c r="R160" s="297"/>
      <c r="S160" s="226"/>
      <c r="T160" s="226"/>
      <c r="U160" s="583"/>
      <c r="V160" s="226">
        <f t="shared" si="30"/>
        <v>3024.85</v>
      </c>
      <c r="W160" s="16"/>
    </row>
    <row r="161" spans="1:23" s="37" customFormat="1" x14ac:dyDescent="0.15">
      <c r="A161" s="143" t="s">
        <v>742</v>
      </c>
      <c r="B161" s="143" t="s">
        <v>733</v>
      </c>
      <c r="C161" s="144"/>
      <c r="D161" s="145">
        <v>615215</v>
      </c>
      <c r="E161" s="145" t="s">
        <v>67</v>
      </c>
      <c r="F161" s="145"/>
      <c r="G161" s="165"/>
      <c r="H161" s="559"/>
      <c r="I161" s="226"/>
      <c r="J161" s="226"/>
      <c r="K161" s="226"/>
      <c r="L161" s="226"/>
      <c r="M161" s="226"/>
      <c r="N161" s="297"/>
      <c r="O161" s="297"/>
      <c r="P161" s="297"/>
      <c r="Q161" s="297"/>
      <c r="R161" s="297"/>
      <c r="S161" s="226"/>
      <c r="T161" s="226"/>
      <c r="U161" s="583"/>
      <c r="V161" s="226">
        <f t="shared" si="30"/>
        <v>0</v>
      </c>
      <c r="W161" s="16"/>
    </row>
    <row r="162" spans="1:23" s="37" customFormat="1" x14ac:dyDescent="0.15">
      <c r="A162" s="143" t="s">
        <v>742</v>
      </c>
      <c r="B162" s="143" t="s">
        <v>747</v>
      </c>
      <c r="C162" s="144"/>
      <c r="D162" s="145">
        <v>615215</v>
      </c>
      <c r="E162" s="145" t="s">
        <v>67</v>
      </c>
      <c r="F162" s="145"/>
      <c r="G162" s="165"/>
      <c r="H162" s="559"/>
      <c r="I162" s="226"/>
      <c r="J162" s="226"/>
      <c r="K162" s="226"/>
      <c r="L162" s="226"/>
      <c r="M162" s="226"/>
      <c r="N162" s="297"/>
      <c r="O162" s="297"/>
      <c r="P162" s="297"/>
      <c r="Q162" s="297"/>
      <c r="R162" s="297"/>
      <c r="S162" s="226"/>
      <c r="T162" s="226"/>
      <c r="U162" s="583"/>
      <c r="V162" s="226">
        <f t="shared" si="30"/>
        <v>0</v>
      </c>
      <c r="W162" s="16"/>
    </row>
    <row r="163" spans="1:23" s="37" customFormat="1" x14ac:dyDescent="0.15">
      <c r="A163" s="143" t="s">
        <v>743</v>
      </c>
      <c r="B163" s="143" t="s">
        <v>748</v>
      </c>
      <c r="C163" s="144"/>
      <c r="D163" s="145">
        <v>615215</v>
      </c>
      <c r="E163" s="145" t="s">
        <v>67</v>
      </c>
      <c r="F163" s="145"/>
      <c r="G163" s="165">
        <v>200</v>
      </c>
      <c r="H163" s="559">
        <f>163.14-200-300</f>
        <v>-336.86</v>
      </c>
      <c r="I163" s="226">
        <v>198.65</v>
      </c>
      <c r="J163" s="226">
        <v>163.72999999999999</v>
      </c>
      <c r="K163" s="226">
        <v>110.56</v>
      </c>
      <c r="L163" s="226">
        <v>105.88</v>
      </c>
      <c r="M163" s="226">
        <v>114.59</v>
      </c>
      <c r="N163" s="297">
        <v>176.65</v>
      </c>
      <c r="O163" s="297">
        <v>185.91</v>
      </c>
      <c r="P163" s="297">
        <v>193.42</v>
      </c>
      <c r="Q163" s="297">
        <v>113.67</v>
      </c>
      <c r="R163" s="297">
        <v>225.6</v>
      </c>
      <c r="S163" s="297">
        <v>154.56</v>
      </c>
      <c r="T163" s="226"/>
      <c r="U163" s="583"/>
      <c r="V163" s="226">
        <f t="shared" si="30"/>
        <v>1406.3599999999997</v>
      </c>
      <c r="W163" s="16"/>
    </row>
    <row r="164" spans="1:23" s="37" customFormat="1" x14ac:dyDescent="0.15">
      <c r="A164" s="143" t="s">
        <v>743</v>
      </c>
      <c r="B164" s="143" t="s">
        <v>749</v>
      </c>
      <c r="C164" s="144"/>
      <c r="D164" s="145">
        <v>615215</v>
      </c>
      <c r="E164" s="145" t="s">
        <v>67</v>
      </c>
      <c r="F164" s="145"/>
      <c r="G164" s="165">
        <v>900</v>
      </c>
      <c r="H164" s="559">
        <f>540+70.2-700</f>
        <v>-89.799999999999955</v>
      </c>
      <c r="I164" s="226">
        <f>688.5+148.84</f>
        <v>837.34</v>
      </c>
      <c r="J164" s="226">
        <f>413.1+70.31</f>
        <v>483.41</v>
      </c>
      <c r="K164" s="226">
        <f>688.5+148.74</f>
        <v>837.24</v>
      </c>
      <c r="L164" s="226">
        <f>550.8+97.25</f>
        <v>648.04999999999995</v>
      </c>
      <c r="M164" s="226">
        <f>688.5+117.75</f>
        <v>806.25</v>
      </c>
      <c r="N164" s="297">
        <f>550.8+134.67</f>
        <v>685.46999999999991</v>
      </c>
      <c r="O164" s="297">
        <f>711.36-157.57</f>
        <v>553.79</v>
      </c>
      <c r="P164" s="297">
        <f>550.8+315.35</f>
        <v>866.15</v>
      </c>
      <c r="Q164" s="297">
        <f>963.9+461.26</f>
        <v>1425.1599999999999</v>
      </c>
      <c r="R164" s="297">
        <f>688.5+300.8+132.3</f>
        <v>1121.5999999999999</v>
      </c>
      <c r="S164" s="297">
        <f>413.1+161.13</f>
        <v>574.23</v>
      </c>
      <c r="T164" s="226"/>
      <c r="U164" s="583"/>
      <c r="V164" s="226">
        <f t="shared" si="30"/>
        <v>8748.89</v>
      </c>
      <c r="W164" s="16"/>
    </row>
    <row r="165" spans="1:23" s="37" customFormat="1" x14ac:dyDescent="0.15">
      <c r="A165" s="143" t="s">
        <v>744</v>
      </c>
      <c r="B165" s="143" t="s">
        <v>740</v>
      </c>
      <c r="C165" s="144"/>
      <c r="D165" s="145">
        <v>615215</v>
      </c>
      <c r="E165" s="145" t="s">
        <v>67</v>
      </c>
      <c r="F165" s="145" t="s">
        <v>700</v>
      </c>
      <c r="G165" s="165"/>
      <c r="H165" s="559"/>
      <c r="I165" s="226"/>
      <c r="J165" s="226"/>
      <c r="K165" s="226"/>
      <c r="L165" s="226"/>
      <c r="M165" s="226"/>
      <c r="N165" s="297"/>
      <c r="O165" s="297"/>
      <c r="P165" s="297"/>
      <c r="Q165" s="297"/>
      <c r="R165" s="297"/>
      <c r="S165" s="226"/>
      <c r="T165" s="226"/>
      <c r="U165" s="583"/>
      <c r="V165" s="226">
        <f t="shared" si="30"/>
        <v>0</v>
      </c>
      <c r="W165" s="16"/>
    </row>
    <row r="166" spans="1:23" x14ac:dyDescent="0.15">
      <c r="A166" s="143" t="s">
        <v>745</v>
      </c>
      <c r="B166" s="143" t="s">
        <v>750</v>
      </c>
      <c r="C166" s="144"/>
      <c r="D166" s="145"/>
      <c r="E166" s="145" t="s">
        <v>658</v>
      </c>
      <c r="F166" s="145"/>
      <c r="G166" s="165">
        <v>3500</v>
      </c>
      <c r="H166" s="559">
        <f>2761.08-3500-98.61</f>
        <v>-837.53000000000009</v>
      </c>
      <c r="I166" s="226">
        <f>2832.78-71.7</f>
        <v>2761.0800000000004</v>
      </c>
      <c r="J166" s="226">
        <v>2761.08</v>
      </c>
      <c r="K166" s="226">
        <v>2859.69</v>
      </c>
      <c r="L166" s="226">
        <f>2931.39-71.7</f>
        <v>2859.69</v>
      </c>
      <c r="M166" s="226">
        <f>3155.52-98.61</f>
        <v>3056.91</v>
      </c>
      <c r="N166" s="326">
        <f>2536.95-71.7</f>
        <v>2465.25</v>
      </c>
      <c r="O166" s="327">
        <v>3352.74</v>
      </c>
      <c r="P166" s="300">
        <f>4311.93-71.7</f>
        <v>4240.2300000000005</v>
      </c>
      <c r="Q166" s="297">
        <f>3227.22-71.7</f>
        <v>3155.52</v>
      </c>
      <c r="R166" s="297">
        <v>3451.35</v>
      </c>
      <c r="S166" s="226">
        <v>3352.74</v>
      </c>
      <c r="T166" s="226"/>
      <c r="U166" s="583"/>
      <c r="V166" s="226">
        <f t="shared" si="30"/>
        <v>33478.75</v>
      </c>
    </row>
    <row r="167" spans="1:23" ht="11.25" thickBot="1" x14ac:dyDescent="0.2">
      <c r="A167" s="516" t="s">
        <v>11</v>
      </c>
      <c r="B167" s="517"/>
      <c r="C167" s="518"/>
      <c r="D167" s="519"/>
      <c r="E167" s="516"/>
      <c r="F167" s="520"/>
      <c r="G167" s="521"/>
      <c r="H167" s="522">
        <f>SUM(H159:H166)</f>
        <v>-2270.48</v>
      </c>
      <c r="I167" s="522">
        <f t="shared" ref="I167:V167" si="31">SUM(I159:I166)</f>
        <v>4856.09</v>
      </c>
      <c r="J167" s="522">
        <f t="shared" si="31"/>
        <v>3408.22</v>
      </c>
      <c r="K167" s="522">
        <f t="shared" si="31"/>
        <v>4795.79</v>
      </c>
      <c r="L167" s="522">
        <f t="shared" si="31"/>
        <v>3613.62</v>
      </c>
      <c r="M167" s="522">
        <f t="shared" si="31"/>
        <v>4935.45</v>
      </c>
      <c r="N167" s="522">
        <f t="shared" si="31"/>
        <v>3327.37</v>
      </c>
      <c r="O167" s="522">
        <f t="shared" si="31"/>
        <v>4744.6499999999996</v>
      </c>
      <c r="P167" s="522">
        <f t="shared" si="31"/>
        <v>5673.7100000000009</v>
      </c>
      <c r="Q167" s="522">
        <f t="shared" si="31"/>
        <v>4694.3500000000004</v>
      </c>
      <c r="R167" s="522">
        <f t="shared" si="31"/>
        <v>4798.5499999999993</v>
      </c>
      <c r="S167" s="522">
        <f t="shared" si="31"/>
        <v>4081.5299999999997</v>
      </c>
      <c r="T167" s="522">
        <f t="shared" si="31"/>
        <v>0</v>
      </c>
      <c r="U167" s="522">
        <f t="shared" si="31"/>
        <v>0</v>
      </c>
      <c r="V167" s="522">
        <f t="shared" si="31"/>
        <v>46658.85</v>
      </c>
      <c r="W167" s="97" t="str">
        <f>+IF(V167=SUM(H167:T167),"contrôle ok", "erreur")</f>
        <v>contrôle ok</v>
      </c>
    </row>
    <row r="168" spans="1:23" ht="11.25" thickTop="1" x14ac:dyDescent="0.15">
      <c r="A168" s="93"/>
      <c r="B168" s="114"/>
      <c r="C168" s="34"/>
      <c r="D168" s="35"/>
      <c r="E168" s="36"/>
      <c r="F168" s="35"/>
      <c r="G168" s="100"/>
      <c r="H168" s="229"/>
      <c r="I168" s="229"/>
      <c r="J168" s="229"/>
      <c r="K168" s="229"/>
      <c r="L168" s="229"/>
      <c r="M168" s="229"/>
      <c r="N168" s="257"/>
      <c r="O168" s="229"/>
      <c r="P168" s="229"/>
      <c r="Q168" s="229"/>
      <c r="R168" s="229"/>
      <c r="S168" s="229"/>
      <c r="T168" s="229"/>
      <c r="U168" s="229"/>
      <c r="V168" s="258"/>
      <c r="W168" s="37"/>
    </row>
    <row r="169" spans="1:23" x14ac:dyDescent="0.15">
      <c r="A169" s="27" t="s">
        <v>12</v>
      </c>
      <c r="B169" s="28"/>
      <c r="C169" s="29"/>
      <c r="D169" s="30"/>
      <c r="E169" s="30"/>
      <c r="F169" s="31"/>
      <c r="G169" s="101"/>
      <c r="H169" s="224"/>
      <c r="I169" s="224"/>
      <c r="J169" s="251"/>
      <c r="K169" s="224"/>
      <c r="L169" s="224"/>
      <c r="M169" s="224"/>
      <c r="N169" s="224"/>
      <c r="O169" s="224"/>
      <c r="P169" s="224"/>
      <c r="Q169" s="224"/>
      <c r="R169" s="224"/>
      <c r="S169" s="224"/>
      <c r="T169" s="224"/>
      <c r="U169" s="224"/>
      <c r="V169" s="252"/>
    </row>
    <row r="170" spans="1:23" x14ac:dyDescent="0.15">
      <c r="A170" s="143" t="s">
        <v>294</v>
      </c>
      <c r="B170" s="143" t="s">
        <v>422</v>
      </c>
      <c r="C170" s="144" t="s">
        <v>515</v>
      </c>
      <c r="D170" s="145">
        <v>615220</v>
      </c>
      <c r="E170" s="145" t="s">
        <v>234</v>
      </c>
      <c r="F170" s="145" t="s">
        <v>179</v>
      </c>
      <c r="G170" s="165">
        <v>218.17</v>
      </c>
      <c r="H170" s="559"/>
      <c r="I170" s="226">
        <v>218.17</v>
      </c>
      <c r="J170" s="226">
        <v>218.17</v>
      </c>
      <c r="K170" s="226">
        <v>218.17</v>
      </c>
      <c r="L170" s="226">
        <v>218.17</v>
      </c>
      <c r="M170" s="226">
        <v>218.17</v>
      </c>
      <c r="N170" s="226">
        <v>218.17</v>
      </c>
      <c r="O170" s="226">
        <v>218.17</v>
      </c>
      <c r="P170" s="226">
        <v>218.17</v>
      </c>
      <c r="Q170" s="297">
        <v>218.17</v>
      </c>
      <c r="R170" s="298">
        <v>218.17</v>
      </c>
      <c r="S170" s="226">
        <v>218.17</v>
      </c>
      <c r="T170" s="226">
        <v>218.17</v>
      </c>
      <c r="U170" s="583"/>
      <c r="V170" s="226">
        <f t="shared" ref="V170:V177" si="32">SUM(H170:T170)</f>
        <v>2618.0400000000004</v>
      </c>
    </row>
    <row r="171" spans="1:23" x14ac:dyDescent="0.15">
      <c r="A171" s="143" t="s">
        <v>452</v>
      </c>
      <c r="B171" s="143" t="s">
        <v>453</v>
      </c>
      <c r="C171" s="144">
        <v>2017</v>
      </c>
      <c r="D171" s="145">
        <v>615220</v>
      </c>
      <c r="E171" s="145" t="s">
        <v>130</v>
      </c>
      <c r="F171" s="145" t="s">
        <v>179</v>
      </c>
      <c r="G171" s="165">
        <v>3.15</v>
      </c>
      <c r="H171" s="559">
        <v>-37.799999999999997</v>
      </c>
      <c r="I171" s="572"/>
      <c r="J171" s="572"/>
      <c r="K171" s="572"/>
      <c r="L171" s="572"/>
      <c r="M171" s="572"/>
      <c r="N171" s="572"/>
      <c r="O171" s="572"/>
      <c r="P171" s="572"/>
      <c r="Q171" s="572"/>
      <c r="R171" s="572"/>
      <c r="S171" s="572"/>
      <c r="T171" s="572"/>
      <c r="U171" s="653"/>
      <c r="V171" s="226">
        <f t="shared" si="32"/>
        <v>-37.799999999999997</v>
      </c>
    </row>
    <row r="172" spans="1:23" x14ac:dyDescent="0.15">
      <c r="A172" s="143" t="s">
        <v>622</v>
      </c>
      <c r="B172" s="143" t="s">
        <v>467</v>
      </c>
      <c r="C172" s="144" t="s">
        <v>623</v>
      </c>
      <c r="D172" s="145">
        <v>615220</v>
      </c>
      <c r="E172" s="145" t="s">
        <v>130</v>
      </c>
      <c r="F172" s="145" t="s">
        <v>179</v>
      </c>
      <c r="G172" s="165">
        <v>118.14</v>
      </c>
      <c r="H172" s="559"/>
      <c r="I172" s="226">
        <v>118.14</v>
      </c>
      <c r="J172" s="226">
        <v>118.14</v>
      </c>
      <c r="K172" s="226">
        <v>118.14</v>
      </c>
      <c r="L172" s="226">
        <v>118.14</v>
      </c>
      <c r="M172" s="226">
        <v>118.14</v>
      </c>
      <c r="N172" s="226">
        <v>118.14</v>
      </c>
      <c r="O172" s="226">
        <v>118.14</v>
      </c>
      <c r="P172" s="226">
        <v>118.14</v>
      </c>
      <c r="Q172" s="226">
        <v>118.14</v>
      </c>
      <c r="R172" s="226">
        <v>118.14</v>
      </c>
      <c r="S172" s="226">
        <v>118.14</v>
      </c>
      <c r="T172" s="226">
        <v>118.14</v>
      </c>
      <c r="U172" s="583"/>
      <c r="V172" s="226">
        <f t="shared" si="32"/>
        <v>1417.6800000000003</v>
      </c>
      <c r="W172" s="219"/>
    </row>
    <row r="173" spans="1:23" x14ac:dyDescent="0.15">
      <c r="A173" s="143" t="s">
        <v>622</v>
      </c>
      <c r="B173" s="143" t="s">
        <v>467</v>
      </c>
      <c r="C173" s="144" t="s">
        <v>649</v>
      </c>
      <c r="D173" s="145">
        <v>615220</v>
      </c>
      <c r="E173" s="145" t="s">
        <v>130</v>
      </c>
      <c r="F173" s="145" t="s">
        <v>179</v>
      </c>
      <c r="G173" s="169">
        <v>45.33</v>
      </c>
      <c r="H173" s="559"/>
      <c r="I173" s="226">
        <v>45.33</v>
      </c>
      <c r="J173" s="226">
        <v>45.33</v>
      </c>
      <c r="K173" s="226">
        <v>45.33</v>
      </c>
      <c r="L173" s="226">
        <v>45.33</v>
      </c>
      <c r="M173" s="226">
        <v>45.33</v>
      </c>
      <c r="N173" s="226">
        <v>45.33</v>
      </c>
      <c r="O173" s="226">
        <v>45.33</v>
      </c>
      <c r="P173" s="226">
        <v>45.33</v>
      </c>
      <c r="Q173" s="226">
        <v>45.33</v>
      </c>
      <c r="R173" s="226">
        <v>45.33</v>
      </c>
      <c r="S173" s="226">
        <v>45.33</v>
      </c>
      <c r="T173" s="226">
        <v>45.33</v>
      </c>
      <c r="U173" s="583"/>
      <c r="V173" s="226">
        <f t="shared" si="32"/>
        <v>543.95999999999992</v>
      </c>
      <c r="W173" s="219"/>
    </row>
    <row r="174" spans="1:23" x14ac:dyDescent="0.15">
      <c r="A174" s="143" t="s">
        <v>622</v>
      </c>
      <c r="B174" s="143" t="s">
        <v>653</v>
      </c>
      <c r="C174" s="144" t="s">
        <v>649</v>
      </c>
      <c r="D174" s="145">
        <v>615220</v>
      </c>
      <c r="E174" s="145" t="s">
        <v>130</v>
      </c>
      <c r="F174" s="145" t="s">
        <v>179</v>
      </c>
      <c r="G174" s="169">
        <v>71.5</v>
      </c>
      <c r="H174" s="559"/>
      <c r="I174" s="226">
        <v>71.5</v>
      </c>
      <c r="J174" s="226">
        <v>71.5</v>
      </c>
      <c r="K174" s="226">
        <v>71.5</v>
      </c>
      <c r="L174" s="226">
        <v>71.5</v>
      </c>
      <c r="M174" s="226">
        <v>71.5</v>
      </c>
      <c r="N174" s="226">
        <v>71.5</v>
      </c>
      <c r="O174" s="226">
        <v>71.5</v>
      </c>
      <c r="P174" s="226">
        <v>71.5</v>
      </c>
      <c r="Q174" s="226">
        <v>71.5</v>
      </c>
      <c r="R174" s="226">
        <v>71.5</v>
      </c>
      <c r="S174" s="226">
        <v>71.5</v>
      </c>
      <c r="T174" s="226">
        <v>71.5</v>
      </c>
      <c r="U174" s="583"/>
      <c r="V174" s="226">
        <f t="shared" si="32"/>
        <v>858</v>
      </c>
      <c r="W174" s="219"/>
    </row>
    <row r="175" spans="1:23" x14ac:dyDescent="0.15">
      <c r="A175" s="143" t="s">
        <v>452</v>
      </c>
      <c r="B175" s="143" t="s">
        <v>527</v>
      </c>
      <c r="C175" s="144" t="s">
        <v>528</v>
      </c>
      <c r="D175" s="145">
        <v>615220</v>
      </c>
      <c r="E175" s="145" t="s">
        <v>130</v>
      </c>
      <c r="F175" s="145" t="s">
        <v>179</v>
      </c>
      <c r="G175" s="169">
        <v>88.67</v>
      </c>
      <c r="H175" s="559"/>
      <c r="I175" s="226">
        <v>88.67</v>
      </c>
      <c r="J175" s="226">
        <v>88.67</v>
      </c>
      <c r="K175" s="226">
        <v>88.67</v>
      </c>
      <c r="L175" s="226">
        <v>88.67</v>
      </c>
      <c r="M175" s="226">
        <v>88.67</v>
      </c>
      <c r="N175" s="226">
        <v>88.67</v>
      </c>
      <c r="O175" s="226">
        <v>88.67</v>
      </c>
      <c r="P175" s="226">
        <v>88.67</v>
      </c>
      <c r="Q175" s="226">
        <v>88.67</v>
      </c>
      <c r="R175" s="226">
        <v>88.67</v>
      </c>
      <c r="S175" s="226">
        <v>88.67</v>
      </c>
      <c r="T175" s="226">
        <v>88.62</v>
      </c>
      <c r="U175" s="583"/>
      <c r="V175" s="226">
        <f t="shared" si="32"/>
        <v>1063.9899999999998</v>
      </c>
    </row>
    <row r="176" spans="1:23" s="37" customFormat="1" ht="12" customHeight="1" x14ac:dyDescent="0.15">
      <c r="A176" s="68" t="s">
        <v>238</v>
      </c>
      <c r="B176" s="68" t="s">
        <v>802</v>
      </c>
      <c r="C176" s="69"/>
      <c r="D176" s="145">
        <v>615220</v>
      </c>
      <c r="E176" s="145" t="s">
        <v>130</v>
      </c>
      <c r="F176" s="145" t="s">
        <v>192</v>
      </c>
      <c r="G176" s="169"/>
      <c r="H176" s="559"/>
      <c r="I176" s="226"/>
      <c r="J176" s="226"/>
      <c r="K176" s="226"/>
      <c r="L176" s="226"/>
      <c r="M176" s="226"/>
      <c r="N176" s="226">
        <f>325+1673</f>
        <v>1998</v>
      </c>
      <c r="O176" s="226"/>
      <c r="P176" s="226"/>
      <c r="Q176" s="297"/>
      <c r="R176" s="297"/>
      <c r="S176" s="226"/>
      <c r="T176" s="226"/>
      <c r="U176" s="583"/>
      <c r="V176" s="226">
        <f t="shared" si="32"/>
        <v>1998</v>
      </c>
      <c r="W176" s="16"/>
    </row>
    <row r="177" spans="1:24" s="37" customFormat="1" ht="12" customHeight="1" x14ac:dyDescent="0.15">
      <c r="A177" s="68" t="s">
        <v>412</v>
      </c>
      <c r="B177" s="68" t="s">
        <v>479</v>
      </c>
      <c r="C177" s="69" t="s">
        <v>480</v>
      </c>
      <c r="D177" s="171">
        <v>615220</v>
      </c>
      <c r="E177" s="172" t="s">
        <v>68</v>
      </c>
      <c r="F177" s="168" t="s">
        <v>179</v>
      </c>
      <c r="G177" s="169">
        <v>43.89</v>
      </c>
      <c r="H177" s="559"/>
      <c r="I177" s="226">
        <v>43.89</v>
      </c>
      <c r="J177" s="226">
        <v>43.89</v>
      </c>
      <c r="K177" s="226">
        <v>43.89</v>
      </c>
      <c r="L177" s="226">
        <v>43.89</v>
      </c>
      <c r="M177" s="226">
        <v>43.89</v>
      </c>
      <c r="N177" s="226">
        <v>43.89</v>
      </c>
      <c r="O177" s="226">
        <v>43.89</v>
      </c>
      <c r="P177" s="226">
        <v>43.89</v>
      </c>
      <c r="Q177" s="297">
        <v>43.89</v>
      </c>
      <c r="R177" s="297">
        <v>43.89</v>
      </c>
      <c r="S177" s="226">
        <v>43.85</v>
      </c>
      <c r="T177" s="226"/>
      <c r="U177" s="583"/>
      <c r="V177" s="226">
        <f t="shared" si="32"/>
        <v>482.74999999999994</v>
      </c>
      <c r="W177" s="16"/>
    </row>
    <row r="178" spans="1:24" ht="11.25" thickBot="1" x14ac:dyDescent="0.2">
      <c r="A178" s="516" t="s">
        <v>11</v>
      </c>
      <c r="B178" s="517"/>
      <c r="C178" s="518"/>
      <c r="D178" s="519"/>
      <c r="E178" s="516"/>
      <c r="F178" s="520"/>
      <c r="G178" s="521"/>
      <c r="H178" s="522">
        <f t="shared" ref="H178:V178" si="33">SUM(H170:H177)</f>
        <v>-37.799999999999997</v>
      </c>
      <c r="I178" s="522">
        <f t="shared" si="33"/>
        <v>585.69999999999993</v>
      </c>
      <c r="J178" s="522">
        <f t="shared" si="33"/>
        <v>585.69999999999993</v>
      </c>
      <c r="K178" s="522">
        <f t="shared" si="33"/>
        <v>585.69999999999993</v>
      </c>
      <c r="L178" s="522">
        <f t="shared" si="33"/>
        <v>585.69999999999993</v>
      </c>
      <c r="M178" s="522">
        <f t="shared" si="33"/>
        <v>585.69999999999993</v>
      </c>
      <c r="N178" s="522">
        <f t="shared" si="33"/>
        <v>2583.6999999999998</v>
      </c>
      <c r="O178" s="522">
        <f t="shared" si="33"/>
        <v>585.69999999999993</v>
      </c>
      <c r="P178" s="522">
        <f t="shared" si="33"/>
        <v>585.69999999999993</v>
      </c>
      <c r="Q178" s="522">
        <f t="shared" si="33"/>
        <v>585.69999999999993</v>
      </c>
      <c r="R178" s="522">
        <f t="shared" si="33"/>
        <v>585.69999999999993</v>
      </c>
      <c r="S178" s="522">
        <f t="shared" si="33"/>
        <v>585.66</v>
      </c>
      <c r="T178" s="522">
        <f t="shared" si="33"/>
        <v>541.76</v>
      </c>
      <c r="U178" s="522">
        <f t="shared" si="33"/>
        <v>0</v>
      </c>
      <c r="V178" s="522">
        <f t="shared" si="33"/>
        <v>8944.619999999999</v>
      </c>
      <c r="W178" s="97" t="str">
        <f>+IF(V178=SUM(H178:T178),"contrôle ok", "erreur")</f>
        <v>contrôle ok</v>
      </c>
    </row>
    <row r="179" spans="1:24" ht="11.25" thickTop="1" x14ac:dyDescent="0.15">
      <c r="A179" s="45"/>
      <c r="B179" s="46"/>
      <c r="C179" s="34"/>
      <c r="D179" s="36"/>
      <c r="E179" s="36"/>
      <c r="F179" s="36"/>
      <c r="G179" s="100"/>
      <c r="H179" s="229"/>
      <c r="I179" s="229"/>
      <c r="J179" s="229"/>
      <c r="K179" s="229"/>
      <c r="L179" s="229"/>
      <c r="M179" s="229"/>
      <c r="N179" s="229"/>
      <c r="O179" s="229"/>
      <c r="P179" s="229"/>
      <c r="Q179" s="229"/>
      <c r="R179" s="229"/>
      <c r="S179" s="229"/>
      <c r="T179" s="229"/>
      <c r="U179" s="229"/>
      <c r="V179" s="258"/>
    </row>
    <row r="180" spans="1:24" x14ac:dyDescent="0.15">
      <c r="A180" s="27" t="s">
        <v>14</v>
      </c>
      <c r="B180" s="28"/>
      <c r="C180" s="29"/>
      <c r="D180" s="30"/>
      <c r="E180" s="30"/>
      <c r="F180" s="31"/>
      <c r="G180" s="101"/>
      <c r="H180" s="224"/>
      <c r="I180" s="224"/>
      <c r="J180" s="251"/>
      <c r="K180" s="224"/>
      <c r="L180" s="224"/>
      <c r="M180" s="224"/>
      <c r="N180" s="224"/>
      <c r="O180" s="224"/>
      <c r="P180" s="224"/>
      <c r="Q180" s="224"/>
      <c r="R180" s="224"/>
      <c r="S180" s="224"/>
      <c r="T180" s="224"/>
      <c r="U180" s="224"/>
      <c r="V180" s="252"/>
    </row>
    <row r="181" spans="1:24" s="37" customFormat="1" ht="12" customHeight="1" x14ac:dyDescent="0.15">
      <c r="A181" s="143" t="s">
        <v>15</v>
      </c>
      <c r="B181" s="143" t="s">
        <v>97</v>
      </c>
      <c r="C181" s="144" t="s">
        <v>784</v>
      </c>
      <c r="D181" s="145">
        <v>615230</v>
      </c>
      <c r="E181" s="145" t="s">
        <v>68</v>
      </c>
      <c r="F181" s="145" t="s">
        <v>179</v>
      </c>
      <c r="G181" s="165">
        <v>608.41</v>
      </c>
      <c r="H181" s="559"/>
      <c r="I181" s="226">
        <f>579.41+29</f>
        <v>608.41</v>
      </c>
      <c r="J181" s="226">
        <f>579.41+29</f>
        <v>608.41</v>
      </c>
      <c r="K181" s="226">
        <f>579.41+29</f>
        <v>608.41</v>
      </c>
      <c r="L181" s="299">
        <f>579.37+29</f>
        <v>608.37</v>
      </c>
      <c r="M181" s="299">
        <v>608.36</v>
      </c>
      <c r="N181" s="299">
        <v>608.36</v>
      </c>
      <c r="O181" s="299">
        <v>608.36</v>
      </c>
      <c r="P181" s="299">
        <v>608.36</v>
      </c>
      <c r="Q181" s="299">
        <v>608.36</v>
      </c>
      <c r="R181" s="297">
        <v>608.36</v>
      </c>
      <c r="S181" s="226">
        <v>608.36</v>
      </c>
      <c r="T181" s="226">
        <v>608.36</v>
      </c>
      <c r="U181" s="583"/>
      <c r="V181" s="226">
        <f>SUM(H181:T181)</f>
        <v>7300.4799999999987</v>
      </c>
      <c r="W181" s="16"/>
    </row>
    <row r="182" spans="1:24" s="37" customFormat="1" ht="12" customHeight="1" x14ac:dyDescent="0.15">
      <c r="A182" s="143" t="s">
        <v>15</v>
      </c>
      <c r="B182" s="143" t="s">
        <v>97</v>
      </c>
      <c r="C182" s="144" t="s">
        <v>842</v>
      </c>
      <c r="D182" s="145">
        <v>615230</v>
      </c>
      <c r="E182" s="145" t="s">
        <v>68</v>
      </c>
      <c r="F182" s="145" t="s">
        <v>179</v>
      </c>
      <c r="G182" s="165"/>
      <c r="H182" s="559"/>
      <c r="I182" s="226"/>
      <c r="J182" s="226"/>
      <c r="K182" s="226"/>
      <c r="L182" s="299"/>
      <c r="M182" s="299"/>
      <c r="N182" s="299"/>
      <c r="O182" s="299"/>
      <c r="P182" s="299"/>
      <c r="Q182" s="299"/>
      <c r="R182" s="297"/>
      <c r="S182" s="226">
        <v>21</v>
      </c>
      <c r="T182" s="226"/>
      <c r="U182" s="583"/>
      <c r="V182" s="226">
        <f t="shared" ref="V182:V187" si="34">SUM(H182:T182)</f>
        <v>21</v>
      </c>
      <c r="W182" s="16"/>
    </row>
    <row r="183" spans="1:24" x14ac:dyDescent="0.15">
      <c r="A183" s="143" t="s">
        <v>295</v>
      </c>
      <c r="B183" s="143" t="s">
        <v>443</v>
      </c>
      <c r="C183" s="144" t="s">
        <v>585</v>
      </c>
      <c r="D183" s="145">
        <v>615230</v>
      </c>
      <c r="E183" s="145" t="s">
        <v>68</v>
      </c>
      <c r="F183" s="145" t="s">
        <v>179</v>
      </c>
      <c r="G183" s="165">
        <f>182/12</f>
        <v>15.166666666666666</v>
      </c>
      <c r="H183" s="559"/>
      <c r="I183" s="226">
        <v>15.17</v>
      </c>
      <c r="J183" s="226">
        <v>15.17</v>
      </c>
      <c r="K183" s="299">
        <v>15.13</v>
      </c>
      <c r="L183" s="299">
        <v>15.17</v>
      </c>
      <c r="M183" s="299">
        <v>15.17</v>
      </c>
      <c r="N183" s="299">
        <v>15.17</v>
      </c>
      <c r="O183" s="299">
        <v>15.17</v>
      </c>
      <c r="P183" s="299">
        <v>15.17</v>
      </c>
      <c r="Q183" s="299">
        <v>15.17</v>
      </c>
      <c r="R183" s="297">
        <v>15.17</v>
      </c>
      <c r="S183" s="226">
        <v>15.17</v>
      </c>
      <c r="T183" s="226">
        <v>15.17</v>
      </c>
      <c r="U183" s="583"/>
      <c r="V183" s="226">
        <f t="shared" si="34"/>
        <v>181.99999999999997</v>
      </c>
      <c r="X183" s="6"/>
    </row>
    <row r="184" spans="1:24" x14ac:dyDescent="0.15">
      <c r="A184" s="143" t="s">
        <v>295</v>
      </c>
      <c r="B184" s="143" t="s">
        <v>611</v>
      </c>
      <c r="C184" s="144" t="s">
        <v>586</v>
      </c>
      <c r="D184" s="145">
        <v>615230</v>
      </c>
      <c r="E184" s="145" t="s">
        <v>68</v>
      </c>
      <c r="F184" s="145" t="s">
        <v>179</v>
      </c>
      <c r="G184" s="165">
        <v>14.583333333333334</v>
      </c>
      <c r="H184" s="559"/>
      <c r="I184" s="226">
        <v>14.59</v>
      </c>
      <c r="J184" s="226">
        <v>14.59</v>
      </c>
      <c r="K184" s="226">
        <v>14.59</v>
      </c>
      <c r="L184" s="299">
        <v>14.59</v>
      </c>
      <c r="M184" s="299">
        <v>14.58</v>
      </c>
      <c r="N184" s="299">
        <v>14.58</v>
      </c>
      <c r="O184" s="299">
        <v>14.59</v>
      </c>
      <c r="P184" s="299">
        <v>14.59</v>
      </c>
      <c r="Q184" s="299">
        <v>14.59</v>
      </c>
      <c r="R184" s="297">
        <v>14.59</v>
      </c>
      <c r="S184" s="226">
        <v>14.59</v>
      </c>
      <c r="T184" s="226">
        <v>14.59</v>
      </c>
      <c r="U184" s="583"/>
      <c r="V184" s="226">
        <f t="shared" si="34"/>
        <v>175.06</v>
      </c>
      <c r="X184" s="6"/>
    </row>
    <row r="185" spans="1:24" x14ac:dyDescent="0.15">
      <c r="A185" s="143" t="s">
        <v>427</v>
      </c>
      <c r="B185" s="143" t="s">
        <v>639</v>
      </c>
      <c r="C185" s="144" t="s">
        <v>846</v>
      </c>
      <c r="D185" s="145">
        <v>615230</v>
      </c>
      <c r="E185" s="145" t="s">
        <v>68</v>
      </c>
      <c r="F185" s="145" t="s">
        <v>179</v>
      </c>
      <c r="G185" s="165">
        <v>50</v>
      </c>
      <c r="H185" s="559"/>
      <c r="I185" s="226">
        <v>28.7</v>
      </c>
      <c r="J185" s="226"/>
      <c r="K185" s="299"/>
      <c r="L185" s="299"/>
      <c r="M185" s="299"/>
      <c r="N185" s="299"/>
      <c r="O185" s="299">
        <v>58.2</v>
      </c>
      <c r="P185" s="299">
        <v>82.4</v>
      </c>
      <c r="Q185" s="299"/>
      <c r="R185" s="297"/>
      <c r="S185" s="226">
        <v>54.78</v>
      </c>
      <c r="T185" s="226"/>
      <c r="U185" s="583"/>
      <c r="V185" s="226">
        <f t="shared" si="34"/>
        <v>224.08</v>
      </c>
      <c r="X185" s="6"/>
    </row>
    <row r="186" spans="1:24" x14ac:dyDescent="0.15">
      <c r="A186" s="143" t="s">
        <v>427</v>
      </c>
      <c r="B186" s="143" t="s">
        <v>455</v>
      </c>
      <c r="C186" s="144"/>
      <c r="D186" s="145">
        <v>615230</v>
      </c>
      <c r="E186" s="145" t="s">
        <v>68</v>
      </c>
      <c r="F186" s="145" t="s">
        <v>179</v>
      </c>
      <c r="G186" s="165"/>
      <c r="H186" s="559"/>
      <c r="I186" s="226"/>
      <c r="J186" s="226"/>
      <c r="K186" s="226"/>
      <c r="L186" s="226"/>
      <c r="M186" s="299"/>
      <c r="N186" s="299"/>
      <c r="O186" s="603"/>
      <c r="P186" s="299"/>
      <c r="Q186" s="299"/>
      <c r="R186" s="585"/>
      <c r="S186" s="226"/>
      <c r="T186" s="226"/>
      <c r="U186" s="583"/>
      <c r="V186" s="226">
        <f t="shared" si="34"/>
        <v>0</v>
      </c>
      <c r="X186" s="6"/>
    </row>
    <row r="187" spans="1:24" x14ac:dyDescent="0.15">
      <c r="A187" s="143" t="s">
        <v>218</v>
      </c>
      <c r="B187" s="143" t="s">
        <v>216</v>
      </c>
      <c r="C187" s="144"/>
      <c r="D187" s="145">
        <v>615230</v>
      </c>
      <c r="E187" s="145" t="s">
        <v>68</v>
      </c>
      <c r="F187" s="145" t="s">
        <v>192</v>
      </c>
      <c r="G187" s="165"/>
      <c r="H187" s="559"/>
      <c r="I187" s="226"/>
      <c r="J187" s="226"/>
      <c r="K187" s="299"/>
      <c r="L187" s="299"/>
      <c r="M187" s="299"/>
      <c r="N187" s="299"/>
      <c r="O187" s="299"/>
      <c r="P187" s="299"/>
      <c r="Q187" s="299"/>
      <c r="R187" s="297"/>
      <c r="S187" s="226"/>
      <c r="T187" s="226"/>
      <c r="U187" s="583"/>
      <c r="V187" s="226">
        <f t="shared" si="34"/>
        <v>0</v>
      </c>
    </row>
    <row r="188" spans="1:24" ht="11.25" thickBot="1" x14ac:dyDescent="0.2">
      <c r="A188" s="516" t="s">
        <v>11</v>
      </c>
      <c r="B188" s="517"/>
      <c r="C188" s="518"/>
      <c r="D188" s="519"/>
      <c r="E188" s="516"/>
      <c r="F188" s="520"/>
      <c r="G188" s="521"/>
      <c r="H188" s="522">
        <f>SUM(H182:H187)</f>
        <v>0</v>
      </c>
      <c r="I188" s="522">
        <f t="shared" ref="I188:U188" si="35">SUM(I181:I187)</f>
        <v>666.87</v>
      </c>
      <c r="J188" s="522">
        <f t="shared" si="35"/>
        <v>638.16999999999996</v>
      </c>
      <c r="K188" s="522">
        <f t="shared" si="35"/>
        <v>638.13</v>
      </c>
      <c r="L188" s="522">
        <f t="shared" si="35"/>
        <v>638.13</v>
      </c>
      <c r="M188" s="522">
        <f t="shared" si="35"/>
        <v>638.11</v>
      </c>
      <c r="N188" s="522">
        <f t="shared" si="35"/>
        <v>638.11</v>
      </c>
      <c r="O188" s="522">
        <f t="shared" si="35"/>
        <v>696.32</v>
      </c>
      <c r="P188" s="522">
        <f t="shared" si="35"/>
        <v>720.52</v>
      </c>
      <c r="Q188" s="522">
        <f t="shared" si="35"/>
        <v>638.12</v>
      </c>
      <c r="R188" s="522">
        <f t="shared" si="35"/>
        <v>638.12</v>
      </c>
      <c r="S188" s="522">
        <f t="shared" si="35"/>
        <v>713.9</v>
      </c>
      <c r="T188" s="522">
        <f t="shared" si="35"/>
        <v>638.12</v>
      </c>
      <c r="U188" s="522">
        <f t="shared" si="35"/>
        <v>0</v>
      </c>
      <c r="V188" s="522">
        <f>SUM(V181:V187)</f>
        <v>7902.619999999999</v>
      </c>
      <c r="W188" s="97" t="str">
        <f>+IF(V188=SUM(H188:T188),"contrôle ok", "erreur")</f>
        <v>contrôle ok</v>
      </c>
    </row>
    <row r="189" spans="1:24" s="37" customFormat="1" ht="12" customHeight="1" thickTop="1" x14ac:dyDescent="0.15">
      <c r="A189" s="45"/>
      <c r="B189" s="46"/>
      <c r="C189" s="34"/>
      <c r="D189" s="36"/>
      <c r="E189" s="36"/>
      <c r="F189" s="36"/>
      <c r="G189" s="100"/>
      <c r="H189" s="229"/>
      <c r="I189" s="229"/>
      <c r="J189" s="229"/>
      <c r="K189" s="229"/>
      <c r="L189" s="229"/>
      <c r="M189" s="229"/>
      <c r="N189" s="229"/>
      <c r="O189" s="229"/>
      <c r="P189" s="229"/>
      <c r="Q189" s="229"/>
      <c r="R189" s="229"/>
      <c r="S189" s="229"/>
      <c r="T189" s="229"/>
      <c r="U189" s="229"/>
      <c r="V189" s="258"/>
      <c r="W189" s="16"/>
    </row>
    <row r="190" spans="1:24" s="37" customFormat="1" x14ac:dyDescent="0.15">
      <c r="A190" s="27" t="s">
        <v>34</v>
      </c>
      <c r="B190" s="28"/>
      <c r="C190" s="29"/>
      <c r="D190" s="30"/>
      <c r="E190" s="30"/>
      <c r="F190" s="31"/>
      <c r="G190" s="101"/>
      <c r="H190" s="224"/>
      <c r="I190" s="224"/>
      <c r="J190" s="251"/>
      <c r="K190" s="224"/>
      <c r="L190" s="224"/>
      <c r="M190" s="224"/>
      <c r="N190" s="224"/>
      <c r="O190" s="224"/>
      <c r="P190" s="224"/>
      <c r="Q190" s="224"/>
      <c r="R190" s="224"/>
      <c r="S190" s="224"/>
      <c r="T190" s="224"/>
      <c r="U190" s="224"/>
      <c r="V190" s="252"/>
      <c r="W190" s="16"/>
    </row>
    <row r="191" spans="1:24" x14ac:dyDescent="0.15">
      <c r="A191" s="143" t="s">
        <v>39</v>
      </c>
      <c r="B191" s="143" t="s">
        <v>36</v>
      </c>
      <c r="C191" s="144"/>
      <c r="D191" s="145">
        <v>626300</v>
      </c>
      <c r="E191" s="145" t="s">
        <v>68</v>
      </c>
      <c r="F191" s="145"/>
      <c r="G191" s="165">
        <v>105</v>
      </c>
      <c r="H191" s="559"/>
      <c r="I191" s="226">
        <v>105</v>
      </c>
      <c r="J191" s="226">
        <v>105</v>
      </c>
      <c r="K191" s="226">
        <v>105</v>
      </c>
      <c r="L191" s="299">
        <v>105</v>
      </c>
      <c r="M191" s="299">
        <v>105</v>
      </c>
      <c r="N191" s="299">
        <v>105</v>
      </c>
      <c r="O191" s="299">
        <v>105</v>
      </c>
      <c r="P191" s="299">
        <v>105</v>
      </c>
      <c r="Q191" s="329">
        <v>105</v>
      </c>
      <c r="R191" s="298">
        <v>105</v>
      </c>
      <c r="S191" s="299">
        <v>105</v>
      </c>
      <c r="T191" s="226">
        <v>105</v>
      </c>
      <c r="U191" s="583"/>
      <c r="V191" s="226">
        <f>SUM(H191:T191)</f>
        <v>1260</v>
      </c>
    </row>
    <row r="192" spans="1:24" ht="11.25" thickBot="1" x14ac:dyDescent="0.2">
      <c r="A192" s="516" t="s">
        <v>11</v>
      </c>
      <c r="B192" s="517"/>
      <c r="C192" s="518"/>
      <c r="D192" s="519"/>
      <c r="E192" s="516"/>
      <c r="F192" s="520"/>
      <c r="G192" s="521"/>
      <c r="H192" s="522">
        <f>SUM(H191)</f>
        <v>0</v>
      </c>
      <c r="I192" s="522">
        <f>SUM(I191)</f>
        <v>105</v>
      </c>
      <c r="J192" s="522">
        <f t="shared" ref="J192:V192" si="36">SUM(J191)</f>
        <v>105</v>
      </c>
      <c r="K192" s="522">
        <f t="shared" si="36"/>
        <v>105</v>
      </c>
      <c r="L192" s="522">
        <f t="shared" si="36"/>
        <v>105</v>
      </c>
      <c r="M192" s="522">
        <f t="shared" si="36"/>
        <v>105</v>
      </c>
      <c r="N192" s="522">
        <f t="shared" si="36"/>
        <v>105</v>
      </c>
      <c r="O192" s="522">
        <f t="shared" si="36"/>
        <v>105</v>
      </c>
      <c r="P192" s="522">
        <f t="shared" si="36"/>
        <v>105</v>
      </c>
      <c r="Q192" s="522">
        <f t="shared" si="36"/>
        <v>105</v>
      </c>
      <c r="R192" s="522">
        <f t="shared" si="36"/>
        <v>105</v>
      </c>
      <c r="S192" s="522">
        <f t="shared" si="36"/>
        <v>105</v>
      </c>
      <c r="T192" s="522">
        <f t="shared" si="36"/>
        <v>105</v>
      </c>
      <c r="U192" s="522">
        <f t="shared" si="36"/>
        <v>0</v>
      </c>
      <c r="V192" s="522">
        <f t="shared" si="36"/>
        <v>1260</v>
      </c>
      <c r="W192" s="97" t="str">
        <f>+IF(V192=SUM(H192:T192),"contrôle ok", "erreur")</f>
        <v>contrôle ok</v>
      </c>
    </row>
    <row r="193" spans="1:25" ht="11.25" thickTop="1" x14ac:dyDescent="0.15">
      <c r="A193" s="33"/>
      <c r="B193" s="33"/>
      <c r="C193" s="34"/>
      <c r="D193" s="35"/>
      <c r="E193" s="36"/>
      <c r="F193" s="35"/>
      <c r="G193" s="100"/>
      <c r="H193" s="229"/>
      <c r="I193" s="229"/>
      <c r="J193" s="229"/>
      <c r="K193" s="229"/>
      <c r="L193" s="229"/>
      <c r="M193" s="229"/>
      <c r="N193" s="257"/>
      <c r="O193" s="229"/>
      <c r="P193" s="229"/>
      <c r="Q193" s="229"/>
      <c r="R193" s="229"/>
      <c r="S193" s="229"/>
      <c r="T193" s="229"/>
      <c r="U193" s="229"/>
      <c r="V193" s="258"/>
      <c r="W193" s="37"/>
    </row>
    <row r="194" spans="1:25" x14ac:dyDescent="0.15">
      <c r="A194" s="27" t="s">
        <v>16</v>
      </c>
      <c r="B194" s="28"/>
      <c r="C194" s="29"/>
      <c r="D194" s="30"/>
      <c r="E194" s="30"/>
      <c r="F194" s="31"/>
      <c r="G194" s="101"/>
      <c r="H194" s="224"/>
      <c r="I194" s="224"/>
      <c r="J194" s="251"/>
      <c r="K194" s="224"/>
      <c r="L194" s="224"/>
      <c r="M194" s="224"/>
      <c r="N194" s="224"/>
      <c r="O194" s="224"/>
      <c r="P194" s="224"/>
      <c r="Q194" s="224"/>
      <c r="R194" s="224"/>
      <c r="S194" s="224"/>
      <c r="T194" s="224"/>
      <c r="U194" s="224"/>
      <c r="V194" s="252"/>
    </row>
    <row r="195" spans="1:25" s="37" customFormat="1" ht="12" customHeight="1" x14ac:dyDescent="0.15">
      <c r="A195" s="143" t="s">
        <v>591</v>
      </c>
      <c r="B195" s="143" t="s">
        <v>592</v>
      </c>
      <c r="C195" s="144" t="s">
        <v>30</v>
      </c>
      <c r="D195" s="145">
        <v>628500</v>
      </c>
      <c r="E195" s="145" t="s">
        <v>67</v>
      </c>
      <c r="F195" s="145">
        <v>999999</v>
      </c>
      <c r="G195" s="165">
        <f>13778.25+54.56</f>
        <v>13832.81</v>
      </c>
      <c r="H195" s="559"/>
      <c r="I195" s="226">
        <v>13832.81</v>
      </c>
      <c r="J195" s="226">
        <v>13832.81</v>
      </c>
      <c r="K195" s="226">
        <v>13832.81</v>
      </c>
      <c r="L195" s="299">
        <v>13832.81</v>
      </c>
      <c r="M195" s="299">
        <v>13832.81</v>
      </c>
      <c r="N195" s="299">
        <v>13832.81</v>
      </c>
      <c r="O195" s="299">
        <v>13832.81</v>
      </c>
      <c r="P195" s="299">
        <v>13832.81</v>
      </c>
      <c r="Q195" s="329">
        <v>13832.81</v>
      </c>
      <c r="R195" s="329">
        <v>13832.81</v>
      </c>
      <c r="S195" s="299">
        <v>13832.81</v>
      </c>
      <c r="T195" s="299">
        <v>13832.81</v>
      </c>
      <c r="U195" s="652"/>
      <c r="V195" s="226">
        <f>SUM(H195:T195)</f>
        <v>165993.72</v>
      </c>
      <c r="W195" s="16"/>
    </row>
    <row r="196" spans="1:25" x14ac:dyDescent="0.15">
      <c r="A196" s="143" t="s">
        <v>279</v>
      </c>
      <c r="B196" s="143" t="s">
        <v>229</v>
      </c>
      <c r="C196" s="144">
        <v>2017</v>
      </c>
      <c r="D196" s="145">
        <v>628500</v>
      </c>
      <c r="E196" s="145" t="s">
        <v>67</v>
      </c>
      <c r="F196" s="145">
        <v>999999</v>
      </c>
      <c r="G196" s="165">
        <f>(1107.84+4.43)/12</f>
        <v>92.689166666666665</v>
      </c>
      <c r="H196" s="559"/>
      <c r="I196" s="226"/>
      <c r="J196" s="226"/>
      <c r="K196" s="226"/>
      <c r="L196" s="226"/>
      <c r="M196" s="226"/>
      <c r="N196" s="226"/>
      <c r="O196" s="226"/>
      <c r="P196" s="226"/>
      <c r="Q196" s="226"/>
      <c r="R196" s="226"/>
      <c r="S196" s="583">
        <v>92.69</v>
      </c>
      <c r="T196" s="226"/>
      <c r="U196" s="583"/>
      <c r="V196" s="226">
        <f>SUM(H196:T196)</f>
        <v>92.69</v>
      </c>
    </row>
    <row r="197" spans="1:25" x14ac:dyDescent="0.15">
      <c r="A197" s="143" t="s">
        <v>69</v>
      </c>
      <c r="B197" s="143"/>
      <c r="C197" s="144"/>
      <c r="D197" s="145">
        <v>628500</v>
      </c>
      <c r="E197" s="145" t="s">
        <v>67</v>
      </c>
      <c r="F197" s="145">
        <v>999999</v>
      </c>
      <c r="G197" s="165"/>
      <c r="H197" s="559"/>
      <c r="I197" s="226"/>
      <c r="J197" s="226"/>
      <c r="K197" s="299"/>
      <c r="L197" s="299"/>
      <c r="M197" s="299"/>
      <c r="N197" s="299"/>
      <c r="O197" s="299"/>
      <c r="P197" s="329"/>
      <c r="Q197" s="329"/>
      <c r="R197" s="298"/>
      <c r="S197" s="226"/>
      <c r="T197" s="226">
        <v>688.89</v>
      </c>
      <c r="U197" s="583"/>
      <c r="V197" s="226">
        <f>SUM(H197:T197)</f>
        <v>688.89</v>
      </c>
      <c r="W197" s="219"/>
    </row>
    <row r="198" spans="1:25" ht="11.25" thickBot="1" x14ac:dyDescent="0.2">
      <c r="A198" s="516" t="s">
        <v>11</v>
      </c>
      <c r="B198" s="517"/>
      <c r="C198" s="518"/>
      <c r="D198" s="519"/>
      <c r="E198" s="516"/>
      <c r="F198" s="520"/>
      <c r="G198" s="521"/>
      <c r="H198" s="522">
        <f>SUM(H195:H197)</f>
        <v>0</v>
      </c>
      <c r="I198" s="522">
        <f t="shared" ref="I198:V198" si="37">SUM(I195:I197)</f>
        <v>13832.81</v>
      </c>
      <c r="J198" s="522">
        <f t="shared" si="37"/>
        <v>13832.81</v>
      </c>
      <c r="K198" s="522">
        <f t="shared" si="37"/>
        <v>13832.81</v>
      </c>
      <c r="L198" s="522">
        <f t="shared" si="37"/>
        <v>13832.81</v>
      </c>
      <c r="M198" s="522">
        <f t="shared" si="37"/>
        <v>13832.81</v>
      </c>
      <c r="N198" s="522">
        <f t="shared" si="37"/>
        <v>13832.81</v>
      </c>
      <c r="O198" s="522">
        <f t="shared" si="37"/>
        <v>13832.81</v>
      </c>
      <c r="P198" s="522">
        <f t="shared" si="37"/>
        <v>13832.81</v>
      </c>
      <c r="Q198" s="522">
        <f t="shared" si="37"/>
        <v>13832.81</v>
      </c>
      <c r="R198" s="522">
        <f t="shared" si="37"/>
        <v>13832.81</v>
      </c>
      <c r="S198" s="522">
        <f t="shared" si="37"/>
        <v>13925.5</v>
      </c>
      <c r="T198" s="522">
        <f t="shared" si="37"/>
        <v>14521.699999999999</v>
      </c>
      <c r="U198" s="522">
        <f t="shared" si="37"/>
        <v>0</v>
      </c>
      <c r="V198" s="522">
        <f t="shared" si="37"/>
        <v>166775.30000000002</v>
      </c>
      <c r="W198" s="97" t="str">
        <f>+IF(V198=SUM(H198:T198),"contrôle ok", "erreur")</f>
        <v>contrôle ok</v>
      </c>
      <c r="Y198" s="219"/>
    </row>
    <row r="199" spans="1:25" ht="12" thickTop="1" thickBot="1" x14ac:dyDescent="0.2">
      <c r="A199" s="116"/>
      <c r="B199" s="79"/>
      <c r="C199" s="80"/>
      <c r="D199" s="117"/>
      <c r="E199" s="117"/>
      <c r="F199" s="118"/>
      <c r="G199" s="166"/>
      <c r="H199" s="11"/>
      <c r="I199" s="11"/>
      <c r="J199" s="12"/>
      <c r="K199" s="12"/>
      <c r="L199" s="12"/>
      <c r="M199" s="12"/>
      <c r="N199" s="12"/>
      <c r="O199" s="12"/>
      <c r="P199" s="12"/>
      <c r="Q199" s="12"/>
      <c r="R199" s="12"/>
      <c r="S199" s="12"/>
      <c r="T199" s="12"/>
      <c r="U199" s="12"/>
      <c r="V199" s="13"/>
    </row>
  </sheetData>
  <customSheetViews>
    <customSheetView guid="{4BA9EA0D-01E7-49D1-8245-80B9A9A68B6F}" scale="115" showPageBreaks="1" fitToPage="1" printArea="1">
      <pane xSplit="7" ySplit="3" topLeftCell="K103" activePane="bottomRight" state="frozen"/>
      <selection pane="bottomRight" activeCell="S109" sqref="S109"/>
      <rowBreaks count="12" manualBreakCount="12">
        <brk id="104" max="20" man="1"/>
        <brk id="141" max="20" man="1"/>
        <brk id="153" max="20" man="1"/>
        <brk id="158" max="20" man="1"/>
        <brk id="161" max="20" man="1"/>
        <brk id="164" max="20" man="1"/>
        <brk id="169" max="20" man="1"/>
        <brk id="172" max="20" man="1"/>
        <brk id="179" max="20" man="1"/>
        <brk id="184" max="20" man="1"/>
        <brk id="189" max="20" man="1"/>
        <brk id="195" max="20" man="1"/>
      </rowBreaks>
      <pageMargins left="3.937007874015748E-2" right="3.937007874015748E-2" top="0.15748031496062992" bottom="0.19685039370078741" header="0.15748031496062992" footer="0.23622047244094491"/>
      <pageSetup paperSize="9" scale="10" fitToHeight="2" orientation="landscape" r:id="rId1"/>
      <headerFooter alignWithMargins="0">
        <oddFooter>&amp;R&amp;8Le &amp;D
&amp;T</oddFooter>
      </headerFooter>
    </customSheetView>
    <customSheetView guid="{B5B04B19-0628-445C-9CF3-7F5D4D937774}" scale="115" fitToPage="1">
      <pane xSplit="7" ySplit="3" topLeftCell="K103" activePane="bottomRight" state="frozen"/>
      <selection pane="bottomRight" activeCell="S109" sqref="S109"/>
      <rowBreaks count="1" manualBreakCount="1">
        <brk id="141" max="20" man="1"/>
      </rowBreaks>
      <pageMargins left="3.937007874015748E-2" right="3.937007874015748E-2" top="0.15748031496062992" bottom="0.19685039370078741" header="0.15748031496062992" footer="0.23622047244094491"/>
      <pageSetup paperSize="9" scale="53" fitToHeight="2" orientation="landscape" r:id="rId2"/>
      <headerFooter alignWithMargins="0">
        <oddFooter>&amp;R&amp;8Le &amp;D
&amp;T</oddFooter>
      </headerFooter>
    </customSheetView>
    <customSheetView guid="{DD021BEF-F767-4779-A362-C9308ACC088B}" scale="115" fitToPage="1">
      <pane xSplit="7" ySplit="3" topLeftCell="K103" activePane="bottomRight" state="frozen"/>
      <selection pane="bottomRight" activeCell="S109" sqref="S109"/>
      <rowBreaks count="1" manualBreakCount="1">
        <brk id="141" max="20" man="1"/>
      </rowBreaks>
      <pageMargins left="3.937007874015748E-2" right="3.937007874015748E-2" top="0.15748031496062992" bottom="0.19685039370078741" header="0.15748031496062992" footer="0.23622047244094491"/>
      <pageSetup paperSize="9" scale="10" fitToHeight="2" orientation="landscape" r:id="rId3"/>
      <headerFooter alignWithMargins="0">
        <oddFooter>&amp;R&amp;8Le &amp;D
&amp;T</oddFooter>
      </headerFooter>
    </customSheetView>
    <customSheetView guid="{C8B269C8-9E4E-47CC-A407-F213FAC1E35C}" scale="115" fitToPage="1">
      <pane xSplit="7" ySplit="3" topLeftCell="K103" activePane="bottomRight" state="frozen"/>
      <selection pane="bottomRight" activeCell="S109" sqref="S109"/>
      <rowBreaks count="1" manualBreakCount="1">
        <brk id="141" max="20" man="1"/>
      </rowBreaks>
      <pageMargins left="3.937007874015748E-2" right="3.937007874015748E-2" top="0.15748031496062992" bottom="0.19685039370078741" header="0.15748031496062992" footer="0.23622047244094491"/>
      <pageSetup paperSize="9" scale="10" fitToHeight="2" orientation="landscape" r:id="rId4"/>
      <headerFooter alignWithMargins="0">
        <oddFooter>&amp;R&amp;8Le &amp;D
&amp;T</oddFooter>
      </headerFooter>
    </customSheetView>
  </customSheetViews>
  <mergeCells count="1">
    <mergeCell ref="I40:K40"/>
  </mergeCells>
  <phoneticPr fontId="0" type="noConversion"/>
  <pageMargins left="3.937007874015748E-2" right="3.937007874015748E-2" top="0.15748031496062992" bottom="0.19685039370078741" header="0.15748031496062992" footer="0.23622047244094491"/>
  <pageSetup paperSize="9" scale="10" fitToHeight="2" orientation="landscape" r:id="rId5"/>
  <headerFooter alignWithMargins="0">
    <oddFooter>&amp;R&amp;8Le &amp;D
&amp;T</oddFooter>
  </headerFooter>
  <rowBreaks count="1" manualBreakCount="1">
    <brk id="141" max="20" man="1"/>
  </rowBreaks>
  <drawing r:id="rId6"/>
  <legacyDrawing r:id="rId7"/>
  <controls>
    <mc:AlternateContent xmlns:mc="http://schemas.openxmlformats.org/markup-compatibility/2006">
      <mc:Choice Requires="x14">
        <control shapeId="13313" r:id="rId8" name="ComboBox1">
          <controlPr defaultSize="0" autoFill="0" autoLine="0" listFillRange="COMPTE" r:id="rId9">
            <anchor>
              <from>
                <xdr:col>1</xdr:col>
                <xdr:colOff>114300</xdr:colOff>
                <xdr:row>0</xdr:row>
                <xdr:rowOff>38100</xdr:rowOff>
              </from>
              <to>
                <xdr:col>2</xdr:col>
                <xdr:colOff>609600</xdr:colOff>
                <xdr:row>1</xdr:row>
                <xdr:rowOff>114300</xdr:rowOff>
              </to>
            </anchor>
          </controlPr>
        </control>
      </mc:Choice>
      <mc:Fallback>
        <control shapeId="13313" r:id="rId8" name="ComboBox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X135"/>
  <sheetViews>
    <sheetView zoomScale="115" zoomScaleNormal="115" workbookViewId="0">
      <pane xSplit="7" ySplit="3" topLeftCell="M4" activePane="bottomRight" state="frozen"/>
      <selection activeCell="T231" sqref="T231:U231"/>
      <selection pane="topRight" activeCell="T231" sqref="T231:U231"/>
      <selection pane="bottomLeft" activeCell="T231" sqref="T231:U231"/>
      <selection pane="bottomRight" activeCell="E1" sqref="E1:E1048576"/>
    </sheetView>
  </sheetViews>
  <sheetFormatPr baseColWidth="10" defaultColWidth="28.140625" defaultRowHeight="10.5" x14ac:dyDescent="0.15"/>
  <cols>
    <col min="1" max="1" width="24.140625" style="219" customWidth="1"/>
    <col min="2" max="2" width="15.42578125" style="219" bestFit="1" customWidth="1"/>
    <col min="3" max="3" width="14.5703125" style="462" customWidth="1"/>
    <col min="4" max="4" width="8.140625" style="407" customWidth="1"/>
    <col min="5" max="5" width="7.7109375" style="393" bestFit="1" customWidth="1"/>
    <col min="6" max="6" width="8.85546875" style="407" customWidth="1"/>
    <col min="7" max="7" width="10" style="392" bestFit="1" customWidth="1"/>
    <col min="8" max="17" width="8.85546875" style="219" customWidth="1"/>
    <col min="18" max="19" width="9.28515625" style="219" bestFit="1" customWidth="1"/>
    <col min="20" max="21" width="8.85546875" style="219" customWidth="1"/>
    <col min="22" max="22" width="9.28515625" style="219" bestFit="1" customWidth="1"/>
    <col min="23" max="23" width="10.140625" style="219" bestFit="1" customWidth="1"/>
    <col min="24" max="16384" width="28.140625" style="219"/>
  </cols>
  <sheetData>
    <row r="1" spans="1:23" ht="12.75" x14ac:dyDescent="0.2">
      <c r="A1" s="336" t="s">
        <v>675</v>
      </c>
      <c r="C1" s="451"/>
      <c r="G1" s="339"/>
      <c r="H1" s="220"/>
      <c r="I1" s="220"/>
      <c r="J1" s="247"/>
      <c r="K1" s="247"/>
      <c r="L1" s="340"/>
      <c r="M1" s="340"/>
      <c r="N1" s="340"/>
      <c r="O1" s="340"/>
      <c r="P1" s="340"/>
      <c r="Q1" s="340"/>
      <c r="R1" s="340"/>
    </row>
    <row r="2" spans="1:23" ht="11.25" thickBot="1" x14ac:dyDescent="0.2">
      <c r="A2" s="221"/>
      <c r="C2" s="451"/>
      <c r="H2" s="221"/>
      <c r="I2" s="221"/>
    </row>
    <row r="3" spans="1:23" s="337" customFormat="1" ht="11.25" thickBot="1" x14ac:dyDescent="0.2">
      <c r="A3" s="422" t="s">
        <v>0</v>
      </c>
      <c r="B3" s="222" t="s">
        <v>1</v>
      </c>
      <c r="C3" s="408" t="s">
        <v>2</v>
      </c>
      <c r="D3" s="408"/>
      <c r="E3" s="222"/>
      <c r="F3" s="408"/>
      <c r="G3" s="343" t="s">
        <v>4</v>
      </c>
      <c r="H3" s="408">
        <v>2016</v>
      </c>
      <c r="I3" s="222" t="s">
        <v>55</v>
      </c>
      <c r="J3" s="222" t="s">
        <v>56</v>
      </c>
      <c r="K3" s="222" t="s">
        <v>5</v>
      </c>
      <c r="L3" s="222" t="s">
        <v>6</v>
      </c>
      <c r="M3" s="222" t="s">
        <v>7</v>
      </c>
      <c r="N3" s="222" t="s">
        <v>8</v>
      </c>
      <c r="O3" s="222" t="s">
        <v>65</v>
      </c>
      <c r="P3" s="222" t="s">
        <v>64</v>
      </c>
      <c r="Q3" s="222" t="s">
        <v>49</v>
      </c>
      <c r="R3" s="222" t="s">
        <v>50</v>
      </c>
      <c r="S3" s="222" t="s">
        <v>59</v>
      </c>
      <c r="T3" s="222" t="s">
        <v>51</v>
      </c>
      <c r="U3" s="222" t="s">
        <v>866</v>
      </c>
      <c r="V3" s="345" t="s">
        <v>66</v>
      </c>
    </row>
    <row r="4" spans="1:23" x14ac:dyDescent="0.15">
      <c r="A4" s="423"/>
      <c r="B4" s="424"/>
      <c r="C4" s="452"/>
      <c r="D4" s="442"/>
      <c r="E4" s="425"/>
      <c r="F4" s="442"/>
      <c r="G4" s="396"/>
      <c r="H4" s="426"/>
      <c r="I4" s="426"/>
      <c r="J4" s="223"/>
      <c r="K4" s="223"/>
      <c r="L4" s="223"/>
      <c r="M4" s="223"/>
      <c r="N4" s="223"/>
      <c r="O4" s="223"/>
      <c r="P4" s="223"/>
      <c r="Q4" s="223"/>
      <c r="R4" s="223"/>
      <c r="S4" s="223"/>
      <c r="T4" s="223"/>
      <c r="U4" s="223"/>
      <c r="V4" s="427"/>
    </row>
    <row r="5" spans="1:23" x14ac:dyDescent="0.15">
      <c r="A5" s="352" t="s">
        <v>149</v>
      </c>
      <c r="B5" s="353"/>
      <c r="C5" s="453"/>
      <c r="D5" s="410"/>
      <c r="E5" s="355"/>
      <c r="F5" s="418"/>
      <c r="G5" s="356"/>
      <c r="H5" s="224"/>
      <c r="I5" s="224"/>
      <c r="J5" s="251"/>
      <c r="K5" s="224"/>
      <c r="L5" s="224"/>
      <c r="M5" s="224"/>
      <c r="N5" s="224"/>
      <c r="O5" s="224"/>
      <c r="P5" s="224"/>
      <c r="Q5" s="224"/>
      <c r="R5" s="224"/>
      <c r="S5" s="224"/>
      <c r="T5" s="224"/>
      <c r="U5" s="224"/>
      <c r="V5" s="252"/>
    </row>
    <row r="6" spans="1:23" x14ac:dyDescent="0.15">
      <c r="A6" s="255" t="s">
        <v>490</v>
      </c>
      <c r="B6" s="255"/>
      <c r="C6" s="454"/>
      <c r="D6" s="412">
        <v>606801</v>
      </c>
      <c r="E6" s="357" t="s">
        <v>63</v>
      </c>
      <c r="F6" s="412">
        <v>9999999</v>
      </c>
      <c r="G6" s="428"/>
      <c r="H6" s="559">
        <f>-27.3-27.3</f>
        <v>-54.6</v>
      </c>
      <c r="I6" s="226">
        <f>27.3+141.69</f>
        <v>168.99</v>
      </c>
      <c r="J6" s="582">
        <v>150</v>
      </c>
      <c r="K6" s="226">
        <f>27.3+61.97+109.75</f>
        <v>199.01999999999998</v>
      </c>
      <c r="L6" s="605">
        <v>123.4</v>
      </c>
      <c r="M6" s="226">
        <v>110.02</v>
      </c>
      <c r="N6" s="226">
        <v>99.92</v>
      </c>
      <c r="O6" s="226">
        <v>73.44</v>
      </c>
      <c r="P6" s="226">
        <v>100.19</v>
      </c>
      <c r="Q6" s="226">
        <v>131.04</v>
      </c>
      <c r="R6" s="226">
        <v>120.12</v>
      </c>
      <c r="S6" s="226">
        <v>156.69999999999999</v>
      </c>
      <c r="T6" s="226"/>
      <c r="U6" s="226"/>
      <c r="V6" s="255">
        <f>SUM(H6:T6)</f>
        <v>1378.24</v>
      </c>
    </row>
    <row r="7" spans="1:23" s="221" customFormat="1" ht="11.25" thickBot="1" x14ac:dyDescent="0.2">
      <c r="A7" s="536" t="s">
        <v>11</v>
      </c>
      <c r="B7" s="532"/>
      <c r="C7" s="537"/>
      <c r="D7" s="538"/>
      <c r="E7" s="536"/>
      <c r="F7" s="539"/>
      <c r="G7" s="540"/>
      <c r="H7" s="522">
        <f>SUM(H6)</f>
        <v>-54.6</v>
      </c>
      <c r="I7" s="522">
        <f t="shared" ref="I7:V7" si="0">SUM(I6)</f>
        <v>168.99</v>
      </c>
      <c r="J7" s="522">
        <f t="shared" si="0"/>
        <v>150</v>
      </c>
      <c r="K7" s="522">
        <f t="shared" si="0"/>
        <v>199.01999999999998</v>
      </c>
      <c r="L7" s="522">
        <f t="shared" si="0"/>
        <v>123.4</v>
      </c>
      <c r="M7" s="522">
        <f t="shared" si="0"/>
        <v>110.02</v>
      </c>
      <c r="N7" s="522">
        <f t="shared" si="0"/>
        <v>99.92</v>
      </c>
      <c r="O7" s="522">
        <f t="shared" si="0"/>
        <v>73.44</v>
      </c>
      <c r="P7" s="522">
        <f t="shared" si="0"/>
        <v>100.19</v>
      </c>
      <c r="Q7" s="522">
        <f t="shared" si="0"/>
        <v>131.04</v>
      </c>
      <c r="R7" s="522">
        <f t="shared" si="0"/>
        <v>120.12</v>
      </c>
      <c r="S7" s="522">
        <f t="shared" si="0"/>
        <v>156.69999999999999</v>
      </c>
      <c r="T7" s="522">
        <f t="shared" si="0"/>
        <v>0</v>
      </c>
      <c r="U7" s="522">
        <f>SUM(U6)</f>
        <v>0</v>
      </c>
      <c r="V7" s="522">
        <f t="shared" si="0"/>
        <v>1378.24</v>
      </c>
      <c r="W7" s="97" t="str">
        <f>+IF(V7=SUM(H7:T7),"contrôle ok", "erreur")</f>
        <v>contrôle ok</v>
      </c>
    </row>
    <row r="8" spans="1:23" ht="11.25" thickTop="1" x14ac:dyDescent="0.15">
      <c r="A8" s="429"/>
      <c r="B8" s="424"/>
      <c r="C8" s="455"/>
      <c r="D8" s="443"/>
      <c r="E8" s="430"/>
      <c r="F8" s="443"/>
      <c r="G8" s="373"/>
      <c r="H8" s="223"/>
      <c r="I8" s="223"/>
      <c r="J8" s="223"/>
      <c r="K8" s="223"/>
      <c r="L8" s="223"/>
      <c r="M8" s="223"/>
      <c r="N8" s="223"/>
      <c r="O8" s="223"/>
      <c r="P8" s="223"/>
      <c r="Q8" s="223"/>
      <c r="R8" s="223"/>
      <c r="S8" s="223"/>
      <c r="T8" s="223"/>
      <c r="U8" s="223"/>
      <c r="V8" s="427"/>
    </row>
    <row r="9" spans="1:23" ht="11.25" customHeight="1" x14ac:dyDescent="0.15">
      <c r="A9" s="352" t="s">
        <v>41</v>
      </c>
      <c r="B9" s="353"/>
      <c r="C9" s="453"/>
      <c r="D9" s="410"/>
      <c r="E9" s="355"/>
      <c r="F9" s="418"/>
      <c r="G9" s="356"/>
      <c r="H9" s="224"/>
      <c r="I9" s="224"/>
      <c r="J9" s="251"/>
      <c r="K9" s="224"/>
      <c r="L9" s="224"/>
      <c r="M9" s="224"/>
      <c r="N9" s="224"/>
      <c r="O9" s="224"/>
      <c r="P9" s="224"/>
      <c r="Q9" s="224"/>
      <c r="R9" s="224"/>
      <c r="S9" s="224"/>
      <c r="T9" s="224"/>
      <c r="U9" s="224"/>
      <c r="V9" s="252"/>
    </row>
    <row r="10" spans="1:23" s="261" customFormat="1" ht="11.25" customHeight="1" x14ac:dyDescent="0.15">
      <c r="A10" s="255" t="s">
        <v>457</v>
      </c>
      <c r="B10" s="255"/>
      <c r="C10" s="454"/>
      <c r="D10" s="412">
        <v>615111</v>
      </c>
      <c r="E10" s="357" t="s">
        <v>194</v>
      </c>
      <c r="F10" s="412" t="s">
        <v>192</v>
      </c>
      <c r="G10" s="367"/>
      <c r="H10" s="559"/>
      <c r="I10" s="226"/>
      <c r="J10" s="299"/>
      <c r="K10" s="226"/>
      <c r="L10" s="226"/>
      <c r="M10" s="226"/>
      <c r="N10" s="226"/>
      <c r="O10" s="226"/>
      <c r="P10" s="226"/>
      <c r="Q10" s="226"/>
      <c r="R10" s="226"/>
      <c r="S10" s="226"/>
      <c r="T10" s="226"/>
      <c r="U10" s="226"/>
      <c r="V10" s="255">
        <f>SUM(H10:T10)</f>
        <v>0</v>
      </c>
    </row>
    <row r="11" spans="1:23" x14ac:dyDescent="0.15">
      <c r="A11" s="255" t="s">
        <v>340</v>
      </c>
      <c r="B11" s="255"/>
      <c r="C11" s="454"/>
      <c r="D11" s="412">
        <v>615111</v>
      </c>
      <c r="E11" s="357" t="s">
        <v>194</v>
      </c>
      <c r="F11" s="412" t="s">
        <v>179</v>
      </c>
      <c r="G11" s="428">
        <v>325.39999999999998</v>
      </c>
      <c r="H11" s="559">
        <f>325.4-125.25-200</f>
        <v>0.14999999999997726</v>
      </c>
      <c r="I11" s="226">
        <v>325.39999999999998</v>
      </c>
      <c r="J11" s="226">
        <v>325.39999999999998</v>
      </c>
      <c r="K11" s="226">
        <v>325.39999999999998</v>
      </c>
      <c r="L11" s="226">
        <v>325.39999999999998</v>
      </c>
      <c r="M11" s="226">
        <v>325.39999999999998</v>
      </c>
      <c r="N11" s="226">
        <v>325.39999999999998</v>
      </c>
      <c r="O11" s="226">
        <v>400.55</v>
      </c>
      <c r="P11" s="226">
        <v>325.39999999999998</v>
      </c>
      <c r="Q11" s="226">
        <v>325.39999999999998</v>
      </c>
      <c r="R11" s="226">
        <v>325.39999999999998</v>
      </c>
      <c r="S11" s="226">
        <v>325.39999999999998</v>
      </c>
      <c r="T11" s="226"/>
      <c r="U11" s="226"/>
      <c r="V11" s="255">
        <f>SUM(H11:T11)</f>
        <v>3654.7000000000007</v>
      </c>
    </row>
    <row r="12" spans="1:23" s="221" customFormat="1" ht="11.25" thickBot="1" x14ac:dyDescent="0.2">
      <c r="A12" s="536" t="s">
        <v>11</v>
      </c>
      <c r="B12" s="532"/>
      <c r="C12" s="537"/>
      <c r="D12" s="538"/>
      <c r="E12" s="536"/>
      <c r="F12" s="539"/>
      <c r="G12" s="540"/>
      <c r="H12" s="522">
        <f>SUM(H10:H11)</f>
        <v>0.14999999999997726</v>
      </c>
      <c r="I12" s="522">
        <f t="shared" ref="I12:T12" si="1">SUM(I10:I11)</f>
        <v>325.39999999999998</v>
      </c>
      <c r="J12" s="522">
        <f t="shared" si="1"/>
        <v>325.39999999999998</v>
      </c>
      <c r="K12" s="522">
        <f t="shared" si="1"/>
        <v>325.39999999999998</v>
      </c>
      <c r="L12" s="522">
        <f t="shared" si="1"/>
        <v>325.39999999999998</v>
      </c>
      <c r="M12" s="522">
        <f t="shared" si="1"/>
        <v>325.39999999999998</v>
      </c>
      <c r="N12" s="522">
        <f t="shared" si="1"/>
        <v>325.39999999999998</v>
      </c>
      <c r="O12" s="522">
        <f t="shared" si="1"/>
        <v>400.55</v>
      </c>
      <c r="P12" s="522">
        <f t="shared" si="1"/>
        <v>325.39999999999998</v>
      </c>
      <c r="Q12" s="522">
        <f t="shared" si="1"/>
        <v>325.39999999999998</v>
      </c>
      <c r="R12" s="522">
        <f t="shared" si="1"/>
        <v>325.39999999999998</v>
      </c>
      <c r="S12" s="522">
        <f t="shared" si="1"/>
        <v>325.39999999999998</v>
      </c>
      <c r="T12" s="522">
        <f t="shared" si="1"/>
        <v>0</v>
      </c>
      <c r="U12" s="522">
        <f>SUM(U10:U11)</f>
        <v>0</v>
      </c>
      <c r="V12" s="522">
        <f>SUM(V10:V11)</f>
        <v>3654.7000000000007</v>
      </c>
      <c r="W12" s="97" t="str">
        <f>+IF(V12=SUM(H12:T12),"contrôle ok", "erreur")</f>
        <v>contrôle ok</v>
      </c>
    </row>
    <row r="13" spans="1:23" s="431" customFormat="1" ht="11.25" thickTop="1" x14ac:dyDescent="0.15">
      <c r="A13" s="380"/>
      <c r="B13" s="381"/>
      <c r="C13" s="456"/>
      <c r="D13" s="421"/>
      <c r="E13" s="383"/>
      <c r="F13" s="421"/>
      <c r="G13" s="367"/>
      <c r="H13" s="228"/>
      <c r="I13" s="228"/>
      <c r="J13" s="228"/>
      <c r="K13" s="228"/>
      <c r="L13" s="228"/>
      <c r="M13" s="228"/>
      <c r="N13" s="228"/>
      <c r="O13" s="228"/>
      <c r="P13" s="228"/>
      <c r="Q13" s="228"/>
      <c r="R13" s="228"/>
      <c r="S13" s="228"/>
      <c r="T13" s="228"/>
      <c r="U13" s="228"/>
      <c r="V13" s="228"/>
      <c r="W13" s="360"/>
    </row>
    <row r="14" spans="1:23" s="16" customFormat="1" x14ac:dyDescent="0.15">
      <c r="A14" s="27" t="s">
        <v>519</v>
      </c>
      <c r="B14" s="28"/>
      <c r="C14" s="29"/>
      <c r="D14" s="134"/>
      <c r="E14" s="30"/>
      <c r="F14" s="31"/>
      <c r="G14" s="101"/>
      <c r="H14" s="224"/>
      <c r="I14" s="224"/>
      <c r="J14" s="251"/>
      <c r="K14" s="224"/>
      <c r="L14" s="224"/>
      <c r="M14" s="224"/>
      <c r="N14" s="224"/>
      <c r="O14" s="224"/>
      <c r="P14" s="224"/>
      <c r="Q14" s="224"/>
      <c r="R14" s="224"/>
      <c r="S14" s="224"/>
      <c r="T14" s="224"/>
      <c r="U14" s="224"/>
      <c r="V14" s="252"/>
      <c r="W14" s="4"/>
    </row>
    <row r="15" spans="1:23" s="16" customFormat="1" x14ac:dyDescent="0.15">
      <c r="A15" s="143" t="s">
        <v>468</v>
      </c>
      <c r="B15" s="143"/>
      <c r="C15" s="144"/>
      <c r="D15" s="144">
        <v>615113</v>
      </c>
      <c r="E15" s="145" t="s">
        <v>153</v>
      </c>
      <c r="F15" s="145" t="s">
        <v>269</v>
      </c>
      <c r="G15" s="165"/>
      <c r="H15" s="559"/>
      <c r="I15" s="226"/>
      <c r="J15" s="226"/>
      <c r="K15" s="226"/>
      <c r="L15" s="226"/>
      <c r="M15" s="226"/>
      <c r="N15" s="226"/>
      <c r="O15" s="226"/>
      <c r="P15" s="226"/>
      <c r="Q15" s="226"/>
      <c r="R15" s="226"/>
      <c r="S15" s="226"/>
      <c r="T15" s="226"/>
      <c r="U15" s="226"/>
      <c r="V15" s="255">
        <f>SUM(H15:T15)</f>
        <v>0</v>
      </c>
      <c r="W15" s="14"/>
    </row>
    <row r="16" spans="1:23" s="16" customFormat="1" x14ac:dyDescent="0.15">
      <c r="A16" s="143" t="s">
        <v>166</v>
      </c>
      <c r="B16" s="143"/>
      <c r="C16" s="144"/>
      <c r="D16" s="144">
        <v>615113</v>
      </c>
      <c r="E16" s="145" t="s">
        <v>153</v>
      </c>
      <c r="F16" s="145" t="s">
        <v>192</v>
      </c>
      <c r="G16" s="165"/>
      <c r="H16" s="559"/>
      <c r="I16" s="226"/>
      <c r="J16" s="226"/>
      <c r="K16" s="226"/>
      <c r="L16" s="226"/>
      <c r="M16" s="226"/>
      <c r="N16" s="226"/>
      <c r="O16" s="226"/>
      <c r="P16" s="226"/>
      <c r="Q16" s="226"/>
      <c r="R16" s="226"/>
      <c r="S16" s="226"/>
      <c r="T16" s="226"/>
      <c r="U16" s="226"/>
      <c r="V16" s="255">
        <f>SUM(H16:T16)</f>
        <v>0</v>
      </c>
      <c r="W16" s="14"/>
    </row>
    <row r="17" spans="1:24" s="37" customFormat="1" ht="11.25" thickBot="1" x14ac:dyDescent="0.2">
      <c r="A17" s="516" t="s">
        <v>11</v>
      </c>
      <c r="B17" s="517"/>
      <c r="C17" s="518"/>
      <c r="D17" s="531"/>
      <c r="E17" s="516"/>
      <c r="F17" s="520"/>
      <c r="G17" s="521"/>
      <c r="H17" s="522">
        <f>SUM(H15:H16)</f>
        <v>0</v>
      </c>
      <c r="I17" s="522">
        <f>SUM(I15:I16)</f>
        <v>0</v>
      </c>
      <c r="J17" s="522">
        <f t="shared" ref="J17:T17" si="2">SUM(J15:J16)</f>
        <v>0</v>
      </c>
      <c r="K17" s="522">
        <f t="shared" si="2"/>
        <v>0</v>
      </c>
      <c r="L17" s="522">
        <f t="shared" si="2"/>
        <v>0</v>
      </c>
      <c r="M17" s="522">
        <f t="shared" si="2"/>
        <v>0</v>
      </c>
      <c r="N17" s="522">
        <f t="shared" si="2"/>
        <v>0</v>
      </c>
      <c r="O17" s="522">
        <f t="shared" si="2"/>
        <v>0</v>
      </c>
      <c r="P17" s="522">
        <f t="shared" si="2"/>
        <v>0</v>
      </c>
      <c r="Q17" s="522">
        <f t="shared" si="2"/>
        <v>0</v>
      </c>
      <c r="R17" s="522">
        <f t="shared" si="2"/>
        <v>0</v>
      </c>
      <c r="S17" s="522">
        <f t="shared" si="2"/>
        <v>0</v>
      </c>
      <c r="T17" s="522">
        <f t="shared" si="2"/>
        <v>0</v>
      </c>
      <c r="U17" s="522">
        <f>SUM(U15:U16)</f>
        <v>0</v>
      </c>
      <c r="V17" s="522">
        <f>SUM(V15:V16)</f>
        <v>0</v>
      </c>
      <c r="W17" s="97" t="str">
        <f>+IF(V17=SUM(H17:T17),"contrôle ok", "erreur")</f>
        <v>contrôle ok</v>
      </c>
      <c r="X17" s="17"/>
    </row>
    <row r="18" spans="1:24" ht="11.25" thickTop="1" x14ac:dyDescent="0.15">
      <c r="A18" s="423"/>
      <c r="B18" s="424"/>
      <c r="C18" s="455"/>
      <c r="D18" s="442"/>
      <c r="E18" s="425"/>
      <c r="F18" s="442"/>
      <c r="G18" s="373"/>
      <c r="H18" s="223"/>
      <c r="I18" s="223"/>
      <c r="J18" s="223"/>
      <c r="K18" s="223"/>
      <c r="L18" s="223"/>
      <c r="M18" s="223"/>
      <c r="N18" s="223"/>
      <c r="O18" s="223"/>
      <c r="P18" s="223"/>
      <c r="Q18" s="223"/>
      <c r="R18" s="223"/>
      <c r="S18" s="223"/>
      <c r="T18" s="223"/>
      <c r="U18" s="223"/>
      <c r="V18" s="427"/>
    </row>
    <row r="19" spans="1:24" x14ac:dyDescent="0.15">
      <c r="A19" s="27" t="s">
        <v>534</v>
      </c>
      <c r="B19" s="28"/>
      <c r="C19" s="29"/>
      <c r="D19" s="134"/>
      <c r="E19" s="30"/>
      <c r="F19" s="31"/>
      <c r="G19" s="101"/>
      <c r="H19" s="224"/>
      <c r="I19" s="224"/>
      <c r="J19" s="251"/>
      <c r="K19" s="224"/>
      <c r="L19" s="224"/>
      <c r="M19" s="224"/>
      <c r="N19" s="224"/>
      <c r="O19" s="224"/>
      <c r="P19" s="224"/>
      <c r="Q19" s="224"/>
      <c r="R19" s="224"/>
      <c r="S19" s="224"/>
      <c r="T19" s="224"/>
      <c r="U19" s="224"/>
      <c r="V19" s="252"/>
    </row>
    <row r="20" spans="1:24" x14ac:dyDescent="0.15">
      <c r="A20" s="493"/>
      <c r="B20" s="494"/>
      <c r="C20" s="495"/>
      <c r="D20" s="496">
        <v>615114</v>
      </c>
      <c r="E20" s="475" t="s">
        <v>194</v>
      </c>
      <c r="F20" s="475" t="s">
        <v>192</v>
      </c>
      <c r="G20" s="163"/>
      <c r="H20" s="559">
        <v>-160</v>
      </c>
      <c r="I20" s="226">
        <f>320-160</f>
        <v>160</v>
      </c>
      <c r="J20" s="226"/>
      <c r="K20" s="226"/>
      <c r="L20" s="226">
        <v>320</v>
      </c>
      <c r="M20" s="226">
        <v>160</v>
      </c>
      <c r="N20" s="226">
        <f>160-160</f>
        <v>0</v>
      </c>
      <c r="O20" s="226">
        <v>0</v>
      </c>
      <c r="P20" s="226">
        <v>160</v>
      </c>
      <c r="Q20" s="226">
        <v>160</v>
      </c>
      <c r="R20" s="226"/>
      <c r="S20" s="226">
        <f>160-160</f>
        <v>0</v>
      </c>
      <c r="T20" s="226"/>
      <c r="U20" s="226"/>
      <c r="V20" s="255">
        <f>SUM(H20:T20)</f>
        <v>800</v>
      </c>
    </row>
    <row r="21" spans="1:24" x14ac:dyDescent="0.15">
      <c r="A21" s="493"/>
      <c r="B21" s="494"/>
      <c r="C21" s="495"/>
      <c r="D21" s="495"/>
      <c r="E21" s="493"/>
      <c r="F21" s="493"/>
      <c r="G21" s="163"/>
      <c r="H21" s="559"/>
      <c r="I21" s="226"/>
      <c r="J21" s="226"/>
      <c r="K21" s="226"/>
      <c r="L21" s="226"/>
      <c r="M21" s="226"/>
      <c r="N21" s="226"/>
      <c r="O21" s="226"/>
      <c r="P21" s="226"/>
      <c r="Q21" s="226"/>
      <c r="R21" s="226"/>
      <c r="S21" s="226"/>
      <c r="T21" s="226"/>
      <c r="U21" s="226"/>
      <c r="V21" s="255">
        <f>SUM(H21:T21)</f>
        <v>0</v>
      </c>
    </row>
    <row r="22" spans="1:24" ht="11.25" thickBot="1" x14ac:dyDescent="0.2">
      <c r="A22" s="516" t="s">
        <v>11</v>
      </c>
      <c r="B22" s="517"/>
      <c r="C22" s="524"/>
      <c r="D22" s="525"/>
      <c r="E22" s="520"/>
      <c r="F22" s="526"/>
      <c r="G22" s="521"/>
      <c r="H22" s="522">
        <f>SUM(H20:H21)</f>
        <v>-160</v>
      </c>
      <c r="I22" s="522">
        <f>SUM(I20:I21)</f>
        <v>160</v>
      </c>
      <c r="J22" s="522">
        <f t="shared" ref="J22:V22" si="3">SUM(J20:J21)</f>
        <v>0</v>
      </c>
      <c r="K22" s="522">
        <f t="shared" si="3"/>
        <v>0</v>
      </c>
      <c r="L22" s="522">
        <f t="shared" si="3"/>
        <v>320</v>
      </c>
      <c r="M22" s="522">
        <f t="shared" si="3"/>
        <v>160</v>
      </c>
      <c r="N22" s="522">
        <f t="shared" si="3"/>
        <v>0</v>
      </c>
      <c r="O22" s="522">
        <f t="shared" si="3"/>
        <v>0</v>
      </c>
      <c r="P22" s="522">
        <f t="shared" si="3"/>
        <v>160</v>
      </c>
      <c r="Q22" s="522">
        <f t="shared" si="3"/>
        <v>160</v>
      </c>
      <c r="R22" s="522">
        <f t="shared" si="3"/>
        <v>0</v>
      </c>
      <c r="S22" s="522">
        <f t="shared" si="3"/>
        <v>0</v>
      </c>
      <c r="T22" s="522">
        <f t="shared" si="3"/>
        <v>0</v>
      </c>
      <c r="U22" s="522">
        <f>SUM(U20:U21)</f>
        <v>0</v>
      </c>
      <c r="V22" s="522">
        <f t="shared" si="3"/>
        <v>800</v>
      </c>
      <c r="W22" s="97" t="str">
        <f>+IF(V22=SUM(H22:T22),"contrôle ok", "erreur")</f>
        <v>contrôle ok</v>
      </c>
    </row>
    <row r="23" spans="1:24" ht="11.25" thickTop="1" x14ac:dyDescent="0.15">
      <c r="A23" s="429"/>
      <c r="B23" s="424"/>
      <c r="C23" s="455"/>
      <c r="D23" s="443"/>
      <c r="E23" s="430"/>
      <c r="F23" s="443"/>
      <c r="G23" s="373"/>
      <c r="H23" s="223"/>
      <c r="I23" s="223"/>
      <c r="J23" s="223"/>
      <c r="K23" s="223"/>
      <c r="L23" s="223"/>
      <c r="M23" s="223"/>
      <c r="N23" s="223"/>
      <c r="O23" s="223"/>
      <c r="P23" s="223"/>
      <c r="Q23" s="223"/>
      <c r="R23" s="223"/>
      <c r="S23" s="223"/>
      <c r="T23" s="223"/>
      <c r="U23" s="223"/>
      <c r="V23" s="427"/>
    </row>
    <row r="24" spans="1:24" x14ac:dyDescent="0.15">
      <c r="A24" s="27" t="s">
        <v>244</v>
      </c>
      <c r="B24" s="28"/>
      <c r="C24" s="29"/>
      <c r="D24" s="30"/>
      <c r="E24" s="30"/>
      <c r="F24" s="31"/>
      <c r="G24" s="101"/>
      <c r="H24" s="224"/>
      <c r="I24" s="224"/>
      <c r="J24" s="251"/>
      <c r="K24" s="224"/>
      <c r="L24" s="224"/>
      <c r="M24" s="224"/>
      <c r="N24" s="224"/>
      <c r="O24" s="224"/>
      <c r="P24" s="224"/>
      <c r="Q24" s="224"/>
      <c r="R24" s="224"/>
      <c r="S24" s="224"/>
      <c r="T24" s="224"/>
      <c r="U24" s="224"/>
      <c r="V24" s="252"/>
    </row>
    <row r="25" spans="1:24" x14ac:dyDescent="0.15">
      <c r="A25" s="143"/>
      <c r="B25" s="143"/>
      <c r="C25" s="144"/>
      <c r="D25" s="145">
        <v>615130</v>
      </c>
      <c r="E25" s="145" t="s">
        <v>62</v>
      </c>
      <c r="F25" s="145" t="s">
        <v>248</v>
      </c>
      <c r="G25" s="165"/>
      <c r="H25" s="559"/>
      <c r="I25" s="226"/>
      <c r="J25" s="226"/>
      <c r="K25" s="226"/>
      <c r="L25" s="226"/>
      <c r="M25" s="226"/>
      <c r="N25" s="327"/>
      <c r="O25" s="327"/>
      <c r="P25" s="300"/>
      <c r="Q25" s="326"/>
      <c r="R25" s="326"/>
      <c r="S25" s="616">
        <v>10127</v>
      </c>
      <c r="T25" s="226"/>
      <c r="U25" s="226"/>
      <c r="V25" s="226">
        <f>SUM(H25:T25)</f>
        <v>10127</v>
      </c>
    </row>
    <row r="26" spans="1:24" ht="11.25" thickBot="1" x14ac:dyDescent="0.2">
      <c r="A26" s="516" t="s">
        <v>11</v>
      </c>
      <c r="B26" s="517"/>
      <c r="C26" s="518"/>
      <c r="D26" s="519"/>
      <c r="E26" s="516"/>
      <c r="F26" s="520"/>
      <c r="G26" s="521"/>
      <c r="H26" s="522">
        <f>SUM(H25)</f>
        <v>0</v>
      </c>
      <c r="I26" s="522">
        <f>SUM(I25)</f>
        <v>0</v>
      </c>
      <c r="J26" s="522">
        <f t="shared" ref="J26:V26" si="4">SUM(J25)</f>
        <v>0</v>
      </c>
      <c r="K26" s="522">
        <f t="shared" si="4"/>
        <v>0</v>
      </c>
      <c r="L26" s="522">
        <f t="shared" si="4"/>
        <v>0</v>
      </c>
      <c r="M26" s="522">
        <f t="shared" si="4"/>
        <v>0</v>
      </c>
      <c r="N26" s="522">
        <f t="shared" si="4"/>
        <v>0</v>
      </c>
      <c r="O26" s="522">
        <f t="shared" si="4"/>
        <v>0</v>
      </c>
      <c r="P26" s="522">
        <f t="shared" si="4"/>
        <v>0</v>
      </c>
      <c r="Q26" s="522">
        <f t="shared" si="4"/>
        <v>0</v>
      </c>
      <c r="R26" s="522">
        <f t="shared" si="4"/>
        <v>0</v>
      </c>
      <c r="S26" s="522">
        <f t="shared" si="4"/>
        <v>10127</v>
      </c>
      <c r="T26" s="522">
        <f t="shared" si="4"/>
        <v>0</v>
      </c>
      <c r="U26" s="522">
        <f>SUM(U25)</f>
        <v>0</v>
      </c>
      <c r="V26" s="522">
        <f t="shared" si="4"/>
        <v>10127</v>
      </c>
    </row>
    <row r="27" spans="1:24" ht="11.25" thickTop="1" x14ac:dyDescent="0.15">
      <c r="A27" s="429"/>
      <c r="B27" s="424"/>
      <c r="C27" s="455"/>
      <c r="D27" s="443"/>
      <c r="E27" s="430"/>
      <c r="F27" s="443"/>
      <c r="G27" s="373"/>
      <c r="H27" s="223"/>
      <c r="I27" s="223"/>
      <c r="J27" s="223"/>
      <c r="K27" s="223"/>
      <c r="L27" s="223"/>
      <c r="M27" s="223"/>
      <c r="N27" s="223"/>
      <c r="O27" s="223"/>
      <c r="P27" s="223"/>
      <c r="Q27" s="223"/>
      <c r="R27" s="223"/>
      <c r="S27" s="223"/>
      <c r="T27" s="223"/>
      <c r="U27" s="223"/>
      <c r="V27" s="427"/>
    </row>
    <row r="28" spans="1:24" x14ac:dyDescent="0.15">
      <c r="A28" s="352" t="s">
        <v>377</v>
      </c>
      <c r="B28" s="353"/>
      <c r="C28" s="453"/>
      <c r="D28" s="410"/>
      <c r="E28" s="355"/>
      <c r="F28" s="418"/>
      <c r="G28" s="356"/>
      <c r="H28" s="224"/>
      <c r="I28" s="224"/>
      <c r="J28" s="251"/>
      <c r="K28" s="224"/>
      <c r="L28" s="224"/>
      <c r="M28" s="224"/>
      <c r="N28" s="224"/>
      <c r="O28" s="224"/>
      <c r="P28" s="224"/>
      <c r="Q28" s="224"/>
      <c r="R28" s="224"/>
      <c r="S28" s="224"/>
      <c r="T28" s="224"/>
      <c r="U28" s="224"/>
      <c r="V28" s="252"/>
    </row>
    <row r="29" spans="1:24" x14ac:dyDescent="0.15">
      <c r="A29" s="255" t="s">
        <v>378</v>
      </c>
      <c r="B29" s="255"/>
      <c r="C29" s="454"/>
      <c r="D29" s="412">
        <v>615136</v>
      </c>
      <c r="E29" s="357" t="s">
        <v>153</v>
      </c>
      <c r="F29" s="412" t="s">
        <v>269</v>
      </c>
      <c r="G29" s="428"/>
      <c r="H29" s="559"/>
      <c r="I29" s="226"/>
      <c r="J29" s="226"/>
      <c r="K29" s="226"/>
      <c r="L29" s="226"/>
      <c r="M29" s="226"/>
      <c r="N29" s="226"/>
      <c r="O29" s="226"/>
      <c r="P29" s="226"/>
      <c r="Q29" s="226"/>
      <c r="R29" s="226"/>
      <c r="S29" s="226"/>
      <c r="T29" s="226"/>
      <c r="U29" s="226"/>
      <c r="V29" s="255">
        <f>SUM(H29:T29)</f>
        <v>0</v>
      </c>
    </row>
    <row r="30" spans="1:24" s="221" customFormat="1" ht="11.25" thickBot="1" x14ac:dyDescent="0.2">
      <c r="A30" s="536" t="s">
        <v>11</v>
      </c>
      <c r="B30" s="532"/>
      <c r="C30" s="537"/>
      <c r="D30" s="538"/>
      <c r="E30" s="536"/>
      <c r="F30" s="539"/>
      <c r="G30" s="540"/>
      <c r="H30" s="522">
        <f>SUM(H29)</f>
        <v>0</v>
      </c>
      <c r="I30" s="522">
        <f>SUM(I29)</f>
        <v>0</v>
      </c>
      <c r="J30" s="522">
        <f t="shared" ref="J30:V30" si="5">SUM(J29)</f>
        <v>0</v>
      </c>
      <c r="K30" s="522">
        <f t="shared" si="5"/>
        <v>0</v>
      </c>
      <c r="L30" s="522">
        <f t="shared" si="5"/>
        <v>0</v>
      </c>
      <c r="M30" s="522">
        <f t="shared" si="5"/>
        <v>0</v>
      </c>
      <c r="N30" s="522">
        <f t="shared" si="5"/>
        <v>0</v>
      </c>
      <c r="O30" s="522">
        <f t="shared" si="5"/>
        <v>0</v>
      </c>
      <c r="P30" s="522">
        <f t="shared" si="5"/>
        <v>0</v>
      </c>
      <c r="Q30" s="522">
        <f t="shared" si="5"/>
        <v>0</v>
      </c>
      <c r="R30" s="522">
        <f t="shared" si="5"/>
        <v>0</v>
      </c>
      <c r="S30" s="522">
        <f t="shared" si="5"/>
        <v>0</v>
      </c>
      <c r="T30" s="522">
        <f t="shared" si="5"/>
        <v>0</v>
      </c>
      <c r="U30" s="522">
        <f>SUM(U29)</f>
        <v>0</v>
      </c>
      <c r="V30" s="522">
        <f t="shared" si="5"/>
        <v>0</v>
      </c>
      <c r="W30" s="97" t="str">
        <f>+IF(V30=SUM(H30:T30),"contrôle ok", "erreur")</f>
        <v>contrôle ok</v>
      </c>
    </row>
    <row r="31" spans="1:24" s="431" customFormat="1" ht="11.25" thickTop="1" x14ac:dyDescent="0.15">
      <c r="A31" s="380"/>
      <c r="B31" s="381"/>
      <c r="C31" s="456"/>
      <c r="D31" s="421"/>
      <c r="E31" s="383"/>
      <c r="F31" s="421"/>
      <c r="G31" s="367"/>
      <c r="H31" s="228"/>
      <c r="I31" s="228"/>
      <c r="J31" s="228"/>
      <c r="K31" s="228"/>
      <c r="L31" s="228"/>
      <c r="M31" s="228"/>
      <c r="N31" s="228"/>
      <c r="O31" s="228"/>
      <c r="P31" s="228"/>
      <c r="Q31" s="228"/>
      <c r="R31" s="228"/>
      <c r="S31" s="228"/>
      <c r="T31" s="228"/>
      <c r="U31" s="228"/>
      <c r="V31" s="228"/>
      <c r="W31" s="360"/>
    </row>
    <row r="32" spans="1:24" x14ac:dyDescent="0.15">
      <c r="A32" s="352" t="s">
        <v>426</v>
      </c>
      <c r="B32" s="353"/>
      <c r="C32" s="453"/>
      <c r="D32" s="410"/>
      <c r="E32" s="355"/>
      <c r="F32" s="418"/>
      <c r="G32" s="356"/>
      <c r="H32" s="224"/>
      <c r="I32" s="224"/>
      <c r="J32" s="251"/>
      <c r="K32" s="224"/>
      <c r="L32" s="224"/>
      <c r="M32" s="224"/>
      <c r="N32" s="224"/>
      <c r="O32" s="224"/>
      <c r="P32" s="224"/>
      <c r="Q32" s="224"/>
      <c r="R32" s="224"/>
      <c r="S32" s="224"/>
      <c r="T32" s="224"/>
      <c r="U32" s="224"/>
      <c r="V32" s="252"/>
    </row>
    <row r="33" spans="1:23" x14ac:dyDescent="0.15">
      <c r="A33" s="255"/>
      <c r="B33" s="255"/>
      <c r="C33" s="454"/>
      <c r="D33" s="412">
        <v>615137</v>
      </c>
      <c r="E33" s="357" t="s">
        <v>194</v>
      </c>
      <c r="F33" s="412" t="s">
        <v>192</v>
      </c>
      <c r="G33" s="428"/>
      <c r="H33" s="559"/>
      <c r="I33" s="226"/>
      <c r="J33" s="226"/>
      <c r="K33" s="226"/>
      <c r="L33" s="226"/>
      <c r="M33" s="226"/>
      <c r="N33" s="226"/>
      <c r="O33" s="226"/>
      <c r="P33" s="226"/>
      <c r="Q33" s="226"/>
      <c r="R33" s="226"/>
      <c r="S33" s="226"/>
      <c r="T33" s="226"/>
      <c r="U33" s="226"/>
      <c r="V33" s="255">
        <f>SUM(H33:T33)</f>
        <v>0</v>
      </c>
    </row>
    <row r="34" spans="1:23" s="221" customFormat="1" ht="11.25" thickBot="1" x14ac:dyDescent="0.2">
      <c r="A34" s="536" t="s">
        <v>11</v>
      </c>
      <c r="B34" s="532"/>
      <c r="C34" s="537"/>
      <c r="D34" s="538"/>
      <c r="E34" s="536"/>
      <c r="F34" s="539"/>
      <c r="G34" s="540"/>
      <c r="H34" s="522">
        <f>SUM(H33)</f>
        <v>0</v>
      </c>
      <c r="I34" s="522">
        <f>SUM(I33)</f>
        <v>0</v>
      </c>
      <c r="J34" s="522">
        <f t="shared" ref="J34:V34" si="6">SUM(J33)</f>
        <v>0</v>
      </c>
      <c r="K34" s="522">
        <f t="shared" si="6"/>
        <v>0</v>
      </c>
      <c r="L34" s="522">
        <f t="shared" si="6"/>
        <v>0</v>
      </c>
      <c r="M34" s="522">
        <f t="shared" si="6"/>
        <v>0</v>
      </c>
      <c r="N34" s="522">
        <f t="shared" si="6"/>
        <v>0</v>
      </c>
      <c r="O34" s="522">
        <f t="shared" si="6"/>
        <v>0</v>
      </c>
      <c r="P34" s="522">
        <f t="shared" si="6"/>
        <v>0</v>
      </c>
      <c r="Q34" s="522">
        <f t="shared" si="6"/>
        <v>0</v>
      </c>
      <c r="R34" s="522">
        <f t="shared" si="6"/>
        <v>0</v>
      </c>
      <c r="S34" s="522">
        <f t="shared" si="6"/>
        <v>0</v>
      </c>
      <c r="T34" s="522">
        <f t="shared" si="6"/>
        <v>0</v>
      </c>
      <c r="U34" s="522">
        <f>SUM(U33)</f>
        <v>0</v>
      </c>
      <c r="V34" s="522">
        <f t="shared" si="6"/>
        <v>0</v>
      </c>
      <c r="W34" s="97" t="str">
        <f>+IF(V34=SUM(H34:T34),"contrôle ok", "erreur")</f>
        <v>contrôle ok</v>
      </c>
    </row>
    <row r="35" spans="1:23" s="431" customFormat="1" ht="11.25" thickTop="1" x14ac:dyDescent="0.15">
      <c r="A35" s="380"/>
      <c r="B35" s="381"/>
      <c r="C35" s="456"/>
      <c r="D35" s="421"/>
      <c r="E35" s="383"/>
      <c r="F35" s="421"/>
      <c r="G35" s="367"/>
      <c r="H35" s="228"/>
      <c r="I35" s="228"/>
      <c r="J35" s="228"/>
      <c r="K35" s="228"/>
      <c r="L35" s="228"/>
      <c r="M35" s="228"/>
      <c r="N35" s="228"/>
      <c r="O35" s="228"/>
      <c r="P35" s="228"/>
      <c r="Q35" s="228"/>
      <c r="R35" s="228"/>
      <c r="S35" s="228"/>
      <c r="T35" s="228"/>
      <c r="U35" s="228"/>
      <c r="V35" s="228"/>
      <c r="W35" s="360"/>
    </row>
    <row r="36" spans="1:23" x14ac:dyDescent="0.15">
      <c r="A36" s="352" t="s">
        <v>129</v>
      </c>
      <c r="B36" s="353"/>
      <c r="C36" s="453"/>
      <c r="D36" s="410"/>
      <c r="E36" s="355"/>
      <c r="F36" s="418"/>
      <c r="G36" s="356"/>
      <c r="H36" s="224"/>
      <c r="I36" s="224"/>
      <c r="J36" s="251"/>
      <c r="K36" s="224"/>
      <c r="L36" s="224"/>
      <c r="M36" s="224"/>
      <c r="N36" s="224"/>
      <c r="O36" s="224"/>
      <c r="P36" s="224"/>
      <c r="Q36" s="224"/>
      <c r="R36" s="224"/>
      <c r="S36" s="224"/>
      <c r="T36" s="224"/>
      <c r="U36" s="224"/>
      <c r="V36" s="252"/>
    </row>
    <row r="37" spans="1:23" x14ac:dyDescent="0.15">
      <c r="A37" s="255" t="s">
        <v>193</v>
      </c>
      <c r="B37" s="255"/>
      <c r="C37" s="454"/>
      <c r="D37" s="412">
        <v>615145</v>
      </c>
      <c r="E37" s="357" t="s">
        <v>153</v>
      </c>
      <c r="F37" s="412" t="s">
        <v>192</v>
      </c>
      <c r="G37" s="428"/>
      <c r="H37" s="559"/>
      <c r="I37" s="226"/>
      <c r="J37" s="226"/>
      <c r="K37" s="226"/>
      <c r="L37" s="226"/>
      <c r="M37" s="226"/>
      <c r="N37" s="226"/>
      <c r="O37" s="226"/>
      <c r="P37" s="226"/>
      <c r="Q37" s="226"/>
      <c r="R37" s="226"/>
      <c r="S37" s="226"/>
      <c r="T37" s="226"/>
      <c r="U37" s="226"/>
      <c r="V37" s="255">
        <f>SUM(H37:T37)</f>
        <v>0</v>
      </c>
    </row>
    <row r="38" spans="1:23" s="221" customFormat="1" ht="11.25" thickBot="1" x14ac:dyDescent="0.2">
      <c r="A38" s="536" t="s">
        <v>11</v>
      </c>
      <c r="B38" s="532"/>
      <c r="C38" s="537"/>
      <c r="D38" s="538"/>
      <c r="E38" s="536"/>
      <c r="F38" s="539"/>
      <c r="G38" s="540"/>
      <c r="H38" s="522">
        <f>SUM(H37)</f>
        <v>0</v>
      </c>
      <c r="I38" s="522">
        <f>SUM(I37)</f>
        <v>0</v>
      </c>
      <c r="J38" s="522">
        <f t="shared" ref="J38:V38" si="7">SUM(J37)</f>
        <v>0</v>
      </c>
      <c r="K38" s="522">
        <f t="shared" si="7"/>
        <v>0</v>
      </c>
      <c r="L38" s="522">
        <f t="shared" si="7"/>
        <v>0</v>
      </c>
      <c r="M38" s="522">
        <f t="shared" si="7"/>
        <v>0</v>
      </c>
      <c r="N38" s="522">
        <f t="shared" si="7"/>
        <v>0</v>
      </c>
      <c r="O38" s="522">
        <f t="shared" si="7"/>
        <v>0</v>
      </c>
      <c r="P38" s="522">
        <f t="shared" si="7"/>
        <v>0</v>
      </c>
      <c r="Q38" s="522">
        <f t="shared" si="7"/>
        <v>0</v>
      </c>
      <c r="R38" s="522">
        <f t="shared" si="7"/>
        <v>0</v>
      </c>
      <c r="S38" s="522">
        <f t="shared" si="7"/>
        <v>0</v>
      </c>
      <c r="T38" s="522">
        <f t="shared" si="7"/>
        <v>0</v>
      </c>
      <c r="U38" s="522">
        <f>SUM(U37)</f>
        <v>0</v>
      </c>
      <c r="V38" s="522">
        <f t="shared" si="7"/>
        <v>0</v>
      </c>
      <c r="W38" s="97" t="str">
        <f>+IF(V38=SUM(H38:T38),"contrôle ok", "erreur")</f>
        <v>contrôle ok</v>
      </c>
    </row>
    <row r="39" spans="1:23" ht="11.25" thickTop="1" x14ac:dyDescent="0.15">
      <c r="A39" s="423"/>
      <c r="B39" s="424"/>
      <c r="C39" s="455"/>
      <c r="D39" s="442"/>
      <c r="E39" s="425"/>
      <c r="F39" s="442"/>
      <c r="G39" s="373"/>
      <c r="H39" s="223"/>
      <c r="I39" s="223"/>
      <c r="J39" s="223"/>
      <c r="K39" s="223"/>
      <c r="L39" s="223"/>
      <c r="M39" s="223"/>
      <c r="N39" s="223"/>
      <c r="O39" s="223"/>
      <c r="P39" s="223"/>
      <c r="Q39" s="223"/>
      <c r="R39" s="223"/>
      <c r="S39" s="223"/>
      <c r="T39" s="223"/>
      <c r="U39" s="223"/>
      <c r="V39" s="427"/>
    </row>
    <row r="40" spans="1:23" x14ac:dyDescent="0.15">
      <c r="A40" s="352" t="s">
        <v>82</v>
      </c>
      <c r="B40" s="353"/>
      <c r="C40" s="453"/>
      <c r="D40" s="410"/>
      <c r="E40" s="355"/>
      <c r="F40" s="418"/>
      <c r="G40" s="356"/>
      <c r="H40" s="224"/>
      <c r="I40" s="224"/>
      <c r="J40" s="251"/>
      <c r="K40" s="224"/>
      <c r="L40" s="224"/>
      <c r="M40" s="224"/>
      <c r="N40" s="224"/>
      <c r="O40" s="224"/>
      <c r="P40" s="224"/>
      <c r="Q40" s="224"/>
      <c r="R40" s="224"/>
      <c r="S40" s="224"/>
      <c r="T40" s="224"/>
      <c r="U40" s="224"/>
      <c r="V40" s="252"/>
    </row>
    <row r="41" spans="1:23" x14ac:dyDescent="0.15">
      <c r="A41" s="255" t="s">
        <v>83</v>
      </c>
      <c r="B41" s="684" t="s">
        <v>334</v>
      </c>
      <c r="C41" s="454"/>
      <c r="D41" s="412">
        <v>615155</v>
      </c>
      <c r="E41" s="357" t="s">
        <v>62</v>
      </c>
      <c r="F41" s="412" t="s">
        <v>179</v>
      </c>
      <c r="G41" s="428"/>
      <c r="H41" s="559"/>
      <c r="I41" s="226"/>
      <c r="J41" s="226"/>
      <c r="K41" s="226"/>
      <c r="L41" s="226"/>
      <c r="M41" s="226"/>
      <c r="N41" s="226"/>
      <c r="O41" s="226"/>
      <c r="P41" s="226"/>
      <c r="Q41" s="226"/>
      <c r="R41" s="226"/>
      <c r="S41" s="226"/>
      <c r="T41" s="226"/>
      <c r="U41" s="226"/>
      <c r="V41" s="255">
        <f>SUM(H41:T41)</f>
        <v>0</v>
      </c>
    </row>
    <row r="42" spans="1:23" x14ac:dyDescent="0.15">
      <c r="A42" s="255" t="s">
        <v>421</v>
      </c>
      <c r="B42" s="685"/>
      <c r="C42" s="454">
        <v>2015</v>
      </c>
      <c r="D42" s="412">
        <v>615155</v>
      </c>
      <c r="E42" s="357" t="s">
        <v>62</v>
      </c>
      <c r="F42" s="412" t="s">
        <v>179</v>
      </c>
      <c r="G42" s="428">
        <v>305.33999999999997</v>
      </c>
      <c r="H42" s="559"/>
      <c r="I42" s="226">
        <f>312.98-7.64</f>
        <v>305.34000000000003</v>
      </c>
      <c r="J42" s="226">
        <f>312.98-7.64</f>
        <v>305.34000000000003</v>
      </c>
      <c r="K42" s="226">
        <f>312.98-7.64</f>
        <v>305.34000000000003</v>
      </c>
      <c r="L42" s="226">
        <f>312.98-7.64</f>
        <v>305.34000000000003</v>
      </c>
      <c r="M42" s="226">
        <f>312.98-7.64</f>
        <v>305.34000000000003</v>
      </c>
      <c r="N42" s="226">
        <v>305.33999999999997</v>
      </c>
      <c r="O42" s="226">
        <v>305.33999999999997</v>
      </c>
      <c r="P42" s="226">
        <v>305.33999999999997</v>
      </c>
      <c r="Q42" s="226">
        <v>305.33999999999997</v>
      </c>
      <c r="R42" s="226">
        <v>305.33999999999997</v>
      </c>
      <c r="S42" s="226">
        <v>305.33999999999997</v>
      </c>
      <c r="T42" s="226">
        <f>312.96-7.57</f>
        <v>305.39</v>
      </c>
      <c r="U42" s="226"/>
      <c r="V42" s="255">
        <f>SUM(H42:T42)</f>
        <v>3664.1300000000006</v>
      </c>
    </row>
    <row r="43" spans="1:23" x14ac:dyDescent="0.15">
      <c r="A43" s="255" t="s">
        <v>164</v>
      </c>
      <c r="B43" s="255"/>
      <c r="C43" s="454"/>
      <c r="D43" s="412">
        <v>615155</v>
      </c>
      <c r="E43" s="357" t="s">
        <v>62</v>
      </c>
      <c r="F43" s="412" t="s">
        <v>192</v>
      </c>
      <c r="G43" s="428"/>
      <c r="H43" s="559"/>
      <c r="I43" s="226"/>
      <c r="J43" s="226"/>
      <c r="K43" s="226"/>
      <c r="L43" s="226"/>
      <c r="M43" s="226"/>
      <c r="N43" s="226"/>
      <c r="O43" s="226"/>
      <c r="P43" s="226"/>
      <c r="Q43" s="226"/>
      <c r="R43" s="226"/>
      <c r="S43" s="226">
        <v>136</v>
      </c>
      <c r="T43" s="226"/>
      <c r="U43" s="226"/>
      <c r="V43" s="255">
        <f>SUM(H43:T43)</f>
        <v>136</v>
      </c>
    </row>
    <row r="44" spans="1:23" s="221" customFormat="1" ht="11.25" thickBot="1" x14ac:dyDescent="0.2">
      <c r="A44" s="536" t="s">
        <v>11</v>
      </c>
      <c r="B44" s="532"/>
      <c r="C44" s="537"/>
      <c r="D44" s="538"/>
      <c r="E44" s="536"/>
      <c r="F44" s="539"/>
      <c r="G44" s="540"/>
      <c r="H44" s="522">
        <f>SUM(H41:H43)</f>
        <v>0</v>
      </c>
      <c r="I44" s="522">
        <f t="shared" ref="I44:V44" si="8">SUM(I41:I43)</f>
        <v>305.34000000000003</v>
      </c>
      <c r="J44" s="522">
        <f t="shared" si="8"/>
        <v>305.34000000000003</v>
      </c>
      <c r="K44" s="522">
        <f t="shared" si="8"/>
        <v>305.34000000000003</v>
      </c>
      <c r="L44" s="522">
        <f t="shared" si="8"/>
        <v>305.34000000000003</v>
      </c>
      <c r="M44" s="522">
        <f t="shared" si="8"/>
        <v>305.34000000000003</v>
      </c>
      <c r="N44" s="522">
        <f t="shared" si="8"/>
        <v>305.33999999999997</v>
      </c>
      <c r="O44" s="522">
        <f t="shared" si="8"/>
        <v>305.33999999999997</v>
      </c>
      <c r="P44" s="522">
        <f t="shared" si="8"/>
        <v>305.33999999999997</v>
      </c>
      <c r="Q44" s="522">
        <f t="shared" si="8"/>
        <v>305.33999999999997</v>
      </c>
      <c r="R44" s="522">
        <f t="shared" si="8"/>
        <v>305.33999999999997</v>
      </c>
      <c r="S44" s="522">
        <f t="shared" si="8"/>
        <v>441.34</v>
      </c>
      <c r="T44" s="522">
        <f t="shared" si="8"/>
        <v>305.39</v>
      </c>
      <c r="U44" s="522">
        <f>SUM(U41:U43)</f>
        <v>0</v>
      </c>
      <c r="V44" s="522">
        <f t="shared" si="8"/>
        <v>3800.1300000000006</v>
      </c>
      <c r="W44" s="97" t="str">
        <f>+IF(V44=SUM(H44:T44),"contrôle ok", "erreur")</f>
        <v>contrôle ok</v>
      </c>
    </row>
    <row r="45" spans="1:23" ht="11.25" thickTop="1" x14ac:dyDescent="0.15">
      <c r="A45" s="328"/>
      <c r="B45" s="361"/>
      <c r="C45" s="457"/>
      <c r="D45" s="414"/>
      <c r="E45" s="363"/>
      <c r="F45" s="414"/>
      <c r="G45" s="364"/>
      <c r="H45" s="229"/>
      <c r="I45" s="229"/>
      <c r="J45" s="229"/>
      <c r="K45" s="229"/>
      <c r="L45" s="229"/>
      <c r="M45" s="229"/>
      <c r="N45" s="229"/>
      <c r="O45" s="229"/>
      <c r="P45" s="229"/>
      <c r="Q45" s="229"/>
      <c r="R45" s="229"/>
      <c r="S45" s="229"/>
      <c r="T45" s="328"/>
      <c r="U45" s="328"/>
      <c r="V45" s="258"/>
    </row>
    <row r="46" spans="1:23" x14ac:dyDescent="0.15">
      <c r="A46" s="352" t="s">
        <v>215</v>
      </c>
      <c r="B46" s="353"/>
      <c r="C46" s="453"/>
      <c r="D46" s="410"/>
      <c r="E46" s="355"/>
      <c r="F46" s="418"/>
      <c r="G46" s="356"/>
      <c r="H46" s="224"/>
      <c r="I46" s="224"/>
      <c r="J46" s="251"/>
      <c r="K46" s="224"/>
      <c r="L46" s="224"/>
      <c r="M46" s="224"/>
      <c r="N46" s="224"/>
      <c r="O46" s="224"/>
      <c r="P46" s="224"/>
      <c r="Q46" s="224"/>
      <c r="R46" s="224"/>
      <c r="S46" s="224"/>
      <c r="T46" s="224"/>
      <c r="U46" s="224"/>
      <c r="V46" s="252"/>
    </row>
    <row r="47" spans="1:23" x14ac:dyDescent="0.15">
      <c r="A47" s="143" t="s">
        <v>452</v>
      </c>
      <c r="B47" s="143" t="s">
        <v>546</v>
      </c>
      <c r="C47" s="144" t="s">
        <v>547</v>
      </c>
      <c r="D47" s="444">
        <v>615175</v>
      </c>
      <c r="E47" s="357" t="s">
        <v>153</v>
      </c>
      <c r="F47" s="412" t="s">
        <v>179</v>
      </c>
      <c r="G47" s="428">
        <v>27.5</v>
      </c>
      <c r="H47" s="559"/>
      <c r="I47" s="226">
        <v>27.5</v>
      </c>
      <c r="J47" s="226">
        <v>27.5</v>
      </c>
      <c r="K47" s="226">
        <v>27.5</v>
      </c>
      <c r="L47" s="226">
        <v>27.5</v>
      </c>
      <c r="M47" s="226">
        <v>27.5</v>
      </c>
      <c r="N47" s="226">
        <v>27.5</v>
      </c>
      <c r="O47" s="226">
        <v>27.5</v>
      </c>
      <c r="P47" s="226">
        <v>27.5</v>
      </c>
      <c r="Q47" s="226">
        <v>27.5</v>
      </c>
      <c r="R47" s="226">
        <v>27.5</v>
      </c>
      <c r="S47" s="226">
        <v>27.5</v>
      </c>
      <c r="T47" s="226">
        <v>27.5</v>
      </c>
      <c r="U47" s="226"/>
      <c r="V47" s="255">
        <f t="shared" ref="V47:V52" si="9">SUM(H47:T47)</f>
        <v>330</v>
      </c>
    </row>
    <row r="48" spans="1:23" x14ac:dyDescent="0.15">
      <c r="A48" s="143" t="s">
        <v>452</v>
      </c>
      <c r="B48" s="143" t="s">
        <v>549</v>
      </c>
      <c r="C48" s="144" t="s">
        <v>547</v>
      </c>
      <c r="D48" s="444">
        <v>615175</v>
      </c>
      <c r="E48" s="357" t="s">
        <v>153</v>
      </c>
      <c r="F48" s="412" t="s">
        <v>179</v>
      </c>
      <c r="G48" s="428">
        <v>10.46</v>
      </c>
      <c r="H48" s="559"/>
      <c r="I48" s="226">
        <v>10.46</v>
      </c>
      <c r="J48" s="226">
        <v>10.46</v>
      </c>
      <c r="K48" s="226">
        <v>10.46</v>
      </c>
      <c r="L48" s="226">
        <v>10.46</v>
      </c>
      <c r="M48" s="226">
        <v>10.46</v>
      </c>
      <c r="N48" s="226">
        <v>10.46</v>
      </c>
      <c r="O48" s="226">
        <v>10.46</v>
      </c>
      <c r="P48" s="226">
        <v>10.46</v>
      </c>
      <c r="Q48" s="226">
        <v>10.46</v>
      </c>
      <c r="R48" s="226">
        <v>10.46</v>
      </c>
      <c r="S48" s="226">
        <v>10.46</v>
      </c>
      <c r="T48" s="226">
        <v>10.46</v>
      </c>
      <c r="U48" s="226"/>
      <c r="V48" s="255">
        <f t="shared" si="9"/>
        <v>125.52000000000004</v>
      </c>
    </row>
    <row r="49" spans="1:23" x14ac:dyDescent="0.15">
      <c r="A49" s="143" t="s">
        <v>452</v>
      </c>
      <c r="B49" s="143" t="s">
        <v>472</v>
      </c>
      <c r="C49" s="144" t="s">
        <v>521</v>
      </c>
      <c r="D49" s="444">
        <v>615175</v>
      </c>
      <c r="E49" s="357" t="s">
        <v>153</v>
      </c>
      <c r="F49" s="412" t="s">
        <v>179</v>
      </c>
      <c r="G49" s="428">
        <v>113.29</v>
      </c>
      <c r="H49" s="559"/>
      <c r="I49" s="226">
        <v>113.29</v>
      </c>
      <c r="J49" s="226">
        <v>113.29</v>
      </c>
      <c r="K49" s="226">
        <v>113.29</v>
      </c>
      <c r="L49" s="226">
        <v>113.29</v>
      </c>
      <c r="M49" s="226">
        <v>113.29</v>
      </c>
      <c r="N49" s="226">
        <v>113.29</v>
      </c>
      <c r="O49" s="226">
        <v>113.29</v>
      </c>
      <c r="P49" s="226">
        <v>113.29</v>
      </c>
      <c r="Q49" s="226">
        <v>113.29</v>
      </c>
      <c r="R49" s="226">
        <v>113.29</v>
      </c>
      <c r="S49" s="226">
        <v>113.29</v>
      </c>
      <c r="T49" s="226">
        <v>113.29</v>
      </c>
      <c r="U49" s="226"/>
      <c r="V49" s="255">
        <f t="shared" si="9"/>
        <v>1359.4799999999998</v>
      </c>
    </row>
    <row r="50" spans="1:23" x14ac:dyDescent="0.15">
      <c r="A50" s="143" t="s">
        <v>452</v>
      </c>
      <c r="B50" s="143" t="s">
        <v>522</v>
      </c>
      <c r="C50" s="144" t="s">
        <v>521</v>
      </c>
      <c r="D50" s="444">
        <v>615175</v>
      </c>
      <c r="E50" s="357" t="s">
        <v>153</v>
      </c>
      <c r="F50" s="412" t="s">
        <v>179</v>
      </c>
      <c r="G50" s="428">
        <v>16.670000000000002</v>
      </c>
      <c r="H50" s="559"/>
      <c r="I50" s="226">
        <v>16.670000000000002</v>
      </c>
      <c r="J50" s="226">
        <v>16.670000000000002</v>
      </c>
      <c r="K50" s="226">
        <v>16.670000000000002</v>
      </c>
      <c r="L50" s="226">
        <v>16.670000000000002</v>
      </c>
      <c r="M50" s="226">
        <v>16.670000000000002</v>
      </c>
      <c r="N50" s="226">
        <v>16.670000000000002</v>
      </c>
      <c r="O50" s="226">
        <v>16.670000000000002</v>
      </c>
      <c r="P50" s="226">
        <v>16.670000000000002</v>
      </c>
      <c r="Q50" s="226">
        <v>16.670000000000002</v>
      </c>
      <c r="R50" s="226">
        <v>16.670000000000002</v>
      </c>
      <c r="S50" s="226">
        <v>16.670000000000002</v>
      </c>
      <c r="T50" s="226">
        <v>16.670000000000002</v>
      </c>
      <c r="U50" s="226"/>
      <c r="V50" s="255">
        <f t="shared" si="9"/>
        <v>200.04000000000008</v>
      </c>
    </row>
    <row r="51" spans="1:23" x14ac:dyDescent="0.15">
      <c r="A51" s="255" t="s">
        <v>452</v>
      </c>
      <c r="B51" s="255" t="s">
        <v>539</v>
      </c>
      <c r="C51" s="454" t="s">
        <v>667</v>
      </c>
      <c r="D51" s="444">
        <v>615175</v>
      </c>
      <c r="E51" s="357" t="s">
        <v>153</v>
      </c>
      <c r="F51" s="412" t="s">
        <v>179</v>
      </c>
      <c r="G51" s="364">
        <v>131.86000000000001</v>
      </c>
      <c r="H51" s="559"/>
      <c r="I51" s="226">
        <v>131.87</v>
      </c>
      <c r="J51" s="226">
        <v>131.87</v>
      </c>
      <c r="K51" s="226">
        <v>131.87</v>
      </c>
      <c r="L51" s="226">
        <v>131.87</v>
      </c>
      <c r="M51" s="226">
        <v>131.87</v>
      </c>
      <c r="N51" s="226">
        <v>131.87</v>
      </c>
      <c r="O51" s="226">
        <v>131.87</v>
      </c>
      <c r="P51" s="226">
        <v>131.87</v>
      </c>
      <c r="Q51" s="226">
        <v>131.87</v>
      </c>
      <c r="R51" s="226">
        <v>131.87</v>
      </c>
      <c r="S51" s="226">
        <v>131.87</v>
      </c>
      <c r="T51" s="226">
        <v>131.80000000000001</v>
      </c>
      <c r="U51" s="226"/>
      <c r="V51" s="255">
        <f t="shared" si="9"/>
        <v>1582.3699999999997</v>
      </c>
    </row>
    <row r="52" spans="1:23" s="261" customFormat="1" x14ac:dyDescent="0.15">
      <c r="A52" s="365" t="s">
        <v>452</v>
      </c>
      <c r="B52" s="365"/>
      <c r="C52" s="458"/>
      <c r="D52" s="444">
        <v>615175</v>
      </c>
      <c r="E52" s="432" t="s">
        <v>153</v>
      </c>
      <c r="F52" s="448" t="s">
        <v>179</v>
      </c>
      <c r="G52" s="367">
        <v>13.75</v>
      </c>
      <c r="H52" s="559"/>
      <c r="I52" s="226">
        <v>13.75</v>
      </c>
      <c r="J52" s="226">
        <v>13.75</v>
      </c>
      <c r="K52" s="226">
        <v>13.75</v>
      </c>
      <c r="L52" s="226">
        <v>13.75</v>
      </c>
      <c r="M52" s="226">
        <v>13.75</v>
      </c>
      <c r="N52" s="226">
        <v>13.75</v>
      </c>
      <c r="O52" s="226">
        <v>13.75</v>
      </c>
      <c r="P52" s="226">
        <v>13.75</v>
      </c>
      <c r="Q52" s="226">
        <v>13.75</v>
      </c>
      <c r="R52" s="226">
        <v>13.75</v>
      </c>
      <c r="S52" s="226">
        <v>13.75</v>
      </c>
      <c r="T52" s="226">
        <v>13.75</v>
      </c>
      <c r="U52" s="226"/>
      <c r="V52" s="255">
        <f t="shared" si="9"/>
        <v>165</v>
      </c>
    </row>
    <row r="53" spans="1:23" s="221" customFormat="1" ht="11.25" thickBot="1" x14ac:dyDescent="0.2">
      <c r="A53" s="536" t="s">
        <v>11</v>
      </c>
      <c r="B53" s="532"/>
      <c r="C53" s="537"/>
      <c r="D53" s="538"/>
      <c r="E53" s="536"/>
      <c r="F53" s="539"/>
      <c r="G53" s="540"/>
      <c r="H53" s="522">
        <f t="shared" ref="H53:V53" si="10">SUM(H47:H52)</f>
        <v>0</v>
      </c>
      <c r="I53" s="522">
        <f t="shared" si="10"/>
        <v>313.54000000000002</v>
      </c>
      <c r="J53" s="522">
        <f t="shared" si="10"/>
        <v>313.54000000000002</v>
      </c>
      <c r="K53" s="522">
        <f t="shared" si="10"/>
        <v>313.54000000000002</v>
      </c>
      <c r="L53" s="522">
        <f t="shared" si="10"/>
        <v>313.54000000000002</v>
      </c>
      <c r="M53" s="522">
        <f t="shared" si="10"/>
        <v>313.54000000000002</v>
      </c>
      <c r="N53" s="522">
        <f t="shared" si="10"/>
        <v>313.54000000000002</v>
      </c>
      <c r="O53" s="522">
        <f t="shared" si="10"/>
        <v>313.54000000000002</v>
      </c>
      <c r="P53" s="522">
        <f t="shared" si="10"/>
        <v>313.54000000000002</v>
      </c>
      <c r="Q53" s="522">
        <f t="shared" si="10"/>
        <v>313.54000000000002</v>
      </c>
      <c r="R53" s="522">
        <f t="shared" si="10"/>
        <v>313.54000000000002</v>
      </c>
      <c r="S53" s="522">
        <f t="shared" si="10"/>
        <v>313.54000000000002</v>
      </c>
      <c r="T53" s="522">
        <f t="shared" si="10"/>
        <v>313.47000000000003</v>
      </c>
      <c r="U53" s="522">
        <f>SUM(U47:U52)</f>
        <v>0</v>
      </c>
      <c r="V53" s="522">
        <f t="shared" si="10"/>
        <v>3762.41</v>
      </c>
      <c r="W53" s="97" t="str">
        <f>+IF(V53=SUM(H53:T53),"contrôle ok", "erreur")</f>
        <v>contrôle ok</v>
      </c>
    </row>
    <row r="54" spans="1:23" s="261" customFormat="1" ht="11.25" thickTop="1" x14ac:dyDescent="0.15">
      <c r="A54" s="375"/>
      <c r="B54" s="365"/>
      <c r="C54" s="458"/>
      <c r="D54" s="445"/>
      <c r="E54" s="383"/>
      <c r="F54" s="421"/>
      <c r="G54" s="367"/>
      <c r="H54" s="231"/>
      <c r="I54" s="231"/>
      <c r="J54" s="289"/>
      <c r="K54" s="231"/>
      <c r="L54" s="231"/>
      <c r="M54" s="231"/>
      <c r="N54" s="231"/>
      <c r="O54" s="231"/>
      <c r="P54" s="231"/>
      <c r="Q54" s="231"/>
      <c r="R54" s="231"/>
      <c r="S54" s="231"/>
      <c r="T54" s="231"/>
      <c r="U54" s="231"/>
      <c r="V54" s="290"/>
    </row>
    <row r="55" spans="1:23" x14ac:dyDescent="0.15">
      <c r="A55" s="352" t="s">
        <v>226</v>
      </c>
      <c r="B55" s="353"/>
      <c r="C55" s="453"/>
      <c r="D55" s="410"/>
      <c r="E55" s="355"/>
      <c r="F55" s="418"/>
      <c r="G55" s="356"/>
      <c r="H55" s="224"/>
      <c r="I55" s="224"/>
      <c r="J55" s="251"/>
      <c r="K55" s="224"/>
      <c r="L55" s="224"/>
      <c r="M55" s="224"/>
      <c r="N55" s="224"/>
      <c r="O55" s="224"/>
      <c r="P55" s="224"/>
      <c r="Q55" s="224"/>
      <c r="R55" s="224"/>
      <c r="S55" s="224"/>
      <c r="T55" s="224"/>
      <c r="U55" s="224"/>
      <c r="V55" s="252"/>
    </row>
    <row r="56" spans="1:23" x14ac:dyDescent="0.15">
      <c r="A56" s="255"/>
      <c r="B56" s="255"/>
      <c r="C56" s="454"/>
      <c r="D56" s="412">
        <v>615176</v>
      </c>
      <c r="E56" s="357" t="s">
        <v>153</v>
      </c>
      <c r="F56" s="412" t="s">
        <v>192</v>
      </c>
      <c r="G56" s="428"/>
      <c r="H56" s="559">
        <f>1991-1959</f>
        <v>32</v>
      </c>
      <c r="I56" s="226"/>
      <c r="J56" s="226"/>
      <c r="K56" s="226"/>
      <c r="L56" s="226"/>
      <c r="M56" s="226"/>
      <c r="N56" s="226">
        <v>262</v>
      </c>
      <c r="O56" s="226"/>
      <c r="P56" s="226"/>
      <c r="Q56" s="226">
        <v>679</v>
      </c>
      <c r="R56" s="226">
        <v>4740</v>
      </c>
      <c r="S56" s="226"/>
      <c r="T56" s="226"/>
      <c r="U56" s="226"/>
      <c r="V56" s="255">
        <f>SUM(H56:T56)</f>
        <v>5713</v>
      </c>
    </row>
    <row r="57" spans="1:23" x14ac:dyDescent="0.15">
      <c r="A57" s="253"/>
      <c r="B57" s="253"/>
      <c r="C57" s="459"/>
      <c r="D57" s="412">
        <v>615176</v>
      </c>
      <c r="E57" s="357" t="s">
        <v>153</v>
      </c>
      <c r="F57" s="449" t="s">
        <v>179</v>
      </c>
      <c r="G57" s="433"/>
      <c r="H57" s="559"/>
      <c r="I57" s="226"/>
      <c r="J57" s="226"/>
      <c r="K57" s="226"/>
      <c r="L57" s="226"/>
      <c r="M57" s="226"/>
      <c r="N57" s="226"/>
      <c r="O57" s="226"/>
      <c r="P57" s="226"/>
      <c r="Q57" s="226"/>
      <c r="R57" s="226"/>
      <c r="S57" s="226"/>
      <c r="T57" s="226"/>
      <c r="U57" s="226"/>
      <c r="V57" s="255">
        <f>SUM(H57:T57)</f>
        <v>0</v>
      </c>
    </row>
    <row r="58" spans="1:23" s="221" customFormat="1" ht="11.25" thickBot="1" x14ac:dyDescent="0.2">
      <c r="A58" s="536" t="s">
        <v>11</v>
      </c>
      <c r="B58" s="532"/>
      <c r="C58" s="537"/>
      <c r="D58" s="538"/>
      <c r="E58" s="536"/>
      <c r="F58" s="539"/>
      <c r="G58" s="540"/>
      <c r="H58" s="522">
        <f>SUM(H56:H57)</f>
        <v>32</v>
      </c>
      <c r="I58" s="522">
        <f>SUM(I56:I57)</f>
        <v>0</v>
      </c>
      <c r="J58" s="522">
        <f>SUM(J56:J57)</f>
        <v>0</v>
      </c>
      <c r="K58" s="522">
        <f t="shared" ref="K58:V58" si="11">SUM(K56:K57)</f>
        <v>0</v>
      </c>
      <c r="L58" s="522">
        <f t="shared" si="11"/>
        <v>0</v>
      </c>
      <c r="M58" s="522">
        <f t="shared" si="11"/>
        <v>0</v>
      </c>
      <c r="N58" s="522">
        <f t="shared" si="11"/>
        <v>262</v>
      </c>
      <c r="O58" s="522">
        <f t="shared" si="11"/>
        <v>0</v>
      </c>
      <c r="P58" s="522">
        <f t="shared" si="11"/>
        <v>0</v>
      </c>
      <c r="Q58" s="522">
        <f t="shared" si="11"/>
        <v>679</v>
      </c>
      <c r="R58" s="522">
        <f t="shared" si="11"/>
        <v>4740</v>
      </c>
      <c r="S58" s="522">
        <f t="shared" si="11"/>
        <v>0</v>
      </c>
      <c r="T58" s="522">
        <f t="shared" si="11"/>
        <v>0</v>
      </c>
      <c r="U58" s="522">
        <f>SUM(U56:U57)</f>
        <v>0</v>
      </c>
      <c r="V58" s="522">
        <f t="shared" si="11"/>
        <v>5713</v>
      </c>
      <c r="W58" s="97" t="str">
        <f>+IF(V58=SUM(H58:T58),"contrôle ok", "erreur")</f>
        <v>contrôle ok</v>
      </c>
    </row>
    <row r="59" spans="1:23" ht="11.25" thickTop="1" x14ac:dyDescent="0.15">
      <c r="A59" s="328"/>
      <c r="B59" s="361"/>
      <c r="C59" s="457"/>
      <c r="D59" s="414"/>
      <c r="E59" s="363"/>
      <c r="F59" s="414"/>
      <c r="G59" s="364"/>
      <c r="H59" s="229"/>
      <c r="I59" s="229"/>
      <c r="J59" s="229"/>
      <c r="K59" s="229"/>
      <c r="L59" s="229"/>
      <c r="M59" s="229"/>
      <c r="N59" s="229"/>
      <c r="O59" s="229"/>
      <c r="P59" s="229"/>
      <c r="Q59" s="229"/>
      <c r="R59" s="229"/>
      <c r="S59" s="229"/>
      <c r="T59" s="328"/>
      <c r="U59" s="328"/>
      <c r="V59" s="258"/>
    </row>
    <row r="60" spans="1:23" x14ac:dyDescent="0.15">
      <c r="A60" s="352" t="s">
        <v>127</v>
      </c>
      <c r="B60" s="353"/>
      <c r="C60" s="453"/>
      <c r="D60" s="410"/>
      <c r="E60" s="355"/>
      <c r="F60" s="418"/>
      <c r="G60" s="356"/>
      <c r="H60" s="224"/>
      <c r="I60" s="224"/>
      <c r="J60" s="251"/>
      <c r="K60" s="224"/>
      <c r="L60" s="224"/>
      <c r="M60" s="224"/>
      <c r="N60" s="224"/>
      <c r="O60" s="224"/>
      <c r="P60" s="224"/>
      <c r="Q60" s="224"/>
      <c r="R60" s="224"/>
      <c r="S60" s="224"/>
      <c r="T60" s="224"/>
      <c r="U60" s="224"/>
      <c r="V60" s="252"/>
    </row>
    <row r="61" spans="1:23" x14ac:dyDescent="0.15">
      <c r="A61" s="255"/>
      <c r="B61" s="255"/>
      <c r="C61" s="454"/>
      <c r="D61" s="412">
        <v>615191</v>
      </c>
      <c r="E61" s="357" t="s">
        <v>63</v>
      </c>
      <c r="F61" s="412" t="s">
        <v>192</v>
      </c>
      <c r="G61" s="428"/>
      <c r="H61" s="559"/>
      <c r="I61" s="226"/>
      <c r="J61" s="226"/>
      <c r="K61" s="226"/>
      <c r="L61" s="226"/>
      <c r="M61" s="226"/>
      <c r="N61" s="226"/>
      <c r="O61" s="226"/>
      <c r="P61" s="226"/>
      <c r="Q61" s="226"/>
      <c r="R61" s="226"/>
      <c r="S61" s="226"/>
      <c r="T61" s="226"/>
      <c r="U61" s="226"/>
      <c r="V61" s="255">
        <f>SUM(H61:T61)</f>
        <v>0</v>
      </c>
    </row>
    <row r="62" spans="1:23" s="221" customFormat="1" ht="11.25" thickBot="1" x14ac:dyDescent="0.2">
      <c r="A62" s="536" t="s">
        <v>11</v>
      </c>
      <c r="B62" s="532"/>
      <c r="C62" s="537"/>
      <c r="D62" s="538"/>
      <c r="E62" s="536"/>
      <c r="F62" s="539"/>
      <c r="G62" s="540"/>
      <c r="H62" s="522">
        <f>SUM(H61)</f>
        <v>0</v>
      </c>
      <c r="I62" s="522">
        <f>SUM(I61)</f>
        <v>0</v>
      </c>
      <c r="J62" s="522">
        <f t="shared" ref="J62:V62" si="12">SUM(J61)</f>
        <v>0</v>
      </c>
      <c r="K62" s="522">
        <f t="shared" si="12"/>
        <v>0</v>
      </c>
      <c r="L62" s="522">
        <f t="shared" si="12"/>
        <v>0</v>
      </c>
      <c r="M62" s="522">
        <f t="shared" si="12"/>
        <v>0</v>
      </c>
      <c r="N62" s="522">
        <f t="shared" si="12"/>
        <v>0</v>
      </c>
      <c r="O62" s="522">
        <f t="shared" si="12"/>
        <v>0</v>
      </c>
      <c r="P62" s="522">
        <f t="shared" si="12"/>
        <v>0</v>
      </c>
      <c r="Q62" s="522">
        <f t="shared" si="12"/>
        <v>0</v>
      </c>
      <c r="R62" s="522">
        <f t="shared" si="12"/>
        <v>0</v>
      </c>
      <c r="S62" s="522">
        <f t="shared" si="12"/>
        <v>0</v>
      </c>
      <c r="T62" s="522">
        <f t="shared" si="12"/>
        <v>0</v>
      </c>
      <c r="U62" s="522">
        <f>SUM(U61)</f>
        <v>0</v>
      </c>
      <c r="V62" s="522">
        <f t="shared" si="12"/>
        <v>0</v>
      </c>
      <c r="W62" s="97" t="str">
        <f>+IF(V62=SUM(H62:T62),"contrôle ok", "erreur")</f>
        <v>contrôle ok</v>
      </c>
    </row>
    <row r="63" spans="1:23" s="261" customFormat="1" ht="11.25" thickTop="1" x14ac:dyDescent="0.15">
      <c r="A63" s="228"/>
      <c r="B63" s="381"/>
      <c r="C63" s="456"/>
      <c r="D63" s="421"/>
      <c r="E63" s="380"/>
      <c r="F63" s="421"/>
      <c r="G63" s="367"/>
      <c r="H63" s="228"/>
      <c r="I63" s="228"/>
      <c r="J63" s="228"/>
      <c r="K63" s="228"/>
      <c r="L63" s="228"/>
      <c r="M63" s="228"/>
      <c r="N63" s="228"/>
      <c r="O63" s="228"/>
      <c r="P63" s="228"/>
      <c r="Q63" s="228"/>
      <c r="R63" s="228"/>
      <c r="S63" s="228"/>
      <c r="T63" s="228"/>
      <c r="U63" s="228"/>
      <c r="V63" s="283"/>
    </row>
    <row r="64" spans="1:23" x14ac:dyDescent="0.15">
      <c r="A64" s="352" t="s">
        <v>93</v>
      </c>
      <c r="B64" s="353"/>
      <c r="C64" s="453"/>
      <c r="D64" s="410"/>
      <c r="E64" s="355"/>
      <c r="F64" s="418"/>
      <c r="G64" s="356"/>
      <c r="H64" s="224"/>
      <c r="I64" s="224"/>
      <c r="J64" s="251"/>
      <c r="K64" s="224"/>
      <c r="L64" s="224"/>
      <c r="M64" s="224"/>
      <c r="N64" s="224"/>
      <c r="O64" s="224"/>
      <c r="P64" s="224"/>
      <c r="Q64" s="224"/>
      <c r="R64" s="224"/>
      <c r="S64" s="224"/>
      <c r="T64" s="224"/>
      <c r="U64" s="224"/>
      <c r="V64" s="252"/>
    </row>
    <row r="65" spans="1:23" x14ac:dyDescent="0.15">
      <c r="A65" s="255" t="s">
        <v>99</v>
      </c>
      <c r="B65" s="255"/>
      <c r="C65" s="454"/>
      <c r="D65" s="412">
        <v>615193</v>
      </c>
      <c r="E65" s="357" t="s">
        <v>62</v>
      </c>
      <c r="F65" s="412" t="s">
        <v>189</v>
      </c>
      <c r="G65" s="428">
        <v>43.41</v>
      </c>
      <c r="H65" s="559">
        <f>130.23-130.23</f>
        <v>0</v>
      </c>
      <c r="I65" s="226"/>
      <c r="J65" s="226"/>
      <c r="K65" s="226">
        <v>130.22999999999999</v>
      </c>
      <c r="L65" s="226"/>
      <c r="M65" s="226"/>
      <c r="N65" s="226">
        <v>130.22999999999999</v>
      </c>
      <c r="O65" s="226"/>
      <c r="P65" s="226"/>
      <c r="Q65" s="226">
        <v>130.22999999999999</v>
      </c>
      <c r="R65" s="582">
        <v>45</v>
      </c>
      <c r="S65" s="582">
        <v>45</v>
      </c>
      <c r="T65" s="226"/>
      <c r="U65" s="226"/>
      <c r="V65" s="255">
        <f t="shared" ref="V65:V70" si="13">SUM(H65:T65)</f>
        <v>480.68999999999994</v>
      </c>
    </row>
    <row r="66" spans="1:23" x14ac:dyDescent="0.15">
      <c r="A66" s="255"/>
      <c r="B66" s="255"/>
      <c r="C66" s="454"/>
      <c r="D66" s="412">
        <v>615193</v>
      </c>
      <c r="E66" s="357" t="s">
        <v>62</v>
      </c>
      <c r="F66" s="412" t="s">
        <v>191</v>
      </c>
      <c r="G66" s="428"/>
      <c r="H66" s="559"/>
      <c r="I66" s="226"/>
      <c r="J66" s="226"/>
      <c r="K66" s="226"/>
      <c r="L66" s="226"/>
      <c r="M66" s="226"/>
      <c r="N66" s="226">
        <v>177.51</v>
      </c>
      <c r="O66" s="226"/>
      <c r="P66" s="226"/>
      <c r="Q66" s="226"/>
      <c r="R66" s="226"/>
      <c r="S66" s="226"/>
      <c r="T66" s="226"/>
      <c r="U66" s="226"/>
      <c r="V66" s="255">
        <f t="shared" si="13"/>
        <v>177.51</v>
      </c>
    </row>
    <row r="67" spans="1:23" x14ac:dyDescent="0.15">
      <c r="A67" s="255"/>
      <c r="B67" s="255"/>
      <c r="C67" s="454"/>
      <c r="D67" s="412">
        <v>615193</v>
      </c>
      <c r="E67" s="357" t="s">
        <v>62</v>
      </c>
      <c r="F67" s="412" t="s">
        <v>201</v>
      </c>
      <c r="G67" s="428"/>
      <c r="H67" s="559"/>
      <c r="I67" s="226"/>
      <c r="J67" s="226"/>
      <c r="K67" s="226"/>
      <c r="L67" s="226"/>
      <c r="M67" s="226"/>
      <c r="N67" s="226"/>
      <c r="O67" s="226"/>
      <c r="P67" s="226"/>
      <c r="Q67" s="226"/>
      <c r="R67" s="226"/>
      <c r="S67" s="226"/>
      <c r="T67" s="226"/>
      <c r="U67" s="226"/>
      <c r="V67" s="255">
        <f t="shared" si="13"/>
        <v>0</v>
      </c>
    </row>
    <row r="68" spans="1:23" x14ac:dyDescent="0.15">
      <c r="A68" s="255"/>
      <c r="B68" s="255"/>
      <c r="C68" s="454"/>
      <c r="D68" s="412">
        <v>615193</v>
      </c>
      <c r="E68" s="357" t="s">
        <v>62</v>
      </c>
      <c r="F68" s="412" t="s">
        <v>184</v>
      </c>
      <c r="G68" s="428"/>
      <c r="H68" s="559"/>
      <c r="I68" s="226"/>
      <c r="J68" s="226"/>
      <c r="K68" s="226"/>
      <c r="L68" s="226"/>
      <c r="M68" s="226"/>
      <c r="N68" s="226"/>
      <c r="O68" s="226"/>
      <c r="P68" s="226"/>
      <c r="Q68" s="226"/>
      <c r="R68" s="226"/>
      <c r="S68" s="226"/>
      <c r="T68" s="226"/>
      <c r="U68" s="226"/>
      <c r="V68" s="255">
        <f t="shared" si="13"/>
        <v>0</v>
      </c>
    </row>
    <row r="69" spans="1:23" x14ac:dyDescent="0.15">
      <c r="A69" s="255"/>
      <c r="B69" s="255"/>
      <c r="C69" s="454"/>
      <c r="D69" s="412">
        <v>615193</v>
      </c>
      <c r="E69" s="357" t="s">
        <v>62</v>
      </c>
      <c r="F69" s="412" t="s">
        <v>192</v>
      </c>
      <c r="G69" s="428"/>
      <c r="H69" s="559"/>
      <c r="I69" s="226"/>
      <c r="J69" s="226"/>
      <c r="K69" s="226"/>
      <c r="L69" s="226"/>
      <c r="M69" s="226"/>
      <c r="N69" s="226"/>
      <c r="O69" s="226"/>
      <c r="P69" s="226"/>
      <c r="Q69" s="226"/>
      <c r="R69" s="226"/>
      <c r="S69" s="226"/>
      <c r="T69" s="226"/>
      <c r="U69" s="226"/>
      <c r="V69" s="255">
        <f t="shared" si="13"/>
        <v>0</v>
      </c>
    </row>
    <row r="70" spans="1:23" x14ac:dyDescent="0.15">
      <c r="A70" s="255"/>
      <c r="B70" s="255"/>
      <c r="C70" s="454"/>
      <c r="D70" s="412">
        <v>615193</v>
      </c>
      <c r="E70" s="357" t="s">
        <v>62</v>
      </c>
      <c r="F70" s="412" t="s">
        <v>179</v>
      </c>
      <c r="G70" s="428"/>
      <c r="H70" s="559"/>
      <c r="I70" s="226"/>
      <c r="J70" s="226"/>
      <c r="K70" s="226"/>
      <c r="L70" s="226"/>
      <c r="M70" s="226"/>
      <c r="N70" s="226"/>
      <c r="O70" s="226"/>
      <c r="P70" s="226"/>
      <c r="Q70" s="226"/>
      <c r="R70" s="226"/>
      <c r="S70" s="226"/>
      <c r="T70" s="226"/>
      <c r="U70" s="226"/>
      <c r="V70" s="255">
        <f t="shared" si="13"/>
        <v>0</v>
      </c>
    </row>
    <row r="71" spans="1:23" s="221" customFormat="1" ht="11.25" thickBot="1" x14ac:dyDescent="0.2">
      <c r="A71" s="536" t="s">
        <v>11</v>
      </c>
      <c r="B71" s="532"/>
      <c r="C71" s="537"/>
      <c r="D71" s="538"/>
      <c r="E71" s="536"/>
      <c r="F71" s="539"/>
      <c r="G71" s="540"/>
      <c r="H71" s="522">
        <f>SUM(H65:H70)</f>
        <v>0</v>
      </c>
      <c r="I71" s="522">
        <f>SUM(I65:I70)</f>
        <v>0</v>
      </c>
      <c r="J71" s="522">
        <f t="shared" ref="J71:T71" si="14">SUM(J65:J70)</f>
        <v>0</v>
      </c>
      <c r="K71" s="522">
        <f t="shared" si="14"/>
        <v>130.22999999999999</v>
      </c>
      <c r="L71" s="522">
        <f t="shared" si="14"/>
        <v>0</v>
      </c>
      <c r="M71" s="522">
        <f>SUM(M65:M70)</f>
        <v>0</v>
      </c>
      <c r="N71" s="522">
        <f t="shared" si="14"/>
        <v>307.74</v>
      </c>
      <c r="O71" s="522">
        <f t="shared" si="14"/>
        <v>0</v>
      </c>
      <c r="P71" s="522">
        <f t="shared" si="14"/>
        <v>0</v>
      </c>
      <c r="Q71" s="522">
        <f t="shared" si="14"/>
        <v>130.22999999999999</v>
      </c>
      <c r="R71" s="522">
        <f t="shared" si="14"/>
        <v>45</v>
      </c>
      <c r="S71" s="522">
        <f t="shared" si="14"/>
        <v>45</v>
      </c>
      <c r="T71" s="522">
        <f t="shared" si="14"/>
        <v>0</v>
      </c>
      <c r="U71" s="522">
        <f>SUM(U65:U70)</f>
        <v>0</v>
      </c>
      <c r="V71" s="522">
        <f>SUM(V65:V70)</f>
        <v>658.19999999999993</v>
      </c>
      <c r="W71" s="97" t="str">
        <f>+IF(V71=SUM(H71:T71),"contrôle ok", "erreur")</f>
        <v>contrôle ok</v>
      </c>
    </row>
    <row r="72" spans="1:23" s="261" customFormat="1" ht="11.25" thickTop="1" x14ac:dyDescent="0.15">
      <c r="A72" s="228"/>
      <c r="B72" s="381"/>
      <c r="C72" s="456"/>
      <c r="D72" s="421"/>
      <c r="E72" s="380"/>
      <c r="F72" s="421"/>
      <c r="G72" s="367"/>
      <c r="H72" s="228"/>
      <c r="I72" s="228"/>
      <c r="J72" s="228"/>
      <c r="K72" s="228"/>
      <c r="L72" s="228"/>
      <c r="M72" s="228"/>
      <c r="N72" s="228"/>
      <c r="O72" s="228"/>
      <c r="P72" s="228"/>
      <c r="Q72" s="228"/>
      <c r="R72" s="228"/>
      <c r="S72" s="228"/>
      <c r="T72" s="228"/>
      <c r="U72" s="228"/>
      <c r="V72" s="283"/>
      <c r="W72" s="360"/>
    </row>
    <row r="73" spans="1:23" s="261" customFormat="1" x14ac:dyDescent="0.15">
      <c r="A73" s="352" t="s">
        <v>89</v>
      </c>
      <c r="B73" s="353"/>
      <c r="C73" s="453"/>
      <c r="D73" s="410"/>
      <c r="E73" s="355"/>
      <c r="F73" s="418"/>
      <c r="G73" s="356"/>
      <c r="H73" s="224"/>
      <c r="I73" s="224"/>
      <c r="J73" s="251"/>
      <c r="K73" s="224"/>
      <c r="L73" s="224"/>
      <c r="M73" s="224"/>
      <c r="N73" s="224"/>
      <c r="O73" s="224"/>
      <c r="P73" s="224"/>
      <c r="Q73" s="224"/>
      <c r="R73" s="224"/>
      <c r="S73" s="224"/>
      <c r="T73" s="224"/>
      <c r="U73" s="224"/>
      <c r="V73" s="252"/>
      <c r="W73" s="360"/>
    </row>
    <row r="74" spans="1:23" x14ac:dyDescent="0.15">
      <c r="A74" s="255"/>
      <c r="B74" s="255"/>
      <c r="C74" s="454"/>
      <c r="D74" s="412">
        <v>615195</v>
      </c>
      <c r="E74" s="357" t="s">
        <v>62</v>
      </c>
      <c r="F74" s="412" t="s">
        <v>188</v>
      </c>
      <c r="G74" s="428"/>
      <c r="H74" s="559"/>
      <c r="I74" s="226"/>
      <c r="J74" s="226"/>
      <c r="K74" s="226"/>
      <c r="L74" s="226"/>
      <c r="M74" s="226"/>
      <c r="N74" s="226"/>
      <c r="O74" s="226"/>
      <c r="P74" s="226"/>
      <c r="Q74" s="226"/>
      <c r="R74" s="226"/>
      <c r="S74" s="226"/>
      <c r="T74" s="226"/>
      <c r="U74" s="226"/>
      <c r="V74" s="255">
        <f>SUM(H74:T74)</f>
        <v>0</v>
      </c>
    </row>
    <row r="75" spans="1:23" x14ac:dyDescent="0.15">
      <c r="A75" s="255"/>
      <c r="B75" s="255"/>
      <c r="C75" s="454"/>
      <c r="D75" s="412">
        <v>615195</v>
      </c>
      <c r="E75" s="357" t="s">
        <v>62</v>
      </c>
      <c r="F75" s="412" t="s">
        <v>192</v>
      </c>
      <c r="G75" s="428"/>
      <c r="H75" s="559"/>
      <c r="I75" s="226"/>
      <c r="J75" s="226"/>
      <c r="K75" s="226"/>
      <c r="L75" s="226"/>
      <c r="M75" s="226">
        <f>462.5-462.5</f>
        <v>0</v>
      </c>
      <c r="N75" s="226"/>
      <c r="O75" s="226"/>
      <c r="P75" s="226"/>
      <c r="Q75" s="226"/>
      <c r="R75" s="226"/>
      <c r="S75" s="226"/>
      <c r="T75" s="226"/>
      <c r="U75" s="226"/>
      <c r="V75" s="255">
        <f>SUM(H75:T75)</f>
        <v>0</v>
      </c>
    </row>
    <row r="76" spans="1:23" s="261" customFormat="1" ht="11.25" thickBot="1" x14ac:dyDescent="0.2">
      <c r="A76" s="536" t="s">
        <v>11</v>
      </c>
      <c r="B76" s="532"/>
      <c r="C76" s="537"/>
      <c r="D76" s="538"/>
      <c r="E76" s="536"/>
      <c r="F76" s="539"/>
      <c r="G76" s="540"/>
      <c r="H76" s="522">
        <f>SUM(H75:H75)</f>
        <v>0</v>
      </c>
      <c r="I76" s="522">
        <f t="shared" ref="I76:V76" si="15">SUM(I75:I75)</f>
        <v>0</v>
      </c>
      <c r="J76" s="522">
        <f t="shared" si="15"/>
        <v>0</v>
      </c>
      <c r="K76" s="522">
        <f t="shared" si="15"/>
        <v>0</v>
      </c>
      <c r="L76" s="522">
        <f t="shared" si="15"/>
        <v>0</v>
      </c>
      <c r="M76" s="522">
        <f t="shared" si="15"/>
        <v>0</v>
      </c>
      <c r="N76" s="522">
        <f t="shared" si="15"/>
        <v>0</v>
      </c>
      <c r="O76" s="522">
        <f t="shared" si="15"/>
        <v>0</v>
      </c>
      <c r="P76" s="522">
        <f t="shared" si="15"/>
        <v>0</v>
      </c>
      <c r="Q76" s="522">
        <f t="shared" si="15"/>
        <v>0</v>
      </c>
      <c r="R76" s="522">
        <f t="shared" si="15"/>
        <v>0</v>
      </c>
      <c r="S76" s="522">
        <f t="shared" si="15"/>
        <v>0</v>
      </c>
      <c r="T76" s="522">
        <f t="shared" si="15"/>
        <v>0</v>
      </c>
      <c r="U76" s="522">
        <f>SUM(U75:U75)</f>
        <v>0</v>
      </c>
      <c r="V76" s="522">
        <f t="shared" si="15"/>
        <v>0</v>
      </c>
      <c r="W76" s="97" t="str">
        <f>+IF(V76=SUM(H76:T76),"contrôle ok", "erreur")</f>
        <v>contrôle ok</v>
      </c>
    </row>
    <row r="77" spans="1:23" s="261" customFormat="1" ht="11.25" thickTop="1" x14ac:dyDescent="0.15">
      <c r="A77" s="380"/>
      <c r="B77" s="381"/>
      <c r="C77" s="456"/>
      <c r="D77" s="421"/>
      <c r="E77" s="383"/>
      <c r="F77" s="421"/>
      <c r="G77" s="367"/>
      <c r="H77" s="228"/>
      <c r="I77" s="228"/>
      <c r="J77" s="228"/>
      <c r="K77" s="228"/>
      <c r="L77" s="228"/>
      <c r="M77" s="228"/>
      <c r="N77" s="228"/>
      <c r="O77" s="228"/>
      <c r="P77" s="228"/>
      <c r="Q77" s="228"/>
      <c r="R77" s="228"/>
      <c r="S77" s="228"/>
      <c r="T77" s="228"/>
      <c r="U77" s="228"/>
      <c r="V77" s="228"/>
    </row>
    <row r="78" spans="1:23" x14ac:dyDescent="0.15">
      <c r="A78" s="352" t="s">
        <v>94</v>
      </c>
      <c r="B78" s="353"/>
      <c r="C78" s="453"/>
      <c r="D78" s="410"/>
      <c r="E78" s="355"/>
      <c r="F78" s="418"/>
      <c r="G78" s="356"/>
      <c r="H78" s="224"/>
      <c r="I78" s="224"/>
      <c r="J78" s="251"/>
      <c r="K78" s="224"/>
      <c r="L78" s="224"/>
      <c r="M78" s="224"/>
      <c r="N78" s="224"/>
      <c r="O78" s="224"/>
      <c r="P78" s="224"/>
      <c r="Q78" s="224"/>
      <c r="R78" s="224"/>
      <c r="S78" s="224"/>
      <c r="T78" s="224"/>
      <c r="U78" s="224"/>
      <c r="V78" s="252"/>
    </row>
    <row r="79" spans="1:23" x14ac:dyDescent="0.15">
      <c r="A79" s="255"/>
      <c r="B79" s="255"/>
      <c r="C79" s="454"/>
      <c r="D79" s="412">
        <v>615196</v>
      </c>
      <c r="E79" s="357" t="s">
        <v>62</v>
      </c>
      <c r="F79" s="412" t="s">
        <v>192</v>
      </c>
      <c r="G79" s="428"/>
      <c r="H79" s="559"/>
      <c r="I79" s="226"/>
      <c r="J79" s="226"/>
      <c r="K79" s="226"/>
      <c r="L79" s="226"/>
      <c r="M79" s="226"/>
      <c r="N79" s="226"/>
      <c r="O79" s="226"/>
      <c r="P79" s="226"/>
      <c r="Q79" s="226"/>
      <c r="R79" s="226"/>
      <c r="S79" s="226"/>
      <c r="T79" s="226"/>
      <c r="U79" s="226"/>
      <c r="V79" s="255">
        <f>SUM(H79:T79)</f>
        <v>0</v>
      </c>
    </row>
    <row r="80" spans="1:23" x14ac:dyDescent="0.15">
      <c r="A80" s="255"/>
      <c r="B80" s="255"/>
      <c r="C80" s="454"/>
      <c r="D80" s="412">
        <v>615196</v>
      </c>
      <c r="E80" s="357" t="s">
        <v>62</v>
      </c>
      <c r="F80" s="412" t="s">
        <v>179</v>
      </c>
      <c r="G80" s="428"/>
      <c r="H80" s="559"/>
      <c r="I80" s="226"/>
      <c r="J80" s="226"/>
      <c r="K80" s="226"/>
      <c r="L80" s="226"/>
      <c r="M80" s="226"/>
      <c r="N80" s="226"/>
      <c r="O80" s="226"/>
      <c r="P80" s="226"/>
      <c r="Q80" s="226"/>
      <c r="R80" s="226"/>
      <c r="S80" s="226"/>
      <c r="T80" s="226"/>
      <c r="U80" s="226"/>
      <c r="V80" s="255">
        <f>SUM(H80:T80)</f>
        <v>0</v>
      </c>
    </row>
    <row r="81" spans="1:23" s="221" customFormat="1" ht="11.25" thickBot="1" x14ac:dyDescent="0.2">
      <c r="A81" s="536" t="s">
        <v>11</v>
      </c>
      <c r="B81" s="532"/>
      <c r="C81" s="537"/>
      <c r="D81" s="538"/>
      <c r="E81" s="536"/>
      <c r="F81" s="539"/>
      <c r="G81" s="540"/>
      <c r="H81" s="522">
        <f>SUM(H79:H80)</f>
        <v>0</v>
      </c>
      <c r="I81" s="522">
        <f t="shared" ref="I81:V81" si="16">SUM(I79:I80)</f>
        <v>0</v>
      </c>
      <c r="J81" s="522">
        <f t="shared" si="16"/>
        <v>0</v>
      </c>
      <c r="K81" s="522">
        <f t="shared" si="16"/>
        <v>0</v>
      </c>
      <c r="L81" s="522">
        <f t="shared" si="16"/>
        <v>0</v>
      </c>
      <c r="M81" s="522">
        <f t="shared" si="16"/>
        <v>0</v>
      </c>
      <c r="N81" s="522">
        <f t="shared" si="16"/>
        <v>0</v>
      </c>
      <c r="O81" s="522">
        <f t="shared" si="16"/>
        <v>0</v>
      </c>
      <c r="P81" s="522">
        <f t="shared" si="16"/>
        <v>0</v>
      </c>
      <c r="Q81" s="522">
        <f t="shared" si="16"/>
        <v>0</v>
      </c>
      <c r="R81" s="522">
        <f t="shared" si="16"/>
        <v>0</v>
      </c>
      <c r="S81" s="522">
        <f t="shared" si="16"/>
        <v>0</v>
      </c>
      <c r="T81" s="522">
        <f t="shared" si="16"/>
        <v>0</v>
      </c>
      <c r="U81" s="522">
        <f>SUM(U79:U80)</f>
        <v>0</v>
      </c>
      <c r="V81" s="522">
        <f t="shared" si="16"/>
        <v>0</v>
      </c>
      <c r="W81" s="97" t="str">
        <f>+IF(V81=SUM(H81:T81),"contrôle ok", "erreur")</f>
        <v>contrôle ok</v>
      </c>
    </row>
    <row r="82" spans="1:23" s="221" customFormat="1" ht="11.25" thickTop="1" x14ac:dyDescent="0.15">
      <c r="A82" s="328"/>
      <c r="B82" s="361"/>
      <c r="C82" s="457"/>
      <c r="D82" s="414"/>
      <c r="E82" s="363"/>
      <c r="F82" s="414"/>
      <c r="G82" s="364"/>
      <c r="H82" s="229"/>
      <c r="I82" s="229"/>
      <c r="J82" s="229"/>
      <c r="K82" s="229"/>
      <c r="L82" s="229"/>
      <c r="M82" s="229"/>
      <c r="N82" s="257"/>
      <c r="O82" s="229"/>
      <c r="P82" s="229"/>
      <c r="Q82" s="229"/>
      <c r="R82" s="229"/>
      <c r="S82" s="229"/>
      <c r="T82" s="229"/>
      <c r="U82" s="229"/>
      <c r="V82" s="258"/>
    </row>
    <row r="83" spans="1:23" x14ac:dyDescent="0.15">
      <c r="A83" s="352" t="s">
        <v>9</v>
      </c>
      <c r="B83" s="353"/>
      <c r="C83" s="453"/>
      <c r="D83" s="410"/>
      <c r="E83" s="355"/>
      <c r="F83" s="418"/>
      <c r="G83" s="356"/>
      <c r="H83" s="224"/>
      <c r="I83" s="224"/>
      <c r="J83" s="251"/>
      <c r="K83" s="224"/>
      <c r="L83" s="224"/>
      <c r="M83" s="224"/>
      <c r="N83" s="224"/>
      <c r="O83" s="224"/>
      <c r="P83" s="224"/>
      <c r="Q83" s="224"/>
      <c r="R83" s="224"/>
      <c r="S83" s="224"/>
      <c r="T83" s="224"/>
      <c r="U83" s="224"/>
      <c r="V83" s="252"/>
    </row>
    <row r="84" spans="1:23" x14ac:dyDescent="0.15">
      <c r="A84" s="255" t="s">
        <v>195</v>
      </c>
      <c r="B84" s="255"/>
      <c r="C84" s="454"/>
      <c r="D84" s="412">
        <v>615200</v>
      </c>
      <c r="E84" s="357" t="s">
        <v>63</v>
      </c>
      <c r="F84" s="412" t="s">
        <v>179</v>
      </c>
      <c r="G84" s="428"/>
      <c r="H84" s="559"/>
      <c r="I84" s="226"/>
      <c r="J84" s="226"/>
      <c r="K84" s="226"/>
      <c r="L84" s="226"/>
      <c r="M84" s="226"/>
      <c r="N84" s="226"/>
      <c r="O84" s="226"/>
      <c r="P84" s="226"/>
      <c r="Q84" s="226"/>
      <c r="R84" s="226"/>
      <c r="S84" s="226"/>
      <c r="T84" s="226"/>
      <c r="U84" s="226"/>
      <c r="V84" s="255">
        <f>SUM(H84:T84)</f>
        <v>0</v>
      </c>
    </row>
    <row r="85" spans="1:23" s="221" customFormat="1" ht="11.25" thickBot="1" x14ac:dyDescent="0.2">
      <c r="A85" s="536" t="s">
        <v>11</v>
      </c>
      <c r="B85" s="532"/>
      <c r="C85" s="537"/>
      <c r="D85" s="538"/>
      <c r="E85" s="536"/>
      <c r="F85" s="539"/>
      <c r="G85" s="540"/>
      <c r="H85" s="522">
        <f>SUM(H84:H84)</f>
        <v>0</v>
      </c>
      <c r="I85" s="522">
        <f t="shared" ref="I85:V85" si="17">SUM(I84:I84)</f>
        <v>0</v>
      </c>
      <c r="J85" s="522">
        <f t="shared" si="17"/>
        <v>0</v>
      </c>
      <c r="K85" s="522">
        <f t="shared" si="17"/>
        <v>0</v>
      </c>
      <c r="L85" s="522">
        <f t="shared" si="17"/>
        <v>0</v>
      </c>
      <c r="M85" s="522">
        <f t="shared" si="17"/>
        <v>0</v>
      </c>
      <c r="N85" s="522">
        <f t="shared" si="17"/>
        <v>0</v>
      </c>
      <c r="O85" s="522">
        <f t="shared" si="17"/>
        <v>0</v>
      </c>
      <c r="P85" s="522">
        <f t="shared" si="17"/>
        <v>0</v>
      </c>
      <c r="Q85" s="522">
        <f t="shared" si="17"/>
        <v>0</v>
      </c>
      <c r="R85" s="522">
        <f t="shared" si="17"/>
        <v>0</v>
      </c>
      <c r="S85" s="522">
        <f t="shared" si="17"/>
        <v>0</v>
      </c>
      <c r="T85" s="522">
        <f t="shared" si="17"/>
        <v>0</v>
      </c>
      <c r="U85" s="522">
        <f>SUM(U84:U84)</f>
        <v>0</v>
      </c>
      <c r="V85" s="522">
        <f t="shared" si="17"/>
        <v>0</v>
      </c>
      <c r="W85" s="97" t="str">
        <f>+IF(V85=SUM(H85:T85),"contrôle ok", "erreur")</f>
        <v>contrôle ok</v>
      </c>
    </row>
    <row r="86" spans="1:23" s="221" customFormat="1" ht="11.25" thickTop="1" x14ac:dyDescent="0.15">
      <c r="A86" s="361"/>
      <c r="B86" s="361"/>
      <c r="C86" s="457"/>
      <c r="D86" s="414"/>
      <c r="E86" s="363"/>
      <c r="F86" s="414"/>
      <c r="G86" s="364"/>
      <c r="H86" s="229"/>
      <c r="I86" s="229"/>
      <c r="J86" s="229"/>
      <c r="K86" s="229"/>
      <c r="L86" s="229"/>
      <c r="M86" s="229"/>
      <c r="N86" s="257"/>
      <c r="O86" s="229"/>
      <c r="P86" s="229"/>
      <c r="Q86" s="229"/>
      <c r="R86" s="229"/>
      <c r="S86" s="229"/>
      <c r="T86" s="229"/>
      <c r="U86" s="229"/>
      <c r="V86" s="258"/>
    </row>
    <row r="87" spans="1:23" x14ac:dyDescent="0.15">
      <c r="A87" s="352" t="s">
        <v>136</v>
      </c>
      <c r="B87" s="353"/>
      <c r="C87" s="453"/>
      <c r="D87" s="410"/>
      <c r="E87" s="355"/>
      <c r="F87" s="418"/>
      <c r="G87" s="356"/>
      <c r="H87" s="224"/>
      <c r="I87" s="224"/>
      <c r="J87" s="251"/>
      <c r="K87" s="224"/>
      <c r="L87" s="224"/>
      <c r="M87" s="224"/>
      <c r="N87" s="224"/>
      <c r="O87" s="224"/>
      <c r="P87" s="224"/>
      <c r="Q87" s="224"/>
      <c r="R87" s="224"/>
      <c r="S87" s="224"/>
      <c r="T87" s="224"/>
      <c r="U87" s="224"/>
      <c r="V87" s="224"/>
    </row>
    <row r="88" spans="1:23" x14ac:dyDescent="0.15">
      <c r="A88" s="255"/>
      <c r="B88" s="255"/>
      <c r="C88" s="454"/>
      <c r="D88" s="412">
        <v>615210</v>
      </c>
      <c r="E88" s="357" t="s">
        <v>62</v>
      </c>
      <c r="F88" s="412" t="s">
        <v>192</v>
      </c>
      <c r="G88" s="428"/>
      <c r="H88" s="559"/>
      <c r="I88" s="226"/>
      <c r="J88" s="226"/>
      <c r="K88" s="226"/>
      <c r="L88" s="226"/>
      <c r="M88" s="226"/>
      <c r="N88" s="226"/>
      <c r="O88" s="226"/>
      <c r="P88" s="226"/>
      <c r="Q88" s="226"/>
      <c r="R88" s="226"/>
      <c r="S88" s="226"/>
      <c r="T88" s="226"/>
      <c r="U88" s="226"/>
      <c r="V88" s="255">
        <f>SUM(H88:T88)</f>
        <v>0</v>
      </c>
    </row>
    <row r="89" spans="1:23" x14ac:dyDescent="0.15">
      <c r="A89" s="255" t="s">
        <v>260</v>
      </c>
      <c r="B89" s="255"/>
      <c r="C89" s="454"/>
      <c r="D89" s="412">
        <v>615210</v>
      </c>
      <c r="E89" s="357" t="s">
        <v>62</v>
      </c>
      <c r="F89" s="412" t="s">
        <v>189</v>
      </c>
      <c r="G89" s="428"/>
      <c r="H89" s="559"/>
      <c r="I89" s="226"/>
      <c r="J89" s="226"/>
      <c r="K89" s="226"/>
      <c r="L89" s="226"/>
      <c r="M89" s="226"/>
      <c r="N89" s="226"/>
      <c r="O89" s="226"/>
      <c r="P89" s="226"/>
      <c r="Q89" s="226"/>
      <c r="R89" s="226"/>
      <c r="S89" s="226"/>
      <c r="T89" s="226"/>
      <c r="U89" s="226"/>
      <c r="V89" s="255">
        <f>SUM(H89:T89)</f>
        <v>0</v>
      </c>
    </row>
    <row r="90" spans="1:23" s="221" customFormat="1" ht="11.25" thickBot="1" x14ac:dyDescent="0.2">
      <c r="A90" s="536" t="s">
        <v>11</v>
      </c>
      <c r="B90" s="532"/>
      <c r="C90" s="537"/>
      <c r="D90" s="538"/>
      <c r="E90" s="536"/>
      <c r="F90" s="539"/>
      <c r="G90" s="540"/>
      <c r="H90" s="522">
        <f>SUM(H88:H89)</f>
        <v>0</v>
      </c>
      <c r="I90" s="522">
        <f>SUM(I88:I89)</f>
        <v>0</v>
      </c>
      <c r="J90" s="522">
        <f t="shared" ref="J90:V90" si="18">SUM(J88:J89)</f>
        <v>0</v>
      </c>
      <c r="K90" s="522">
        <f t="shared" si="18"/>
        <v>0</v>
      </c>
      <c r="L90" s="522">
        <f t="shared" si="18"/>
        <v>0</v>
      </c>
      <c r="M90" s="522">
        <f t="shared" si="18"/>
        <v>0</v>
      </c>
      <c r="N90" s="522">
        <f t="shared" si="18"/>
        <v>0</v>
      </c>
      <c r="O90" s="522">
        <f t="shared" si="18"/>
        <v>0</v>
      </c>
      <c r="P90" s="522">
        <f t="shared" si="18"/>
        <v>0</v>
      </c>
      <c r="Q90" s="522">
        <f t="shared" si="18"/>
        <v>0</v>
      </c>
      <c r="R90" s="522">
        <f t="shared" si="18"/>
        <v>0</v>
      </c>
      <c r="S90" s="522">
        <f t="shared" si="18"/>
        <v>0</v>
      </c>
      <c r="T90" s="522">
        <f t="shared" si="18"/>
        <v>0</v>
      </c>
      <c r="U90" s="522">
        <f>SUM(U88:U89)</f>
        <v>0</v>
      </c>
      <c r="V90" s="522">
        <f t="shared" si="18"/>
        <v>0</v>
      </c>
      <c r="W90" s="97" t="str">
        <f>+IF(V90=SUM(H90:T90),"contrôle ok", "erreur")</f>
        <v>contrôle ok</v>
      </c>
    </row>
    <row r="91" spans="1:23" s="221" customFormat="1" ht="11.25" thickTop="1" x14ac:dyDescent="0.15">
      <c r="A91" s="361"/>
      <c r="B91" s="361"/>
      <c r="C91" s="457"/>
      <c r="D91" s="414"/>
      <c r="E91" s="363"/>
      <c r="F91" s="414"/>
      <c r="G91" s="364"/>
      <c r="H91" s="229"/>
      <c r="I91" s="229"/>
      <c r="J91" s="229"/>
      <c r="K91" s="229"/>
      <c r="L91" s="229"/>
      <c r="M91" s="229"/>
      <c r="N91" s="257"/>
      <c r="O91" s="229"/>
      <c r="P91" s="229"/>
      <c r="Q91" s="229"/>
      <c r="R91" s="229"/>
      <c r="S91" s="229"/>
      <c r="T91" s="229"/>
      <c r="U91" s="229"/>
      <c r="V91" s="258"/>
    </row>
    <row r="92" spans="1:23" x14ac:dyDescent="0.15">
      <c r="A92" s="352" t="s">
        <v>712</v>
      </c>
      <c r="B92" s="353"/>
      <c r="C92" s="453"/>
      <c r="D92" s="410"/>
      <c r="E92" s="355"/>
      <c r="F92" s="418"/>
      <c r="G92" s="356"/>
      <c r="H92" s="224"/>
      <c r="I92" s="224"/>
      <c r="J92" s="251"/>
      <c r="K92" s="224"/>
      <c r="L92" s="224"/>
      <c r="M92" s="224"/>
      <c r="N92" s="224"/>
      <c r="O92" s="224"/>
      <c r="P92" s="224"/>
      <c r="Q92" s="224"/>
      <c r="R92" s="224"/>
      <c r="S92" s="224"/>
      <c r="T92" s="224"/>
      <c r="U92" s="224"/>
      <c r="V92" s="224"/>
    </row>
    <row r="93" spans="1:23" x14ac:dyDescent="0.15">
      <c r="A93" s="255" t="s">
        <v>751</v>
      </c>
      <c r="B93" s="255" t="s">
        <v>737</v>
      </c>
      <c r="C93" s="454"/>
      <c r="D93" s="412">
        <v>615215</v>
      </c>
      <c r="E93" s="357" t="s">
        <v>705</v>
      </c>
      <c r="F93" s="412"/>
      <c r="G93" s="428"/>
      <c r="H93" s="559">
        <v>-50</v>
      </c>
      <c r="I93" s="226"/>
      <c r="J93" s="226"/>
      <c r="K93" s="226">
        <v>102.1</v>
      </c>
      <c r="L93" s="226"/>
      <c r="M93" s="226">
        <v>102.1</v>
      </c>
      <c r="N93" s="226"/>
      <c r="O93" s="226"/>
      <c r="P93" s="226">
        <v>102.1</v>
      </c>
      <c r="Q93" s="226">
        <v>102.1</v>
      </c>
      <c r="R93" s="582">
        <v>102.1</v>
      </c>
      <c r="S93" s="582">
        <v>102.1</v>
      </c>
      <c r="T93" s="226"/>
      <c r="U93" s="226"/>
      <c r="V93" s="255">
        <f t="shared" ref="V93:V103" si="19">SUM(H93:T93)</f>
        <v>562.6</v>
      </c>
    </row>
    <row r="94" spans="1:23" x14ac:dyDescent="0.15">
      <c r="A94" s="255" t="s">
        <v>441</v>
      </c>
      <c r="B94" s="255" t="s">
        <v>753</v>
      </c>
      <c r="C94" s="454"/>
      <c r="D94" s="412">
        <v>615215</v>
      </c>
      <c r="E94" s="357" t="s">
        <v>706</v>
      </c>
      <c r="F94" s="412"/>
      <c r="G94" s="428">
        <v>1900</v>
      </c>
      <c r="H94" s="559">
        <f>1807.65-2000</f>
        <v>-192.34999999999991</v>
      </c>
      <c r="I94" s="226">
        <v>1740.7</v>
      </c>
      <c r="J94" s="226">
        <v>1673.75</v>
      </c>
      <c r="K94" s="226">
        <v>1740.7</v>
      </c>
      <c r="L94" s="226">
        <v>1874.6</v>
      </c>
      <c r="M94" s="226">
        <v>1941.55</v>
      </c>
      <c r="N94" s="226">
        <v>1807.65</v>
      </c>
      <c r="O94" s="226">
        <v>1874.6</v>
      </c>
      <c r="P94" s="226">
        <v>2477.15</v>
      </c>
      <c r="Q94" s="226">
        <v>2008.5</v>
      </c>
      <c r="R94" s="226">
        <v>2544.1</v>
      </c>
      <c r="S94" s="226">
        <v>2410.1999999999998</v>
      </c>
      <c r="T94" s="226"/>
      <c r="U94" s="226"/>
      <c r="V94" s="255">
        <f t="shared" si="19"/>
        <v>21901.149999999998</v>
      </c>
    </row>
    <row r="95" spans="1:23" x14ac:dyDescent="0.15">
      <c r="A95" s="255" t="s">
        <v>441</v>
      </c>
      <c r="B95" s="255" t="s">
        <v>754</v>
      </c>
      <c r="C95" s="454"/>
      <c r="D95" s="412">
        <v>615215</v>
      </c>
      <c r="E95" s="357" t="s">
        <v>62</v>
      </c>
      <c r="F95" s="591" t="s">
        <v>700</v>
      </c>
      <c r="G95" s="428">
        <v>66.95</v>
      </c>
      <c r="H95" s="559">
        <f>66.95-66.95</f>
        <v>0</v>
      </c>
      <c r="I95" s="226">
        <v>66.95</v>
      </c>
      <c r="J95" s="226">
        <v>66.95</v>
      </c>
      <c r="K95" s="226">
        <v>133.9</v>
      </c>
      <c r="L95" s="226">
        <v>133.9</v>
      </c>
      <c r="M95" s="226">
        <v>133.9</v>
      </c>
      <c r="N95" s="226">
        <v>133.9</v>
      </c>
      <c r="O95" s="226">
        <v>66.95</v>
      </c>
      <c r="P95" s="226">
        <v>66.95</v>
      </c>
      <c r="Q95" s="226">
        <v>66.95</v>
      </c>
      <c r="R95" s="226">
        <v>133.9</v>
      </c>
      <c r="S95" s="582">
        <v>66.95</v>
      </c>
      <c r="T95" s="226"/>
      <c r="U95" s="226"/>
      <c r="V95" s="255">
        <f t="shared" si="19"/>
        <v>1071.2</v>
      </c>
    </row>
    <row r="96" spans="1:23" x14ac:dyDescent="0.15">
      <c r="A96" s="255" t="s">
        <v>441</v>
      </c>
      <c r="B96" s="255" t="s">
        <v>755</v>
      </c>
      <c r="C96" s="454"/>
      <c r="D96" s="412">
        <v>615215</v>
      </c>
      <c r="E96" s="357" t="s">
        <v>62</v>
      </c>
      <c r="F96" s="412"/>
      <c r="G96" s="428"/>
      <c r="H96" s="559">
        <f>419.06-200-1200</f>
        <v>-980.94</v>
      </c>
      <c r="I96" s="226"/>
      <c r="J96" s="226"/>
      <c r="K96" s="226"/>
      <c r="L96" s="226"/>
      <c r="M96" s="226"/>
      <c r="N96" s="226"/>
      <c r="O96" s="226"/>
      <c r="P96" s="226"/>
      <c r="Q96" s="226"/>
      <c r="R96" s="226">
        <f>213.31+9.45+711.16</f>
        <v>933.92</v>
      </c>
      <c r="S96" s="226"/>
      <c r="T96" s="226"/>
      <c r="U96" s="226"/>
      <c r="V96" s="255">
        <f>SUM(H96:T96)</f>
        <v>-47.020000000000095</v>
      </c>
    </row>
    <row r="97" spans="1:23" ht="13.15" customHeight="1" x14ac:dyDescent="0.15">
      <c r="A97" s="255" t="s">
        <v>441</v>
      </c>
      <c r="B97" s="255" t="s">
        <v>756</v>
      </c>
      <c r="C97" s="454"/>
      <c r="D97" s="412">
        <v>615215</v>
      </c>
      <c r="E97" s="357" t="s">
        <v>62</v>
      </c>
      <c r="F97" s="412"/>
      <c r="G97" s="428"/>
      <c r="H97" s="559"/>
      <c r="I97" s="226">
        <v>484.93</v>
      </c>
      <c r="J97" s="226">
        <v>0</v>
      </c>
      <c r="K97" s="226">
        <v>483.39</v>
      </c>
      <c r="L97" s="608"/>
      <c r="M97" s="608"/>
      <c r="N97" s="608"/>
      <c r="O97" s="608"/>
      <c r="P97" s="608"/>
      <c r="Q97" s="226">
        <v>181.95</v>
      </c>
      <c r="R97" s="608"/>
      <c r="S97" s="608"/>
      <c r="T97" s="608"/>
      <c r="U97" s="608"/>
      <c r="V97" s="255">
        <f t="shared" si="19"/>
        <v>1150.27</v>
      </c>
    </row>
    <row r="98" spans="1:23" x14ac:dyDescent="0.15">
      <c r="A98" s="255" t="s">
        <v>752</v>
      </c>
      <c r="B98" s="255" t="s">
        <v>757</v>
      </c>
      <c r="C98" s="454"/>
      <c r="D98" s="412">
        <v>615215</v>
      </c>
      <c r="E98" s="357" t="s">
        <v>62</v>
      </c>
      <c r="F98" s="412"/>
      <c r="G98" s="428"/>
      <c r="H98" s="559">
        <f>37.84-100</f>
        <v>-62.16</v>
      </c>
      <c r="I98" s="226">
        <v>59.04</v>
      </c>
      <c r="J98" s="226">
        <v>39.36</v>
      </c>
      <c r="K98" s="226">
        <v>49.2</v>
      </c>
      <c r="L98" s="226">
        <v>39.36</v>
      </c>
      <c r="M98" s="226">
        <v>39.36</v>
      </c>
      <c r="N98" s="226">
        <v>49.2</v>
      </c>
      <c r="O98" s="226">
        <v>39.36</v>
      </c>
      <c r="P98" s="226">
        <v>98.4</v>
      </c>
      <c r="Q98" s="226">
        <v>19.68</v>
      </c>
      <c r="R98" s="582">
        <v>39.36</v>
      </c>
      <c r="S98" s="582">
        <v>39.36</v>
      </c>
      <c r="T98" s="226"/>
      <c r="U98" s="226"/>
      <c r="V98" s="255">
        <f t="shared" si="19"/>
        <v>449.52000000000004</v>
      </c>
    </row>
    <row r="99" spans="1:23" ht="13.15" customHeight="1" x14ac:dyDescent="0.15">
      <c r="A99" s="255" t="s">
        <v>752</v>
      </c>
      <c r="B99" s="255" t="s">
        <v>758</v>
      </c>
      <c r="C99" s="454"/>
      <c r="D99" s="412">
        <v>615215</v>
      </c>
      <c r="E99" s="357" t="s">
        <v>62</v>
      </c>
      <c r="F99" s="412"/>
      <c r="G99" s="428"/>
      <c r="H99" s="559">
        <v>-11.44</v>
      </c>
      <c r="I99" s="226">
        <v>11.9</v>
      </c>
      <c r="J99" s="226">
        <v>0</v>
      </c>
      <c r="K99" s="226">
        <v>23.8</v>
      </c>
      <c r="L99" s="226">
        <v>0</v>
      </c>
      <c r="M99" s="226">
        <v>11.9</v>
      </c>
      <c r="N99" s="226">
        <v>0</v>
      </c>
      <c r="O99" s="226">
        <v>11.9</v>
      </c>
      <c r="P99" s="226">
        <v>11.9</v>
      </c>
      <c r="Q99" s="226">
        <v>11.9</v>
      </c>
      <c r="R99" s="582">
        <v>11.9</v>
      </c>
      <c r="S99" s="582">
        <v>11.9</v>
      </c>
      <c r="T99" s="226"/>
      <c r="U99" s="226"/>
      <c r="V99" s="255">
        <f t="shared" si="19"/>
        <v>95.660000000000011</v>
      </c>
    </row>
    <row r="100" spans="1:23" x14ac:dyDescent="0.15">
      <c r="A100" s="255" t="s">
        <v>752</v>
      </c>
      <c r="B100" s="255" t="s">
        <v>759</v>
      </c>
      <c r="C100" s="454"/>
      <c r="D100" s="412">
        <v>615215</v>
      </c>
      <c r="E100" s="357" t="s">
        <v>62</v>
      </c>
      <c r="F100" s="412"/>
      <c r="G100" s="428"/>
      <c r="H100" s="559">
        <f>23.66-47.32</f>
        <v>-23.66</v>
      </c>
      <c r="I100" s="226">
        <v>0</v>
      </c>
      <c r="J100" s="226">
        <v>0</v>
      </c>
      <c r="K100" s="226">
        <v>147.66</v>
      </c>
      <c r="L100" s="226">
        <v>0</v>
      </c>
      <c r="M100" s="226">
        <v>24.61</v>
      </c>
      <c r="N100" s="226">
        <v>0</v>
      </c>
      <c r="O100" s="226">
        <v>0</v>
      </c>
      <c r="P100" s="226">
        <v>24.61</v>
      </c>
      <c r="Q100" s="226">
        <v>0</v>
      </c>
      <c r="R100" s="582">
        <v>24.61</v>
      </c>
      <c r="S100" s="582">
        <v>24.61</v>
      </c>
      <c r="T100" s="226"/>
      <c r="U100" s="226"/>
      <c r="V100" s="255">
        <f t="shared" si="19"/>
        <v>222.44000000000005</v>
      </c>
    </row>
    <row r="101" spans="1:23" ht="13.15" customHeight="1" x14ac:dyDescent="0.15">
      <c r="A101" s="255" t="s">
        <v>752</v>
      </c>
      <c r="B101" s="255" t="s">
        <v>760</v>
      </c>
      <c r="C101" s="454"/>
      <c r="D101" s="412">
        <v>615215</v>
      </c>
      <c r="E101" s="357" t="s">
        <v>62</v>
      </c>
      <c r="F101" s="412"/>
      <c r="G101" s="428"/>
      <c r="H101" s="559"/>
      <c r="I101" s="226">
        <v>16.22</v>
      </c>
      <c r="J101" s="226">
        <v>16.22</v>
      </c>
      <c r="K101" s="226">
        <v>16.22</v>
      </c>
      <c r="L101" s="226">
        <v>16.22</v>
      </c>
      <c r="M101" s="226">
        <v>0</v>
      </c>
      <c r="N101" s="226">
        <v>0</v>
      </c>
      <c r="O101" s="226">
        <v>32.44</v>
      </c>
      <c r="P101" s="226">
        <v>16.22</v>
      </c>
      <c r="Q101" s="226">
        <v>0</v>
      </c>
      <c r="R101" s="582">
        <v>16.22</v>
      </c>
      <c r="S101" s="582">
        <v>16.22</v>
      </c>
      <c r="T101" s="226"/>
      <c r="U101" s="226"/>
      <c r="V101" s="255">
        <f t="shared" si="19"/>
        <v>145.97999999999999</v>
      </c>
    </row>
    <row r="102" spans="1:23" x14ac:dyDescent="0.15">
      <c r="A102" s="255" t="s">
        <v>752</v>
      </c>
      <c r="B102" s="255" t="s">
        <v>761</v>
      </c>
      <c r="C102" s="454"/>
      <c r="D102" s="412">
        <v>615215</v>
      </c>
      <c r="E102" s="357" t="s">
        <v>62</v>
      </c>
      <c r="F102" s="412"/>
      <c r="G102" s="428"/>
      <c r="H102" s="559">
        <v>-90</v>
      </c>
      <c r="I102" s="226">
        <v>45.9</v>
      </c>
      <c r="J102" s="226">
        <f>918-900</f>
        <v>18</v>
      </c>
      <c r="K102" s="226">
        <v>45.9</v>
      </c>
      <c r="L102" s="226">
        <v>45.9</v>
      </c>
      <c r="M102" s="226">
        <v>229.5</v>
      </c>
      <c r="N102" s="226">
        <v>137.69999999999999</v>
      </c>
      <c r="O102" s="226">
        <v>91.8</v>
      </c>
      <c r="P102" s="226">
        <v>45.9</v>
      </c>
      <c r="Q102" s="226">
        <v>45.9</v>
      </c>
      <c r="R102" s="582">
        <v>45.9</v>
      </c>
      <c r="S102" s="582">
        <v>45.9</v>
      </c>
      <c r="T102" s="226"/>
      <c r="U102" s="226"/>
      <c r="V102" s="255">
        <f t="shared" si="19"/>
        <v>708.29999999999984</v>
      </c>
    </row>
    <row r="103" spans="1:23" ht="13.15" customHeight="1" x14ac:dyDescent="0.15">
      <c r="A103" s="255" t="s">
        <v>752</v>
      </c>
      <c r="B103" s="255" t="s">
        <v>762</v>
      </c>
      <c r="C103" s="454"/>
      <c r="D103" s="412">
        <v>615215</v>
      </c>
      <c r="E103" s="357" t="s">
        <v>62</v>
      </c>
      <c r="F103" s="412"/>
      <c r="G103" s="428"/>
      <c r="H103" s="559"/>
      <c r="I103" s="226"/>
      <c r="J103" s="226"/>
      <c r="K103" s="226"/>
      <c r="L103" s="226"/>
      <c r="M103" s="226"/>
      <c r="N103" s="226"/>
      <c r="O103" s="226"/>
      <c r="P103" s="226"/>
      <c r="Q103" s="226"/>
      <c r="R103" s="226"/>
      <c r="S103" s="226"/>
      <c r="T103" s="226"/>
      <c r="U103" s="226"/>
      <c r="V103" s="255">
        <f t="shared" si="19"/>
        <v>0</v>
      </c>
    </row>
    <row r="104" spans="1:23" s="221" customFormat="1" ht="11.25" thickBot="1" x14ac:dyDescent="0.2">
      <c r="A104" s="536" t="s">
        <v>11</v>
      </c>
      <c r="B104" s="532"/>
      <c r="C104" s="537"/>
      <c r="D104" s="538"/>
      <c r="E104" s="536"/>
      <c r="F104" s="539"/>
      <c r="G104" s="540"/>
      <c r="H104" s="522">
        <f t="shared" ref="H104:V104" si="20">SUM(H93:H103)</f>
        <v>-1410.5500000000002</v>
      </c>
      <c r="I104" s="522">
        <f t="shared" si="20"/>
        <v>2425.64</v>
      </c>
      <c r="J104" s="522">
        <f t="shared" si="20"/>
        <v>1814.28</v>
      </c>
      <c r="K104" s="522">
        <f t="shared" si="20"/>
        <v>2742.87</v>
      </c>
      <c r="L104" s="522">
        <f t="shared" si="20"/>
        <v>2109.98</v>
      </c>
      <c r="M104" s="522">
        <f t="shared" si="20"/>
        <v>2482.92</v>
      </c>
      <c r="N104" s="522">
        <f t="shared" si="20"/>
        <v>2128.4500000000003</v>
      </c>
      <c r="O104" s="522">
        <f t="shared" si="20"/>
        <v>2117.0500000000002</v>
      </c>
      <c r="P104" s="522">
        <f t="shared" si="20"/>
        <v>2843.23</v>
      </c>
      <c r="Q104" s="522">
        <f t="shared" si="20"/>
        <v>2436.9799999999996</v>
      </c>
      <c r="R104" s="522">
        <f t="shared" si="20"/>
        <v>3852.01</v>
      </c>
      <c r="S104" s="522">
        <f t="shared" si="20"/>
        <v>2717.24</v>
      </c>
      <c r="T104" s="522">
        <f t="shared" si="20"/>
        <v>0</v>
      </c>
      <c r="U104" s="522">
        <f>SUM(U93:U103)</f>
        <v>0</v>
      </c>
      <c r="V104" s="522">
        <f t="shared" si="20"/>
        <v>26260.099999999995</v>
      </c>
      <c r="W104" s="97" t="str">
        <f>+IF(V104=SUM(H104:T104),"contrôle ok", "erreur")</f>
        <v>contrôle ok</v>
      </c>
    </row>
    <row r="105" spans="1:23" ht="11.25" thickTop="1" x14ac:dyDescent="0.15">
      <c r="A105" s="434"/>
      <c r="B105" s="424"/>
      <c r="C105" s="455"/>
      <c r="D105" s="413"/>
      <c r="E105" s="372"/>
      <c r="F105" s="413"/>
      <c r="G105" s="435"/>
      <c r="H105" s="246"/>
      <c r="I105" s="246"/>
      <c r="J105" s="231"/>
      <c r="K105" s="231"/>
      <c r="L105" s="246"/>
      <c r="M105" s="246"/>
      <c r="N105" s="231"/>
      <c r="O105" s="231"/>
      <c r="P105" s="231"/>
      <c r="Q105" s="231"/>
      <c r="R105" s="231"/>
      <c r="S105" s="231"/>
      <c r="T105" s="231"/>
      <c r="U105" s="231"/>
      <c r="V105" s="258"/>
    </row>
    <row r="106" spans="1:23" x14ac:dyDescent="0.15">
      <c r="A106" s="352" t="s">
        <v>12</v>
      </c>
      <c r="B106" s="353"/>
      <c r="C106" s="453"/>
      <c r="D106" s="410"/>
      <c r="E106" s="355"/>
      <c r="F106" s="418"/>
      <c r="G106" s="356"/>
      <c r="H106" s="224"/>
      <c r="I106" s="224"/>
      <c r="J106" s="251"/>
      <c r="K106" s="224"/>
      <c r="L106" s="224"/>
      <c r="M106" s="224"/>
      <c r="N106" s="224"/>
      <c r="O106" s="224"/>
      <c r="P106" s="224"/>
      <c r="Q106" s="224"/>
      <c r="R106" s="224"/>
      <c r="S106" s="224"/>
      <c r="T106" s="224"/>
      <c r="U106" s="224"/>
      <c r="V106" s="252"/>
    </row>
    <row r="107" spans="1:23" x14ac:dyDescent="0.15">
      <c r="A107" s="255" t="s">
        <v>294</v>
      </c>
      <c r="B107" s="255" t="s">
        <v>422</v>
      </c>
      <c r="C107" s="454" t="s">
        <v>515</v>
      </c>
      <c r="D107" s="412">
        <v>615220</v>
      </c>
      <c r="E107" s="357" t="s">
        <v>194</v>
      </c>
      <c r="F107" s="412" t="s">
        <v>179</v>
      </c>
      <c r="G107" s="428">
        <v>158.66999999999999</v>
      </c>
      <c r="H107" s="559"/>
      <c r="I107" s="226">
        <v>158.66999999999999</v>
      </c>
      <c r="J107" s="226">
        <v>158.66999999999999</v>
      </c>
      <c r="K107" s="226">
        <v>158.66999999999999</v>
      </c>
      <c r="L107" s="226">
        <v>158.66999999999999</v>
      </c>
      <c r="M107" s="226">
        <v>158.66999999999999</v>
      </c>
      <c r="N107" s="226">
        <v>158.66999999999999</v>
      </c>
      <c r="O107" s="226">
        <v>158.66999999999999</v>
      </c>
      <c r="P107" s="226">
        <v>158.66999999999999</v>
      </c>
      <c r="Q107" s="226">
        <v>158.66999999999999</v>
      </c>
      <c r="R107" s="226">
        <v>158.66999999999999</v>
      </c>
      <c r="S107" s="226">
        <v>158.66999999999999</v>
      </c>
      <c r="T107" s="226">
        <v>158.66999999999999</v>
      </c>
      <c r="U107" s="226"/>
      <c r="V107" s="255">
        <f t="shared" ref="V107:V117" si="21">SUM(H107:T107)</f>
        <v>1904.0400000000002</v>
      </c>
    </row>
    <row r="108" spans="1:23" x14ac:dyDescent="0.15">
      <c r="A108" s="255"/>
      <c r="B108" s="255"/>
      <c r="C108" s="454"/>
      <c r="D108" s="412"/>
      <c r="E108" s="357"/>
      <c r="F108" s="412"/>
      <c r="G108" s="428"/>
      <c r="H108" s="559"/>
      <c r="I108" s="226"/>
      <c r="J108" s="226"/>
      <c r="K108" s="226"/>
      <c r="L108" s="226"/>
      <c r="M108" s="226"/>
      <c r="N108" s="226"/>
      <c r="O108" s="226"/>
      <c r="P108" s="226"/>
      <c r="Q108" s="226"/>
      <c r="R108" s="226"/>
      <c r="S108" s="226"/>
      <c r="T108" s="226"/>
      <c r="U108" s="226"/>
      <c r="V108" s="255">
        <f t="shared" si="21"/>
        <v>0</v>
      </c>
    </row>
    <row r="109" spans="1:23" x14ac:dyDescent="0.15">
      <c r="A109" s="255" t="s">
        <v>452</v>
      </c>
      <c r="B109" s="255" t="s">
        <v>453</v>
      </c>
      <c r="C109" s="454">
        <v>2015</v>
      </c>
      <c r="D109" s="412">
        <v>615220</v>
      </c>
      <c r="E109" s="357" t="s">
        <v>153</v>
      </c>
      <c r="F109" s="412" t="s">
        <v>179</v>
      </c>
      <c r="G109" s="428">
        <v>5.84</v>
      </c>
      <c r="H109" s="559">
        <v>-70.08</v>
      </c>
      <c r="I109" s="226"/>
      <c r="J109" s="226"/>
      <c r="K109" s="226"/>
      <c r="L109" s="226"/>
      <c r="M109" s="226"/>
      <c r="N109" s="226"/>
      <c r="O109" s="226"/>
      <c r="P109" s="226"/>
      <c r="Q109" s="226"/>
      <c r="R109" s="226"/>
      <c r="S109" s="226"/>
      <c r="T109" s="226"/>
      <c r="U109" s="226"/>
      <c r="V109" s="255">
        <f t="shared" si="21"/>
        <v>-70.08</v>
      </c>
    </row>
    <row r="110" spans="1:23" x14ac:dyDescent="0.15">
      <c r="A110" s="255" t="s">
        <v>622</v>
      </c>
      <c r="B110" s="255" t="s">
        <v>467</v>
      </c>
      <c r="C110" s="454" t="s">
        <v>623</v>
      </c>
      <c r="D110" s="412">
        <v>615220</v>
      </c>
      <c r="E110" s="357" t="s">
        <v>153</v>
      </c>
      <c r="F110" s="412" t="s">
        <v>179</v>
      </c>
      <c r="G110" s="428">
        <v>67.510000000000005</v>
      </c>
      <c r="H110" s="559"/>
      <c r="I110" s="226">
        <v>67.510000000000005</v>
      </c>
      <c r="J110" s="226">
        <v>67.510000000000005</v>
      </c>
      <c r="K110" s="226">
        <v>67.510000000000005</v>
      </c>
      <c r="L110" s="226">
        <v>67.513999999999996</v>
      </c>
      <c r="M110" s="226">
        <v>67.510000000000005</v>
      </c>
      <c r="N110" s="226">
        <v>67.510000000000005</v>
      </c>
      <c r="O110" s="226">
        <v>67.510000000000005</v>
      </c>
      <c r="P110" s="226">
        <v>67.510000000000005</v>
      </c>
      <c r="Q110" s="226">
        <v>67.510000000000005</v>
      </c>
      <c r="R110" s="226">
        <v>67.510000000000005</v>
      </c>
      <c r="S110" s="226">
        <v>67.510000000000005</v>
      </c>
      <c r="T110" s="226">
        <v>67.510000000000005</v>
      </c>
      <c r="U110" s="226"/>
      <c r="V110" s="255">
        <f t="shared" si="21"/>
        <v>810.12400000000002</v>
      </c>
    </row>
    <row r="111" spans="1:23" x14ac:dyDescent="0.15">
      <c r="A111" s="255" t="s">
        <v>622</v>
      </c>
      <c r="B111" s="255" t="s">
        <v>467</v>
      </c>
      <c r="C111" s="454" t="s">
        <v>649</v>
      </c>
      <c r="D111" s="412">
        <v>615220</v>
      </c>
      <c r="E111" s="357" t="s">
        <v>153</v>
      </c>
      <c r="F111" s="412" t="s">
        <v>179</v>
      </c>
      <c r="G111" s="428">
        <v>15.11</v>
      </c>
      <c r="H111" s="559"/>
      <c r="I111" s="226">
        <v>15.11</v>
      </c>
      <c r="J111" s="226">
        <v>15.11</v>
      </c>
      <c r="K111" s="226">
        <v>15.11</v>
      </c>
      <c r="L111" s="226">
        <v>15.11</v>
      </c>
      <c r="M111" s="226">
        <v>15.11</v>
      </c>
      <c r="N111" s="226">
        <v>15.11</v>
      </c>
      <c r="O111" s="226">
        <v>15.11</v>
      </c>
      <c r="P111" s="226">
        <v>15.11</v>
      </c>
      <c r="Q111" s="226">
        <v>15.11</v>
      </c>
      <c r="R111" s="226">
        <v>15.11</v>
      </c>
      <c r="S111" s="226">
        <v>15.11</v>
      </c>
      <c r="T111" s="226">
        <v>15.11</v>
      </c>
      <c r="U111" s="226"/>
      <c r="V111" s="255">
        <f t="shared" si="21"/>
        <v>181.32000000000005</v>
      </c>
    </row>
    <row r="112" spans="1:23" x14ac:dyDescent="0.15">
      <c r="A112" s="255" t="s">
        <v>622</v>
      </c>
      <c r="B112" s="255" t="s">
        <v>653</v>
      </c>
      <c r="C112" s="454" t="s">
        <v>649</v>
      </c>
      <c r="D112" s="412">
        <v>615220</v>
      </c>
      <c r="E112" s="357" t="s">
        <v>153</v>
      </c>
      <c r="F112" s="412" t="s">
        <v>179</v>
      </c>
      <c r="G112" s="428">
        <v>23.83</v>
      </c>
      <c r="H112" s="559"/>
      <c r="I112" s="226">
        <v>23.83</v>
      </c>
      <c r="J112" s="226">
        <v>23.83</v>
      </c>
      <c r="K112" s="226">
        <v>23.83</v>
      </c>
      <c r="L112" s="226">
        <v>23.83</v>
      </c>
      <c r="M112" s="226">
        <v>23.83</v>
      </c>
      <c r="N112" s="226">
        <v>23.83</v>
      </c>
      <c r="O112" s="226">
        <v>23.83</v>
      </c>
      <c r="P112" s="226">
        <v>23.83</v>
      </c>
      <c r="Q112" s="226">
        <v>23.83</v>
      </c>
      <c r="R112" s="226">
        <v>23.83</v>
      </c>
      <c r="S112" s="226">
        <v>23.83</v>
      </c>
      <c r="T112" s="226">
        <v>23.83</v>
      </c>
      <c r="U112" s="226"/>
      <c r="V112" s="255">
        <f t="shared" si="21"/>
        <v>285.95999999999992</v>
      </c>
    </row>
    <row r="113" spans="1:23" x14ac:dyDescent="0.15">
      <c r="A113" s="143" t="s">
        <v>452</v>
      </c>
      <c r="B113" s="143" t="s">
        <v>527</v>
      </c>
      <c r="C113" s="144" t="s">
        <v>528</v>
      </c>
      <c r="D113" s="412">
        <v>615220</v>
      </c>
      <c r="E113" s="357" t="s">
        <v>153</v>
      </c>
      <c r="F113" s="412" t="s">
        <v>179</v>
      </c>
      <c r="G113" s="428">
        <v>50.67</v>
      </c>
      <c r="H113" s="559"/>
      <c r="I113" s="226">
        <v>50.67</v>
      </c>
      <c r="J113" s="226">
        <v>50.67</v>
      </c>
      <c r="K113" s="226">
        <v>50.67</v>
      </c>
      <c r="L113" s="226">
        <v>50.67</v>
      </c>
      <c r="M113" s="226">
        <v>50.67</v>
      </c>
      <c r="N113" s="226">
        <v>50.67</v>
      </c>
      <c r="O113" s="226">
        <v>50.67</v>
      </c>
      <c r="P113" s="226">
        <v>50.67</v>
      </c>
      <c r="Q113" s="226">
        <v>50.67</v>
      </c>
      <c r="R113" s="226">
        <v>50.67</v>
      </c>
      <c r="S113" s="226">
        <v>50.67</v>
      </c>
      <c r="T113" s="226">
        <v>50.6</v>
      </c>
      <c r="U113" s="226"/>
      <c r="V113" s="255">
        <f t="shared" si="21"/>
        <v>607.97000000000014</v>
      </c>
    </row>
    <row r="114" spans="1:23" x14ac:dyDescent="0.15">
      <c r="A114" s="255"/>
      <c r="B114" s="255"/>
      <c r="C114" s="454"/>
      <c r="D114" s="412"/>
      <c r="E114" s="357"/>
      <c r="F114" s="412"/>
      <c r="G114" s="428"/>
      <c r="H114" s="559"/>
      <c r="I114" s="226"/>
      <c r="J114" s="226"/>
      <c r="K114" s="226"/>
      <c r="L114" s="226"/>
      <c r="M114" s="226"/>
      <c r="N114" s="226"/>
      <c r="O114" s="226"/>
      <c r="P114" s="226"/>
      <c r="Q114" s="226"/>
      <c r="R114" s="226"/>
      <c r="S114" s="226"/>
      <c r="T114" s="226"/>
      <c r="U114" s="226"/>
      <c r="V114" s="255">
        <f t="shared" si="21"/>
        <v>0</v>
      </c>
    </row>
    <row r="115" spans="1:23" x14ac:dyDescent="0.15">
      <c r="A115" s="255" t="s">
        <v>376</v>
      </c>
      <c r="B115" s="255"/>
      <c r="C115" s="454"/>
      <c r="D115" s="412">
        <v>615220</v>
      </c>
      <c r="E115" s="357" t="s">
        <v>153</v>
      </c>
      <c r="F115" s="412" t="s">
        <v>192</v>
      </c>
      <c r="G115" s="428"/>
      <c r="H115" s="559"/>
      <c r="I115" s="226"/>
      <c r="J115" s="226"/>
      <c r="K115" s="226"/>
      <c r="L115" s="226"/>
      <c r="M115" s="226"/>
      <c r="N115" s="226"/>
      <c r="O115" s="226">
        <v>679</v>
      </c>
      <c r="P115" s="226"/>
      <c r="Q115" s="226">
        <v>-679</v>
      </c>
      <c r="R115" s="226"/>
      <c r="S115" s="226"/>
      <c r="T115" s="226"/>
      <c r="U115" s="226"/>
      <c r="V115" s="255">
        <f t="shared" si="21"/>
        <v>0</v>
      </c>
    </row>
    <row r="116" spans="1:23" x14ac:dyDescent="0.15">
      <c r="A116" s="255"/>
      <c r="B116" s="255"/>
      <c r="C116" s="454"/>
      <c r="D116" s="412"/>
      <c r="E116" s="357"/>
      <c r="F116" s="412"/>
      <c r="G116" s="428"/>
      <c r="H116" s="559"/>
      <c r="I116" s="226"/>
      <c r="J116" s="226"/>
      <c r="K116" s="226"/>
      <c r="L116" s="226"/>
      <c r="M116" s="226"/>
      <c r="N116" s="226"/>
      <c r="O116" s="226"/>
      <c r="P116" s="226"/>
      <c r="Q116" s="226"/>
      <c r="R116" s="226"/>
      <c r="S116" s="226"/>
      <c r="T116" s="226"/>
      <c r="U116" s="226"/>
      <c r="V116" s="255">
        <f t="shared" si="21"/>
        <v>0</v>
      </c>
    </row>
    <row r="117" spans="1:23" x14ac:dyDescent="0.15">
      <c r="A117" s="255" t="s">
        <v>483</v>
      </c>
      <c r="B117" s="255" t="s">
        <v>511</v>
      </c>
      <c r="C117" s="454" t="s">
        <v>513</v>
      </c>
      <c r="D117" s="412">
        <v>615220</v>
      </c>
      <c r="E117" s="357" t="s">
        <v>63</v>
      </c>
      <c r="F117" s="412" t="s">
        <v>179</v>
      </c>
      <c r="G117" s="428">
        <v>35.47</v>
      </c>
      <c r="H117" s="559"/>
      <c r="I117" s="226">
        <v>35.47</v>
      </c>
      <c r="J117" s="226">
        <v>35.47</v>
      </c>
      <c r="K117" s="226">
        <v>35.47</v>
      </c>
      <c r="L117" s="226">
        <v>35.47</v>
      </c>
      <c r="M117" s="226">
        <v>35.47</v>
      </c>
      <c r="N117" s="226">
        <v>35.47</v>
      </c>
      <c r="O117" s="226">
        <v>35.47</v>
      </c>
      <c r="P117" s="226">
        <v>35.47</v>
      </c>
      <c r="Q117" s="226">
        <v>35.47</v>
      </c>
      <c r="R117" s="226">
        <v>35.47</v>
      </c>
      <c r="S117" s="226">
        <v>35.47</v>
      </c>
      <c r="T117" s="226">
        <v>35.47</v>
      </c>
      <c r="U117" s="226"/>
      <c r="V117" s="255">
        <f t="shared" si="21"/>
        <v>425.6400000000001</v>
      </c>
    </row>
    <row r="118" spans="1:23" s="221" customFormat="1" ht="11.25" thickBot="1" x14ac:dyDescent="0.2">
      <c r="A118" s="536" t="s">
        <v>11</v>
      </c>
      <c r="B118" s="532"/>
      <c r="C118" s="537"/>
      <c r="D118" s="538"/>
      <c r="E118" s="536"/>
      <c r="F118" s="539"/>
      <c r="G118" s="540"/>
      <c r="H118" s="522">
        <f t="shared" ref="H118:V118" si="22">SUM(H107:H117)</f>
        <v>-70.08</v>
      </c>
      <c r="I118" s="522">
        <f t="shared" si="22"/>
        <v>351.26</v>
      </c>
      <c r="J118" s="522">
        <f t="shared" si="22"/>
        <v>351.26</v>
      </c>
      <c r="K118" s="522">
        <f t="shared" si="22"/>
        <v>351.26</v>
      </c>
      <c r="L118" s="522">
        <f t="shared" si="22"/>
        <v>351.26400000000001</v>
      </c>
      <c r="M118" s="522">
        <f t="shared" si="22"/>
        <v>351.26</v>
      </c>
      <c r="N118" s="522">
        <f t="shared" si="22"/>
        <v>351.26</v>
      </c>
      <c r="O118" s="522">
        <f t="shared" si="22"/>
        <v>1030.26</v>
      </c>
      <c r="P118" s="522">
        <f t="shared" si="22"/>
        <v>351.26</v>
      </c>
      <c r="Q118" s="522">
        <f t="shared" si="22"/>
        <v>-327.74</v>
      </c>
      <c r="R118" s="522">
        <f t="shared" si="22"/>
        <v>351.26</v>
      </c>
      <c r="S118" s="522">
        <f t="shared" si="22"/>
        <v>351.26</v>
      </c>
      <c r="T118" s="522">
        <f t="shared" si="22"/>
        <v>351.19000000000005</v>
      </c>
      <c r="U118" s="522">
        <f>SUM(U107:U117)</f>
        <v>0</v>
      </c>
      <c r="V118" s="522">
        <f t="shared" si="22"/>
        <v>4144.9740000000011</v>
      </c>
      <c r="W118" s="97" t="str">
        <f>+IF(V118=SUM(H118:T118),"contrôle ok", "erreur")</f>
        <v>contrôle ok</v>
      </c>
    </row>
    <row r="119" spans="1:23" ht="11.25" thickTop="1" x14ac:dyDescent="0.15">
      <c r="A119" s="434"/>
      <c r="B119" s="377"/>
      <c r="C119" s="457"/>
      <c r="D119" s="416"/>
      <c r="E119" s="363"/>
      <c r="F119" s="416"/>
      <c r="G119" s="364"/>
      <c r="H119" s="229"/>
      <c r="I119" s="229"/>
      <c r="J119" s="229"/>
      <c r="K119" s="229"/>
      <c r="L119" s="229"/>
      <c r="M119" s="229"/>
      <c r="N119" s="228"/>
      <c r="O119" s="228"/>
      <c r="P119" s="228"/>
      <c r="Q119" s="228"/>
      <c r="R119" s="228"/>
      <c r="S119" s="228"/>
      <c r="T119" s="228"/>
      <c r="U119" s="228"/>
      <c r="V119" s="258"/>
      <c r="W119" s="360"/>
    </row>
    <row r="120" spans="1:23" x14ac:dyDescent="0.15">
      <c r="A120" s="352" t="s">
        <v>14</v>
      </c>
      <c r="B120" s="353"/>
      <c r="C120" s="453"/>
      <c r="D120" s="410"/>
      <c r="E120" s="355"/>
      <c r="F120" s="418"/>
      <c r="G120" s="356"/>
      <c r="H120" s="224"/>
      <c r="I120" s="224"/>
      <c r="J120" s="251"/>
      <c r="K120" s="224"/>
      <c r="L120" s="224"/>
      <c r="M120" s="224"/>
      <c r="N120" s="224"/>
      <c r="O120" s="224"/>
      <c r="P120" s="224"/>
      <c r="Q120" s="224"/>
      <c r="R120" s="224"/>
      <c r="S120" s="224"/>
      <c r="T120" s="224"/>
      <c r="U120" s="224"/>
      <c r="V120" s="252"/>
      <c r="W120" s="360"/>
    </row>
    <row r="121" spans="1:23" x14ac:dyDescent="0.15">
      <c r="A121" s="255" t="s">
        <v>15</v>
      </c>
      <c r="B121" s="143" t="s">
        <v>97</v>
      </c>
      <c r="C121" s="454" t="s">
        <v>784</v>
      </c>
      <c r="D121" s="412">
        <v>615230</v>
      </c>
      <c r="E121" s="357" t="s">
        <v>63</v>
      </c>
      <c r="F121" s="412" t="s">
        <v>179</v>
      </c>
      <c r="G121" s="428">
        <v>232.7</v>
      </c>
      <c r="H121" s="559"/>
      <c r="I121" s="226">
        <v>235.75</v>
      </c>
      <c r="J121" s="226">
        <v>235.75</v>
      </c>
      <c r="K121" s="226">
        <v>235.75</v>
      </c>
      <c r="L121" s="226">
        <v>235.73</v>
      </c>
      <c r="M121" s="226">
        <v>239.79</v>
      </c>
      <c r="N121" s="226">
        <v>239.79</v>
      </c>
      <c r="O121" s="226">
        <v>239.79</v>
      </c>
      <c r="P121" s="226">
        <v>239.79</v>
      </c>
      <c r="Q121" s="226">
        <v>239.79</v>
      </c>
      <c r="R121" s="226">
        <v>239.79</v>
      </c>
      <c r="S121" s="226">
        <v>239.79</v>
      </c>
      <c r="T121" s="226">
        <v>239.79</v>
      </c>
      <c r="U121" s="226"/>
      <c r="V121" s="255">
        <f>SUM(H121:T121)</f>
        <v>2861.2999999999997</v>
      </c>
    </row>
    <row r="122" spans="1:23" x14ac:dyDescent="0.15">
      <c r="A122" s="255" t="s">
        <v>295</v>
      </c>
      <c r="B122" s="255" t="s">
        <v>321</v>
      </c>
      <c r="C122" s="454" t="s">
        <v>626</v>
      </c>
      <c r="D122" s="412">
        <v>615230</v>
      </c>
      <c r="E122" s="357" t="s">
        <v>63</v>
      </c>
      <c r="F122" s="412" t="s">
        <v>179</v>
      </c>
      <c r="G122" s="428">
        <v>14.58</v>
      </c>
      <c r="H122" s="559"/>
      <c r="I122" s="226">
        <v>14.59</v>
      </c>
      <c r="J122" s="226">
        <v>14.59</v>
      </c>
      <c r="K122" s="226">
        <v>14.59</v>
      </c>
      <c r="L122" s="226">
        <v>14.59</v>
      </c>
      <c r="M122" s="226">
        <v>14.59</v>
      </c>
      <c r="N122" s="226">
        <v>14.59</v>
      </c>
      <c r="O122" s="226">
        <v>14.59</v>
      </c>
      <c r="P122" s="226">
        <v>14.59</v>
      </c>
      <c r="Q122" s="226">
        <v>14.59</v>
      </c>
      <c r="R122" s="226">
        <v>14.59</v>
      </c>
      <c r="S122" s="226">
        <v>14.59</v>
      </c>
      <c r="T122" s="226">
        <v>14.59</v>
      </c>
      <c r="U122" s="226"/>
      <c r="V122" s="255">
        <f>SUM(H122:T122)</f>
        <v>175.08</v>
      </c>
    </row>
    <row r="123" spans="1:23" x14ac:dyDescent="0.15">
      <c r="A123" s="255" t="s">
        <v>295</v>
      </c>
      <c r="B123" s="255" t="s">
        <v>612</v>
      </c>
      <c r="C123" s="454"/>
      <c r="D123" s="412">
        <v>615230</v>
      </c>
      <c r="E123" s="357" t="s">
        <v>63</v>
      </c>
      <c r="F123" s="412" t="s">
        <v>179</v>
      </c>
      <c r="G123" s="428"/>
      <c r="H123" s="559">
        <v>-40</v>
      </c>
      <c r="I123" s="226"/>
      <c r="J123" s="226">
        <v>32.49</v>
      </c>
      <c r="K123" s="226"/>
      <c r="L123" s="226"/>
      <c r="M123" s="226">
        <v>16.18</v>
      </c>
      <c r="N123" s="226"/>
      <c r="O123" s="226"/>
      <c r="P123" s="226">
        <v>18.21</v>
      </c>
      <c r="Q123" s="226"/>
      <c r="R123" s="226"/>
      <c r="S123" s="226">
        <v>20.67</v>
      </c>
      <c r="T123" s="583">
        <v>15</v>
      </c>
      <c r="U123" s="226"/>
      <c r="V123" s="255">
        <f>SUM(H123:T123)</f>
        <v>62.550000000000004</v>
      </c>
    </row>
    <row r="124" spans="1:23" x14ac:dyDescent="0.15">
      <c r="A124" s="255" t="s">
        <v>295</v>
      </c>
      <c r="B124" s="255" t="s">
        <v>618</v>
      </c>
      <c r="C124" s="454" t="s">
        <v>625</v>
      </c>
      <c r="D124" s="412">
        <v>615230</v>
      </c>
      <c r="E124" s="357" t="s">
        <v>63</v>
      </c>
      <c r="F124" s="412" t="s">
        <v>179</v>
      </c>
      <c r="G124" s="428">
        <v>16.670000000000002</v>
      </c>
      <c r="H124" s="559"/>
      <c r="I124" s="226">
        <v>16.670000000000002</v>
      </c>
      <c r="J124" s="226">
        <v>16.670000000000002</v>
      </c>
      <c r="K124" s="226">
        <v>16.670000000000002</v>
      </c>
      <c r="L124" s="226">
        <v>16.670000000000002</v>
      </c>
      <c r="M124" s="226">
        <v>16.670000000000002</v>
      </c>
      <c r="N124" s="226">
        <v>16.63</v>
      </c>
      <c r="O124" s="226"/>
      <c r="P124" s="226"/>
      <c r="Q124" s="226"/>
      <c r="R124" s="226"/>
      <c r="S124" s="226"/>
      <c r="T124" s="226"/>
      <c r="U124" s="226"/>
      <c r="V124" s="255">
        <f>SUM(H124:T124)</f>
        <v>99.98</v>
      </c>
    </row>
    <row r="125" spans="1:23" x14ac:dyDescent="0.15">
      <c r="A125" s="255" t="s">
        <v>15</v>
      </c>
      <c r="B125" s="255"/>
      <c r="C125" s="454"/>
      <c r="D125" s="412">
        <v>615230</v>
      </c>
      <c r="E125" s="357" t="s">
        <v>63</v>
      </c>
      <c r="F125" s="412" t="s">
        <v>192</v>
      </c>
      <c r="G125" s="428"/>
      <c r="H125" s="559"/>
      <c r="I125" s="226"/>
      <c r="J125" s="226"/>
      <c r="K125" s="226"/>
      <c r="L125" s="226"/>
      <c r="M125" s="226"/>
      <c r="N125" s="226"/>
      <c r="O125" s="226"/>
      <c r="P125" s="226"/>
      <c r="Q125" s="226"/>
      <c r="R125" s="226"/>
      <c r="S125" s="226"/>
      <c r="T125" s="226"/>
      <c r="U125" s="226"/>
      <c r="V125" s="255">
        <f>SUM(H125:T125)</f>
        <v>0</v>
      </c>
    </row>
    <row r="126" spans="1:23" s="221" customFormat="1" ht="11.25" thickBot="1" x14ac:dyDescent="0.2">
      <c r="A126" s="536" t="s">
        <v>11</v>
      </c>
      <c r="B126" s="532"/>
      <c r="C126" s="537"/>
      <c r="D126" s="538"/>
      <c r="E126" s="536"/>
      <c r="F126" s="539"/>
      <c r="G126" s="540"/>
      <c r="H126" s="522">
        <f>SUM(H122:H125)</f>
        <v>-40</v>
      </c>
      <c r="I126" s="522">
        <f t="shared" ref="I126:V126" si="23">SUM(I121:I125)</f>
        <v>267.01</v>
      </c>
      <c r="J126" s="522">
        <f t="shared" si="23"/>
        <v>299.5</v>
      </c>
      <c r="K126" s="522">
        <f t="shared" si="23"/>
        <v>267.01</v>
      </c>
      <c r="L126" s="522">
        <f t="shared" si="23"/>
        <v>266.99</v>
      </c>
      <c r="M126" s="522">
        <f t="shared" si="23"/>
        <v>287.23</v>
      </c>
      <c r="N126" s="522">
        <f t="shared" si="23"/>
        <v>271.01</v>
      </c>
      <c r="O126" s="522">
        <f t="shared" si="23"/>
        <v>254.38</v>
      </c>
      <c r="P126" s="522">
        <f t="shared" si="23"/>
        <v>272.58999999999997</v>
      </c>
      <c r="Q126" s="522">
        <f t="shared" si="23"/>
        <v>254.38</v>
      </c>
      <c r="R126" s="522">
        <f t="shared" si="23"/>
        <v>254.38</v>
      </c>
      <c r="S126" s="522">
        <f t="shared" si="23"/>
        <v>275.05</v>
      </c>
      <c r="T126" s="522">
        <f t="shared" si="23"/>
        <v>269.38</v>
      </c>
      <c r="U126" s="522">
        <f>SUM(U121:U125)</f>
        <v>0</v>
      </c>
      <c r="V126" s="522">
        <f t="shared" si="23"/>
        <v>3198.91</v>
      </c>
      <c r="W126" s="97" t="str">
        <f>+IF(V126=SUM(H126:T126),"contrôle ok", "erreur")</f>
        <v>contrôle ok</v>
      </c>
    </row>
    <row r="127" spans="1:23" s="221" customFormat="1" ht="11.25" thickTop="1" x14ac:dyDescent="0.15">
      <c r="A127" s="361"/>
      <c r="B127" s="361"/>
      <c r="C127" s="457"/>
      <c r="D127" s="414"/>
      <c r="E127" s="363"/>
      <c r="F127" s="414"/>
      <c r="G127" s="364"/>
      <c r="H127" s="229"/>
      <c r="I127" s="229"/>
      <c r="J127" s="229"/>
      <c r="K127" s="229"/>
      <c r="L127" s="229"/>
      <c r="M127" s="229"/>
      <c r="N127" s="257"/>
      <c r="O127" s="229"/>
      <c r="P127" s="229"/>
      <c r="Q127" s="229"/>
      <c r="R127" s="229"/>
      <c r="S127" s="229"/>
      <c r="T127" s="229"/>
      <c r="U127" s="229"/>
      <c r="V127" s="258"/>
    </row>
    <row r="128" spans="1:23" x14ac:dyDescent="0.15">
      <c r="A128" s="352" t="s">
        <v>34</v>
      </c>
      <c r="B128" s="353"/>
      <c r="C128" s="453"/>
      <c r="D128" s="410"/>
      <c r="E128" s="355"/>
      <c r="F128" s="418"/>
      <c r="G128" s="356"/>
      <c r="H128" s="224"/>
      <c r="I128" s="224"/>
      <c r="J128" s="251"/>
      <c r="K128" s="224"/>
      <c r="L128" s="224"/>
      <c r="M128" s="224"/>
      <c r="N128" s="224"/>
      <c r="O128" s="224"/>
      <c r="P128" s="224"/>
      <c r="Q128" s="224"/>
      <c r="R128" s="224"/>
      <c r="S128" s="224"/>
      <c r="T128" s="224"/>
      <c r="U128" s="224"/>
      <c r="V128" s="252"/>
    </row>
    <row r="129" spans="1:23" x14ac:dyDescent="0.15">
      <c r="A129" s="255" t="s">
        <v>39</v>
      </c>
      <c r="B129" s="255" t="s">
        <v>36</v>
      </c>
      <c r="C129" s="454"/>
      <c r="D129" s="412">
        <v>626300</v>
      </c>
      <c r="E129" s="357" t="s">
        <v>63</v>
      </c>
      <c r="F129" s="412"/>
      <c r="G129" s="428">
        <v>54.17</v>
      </c>
      <c r="H129" s="559"/>
      <c r="I129" s="226">
        <v>54.17</v>
      </c>
      <c r="J129" s="226">
        <v>54.17</v>
      </c>
      <c r="K129" s="226">
        <v>54.17</v>
      </c>
      <c r="L129" s="226">
        <v>54.17</v>
      </c>
      <c r="M129" s="226">
        <v>54.17</v>
      </c>
      <c r="N129" s="226">
        <v>54.17</v>
      </c>
      <c r="O129" s="226">
        <v>54.17</v>
      </c>
      <c r="P129" s="226">
        <v>54.17</v>
      </c>
      <c r="Q129" s="226">
        <v>54.17</v>
      </c>
      <c r="R129" s="226">
        <v>54.17</v>
      </c>
      <c r="S129" s="226">
        <v>54.17</v>
      </c>
      <c r="T129" s="226">
        <v>54.13</v>
      </c>
      <c r="U129" s="226"/>
      <c r="V129" s="255">
        <f>SUM(H129:T129)</f>
        <v>650</v>
      </c>
    </row>
    <row r="130" spans="1:23" s="221" customFormat="1" ht="11.25" thickBot="1" x14ac:dyDescent="0.2">
      <c r="A130" s="536" t="s">
        <v>11</v>
      </c>
      <c r="B130" s="532"/>
      <c r="C130" s="537"/>
      <c r="D130" s="538"/>
      <c r="E130" s="536"/>
      <c r="F130" s="539"/>
      <c r="G130" s="540"/>
      <c r="H130" s="522">
        <f>SUM(H129)</f>
        <v>0</v>
      </c>
      <c r="I130" s="522">
        <f>SUM(I129)</f>
        <v>54.17</v>
      </c>
      <c r="J130" s="522">
        <f t="shared" ref="J130:V130" si="24">SUM(J129)</f>
        <v>54.17</v>
      </c>
      <c r="K130" s="522">
        <f t="shared" si="24"/>
        <v>54.17</v>
      </c>
      <c r="L130" s="522">
        <f t="shared" si="24"/>
        <v>54.17</v>
      </c>
      <c r="M130" s="522">
        <f t="shared" si="24"/>
        <v>54.17</v>
      </c>
      <c r="N130" s="522">
        <f t="shared" si="24"/>
        <v>54.17</v>
      </c>
      <c r="O130" s="522">
        <f t="shared" si="24"/>
        <v>54.17</v>
      </c>
      <c r="P130" s="522">
        <f t="shared" si="24"/>
        <v>54.17</v>
      </c>
      <c r="Q130" s="522">
        <f t="shared" si="24"/>
        <v>54.17</v>
      </c>
      <c r="R130" s="522">
        <f t="shared" si="24"/>
        <v>54.17</v>
      </c>
      <c r="S130" s="522">
        <f t="shared" si="24"/>
        <v>54.17</v>
      </c>
      <c r="T130" s="522">
        <f t="shared" si="24"/>
        <v>54.13</v>
      </c>
      <c r="U130" s="522">
        <f>SUM(U129)</f>
        <v>0</v>
      </c>
      <c r="V130" s="522">
        <f t="shared" si="24"/>
        <v>650</v>
      </c>
      <c r="W130" s="97" t="str">
        <f>+IF(V130=SUM(H130:T130),"contrôle ok", "erreur")</f>
        <v>contrôle ok</v>
      </c>
    </row>
    <row r="131" spans="1:23" ht="11.25" thickTop="1" x14ac:dyDescent="0.15">
      <c r="A131" s="434"/>
      <c r="B131" s="377"/>
      <c r="C131" s="460"/>
      <c r="D131" s="446"/>
      <c r="E131" s="379"/>
      <c r="F131" s="446"/>
      <c r="G131" s="436"/>
      <c r="H131" s="437"/>
      <c r="I131" s="437"/>
      <c r="J131" s="246"/>
      <c r="K131" s="246"/>
      <c r="L131" s="246"/>
      <c r="M131" s="246"/>
      <c r="N131" s="246"/>
      <c r="O131" s="246"/>
      <c r="P131" s="246"/>
      <c r="Q131" s="246"/>
      <c r="R131" s="246"/>
      <c r="S131" s="231"/>
      <c r="T131" s="231"/>
      <c r="U131" s="231"/>
      <c r="V131" s="278"/>
    </row>
    <row r="132" spans="1:23" x14ac:dyDescent="0.15">
      <c r="A132" s="352" t="s">
        <v>16</v>
      </c>
      <c r="B132" s="353"/>
      <c r="C132" s="453"/>
      <c r="D132" s="410"/>
      <c r="E132" s="355"/>
      <c r="F132" s="418"/>
      <c r="G132" s="356"/>
      <c r="H132" s="224"/>
      <c r="I132" s="224"/>
      <c r="J132" s="251"/>
      <c r="K132" s="224"/>
      <c r="L132" s="224"/>
      <c r="M132" s="224"/>
      <c r="N132" s="224"/>
      <c r="O132" s="224"/>
      <c r="P132" s="224"/>
      <c r="Q132" s="224"/>
      <c r="R132" s="224"/>
      <c r="S132" s="224"/>
      <c r="T132" s="224"/>
      <c r="U132" s="224"/>
      <c r="V132" s="252"/>
    </row>
    <row r="133" spans="1:23" x14ac:dyDescent="0.15">
      <c r="A133" s="255"/>
      <c r="B133" s="255"/>
      <c r="C133" s="454"/>
      <c r="D133" s="412">
        <v>628500</v>
      </c>
      <c r="E133" s="357" t="s">
        <v>62</v>
      </c>
      <c r="F133" s="412"/>
      <c r="G133" s="428"/>
      <c r="H133" s="559"/>
      <c r="I133" s="226"/>
      <c r="J133" s="226"/>
      <c r="K133" s="226"/>
      <c r="L133" s="226"/>
      <c r="M133" s="226"/>
      <c r="N133" s="226"/>
      <c r="O133" s="226"/>
      <c r="P133" s="226"/>
      <c r="Q133" s="226"/>
      <c r="R133" s="226"/>
      <c r="S133" s="226"/>
      <c r="T133" s="226"/>
      <c r="U133" s="226"/>
      <c r="V133" s="255">
        <f>SUM(H133:T133)</f>
        <v>0</v>
      </c>
    </row>
    <row r="134" spans="1:23" s="221" customFormat="1" ht="11.25" thickBot="1" x14ac:dyDescent="0.2">
      <c r="A134" s="536" t="s">
        <v>11</v>
      </c>
      <c r="B134" s="532"/>
      <c r="C134" s="537"/>
      <c r="D134" s="538"/>
      <c r="E134" s="536"/>
      <c r="F134" s="539"/>
      <c r="G134" s="540"/>
      <c r="H134" s="522">
        <f>SUM(H133:H133)</f>
        <v>0</v>
      </c>
      <c r="I134" s="522">
        <f t="shared" ref="I134:V134" si="25">SUM(I133:I133)</f>
        <v>0</v>
      </c>
      <c r="J134" s="522">
        <f t="shared" si="25"/>
        <v>0</v>
      </c>
      <c r="K134" s="522">
        <f t="shared" si="25"/>
        <v>0</v>
      </c>
      <c r="L134" s="522">
        <f t="shared" si="25"/>
        <v>0</v>
      </c>
      <c r="M134" s="522">
        <f t="shared" si="25"/>
        <v>0</v>
      </c>
      <c r="N134" s="522">
        <f t="shared" si="25"/>
        <v>0</v>
      </c>
      <c r="O134" s="522">
        <f t="shared" si="25"/>
        <v>0</v>
      </c>
      <c r="P134" s="522">
        <f t="shared" si="25"/>
        <v>0</v>
      </c>
      <c r="Q134" s="522">
        <f t="shared" si="25"/>
        <v>0</v>
      </c>
      <c r="R134" s="522">
        <f t="shared" si="25"/>
        <v>0</v>
      </c>
      <c r="S134" s="522">
        <f t="shared" si="25"/>
        <v>0</v>
      </c>
      <c r="T134" s="522">
        <f t="shared" si="25"/>
        <v>0</v>
      </c>
      <c r="U134" s="522">
        <f>SUM(U133:U133)</f>
        <v>0</v>
      </c>
      <c r="V134" s="522">
        <f t="shared" si="25"/>
        <v>0</v>
      </c>
      <c r="W134" s="97" t="str">
        <f>+IF(V134=SUM(H134:T134),"contrôle ok", "erreur")</f>
        <v>contrôle ok</v>
      </c>
    </row>
    <row r="135" spans="1:23" ht="12" thickTop="1" thickBot="1" x14ac:dyDescent="0.2">
      <c r="A135" s="438"/>
      <c r="B135" s="386"/>
      <c r="C135" s="461"/>
      <c r="D135" s="447"/>
      <c r="E135" s="439"/>
      <c r="F135" s="450"/>
      <c r="G135" s="440"/>
      <c r="H135" s="403"/>
      <c r="I135" s="403"/>
      <c r="J135" s="406"/>
      <c r="K135" s="406"/>
      <c r="L135" s="406"/>
      <c r="M135" s="406"/>
      <c r="N135" s="406"/>
      <c r="O135" s="406"/>
      <c r="P135" s="406"/>
      <c r="Q135" s="406"/>
      <c r="R135" s="406"/>
      <c r="S135" s="406"/>
      <c r="T135" s="406"/>
      <c r="U135" s="406"/>
      <c r="V135" s="441"/>
    </row>
  </sheetData>
  <customSheetViews>
    <customSheetView guid="{4BA9EA0D-01E7-49D1-8245-80B9A9A68B6F}" scale="115" showPageBreaks="1" fitToPage="1" printArea="1">
      <pane ySplit="4" topLeftCell="A100" activePane="bottomLeft"/>
      <selection pane="bottomLeft" activeCell="S125" sqref="S125"/>
      <rowBreaks count="2" manualBreakCount="2">
        <brk id="78" max="20" man="1"/>
        <brk id="137" max="16383" man="1"/>
      </rowBreaks>
      <pageMargins left="3.937007874015748E-2" right="3.937007874015748E-2" top="0.15748031496062992" bottom="0.19685039370078741" header="0.15748031496062992" footer="0.23622047244094491"/>
      <pageSetup paperSize="9" scale="69" fitToHeight="2" orientation="landscape" r:id="rId1"/>
      <headerFooter alignWithMargins="0">
        <oddFooter>&amp;R&amp;8Le &amp;D
&amp;T</oddFooter>
      </headerFooter>
    </customSheetView>
    <customSheetView guid="{B5B04B19-0628-445C-9CF3-7F5D4D937774}" scale="115" fitToPage="1">
      <pane ySplit="4" topLeftCell="A100" activePane="bottomLeft"/>
      <selection pane="bottomLeft" activeCell="S125" sqref="S125"/>
      <rowBreaks count="1" manualBreakCount="1">
        <brk id="137" max="16383" man="1"/>
      </rowBreaks>
      <pageMargins left="3.937007874015748E-2" right="3.937007874015748E-2" top="0.15748031496062992" bottom="0.19685039370078741" header="0.15748031496062992" footer="0.23622047244094491"/>
      <pageSetup paperSize="9" scale="68" fitToHeight="2" orientation="landscape" r:id="rId2"/>
      <headerFooter alignWithMargins="0">
        <oddFooter>&amp;R&amp;8Le &amp;D
&amp;T</oddFooter>
      </headerFooter>
    </customSheetView>
    <customSheetView guid="{DD021BEF-F767-4779-A362-C9308ACC088B}" scale="115" fitToPage="1" printArea="1" topLeftCell="D1">
      <pane ySplit="3.8" topLeftCell="A82" activePane="bottomLeft"/>
      <selection pane="bottomLeft" activeCell="U96" sqref="U96:U103"/>
      <rowBreaks count="1" manualBreakCount="1">
        <brk id="136" max="16383" man="1"/>
      </rowBreaks>
      <pageMargins left="3.937007874015748E-2" right="3.937007874015748E-2" top="0.15748031496062992" bottom="0.19685039370078741" header="0.15748031496062992" footer="0.23622047244094491"/>
      <pageSetup paperSize="9" scale="68" fitToHeight="2" orientation="landscape" r:id="rId3"/>
      <headerFooter alignWithMargins="0">
        <oddFooter>&amp;R&amp;8Le &amp;D
&amp;T</oddFooter>
      </headerFooter>
    </customSheetView>
    <customSheetView guid="{C8B269C8-9E4E-47CC-A407-F213FAC1E35C}" scale="115" fitToPage="1">
      <selection activeCell="S21" sqref="S21"/>
      <rowBreaks count="1" manualBreakCount="1">
        <brk id="137" max="16383" man="1"/>
      </rowBreaks>
      <pageMargins left="3.937007874015748E-2" right="3.937007874015748E-2" top="0.15748031496062992" bottom="0.19685039370078741" header="0.15748031496062992" footer="0.23622047244094491"/>
      <pageSetup paperSize="9" scale="68" fitToHeight="2" orientation="landscape" r:id="rId4"/>
      <headerFooter alignWithMargins="0">
        <oddFooter>&amp;R&amp;8Le &amp;D
&amp;T</oddFooter>
      </headerFooter>
    </customSheetView>
  </customSheetViews>
  <mergeCells count="1">
    <mergeCell ref="B41:B42"/>
  </mergeCells>
  <phoneticPr fontId="0" type="noConversion"/>
  <pageMargins left="3.937007874015748E-2" right="3.937007874015748E-2" top="0.15748031496062992" bottom="0.19685039370078741" header="0.15748031496062992" footer="0.23622047244094491"/>
  <pageSetup paperSize="9" scale="68" fitToHeight="2" orientation="landscape" r:id="rId5"/>
  <headerFooter alignWithMargins="0">
    <oddFooter>&amp;R&amp;8Le &amp;D
&amp;T</oddFooter>
  </headerFooter>
  <rowBreaks count="1" manualBreakCount="1">
    <brk id="137" max="16383" man="1"/>
  </rowBreaks>
  <drawing r:id="rId6"/>
  <legacyDrawing r:id="rId7"/>
  <controls>
    <mc:AlternateContent xmlns:mc="http://schemas.openxmlformats.org/markup-compatibility/2006">
      <mc:Choice Requires="x14">
        <control shapeId="14337" r:id="rId8" name="ComboBox1">
          <controlPr defaultSize="0" autoFill="0" autoLine="0" listFillRange="COMPTE" r:id="rId9">
            <anchor>
              <from>
                <xdr:col>1</xdr:col>
                <xdr:colOff>104775</xdr:colOff>
                <xdr:row>0</xdr:row>
                <xdr:rowOff>9525</xdr:rowOff>
              </from>
              <to>
                <xdr:col>2</xdr:col>
                <xdr:colOff>685800</xdr:colOff>
                <xdr:row>1</xdr:row>
                <xdr:rowOff>85725</xdr:rowOff>
              </to>
            </anchor>
          </controlPr>
        </control>
      </mc:Choice>
      <mc:Fallback>
        <control shapeId="14337" r:id="rId8" name="ComboBox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X193"/>
  <sheetViews>
    <sheetView zoomScale="110" zoomScaleNormal="110" workbookViewId="0">
      <pane xSplit="7" ySplit="3" topLeftCell="O139" activePane="bottomRight" state="frozen"/>
      <selection activeCell="T231" sqref="T231:U231"/>
      <selection pane="topRight" activeCell="T231" sqref="T231:U231"/>
      <selection pane="bottomLeft" activeCell="T231" sqref="T231:U231"/>
      <selection pane="bottomRight" activeCell="E1" sqref="E1:E1048576"/>
    </sheetView>
  </sheetViews>
  <sheetFormatPr baseColWidth="10" defaultRowHeight="10.5" x14ac:dyDescent="0.15"/>
  <cols>
    <col min="1" max="1" width="19.28515625" style="221" customWidth="1"/>
    <col min="2" max="2" width="18.5703125" style="219" customWidth="1"/>
    <col min="3" max="3" width="11.7109375" style="337" customWidth="1"/>
    <col min="4" max="4" width="6.85546875" style="407" customWidth="1"/>
    <col min="5" max="5" width="6.5703125" style="393" customWidth="1"/>
    <col min="6" max="6" width="6.85546875" style="407" customWidth="1"/>
    <col min="7" max="7" width="10.42578125" style="392" customWidth="1"/>
    <col min="8" max="9" width="9.7109375" style="219" customWidth="1"/>
    <col min="10" max="10" width="9" style="219" customWidth="1"/>
    <col min="11" max="11" width="9.42578125" style="219" bestFit="1" customWidth="1"/>
    <col min="12" max="12" width="9.42578125" style="219" customWidth="1"/>
    <col min="13" max="13" width="9" style="219" customWidth="1"/>
    <col min="14" max="14" width="10.28515625" style="219" customWidth="1"/>
    <col min="15" max="15" width="9" style="219" customWidth="1"/>
    <col min="16" max="16" width="10.140625" style="219" customWidth="1"/>
    <col min="17" max="17" width="9.7109375" style="219" bestFit="1" customWidth="1"/>
    <col min="18" max="18" width="10.42578125" style="219" customWidth="1"/>
    <col min="19" max="19" width="10.140625" style="219" customWidth="1"/>
    <col min="20" max="21" width="11.140625" style="219" customWidth="1"/>
    <col min="22" max="22" width="12.5703125" style="219" customWidth="1"/>
    <col min="23" max="23" width="10.140625" style="374" bestFit="1" customWidth="1"/>
    <col min="24" max="24" width="8.42578125" style="374" customWidth="1"/>
    <col min="25" max="16384" width="11.42578125" style="219"/>
  </cols>
  <sheetData>
    <row r="1" spans="1:24" ht="12.75" x14ac:dyDescent="0.2">
      <c r="A1" s="336" t="s">
        <v>676</v>
      </c>
      <c r="G1" s="339"/>
      <c r="H1" s="220"/>
      <c r="I1" s="220"/>
      <c r="J1" s="247"/>
      <c r="K1" s="247"/>
      <c r="L1" s="340"/>
      <c r="M1" s="340"/>
      <c r="N1" s="340"/>
      <c r="O1" s="340"/>
      <c r="P1" s="340"/>
      <c r="Q1" s="340"/>
      <c r="R1" s="340"/>
    </row>
    <row r="2" spans="1:24" ht="11.25" thickBot="1" x14ac:dyDescent="0.2">
      <c r="H2" s="221"/>
      <c r="I2" s="221"/>
      <c r="K2" s="686"/>
      <c r="L2" s="687"/>
    </row>
    <row r="3" spans="1:24" s="337" customFormat="1" ht="11.25" thickBot="1" x14ac:dyDescent="0.2">
      <c r="A3" s="222" t="s">
        <v>0</v>
      </c>
      <c r="B3" s="222" t="s">
        <v>1</v>
      </c>
      <c r="C3" s="222" t="s">
        <v>2</v>
      </c>
      <c r="D3" s="408"/>
      <c r="E3" s="222"/>
      <c r="F3" s="408"/>
      <c r="G3" s="343" t="s">
        <v>21</v>
      </c>
      <c r="H3" s="408">
        <v>2016</v>
      </c>
      <c r="I3" s="222" t="s">
        <v>55</v>
      </c>
      <c r="J3" s="222" t="s">
        <v>56</v>
      </c>
      <c r="K3" s="222" t="s">
        <v>5</v>
      </c>
      <c r="L3" s="222" t="s">
        <v>6</v>
      </c>
      <c r="M3" s="222" t="s">
        <v>7</v>
      </c>
      <c r="N3" s="222" t="s">
        <v>8</v>
      </c>
      <c r="O3" s="222" t="s">
        <v>65</v>
      </c>
      <c r="P3" s="222" t="s">
        <v>64</v>
      </c>
      <c r="Q3" s="222" t="s">
        <v>49</v>
      </c>
      <c r="R3" s="222" t="s">
        <v>50</v>
      </c>
      <c r="S3" s="222" t="s">
        <v>59</v>
      </c>
      <c r="T3" s="344" t="s">
        <v>51</v>
      </c>
      <c r="U3" s="344" t="s">
        <v>866</v>
      </c>
      <c r="V3" s="222" t="s">
        <v>66</v>
      </c>
      <c r="W3" s="374"/>
      <c r="X3" s="374"/>
    </row>
    <row r="4" spans="1:24" x14ac:dyDescent="0.15">
      <c r="A4" s="370"/>
      <c r="B4" s="370"/>
      <c r="C4" s="394"/>
      <c r="D4" s="409"/>
      <c r="E4" s="395"/>
      <c r="F4" s="409"/>
      <c r="G4" s="396"/>
      <c r="H4" s="223"/>
      <c r="I4" s="223"/>
      <c r="J4" s="223"/>
      <c r="K4" s="223"/>
      <c r="L4" s="223"/>
      <c r="M4" s="223"/>
      <c r="N4" s="223"/>
      <c r="O4" s="223"/>
      <c r="P4" s="223"/>
      <c r="Q4" s="223"/>
      <c r="R4" s="223"/>
      <c r="S4" s="223"/>
      <c r="T4" s="223"/>
      <c r="U4" s="223"/>
      <c r="V4" s="371"/>
    </row>
    <row r="5" spans="1:24" x14ac:dyDescent="0.15">
      <c r="A5" s="352" t="s">
        <v>149</v>
      </c>
      <c r="B5" s="353"/>
      <c r="C5" s="354"/>
      <c r="D5" s="410"/>
      <c r="E5" s="355"/>
      <c r="F5" s="418"/>
      <c r="G5" s="356"/>
      <c r="H5" s="224"/>
      <c r="I5" s="224"/>
      <c r="J5" s="251"/>
      <c r="K5" s="224"/>
      <c r="L5" s="224"/>
      <c r="M5" s="224"/>
      <c r="N5" s="224"/>
      <c r="O5" s="224"/>
      <c r="P5" s="224"/>
      <c r="Q5" s="224"/>
      <c r="R5" s="224"/>
      <c r="S5" s="224"/>
      <c r="T5" s="224"/>
      <c r="U5" s="224"/>
      <c r="V5" s="252"/>
      <c r="W5" s="219"/>
      <c r="X5" s="219"/>
    </row>
    <row r="6" spans="1:24" ht="12.6" customHeight="1" x14ac:dyDescent="0.15">
      <c r="A6" s="377" t="s">
        <v>417</v>
      </c>
      <c r="B6" s="377"/>
      <c r="C6" s="378"/>
      <c r="D6" s="411">
        <v>606801</v>
      </c>
      <c r="E6" s="379" t="s">
        <v>81</v>
      </c>
      <c r="F6" s="411">
        <v>999999</v>
      </c>
      <c r="G6" s="364">
        <v>1000</v>
      </c>
      <c r="H6" s="560">
        <f>906.88-800</f>
        <v>106.88</v>
      </c>
      <c r="I6" s="326">
        <v>1239.04</v>
      </c>
      <c r="J6" s="300">
        <v>1011.84</v>
      </c>
      <c r="K6" s="326">
        <v>1082.8800000000001</v>
      </c>
      <c r="L6" s="300">
        <v>907.84</v>
      </c>
      <c r="M6" s="297">
        <v>1150.72</v>
      </c>
      <c r="N6" s="297">
        <v>955.52</v>
      </c>
      <c r="O6" s="226">
        <v>759.68</v>
      </c>
      <c r="P6" s="226">
        <v>1281.28</v>
      </c>
      <c r="Q6" s="297">
        <v>615.36</v>
      </c>
      <c r="R6" s="297">
        <v>1096.6400000000001</v>
      </c>
      <c r="S6" s="297">
        <v>1136.32</v>
      </c>
      <c r="T6" s="226"/>
      <c r="U6" s="582"/>
      <c r="V6" s="226">
        <f>SUM(H6:T6)</f>
        <v>11344.000000000002</v>
      </c>
      <c r="W6" s="219"/>
      <c r="X6" s="219"/>
    </row>
    <row r="7" spans="1:24" s="221" customFormat="1" ht="11.25" thickBot="1" x14ac:dyDescent="0.2">
      <c r="A7" s="536" t="s">
        <v>11</v>
      </c>
      <c r="B7" s="532"/>
      <c r="C7" s="542"/>
      <c r="D7" s="538"/>
      <c r="E7" s="536"/>
      <c r="F7" s="539"/>
      <c r="G7" s="540"/>
      <c r="H7" s="522">
        <f>SUM(H6:H6)</f>
        <v>106.88</v>
      </c>
      <c r="I7" s="522">
        <f t="shared" ref="I7:V7" si="0">SUM(I6:I6)</f>
        <v>1239.04</v>
      </c>
      <c r="J7" s="522">
        <f t="shared" si="0"/>
        <v>1011.84</v>
      </c>
      <c r="K7" s="522">
        <f t="shared" si="0"/>
        <v>1082.8800000000001</v>
      </c>
      <c r="L7" s="522">
        <f t="shared" si="0"/>
        <v>907.84</v>
      </c>
      <c r="M7" s="522">
        <f t="shared" si="0"/>
        <v>1150.72</v>
      </c>
      <c r="N7" s="522">
        <f t="shared" si="0"/>
        <v>955.52</v>
      </c>
      <c r="O7" s="522">
        <f t="shared" si="0"/>
        <v>759.68</v>
      </c>
      <c r="P7" s="522">
        <f t="shared" si="0"/>
        <v>1281.28</v>
      </c>
      <c r="Q7" s="522">
        <f t="shared" si="0"/>
        <v>615.36</v>
      </c>
      <c r="R7" s="522">
        <f t="shared" si="0"/>
        <v>1096.6400000000001</v>
      </c>
      <c r="S7" s="522">
        <f t="shared" si="0"/>
        <v>1136.32</v>
      </c>
      <c r="T7" s="522">
        <f t="shared" si="0"/>
        <v>0</v>
      </c>
      <c r="U7" s="522">
        <f>SUM(U6:U6)</f>
        <v>0</v>
      </c>
      <c r="V7" s="522">
        <f t="shared" si="0"/>
        <v>11344.000000000002</v>
      </c>
      <c r="W7" s="97" t="str">
        <f>+IF(V7=SUM(H7:T7),"contrôle ok", "erreur")</f>
        <v>contrôle ok</v>
      </c>
      <c r="X7" s="397"/>
    </row>
    <row r="8" spans="1:24" s="431" customFormat="1" ht="11.25" thickTop="1" x14ac:dyDescent="0.15">
      <c r="A8" s="380"/>
      <c r="B8" s="381"/>
      <c r="C8" s="382"/>
      <c r="D8" s="421"/>
      <c r="E8" s="383"/>
      <c r="F8" s="421"/>
      <c r="G8" s="367"/>
      <c r="H8" s="228"/>
      <c r="I8" s="228"/>
      <c r="J8" s="228"/>
      <c r="K8" s="228"/>
      <c r="L8" s="228"/>
      <c r="M8" s="228"/>
      <c r="N8" s="228"/>
      <c r="O8" s="228"/>
      <c r="P8" s="228"/>
      <c r="Q8" s="228"/>
      <c r="R8" s="228"/>
      <c r="S8" s="228"/>
      <c r="T8" s="228"/>
      <c r="U8" s="228"/>
      <c r="V8" s="228"/>
      <c r="W8" s="360"/>
      <c r="X8" s="541"/>
    </row>
    <row r="9" spans="1:24" x14ac:dyDescent="0.15">
      <c r="A9" s="352" t="s">
        <v>41</v>
      </c>
      <c r="B9" s="353"/>
      <c r="C9" s="354"/>
      <c r="D9" s="410"/>
      <c r="E9" s="355"/>
      <c r="F9" s="418"/>
      <c r="G9" s="356"/>
      <c r="H9" s="224"/>
      <c r="I9" s="224"/>
      <c r="J9" s="251"/>
      <c r="K9" s="224"/>
      <c r="L9" s="224"/>
      <c r="M9" s="224"/>
      <c r="N9" s="224"/>
      <c r="O9" s="224"/>
      <c r="P9" s="224"/>
      <c r="Q9" s="224"/>
      <c r="R9" s="224"/>
      <c r="S9" s="224"/>
      <c r="T9" s="224"/>
      <c r="U9" s="224"/>
      <c r="V9" s="252"/>
      <c r="W9" s="219"/>
      <c r="X9" s="219"/>
    </row>
    <row r="10" spans="1:24" x14ac:dyDescent="0.15">
      <c r="A10" s="255" t="s">
        <v>822</v>
      </c>
      <c r="B10" s="255"/>
      <c r="C10" s="368"/>
      <c r="D10" s="412">
        <v>615111</v>
      </c>
      <c r="E10" s="357" t="s">
        <v>143</v>
      </c>
      <c r="F10" s="412" t="s">
        <v>192</v>
      </c>
      <c r="G10" s="369"/>
      <c r="H10" s="559"/>
      <c r="I10" s="226"/>
      <c r="J10" s="226"/>
      <c r="K10" s="226"/>
      <c r="L10" s="226"/>
      <c r="M10" s="226"/>
      <c r="N10" s="226"/>
      <c r="O10" s="226"/>
      <c r="P10" s="226"/>
      <c r="Q10" s="226"/>
      <c r="R10" s="226"/>
      <c r="S10" s="226"/>
      <c r="T10" s="226"/>
      <c r="U10" s="582"/>
      <c r="V10" s="226">
        <f>SUM(H10:T10)</f>
        <v>0</v>
      </c>
      <c r="W10" s="219"/>
      <c r="X10" s="219"/>
    </row>
    <row r="11" spans="1:24" x14ac:dyDescent="0.15">
      <c r="A11" s="255"/>
      <c r="B11" s="255"/>
      <c r="C11" s="368"/>
      <c r="D11" s="412">
        <v>615111</v>
      </c>
      <c r="E11" s="357" t="s">
        <v>235</v>
      </c>
      <c r="F11" s="412" t="s">
        <v>179</v>
      </c>
      <c r="G11" s="369"/>
      <c r="H11" s="559"/>
      <c r="I11" s="226"/>
      <c r="J11" s="226"/>
      <c r="K11" s="226"/>
      <c r="L11" s="226"/>
      <c r="M11" s="226"/>
      <c r="N11" s="226"/>
      <c r="O11" s="226"/>
      <c r="P11" s="226"/>
      <c r="Q11" s="226"/>
      <c r="R11" s="226"/>
      <c r="S11" s="226"/>
      <c r="T11" s="226"/>
      <c r="U11" s="582"/>
      <c r="V11" s="226">
        <f>SUM(H11:T11)</f>
        <v>0</v>
      </c>
      <c r="W11" s="219"/>
      <c r="X11" s="219"/>
    </row>
    <row r="12" spans="1:24" x14ac:dyDescent="0.15">
      <c r="A12" s="255" t="s">
        <v>501</v>
      </c>
      <c r="B12" s="255"/>
      <c r="C12" s="587"/>
      <c r="D12" s="412">
        <v>615111</v>
      </c>
      <c r="E12" s="357" t="s">
        <v>235</v>
      </c>
      <c r="F12" s="412" t="s">
        <v>179</v>
      </c>
      <c r="G12" s="587" t="s">
        <v>423</v>
      </c>
      <c r="H12" s="559"/>
      <c r="I12" s="226">
        <v>478.95</v>
      </c>
      <c r="J12" s="226">
        <v>638.6</v>
      </c>
      <c r="K12" s="226">
        <v>762.2</v>
      </c>
      <c r="L12" s="226">
        <v>566.5</v>
      </c>
      <c r="M12" s="226">
        <f>782.8-159.65</f>
        <v>623.15</v>
      </c>
      <c r="N12" s="226">
        <f>36.05*4+15.45+638.6</f>
        <v>798.25</v>
      </c>
      <c r="O12" s="226">
        <v>602.54999999999995</v>
      </c>
      <c r="P12" s="226">
        <f>762.2-159.65</f>
        <v>602.55000000000007</v>
      </c>
      <c r="Q12" s="226">
        <f>159.65+638.6</f>
        <v>798.25</v>
      </c>
      <c r="R12" s="226">
        <v>623.15</v>
      </c>
      <c r="S12" s="226">
        <f>638.6-159.65</f>
        <v>478.95000000000005</v>
      </c>
      <c r="T12" s="226">
        <v>159.65</v>
      </c>
      <c r="U12" s="582"/>
      <c r="V12" s="226">
        <f>SUM(H12:T12)</f>
        <v>7132.7499999999991</v>
      </c>
      <c r="W12" s="219"/>
      <c r="X12" s="219"/>
    </row>
    <row r="13" spans="1:24" s="221" customFormat="1" ht="11.25" thickBot="1" x14ac:dyDescent="0.2">
      <c r="A13" s="536" t="s">
        <v>11</v>
      </c>
      <c r="B13" s="532"/>
      <c r="C13" s="542"/>
      <c r="D13" s="538"/>
      <c r="E13" s="536"/>
      <c r="F13" s="539"/>
      <c r="G13" s="540"/>
      <c r="H13" s="522">
        <f>SUM(H10:H12)</f>
        <v>0</v>
      </c>
      <c r="I13" s="522">
        <f t="shared" ref="I13:V13" si="1">SUM(I10:I12)</f>
        <v>478.95</v>
      </c>
      <c r="J13" s="522">
        <f t="shared" si="1"/>
        <v>638.6</v>
      </c>
      <c r="K13" s="522">
        <f t="shared" si="1"/>
        <v>762.2</v>
      </c>
      <c r="L13" s="522">
        <f t="shared" si="1"/>
        <v>566.5</v>
      </c>
      <c r="M13" s="522">
        <f t="shared" si="1"/>
        <v>623.15</v>
      </c>
      <c r="N13" s="522">
        <f t="shared" si="1"/>
        <v>798.25</v>
      </c>
      <c r="O13" s="522">
        <f t="shared" si="1"/>
        <v>602.54999999999995</v>
      </c>
      <c r="P13" s="522">
        <f t="shared" si="1"/>
        <v>602.55000000000007</v>
      </c>
      <c r="Q13" s="522">
        <f t="shared" si="1"/>
        <v>798.25</v>
      </c>
      <c r="R13" s="522">
        <f t="shared" si="1"/>
        <v>623.15</v>
      </c>
      <c r="S13" s="522">
        <f t="shared" si="1"/>
        <v>478.95000000000005</v>
      </c>
      <c r="T13" s="522">
        <f t="shared" si="1"/>
        <v>159.65</v>
      </c>
      <c r="U13" s="522">
        <f>SUM(U10:U12)</f>
        <v>0</v>
      </c>
      <c r="V13" s="522">
        <f t="shared" si="1"/>
        <v>7132.7499999999991</v>
      </c>
      <c r="W13" s="360" t="str">
        <f>+IF(V13=SUM(H13:T13),"contrôle ok", "erreur")</f>
        <v>contrôle ok</v>
      </c>
      <c r="X13" s="219"/>
    </row>
    <row r="14" spans="1:24" ht="14.25" customHeight="1" thickTop="1" x14ac:dyDescent="0.15">
      <c r="A14" s="370"/>
      <c r="B14" s="370"/>
      <c r="C14" s="371"/>
      <c r="D14" s="413"/>
      <c r="E14" s="372"/>
      <c r="F14" s="413"/>
      <c r="G14" s="373"/>
      <c r="H14" s="223"/>
      <c r="I14" s="223"/>
      <c r="J14" s="223"/>
      <c r="K14" s="223"/>
      <c r="L14" s="223"/>
      <c r="M14" s="223"/>
      <c r="N14" s="223"/>
      <c r="O14" s="223"/>
      <c r="P14" s="223"/>
      <c r="Q14" s="223"/>
      <c r="R14" s="223"/>
      <c r="S14" s="223"/>
      <c r="T14" s="223"/>
      <c r="U14" s="223"/>
      <c r="V14" s="371"/>
    </row>
    <row r="15" spans="1:24" x14ac:dyDescent="0.15">
      <c r="A15" s="27" t="s">
        <v>519</v>
      </c>
      <c r="B15" s="353"/>
      <c r="C15" s="354"/>
      <c r="D15" s="410"/>
      <c r="E15" s="355"/>
      <c r="F15" s="418"/>
      <c r="G15" s="356"/>
      <c r="H15" s="224"/>
      <c r="I15" s="224"/>
      <c r="J15" s="251"/>
      <c r="K15" s="224"/>
      <c r="L15" s="224"/>
      <c r="M15" s="224"/>
      <c r="N15" s="224"/>
      <c r="O15" s="224"/>
      <c r="P15" s="224"/>
      <c r="Q15" s="224"/>
      <c r="R15" s="224"/>
      <c r="S15" s="224"/>
      <c r="T15" s="224"/>
      <c r="U15" s="224"/>
      <c r="V15" s="252"/>
      <c r="W15" s="219"/>
      <c r="X15" s="219"/>
    </row>
    <row r="16" spans="1:24" x14ac:dyDescent="0.15">
      <c r="A16" s="255" t="s">
        <v>823</v>
      </c>
      <c r="B16" s="255"/>
      <c r="C16" s="368"/>
      <c r="D16" s="412">
        <v>615113</v>
      </c>
      <c r="E16" s="357" t="s">
        <v>143</v>
      </c>
      <c r="F16" s="412" t="s">
        <v>192</v>
      </c>
      <c r="G16" s="587" t="s">
        <v>423</v>
      </c>
      <c r="H16" s="559"/>
      <c r="I16" s="226"/>
      <c r="J16" s="226"/>
      <c r="K16" s="226"/>
      <c r="L16" s="226"/>
      <c r="M16" s="226"/>
      <c r="N16" s="226"/>
      <c r="O16" s="226"/>
      <c r="P16" s="226"/>
      <c r="Q16" s="226">
        <f>160+714.15</f>
        <v>874.15</v>
      </c>
      <c r="R16" s="226">
        <f>724.62+160</f>
        <v>884.62</v>
      </c>
      <c r="S16" s="226">
        <f>727.21+160</f>
        <v>887.21</v>
      </c>
      <c r="T16" s="226"/>
      <c r="U16" s="582"/>
      <c r="V16" s="226">
        <f>SUM(H16:T16)</f>
        <v>2645.98</v>
      </c>
      <c r="W16" s="219"/>
      <c r="X16" s="219"/>
    </row>
    <row r="17" spans="1:24" x14ac:dyDescent="0.15">
      <c r="A17" s="255" t="s">
        <v>386</v>
      </c>
      <c r="B17" s="255"/>
      <c r="C17" s="368"/>
      <c r="D17" s="412">
        <v>615113</v>
      </c>
      <c r="E17" s="357" t="s">
        <v>143</v>
      </c>
      <c r="F17" s="412" t="s">
        <v>192</v>
      </c>
      <c r="G17" s="369"/>
      <c r="H17" s="559"/>
      <c r="I17" s="226">
        <v>340</v>
      </c>
      <c r="J17" s="226"/>
      <c r="K17" s="226"/>
      <c r="L17" s="226"/>
      <c r="M17" s="226">
        <v>780</v>
      </c>
      <c r="N17" s="226"/>
      <c r="O17" s="226"/>
      <c r="P17" s="226"/>
      <c r="Q17" s="226"/>
      <c r="R17" s="226"/>
      <c r="S17" s="226"/>
      <c r="T17" s="226"/>
      <c r="U17" s="582"/>
      <c r="V17" s="226">
        <f>SUM(H17:T17)</f>
        <v>1120</v>
      </c>
      <c r="W17" s="219"/>
      <c r="X17" s="219"/>
    </row>
    <row r="18" spans="1:24" s="221" customFormat="1" ht="11.25" thickBot="1" x14ac:dyDescent="0.2">
      <c r="A18" s="536" t="s">
        <v>11</v>
      </c>
      <c r="B18" s="532"/>
      <c r="C18" s="542"/>
      <c r="D18" s="538"/>
      <c r="E18" s="536"/>
      <c r="F18" s="539"/>
      <c r="G18" s="540"/>
      <c r="H18" s="522">
        <f>SUM(H16:H17)</f>
        <v>0</v>
      </c>
      <c r="I18" s="522">
        <f t="shared" ref="I18:V18" si="2">SUM(I16:I17)</f>
        <v>340</v>
      </c>
      <c r="J18" s="522">
        <f t="shared" si="2"/>
        <v>0</v>
      </c>
      <c r="K18" s="522">
        <f t="shared" si="2"/>
        <v>0</v>
      </c>
      <c r="L18" s="522">
        <f t="shared" si="2"/>
        <v>0</v>
      </c>
      <c r="M18" s="522">
        <f t="shared" si="2"/>
        <v>780</v>
      </c>
      <c r="N18" s="522">
        <f t="shared" si="2"/>
        <v>0</v>
      </c>
      <c r="O18" s="522">
        <f t="shared" si="2"/>
        <v>0</v>
      </c>
      <c r="P18" s="522">
        <f t="shared" si="2"/>
        <v>0</v>
      </c>
      <c r="Q18" s="522">
        <f t="shared" si="2"/>
        <v>874.15</v>
      </c>
      <c r="R18" s="522">
        <f t="shared" si="2"/>
        <v>884.62</v>
      </c>
      <c r="S18" s="522">
        <f t="shared" si="2"/>
        <v>887.21</v>
      </c>
      <c r="T18" s="522">
        <f t="shared" si="2"/>
        <v>0</v>
      </c>
      <c r="U18" s="522">
        <f>SUM(U16:U17)</f>
        <v>0</v>
      </c>
      <c r="V18" s="522">
        <f t="shared" si="2"/>
        <v>3765.98</v>
      </c>
      <c r="W18" s="360" t="str">
        <f>+IF(V18=SUM(I18:T18),"contrôle ok", "erreur")</f>
        <v>contrôle ok</v>
      </c>
      <c r="X18" s="219"/>
    </row>
    <row r="19" spans="1:24" ht="14.25" customHeight="1" thickTop="1" x14ac:dyDescent="0.15">
      <c r="A19" s="370"/>
      <c r="B19" s="370"/>
      <c r="C19" s="371"/>
      <c r="D19" s="413"/>
      <c r="E19" s="372"/>
      <c r="F19" s="413"/>
      <c r="G19" s="373"/>
      <c r="H19" s="223"/>
      <c r="I19" s="223"/>
      <c r="J19" s="223"/>
      <c r="K19" s="223"/>
      <c r="L19" s="223"/>
      <c r="M19" s="223"/>
      <c r="N19" s="223"/>
      <c r="O19" s="223"/>
      <c r="P19" s="223"/>
      <c r="Q19" s="223"/>
      <c r="R19" s="223"/>
      <c r="S19" s="223"/>
      <c r="T19" s="223"/>
      <c r="U19" s="223"/>
      <c r="V19" s="371"/>
    </row>
    <row r="20" spans="1:24" ht="14.25" customHeight="1" x14ac:dyDescent="0.15">
      <c r="A20" s="27" t="s">
        <v>534</v>
      </c>
      <c r="B20" s="28"/>
      <c r="C20" s="29"/>
      <c r="D20" s="134"/>
      <c r="E20" s="30"/>
      <c r="F20" s="31"/>
      <c r="G20" s="101"/>
      <c r="H20" s="224"/>
      <c r="I20" s="224"/>
      <c r="J20" s="251"/>
      <c r="K20" s="224"/>
      <c r="L20" s="224"/>
      <c r="M20" s="224"/>
      <c r="N20" s="224"/>
      <c r="O20" s="224"/>
      <c r="P20" s="224"/>
      <c r="Q20" s="224"/>
      <c r="R20" s="224"/>
      <c r="S20" s="224"/>
      <c r="T20" s="224"/>
      <c r="U20" s="224"/>
      <c r="V20" s="252"/>
    </row>
    <row r="21" spans="1:24" ht="14.25" customHeight="1" x14ac:dyDescent="0.15">
      <c r="A21" s="475" t="s">
        <v>171</v>
      </c>
      <c r="B21" s="494"/>
      <c r="C21" s="495"/>
      <c r="D21" s="496">
        <v>615114</v>
      </c>
      <c r="E21" s="475" t="s">
        <v>235</v>
      </c>
      <c r="F21" s="475" t="s">
        <v>192</v>
      </c>
      <c r="G21" s="163"/>
      <c r="H21" s="559">
        <v>480</v>
      </c>
      <c r="I21" s="226">
        <v>320</v>
      </c>
      <c r="J21" s="226">
        <v>320</v>
      </c>
      <c r="K21" s="226">
        <f>480-320-160</f>
        <v>0</v>
      </c>
      <c r="L21" s="226">
        <f>480-320</f>
        <v>160</v>
      </c>
      <c r="M21" s="226">
        <v>160</v>
      </c>
      <c r="N21" s="226">
        <v>0</v>
      </c>
      <c r="O21" s="226">
        <f>480-160</f>
        <v>320</v>
      </c>
      <c r="P21" s="226">
        <f>480-160</f>
        <v>320</v>
      </c>
      <c r="Q21" s="226">
        <f>640-320</f>
        <v>320</v>
      </c>
      <c r="R21" s="226">
        <v>320</v>
      </c>
      <c r="S21" s="226">
        <f>480-320</f>
        <v>160</v>
      </c>
      <c r="T21" s="226"/>
      <c r="U21" s="582"/>
      <c r="V21" s="226">
        <f>SUM(H21:T21)</f>
        <v>2880</v>
      </c>
    </row>
    <row r="22" spans="1:24" ht="14.25" customHeight="1" x14ac:dyDescent="0.15">
      <c r="A22" s="493"/>
      <c r="B22" s="494"/>
      <c r="C22" s="495"/>
      <c r="D22" s="495"/>
      <c r="E22" s="493"/>
      <c r="F22" s="493"/>
      <c r="G22" s="163"/>
      <c r="H22" s="559"/>
      <c r="I22" s="226"/>
      <c r="J22" s="226"/>
      <c r="K22" s="226"/>
      <c r="L22" s="226"/>
      <c r="M22" s="226"/>
      <c r="N22" s="226"/>
      <c r="O22" s="226"/>
      <c r="P22" s="226"/>
      <c r="Q22" s="226"/>
      <c r="R22" s="226"/>
      <c r="S22" s="226"/>
      <c r="T22" s="226"/>
      <c r="U22" s="582"/>
      <c r="V22" s="226">
        <f>SUM(H22:T22)</f>
        <v>0</v>
      </c>
    </row>
    <row r="23" spans="1:24" ht="14.25" customHeight="1" thickBot="1" x14ac:dyDescent="0.2">
      <c r="A23" s="516" t="s">
        <v>11</v>
      </c>
      <c r="B23" s="517"/>
      <c r="C23" s="524"/>
      <c r="D23" s="525"/>
      <c r="E23" s="520"/>
      <c r="F23" s="526"/>
      <c r="G23" s="521"/>
      <c r="H23" s="522">
        <f>SUM(H21:H22)</f>
        <v>480</v>
      </c>
      <c r="I23" s="522">
        <f>SUM(I21:I22)</f>
        <v>320</v>
      </c>
      <c r="J23" s="522">
        <f t="shared" ref="J23:V23" si="3">SUM(J21:J22)</f>
        <v>320</v>
      </c>
      <c r="K23" s="522">
        <f t="shared" si="3"/>
        <v>0</v>
      </c>
      <c r="L23" s="522">
        <f t="shared" si="3"/>
        <v>160</v>
      </c>
      <c r="M23" s="522">
        <f t="shared" si="3"/>
        <v>160</v>
      </c>
      <c r="N23" s="522">
        <f t="shared" si="3"/>
        <v>0</v>
      </c>
      <c r="O23" s="522">
        <f t="shared" si="3"/>
        <v>320</v>
      </c>
      <c r="P23" s="522">
        <f t="shared" si="3"/>
        <v>320</v>
      </c>
      <c r="Q23" s="522">
        <f t="shared" si="3"/>
        <v>320</v>
      </c>
      <c r="R23" s="522">
        <f t="shared" si="3"/>
        <v>320</v>
      </c>
      <c r="S23" s="522">
        <f t="shared" si="3"/>
        <v>160</v>
      </c>
      <c r="T23" s="522">
        <f t="shared" si="3"/>
        <v>0</v>
      </c>
      <c r="U23" s="522">
        <f>SUM(U21:U22)</f>
        <v>0</v>
      </c>
      <c r="V23" s="522">
        <f t="shared" si="3"/>
        <v>2880</v>
      </c>
      <c r="W23" s="360" t="str">
        <f>+IF(V23=SUM(H23:T23),"contrôle ok", "erreur")</f>
        <v>contrôle ok</v>
      </c>
    </row>
    <row r="24" spans="1:24" ht="14.25" customHeight="1" thickTop="1" x14ac:dyDescent="0.15">
      <c r="A24" s="370"/>
      <c r="B24" s="370"/>
      <c r="C24" s="250"/>
      <c r="D24" s="498"/>
      <c r="E24" s="499"/>
      <c r="F24" s="443"/>
      <c r="G24" s="373"/>
      <c r="H24" s="223"/>
      <c r="I24" s="223"/>
      <c r="J24" s="223"/>
      <c r="K24" s="223"/>
      <c r="L24" s="223"/>
      <c r="M24" s="223"/>
      <c r="N24" s="223"/>
      <c r="O24" s="223"/>
      <c r="P24" s="223"/>
      <c r="Q24" s="223"/>
      <c r="R24" s="223"/>
      <c r="S24" s="223"/>
      <c r="T24" s="223"/>
      <c r="U24" s="223"/>
      <c r="V24" s="426"/>
    </row>
    <row r="25" spans="1:24" x14ac:dyDescent="0.15">
      <c r="A25" s="352" t="s">
        <v>247</v>
      </c>
      <c r="B25" s="353"/>
      <c r="C25" s="354"/>
      <c r="D25" s="410"/>
      <c r="E25" s="355"/>
      <c r="F25" s="418"/>
      <c r="G25" s="356"/>
      <c r="H25" s="224"/>
      <c r="I25" s="224"/>
      <c r="J25" s="251"/>
      <c r="K25" s="224"/>
      <c r="L25" s="224"/>
      <c r="M25" s="224"/>
      <c r="N25" s="224"/>
      <c r="O25" s="224"/>
      <c r="P25" s="224"/>
      <c r="Q25" s="224"/>
      <c r="R25" s="224"/>
      <c r="S25" s="224"/>
      <c r="T25" s="224"/>
      <c r="U25" s="224"/>
      <c r="V25" s="252"/>
      <c r="W25" s="219"/>
      <c r="X25" s="219"/>
    </row>
    <row r="26" spans="1:24" x14ac:dyDescent="0.15">
      <c r="A26" s="377" t="s">
        <v>40</v>
      </c>
      <c r="B26" s="377"/>
      <c r="C26" s="378"/>
      <c r="D26" s="411">
        <v>615130</v>
      </c>
      <c r="E26" s="379" t="s">
        <v>80</v>
      </c>
      <c r="F26" s="411" t="s">
        <v>248</v>
      </c>
      <c r="G26" s="364"/>
      <c r="H26" s="560"/>
      <c r="I26" s="226"/>
      <c r="J26" s="226"/>
      <c r="K26" s="226"/>
      <c r="L26" s="226"/>
      <c r="M26" s="501"/>
      <c r="N26" s="501">
        <v>4074</v>
      </c>
      <c r="O26" s="501">
        <f>2600+6439</f>
        <v>9039</v>
      </c>
      <c r="P26" s="226"/>
      <c r="Q26" s="501">
        <f>4540.43+2073.15+2600</f>
        <v>9213.58</v>
      </c>
      <c r="R26" s="226">
        <f>4000+3924+1020</f>
        <v>8944</v>
      </c>
      <c r="S26" s="226">
        <f>4728+9616+20000+1391+5567.8+1153.91+7241.88+6500+7845.3+7067.7+5787</f>
        <v>76898.590000000011</v>
      </c>
      <c r="T26" s="226">
        <f>871.1+643+785.3+2522.76</f>
        <v>4822.16</v>
      </c>
      <c r="U26" s="582"/>
      <c r="V26" s="226">
        <f>SUM(H26:T26)</f>
        <v>112991.33000000002</v>
      </c>
      <c r="W26" s="219"/>
      <c r="X26" s="219"/>
    </row>
    <row r="27" spans="1:24" s="221" customFormat="1" ht="11.25" thickBot="1" x14ac:dyDescent="0.2">
      <c r="A27" s="536" t="s">
        <v>11</v>
      </c>
      <c r="B27" s="532"/>
      <c r="C27" s="542"/>
      <c r="D27" s="538"/>
      <c r="E27" s="536"/>
      <c r="F27" s="539"/>
      <c r="G27" s="540"/>
      <c r="H27" s="522">
        <f>SUM(H26:H26)</f>
        <v>0</v>
      </c>
      <c r="I27" s="522">
        <f t="shared" ref="I27:V27" si="4">SUM(I26:I26)</f>
        <v>0</v>
      </c>
      <c r="J27" s="522">
        <f t="shared" si="4"/>
        <v>0</v>
      </c>
      <c r="K27" s="522">
        <f t="shared" si="4"/>
        <v>0</v>
      </c>
      <c r="L27" s="522">
        <f t="shared" si="4"/>
        <v>0</v>
      </c>
      <c r="M27" s="522">
        <f t="shared" si="4"/>
        <v>0</v>
      </c>
      <c r="N27" s="522">
        <f t="shared" si="4"/>
        <v>4074</v>
      </c>
      <c r="O27" s="522">
        <f>SUM(O26:O26)</f>
        <v>9039</v>
      </c>
      <c r="P27" s="522">
        <f>SUM(P26:P26)</f>
        <v>0</v>
      </c>
      <c r="Q27" s="522">
        <f>SUM(Q26:Q26)</f>
        <v>9213.58</v>
      </c>
      <c r="R27" s="522">
        <f t="shared" si="4"/>
        <v>8944</v>
      </c>
      <c r="S27" s="522">
        <f t="shared" si="4"/>
        <v>76898.590000000011</v>
      </c>
      <c r="T27" s="522">
        <f t="shared" si="4"/>
        <v>4822.16</v>
      </c>
      <c r="U27" s="522">
        <f>SUM(U26:U26)</f>
        <v>0</v>
      </c>
      <c r="V27" s="522">
        <f t="shared" si="4"/>
        <v>112991.33000000002</v>
      </c>
      <c r="W27" s="360" t="str">
        <f>+IF(V27=SUM(H27:T27),"contrôle ok", "erreur")</f>
        <v>contrôle ok</v>
      </c>
      <c r="X27" s="219"/>
    </row>
    <row r="28" spans="1:24" ht="14.25" customHeight="1" thickTop="1" x14ac:dyDescent="0.15">
      <c r="A28" s="370"/>
      <c r="B28" s="370"/>
      <c r="C28" s="371"/>
      <c r="D28" s="413"/>
      <c r="E28" s="372"/>
      <c r="F28" s="413"/>
      <c r="G28" s="373"/>
      <c r="H28" s="223"/>
      <c r="I28" s="223"/>
      <c r="J28" s="223"/>
      <c r="K28" s="223"/>
      <c r="L28" s="223"/>
      <c r="M28" s="223"/>
      <c r="N28" s="223"/>
      <c r="O28" s="223"/>
      <c r="P28" s="223"/>
      <c r="Q28" s="223"/>
      <c r="R28" s="223"/>
      <c r="S28" s="223"/>
      <c r="T28" s="223"/>
      <c r="U28" s="223"/>
      <c r="V28" s="371"/>
    </row>
    <row r="29" spans="1:24" x14ac:dyDescent="0.15">
      <c r="A29" s="352" t="s">
        <v>231</v>
      </c>
      <c r="B29" s="353"/>
      <c r="C29" s="354"/>
      <c r="D29" s="410"/>
      <c r="E29" s="355"/>
      <c r="F29" s="418"/>
      <c r="G29" s="356"/>
      <c r="H29" s="224"/>
      <c r="I29" s="224"/>
      <c r="J29" s="251"/>
      <c r="K29" s="224"/>
      <c r="L29" s="224"/>
      <c r="M29" s="224"/>
      <c r="N29" s="224"/>
      <c r="O29" s="224"/>
      <c r="P29" s="224"/>
      <c r="Q29" s="224"/>
      <c r="R29" s="224"/>
      <c r="S29" s="224"/>
      <c r="T29" s="224"/>
      <c r="U29" s="224"/>
      <c r="V29" s="252"/>
      <c r="W29" s="219"/>
      <c r="X29" s="219"/>
    </row>
    <row r="30" spans="1:24" x14ac:dyDescent="0.15">
      <c r="A30" s="377" t="s">
        <v>232</v>
      </c>
      <c r="B30" s="377"/>
      <c r="C30" s="378"/>
      <c r="D30" s="411">
        <v>615135</v>
      </c>
      <c r="E30" s="379" t="s">
        <v>143</v>
      </c>
      <c r="F30" s="411" t="s">
        <v>192</v>
      </c>
      <c r="G30" s="367"/>
      <c r="H30" s="560"/>
      <c r="I30" s="226"/>
      <c r="J30" s="226"/>
      <c r="K30" s="226">
        <v>383.71</v>
      </c>
      <c r="L30" s="226"/>
      <c r="M30" s="226"/>
      <c r="N30" s="226">
        <f>136.43+93.8</f>
        <v>230.23000000000002</v>
      </c>
      <c r="O30" s="226"/>
      <c r="P30" s="226"/>
      <c r="Q30" s="226">
        <v>535.62</v>
      </c>
      <c r="R30" s="226">
        <v>591.16999999999996</v>
      </c>
      <c r="S30" s="226"/>
      <c r="T30" s="226"/>
      <c r="U30" s="582"/>
      <c r="V30" s="226">
        <f>SUM(H30:T30)</f>
        <v>1740.73</v>
      </c>
      <c r="W30" s="219"/>
      <c r="X30" s="219"/>
    </row>
    <row r="31" spans="1:24" s="221" customFormat="1" ht="11.25" thickBot="1" x14ac:dyDescent="0.2">
      <c r="A31" s="536" t="s">
        <v>11</v>
      </c>
      <c r="B31" s="532"/>
      <c r="C31" s="542"/>
      <c r="D31" s="538"/>
      <c r="E31" s="536"/>
      <c r="F31" s="539"/>
      <c r="G31" s="540"/>
      <c r="H31" s="522">
        <f>SUM(H30)</f>
        <v>0</v>
      </c>
      <c r="I31" s="522">
        <f>SUM(I30)</f>
        <v>0</v>
      </c>
      <c r="J31" s="522">
        <f t="shared" ref="J31:T31" si="5">SUM(J30)</f>
        <v>0</v>
      </c>
      <c r="K31" s="522">
        <f t="shared" si="5"/>
        <v>383.71</v>
      </c>
      <c r="L31" s="522">
        <f t="shared" si="5"/>
        <v>0</v>
      </c>
      <c r="M31" s="522">
        <f t="shared" si="5"/>
        <v>0</v>
      </c>
      <c r="N31" s="522">
        <f t="shared" si="5"/>
        <v>230.23000000000002</v>
      </c>
      <c r="O31" s="522">
        <f t="shared" si="5"/>
        <v>0</v>
      </c>
      <c r="P31" s="522">
        <f t="shared" si="5"/>
        <v>0</v>
      </c>
      <c r="Q31" s="522">
        <f t="shared" si="5"/>
        <v>535.62</v>
      </c>
      <c r="R31" s="522">
        <f t="shared" si="5"/>
        <v>591.16999999999996</v>
      </c>
      <c r="S31" s="522">
        <f t="shared" si="5"/>
        <v>0</v>
      </c>
      <c r="T31" s="522">
        <f t="shared" si="5"/>
        <v>0</v>
      </c>
      <c r="U31" s="522">
        <f>SUM(U30)</f>
        <v>0</v>
      </c>
      <c r="V31" s="522">
        <f>SUM(V30:V30)</f>
        <v>1740.73</v>
      </c>
      <c r="W31" s="360" t="str">
        <f>+IF(V31=SUM(I31:T31),"contrôle ok", "erreur")</f>
        <v>contrôle ok</v>
      </c>
      <c r="X31" s="219"/>
    </row>
    <row r="32" spans="1:24" s="221" customFormat="1" ht="11.25" thickTop="1" x14ac:dyDescent="0.15">
      <c r="A32" s="361"/>
      <c r="B32" s="361"/>
      <c r="C32" s="362"/>
      <c r="D32" s="414"/>
      <c r="E32" s="363"/>
      <c r="F32" s="414"/>
      <c r="G32" s="364"/>
      <c r="H32" s="229"/>
      <c r="I32" s="229"/>
      <c r="J32" s="229"/>
      <c r="K32" s="229"/>
      <c r="L32" s="229"/>
      <c r="M32" s="229"/>
      <c r="N32" s="257"/>
      <c r="O32" s="229"/>
      <c r="P32" s="229"/>
      <c r="Q32" s="229"/>
      <c r="R32" s="229"/>
      <c r="S32" s="229"/>
      <c r="T32" s="229"/>
      <c r="U32" s="229"/>
      <c r="V32" s="258"/>
      <c r="X32" s="219"/>
    </row>
    <row r="33" spans="1:24" s="221" customFormat="1" x14ac:dyDescent="0.15">
      <c r="A33" s="27" t="s">
        <v>369</v>
      </c>
      <c r="B33" s="28"/>
      <c r="C33" s="29"/>
      <c r="D33" s="30"/>
      <c r="E33" s="30"/>
      <c r="F33" s="31"/>
      <c r="G33" s="101"/>
      <c r="H33" s="224"/>
      <c r="I33" s="224"/>
      <c r="J33" s="251"/>
      <c r="K33" s="224"/>
      <c r="L33" s="224"/>
      <c r="M33" s="224"/>
      <c r="N33" s="224"/>
      <c r="O33" s="224"/>
      <c r="P33" s="224"/>
      <c r="Q33" s="224"/>
      <c r="R33" s="224"/>
      <c r="S33" s="224"/>
      <c r="T33" s="224"/>
      <c r="U33" s="224"/>
      <c r="V33" s="252"/>
      <c r="X33" s="219"/>
    </row>
    <row r="34" spans="1:24" s="221" customFormat="1" x14ac:dyDescent="0.15">
      <c r="A34" s="361"/>
      <c r="B34" s="361"/>
      <c r="C34" s="362"/>
      <c r="D34" s="411">
        <v>615136</v>
      </c>
      <c r="E34" s="379" t="s">
        <v>143</v>
      </c>
      <c r="F34" s="411" t="s">
        <v>192</v>
      </c>
      <c r="G34" s="364"/>
      <c r="H34" s="561"/>
      <c r="I34" s="597"/>
      <c r="J34" s="597"/>
      <c r="K34" s="597"/>
      <c r="L34" s="597"/>
      <c r="M34" s="597"/>
      <c r="N34" s="598"/>
      <c r="O34" s="597"/>
      <c r="P34" s="255"/>
      <c r="Q34" s="597"/>
      <c r="R34" s="597"/>
      <c r="S34" s="597"/>
      <c r="T34" s="255"/>
      <c r="U34" s="582"/>
      <c r="V34" s="226">
        <f>SUM(H34:T34)</f>
        <v>0</v>
      </c>
      <c r="X34" s="219"/>
    </row>
    <row r="35" spans="1:24" s="221" customFormat="1" ht="11.25" thickBot="1" x14ac:dyDescent="0.2">
      <c r="A35" s="536" t="s">
        <v>11</v>
      </c>
      <c r="B35" s="532"/>
      <c r="C35" s="542"/>
      <c r="D35" s="538"/>
      <c r="E35" s="536"/>
      <c r="F35" s="539"/>
      <c r="G35" s="540"/>
      <c r="H35" s="522">
        <f>SUM(H34)</f>
        <v>0</v>
      </c>
      <c r="I35" s="522">
        <f>SUM(I34)</f>
        <v>0</v>
      </c>
      <c r="J35" s="522">
        <f t="shared" ref="J35:T35" si="6">SUM(J34)</f>
        <v>0</v>
      </c>
      <c r="K35" s="522">
        <f t="shared" si="6"/>
        <v>0</v>
      </c>
      <c r="L35" s="522">
        <f t="shared" si="6"/>
        <v>0</v>
      </c>
      <c r="M35" s="522">
        <f t="shared" si="6"/>
        <v>0</v>
      </c>
      <c r="N35" s="522">
        <f t="shared" si="6"/>
        <v>0</v>
      </c>
      <c r="O35" s="522">
        <f t="shared" si="6"/>
        <v>0</v>
      </c>
      <c r="P35" s="522">
        <f t="shared" si="6"/>
        <v>0</v>
      </c>
      <c r="Q35" s="522">
        <f t="shared" si="6"/>
        <v>0</v>
      </c>
      <c r="R35" s="522">
        <f t="shared" si="6"/>
        <v>0</v>
      </c>
      <c r="S35" s="522">
        <f t="shared" si="6"/>
        <v>0</v>
      </c>
      <c r="T35" s="522">
        <f t="shared" si="6"/>
        <v>0</v>
      </c>
      <c r="U35" s="522">
        <f>SUM(U34)</f>
        <v>0</v>
      </c>
      <c r="V35" s="522">
        <f>SUM(V34:V34)</f>
        <v>0</v>
      </c>
      <c r="W35" s="360" t="str">
        <f>+IF(V35=SUM(I35:T35),"contrôle ok", "erreur")</f>
        <v>contrôle ok</v>
      </c>
      <c r="X35" s="219"/>
    </row>
    <row r="36" spans="1:24" s="221" customFormat="1" ht="11.25" thickTop="1" x14ac:dyDescent="0.15">
      <c r="A36" s="361"/>
      <c r="B36" s="361"/>
      <c r="C36" s="362"/>
      <c r="D36" s="414"/>
      <c r="E36" s="384"/>
      <c r="F36" s="414"/>
      <c r="G36" s="364"/>
      <c r="H36" s="229"/>
      <c r="I36" s="229"/>
      <c r="J36" s="229"/>
      <c r="K36" s="229"/>
      <c r="L36" s="229"/>
      <c r="M36" s="229"/>
      <c r="N36" s="257"/>
      <c r="O36" s="229"/>
      <c r="P36" s="229"/>
      <c r="Q36" s="229"/>
      <c r="R36" s="229"/>
      <c r="S36" s="229"/>
      <c r="T36" s="229"/>
      <c r="U36" s="229"/>
      <c r="V36" s="258"/>
      <c r="X36" s="219"/>
    </row>
    <row r="37" spans="1:24" x14ac:dyDescent="0.15">
      <c r="A37" s="352" t="s">
        <v>372</v>
      </c>
      <c r="B37" s="353"/>
      <c r="C37" s="354"/>
      <c r="D37" s="410"/>
      <c r="E37" s="355"/>
      <c r="F37" s="418"/>
      <c r="G37" s="356"/>
      <c r="H37" s="224"/>
      <c r="I37" s="224"/>
      <c r="J37" s="251"/>
      <c r="K37" s="224"/>
      <c r="L37" s="224"/>
      <c r="M37" s="224"/>
      <c r="N37" s="224"/>
      <c r="O37" s="224"/>
      <c r="P37" s="224"/>
      <c r="Q37" s="224"/>
      <c r="R37" s="224"/>
      <c r="S37" s="224"/>
      <c r="T37" s="224"/>
      <c r="U37" s="224"/>
      <c r="V37" s="252"/>
      <c r="W37" s="219"/>
      <c r="X37" s="219"/>
    </row>
    <row r="38" spans="1:24" x14ac:dyDescent="0.15">
      <c r="A38" s="377"/>
      <c r="B38" s="377"/>
      <c r="C38" s="378"/>
      <c r="D38" s="411">
        <v>615137</v>
      </c>
      <c r="E38" s="379" t="s">
        <v>235</v>
      </c>
      <c r="F38" s="411" t="s">
        <v>192</v>
      </c>
      <c r="G38" s="367"/>
      <c r="H38" s="560">
        <f>-250-302.8</f>
        <v>-552.79999999999995</v>
      </c>
      <c r="I38" s="226">
        <v>2000</v>
      </c>
      <c r="J38" s="226"/>
      <c r="K38" s="226"/>
      <c r="L38" s="226"/>
      <c r="M38" s="226"/>
      <c r="N38" s="226"/>
      <c r="O38" s="226"/>
      <c r="P38" s="226"/>
      <c r="Q38" s="226"/>
      <c r="R38" s="226"/>
      <c r="S38" s="226"/>
      <c r="T38" s="226"/>
      <c r="U38" s="582"/>
      <c r="V38" s="226">
        <f>SUM(H38:T38)</f>
        <v>1447.2</v>
      </c>
      <c r="W38" s="219"/>
      <c r="X38" s="219"/>
    </row>
    <row r="39" spans="1:24" s="221" customFormat="1" ht="11.25" thickBot="1" x14ac:dyDescent="0.2">
      <c r="A39" s="536" t="s">
        <v>11</v>
      </c>
      <c r="B39" s="532"/>
      <c r="C39" s="542"/>
      <c r="D39" s="538"/>
      <c r="E39" s="536"/>
      <c r="F39" s="539"/>
      <c r="G39" s="540"/>
      <c r="H39" s="522">
        <f>SUM(H38)</f>
        <v>-552.79999999999995</v>
      </c>
      <c r="I39" s="522">
        <f>SUM(I38)</f>
        <v>2000</v>
      </c>
      <c r="J39" s="522">
        <f t="shared" ref="J39:T39" si="7">SUM(J38)</f>
        <v>0</v>
      </c>
      <c r="K39" s="522">
        <f t="shared" si="7"/>
        <v>0</v>
      </c>
      <c r="L39" s="522">
        <f t="shared" si="7"/>
        <v>0</v>
      </c>
      <c r="M39" s="522">
        <f t="shared" si="7"/>
        <v>0</v>
      </c>
      <c r="N39" s="522">
        <f t="shared" si="7"/>
        <v>0</v>
      </c>
      <c r="O39" s="522">
        <f t="shared" si="7"/>
        <v>0</v>
      </c>
      <c r="P39" s="522">
        <f t="shared" si="7"/>
        <v>0</v>
      </c>
      <c r="Q39" s="522">
        <f t="shared" si="7"/>
        <v>0</v>
      </c>
      <c r="R39" s="522">
        <f t="shared" si="7"/>
        <v>0</v>
      </c>
      <c r="S39" s="522">
        <f t="shared" si="7"/>
        <v>0</v>
      </c>
      <c r="T39" s="522">
        <f t="shared" si="7"/>
        <v>0</v>
      </c>
      <c r="U39" s="522">
        <f>SUM(U38)</f>
        <v>0</v>
      </c>
      <c r="V39" s="522">
        <f>SUM(V38:V38)</f>
        <v>1447.2</v>
      </c>
      <c r="W39" s="360" t="str">
        <f>+IF(V39=SUM(H39:T39),"contrôle ok", "erreur")</f>
        <v>contrôle ok</v>
      </c>
      <c r="X39" s="219"/>
    </row>
    <row r="40" spans="1:24" s="221" customFormat="1" ht="11.25" thickTop="1" x14ac:dyDescent="0.15">
      <c r="A40" s="361"/>
      <c r="B40" s="361"/>
      <c r="C40" s="362"/>
      <c r="D40" s="414"/>
      <c r="E40" s="363"/>
      <c r="F40" s="414"/>
      <c r="G40" s="364"/>
      <c r="H40" s="229"/>
      <c r="I40" s="229"/>
      <c r="J40" s="229"/>
      <c r="K40" s="229"/>
      <c r="L40" s="229"/>
      <c r="M40" s="229"/>
      <c r="N40" s="257"/>
      <c r="O40" s="229"/>
      <c r="P40" s="229"/>
      <c r="Q40" s="229"/>
      <c r="R40" s="229"/>
      <c r="S40" s="229"/>
      <c r="T40" s="229"/>
      <c r="U40" s="229"/>
      <c r="V40" s="258"/>
      <c r="X40" s="219"/>
    </row>
    <row r="41" spans="1:24" x14ac:dyDescent="0.15">
      <c r="A41" s="352" t="s">
        <v>23</v>
      </c>
      <c r="B41" s="353"/>
      <c r="C41" s="354"/>
      <c r="D41" s="410"/>
      <c r="E41" s="355"/>
      <c r="F41" s="418"/>
      <c r="G41" s="356"/>
      <c r="H41" s="224"/>
      <c r="I41" s="224"/>
      <c r="J41" s="251"/>
      <c r="K41" s="224"/>
      <c r="L41" s="224"/>
      <c r="M41" s="224"/>
      <c r="N41" s="224"/>
      <c r="O41" s="224"/>
      <c r="P41" s="224"/>
      <c r="Q41" s="224"/>
      <c r="R41" s="224"/>
      <c r="S41" s="224"/>
      <c r="T41" s="224"/>
      <c r="U41" s="224"/>
      <c r="V41" s="252"/>
      <c r="W41" s="219"/>
      <c r="X41" s="219"/>
    </row>
    <row r="42" spans="1:24" x14ac:dyDescent="0.15">
      <c r="A42" s="437"/>
      <c r="B42" s="377" t="s">
        <v>360</v>
      </c>
      <c r="C42" s="378"/>
      <c r="D42" s="411">
        <v>615140</v>
      </c>
      <c r="E42" s="379" t="s">
        <v>80</v>
      </c>
      <c r="F42" s="411" t="s">
        <v>192</v>
      </c>
      <c r="G42" s="364"/>
      <c r="H42" s="560"/>
      <c r="I42" s="226"/>
      <c r="J42" s="226"/>
      <c r="K42" s="226"/>
      <c r="L42" s="226"/>
      <c r="M42" s="226"/>
      <c r="N42" s="226"/>
      <c r="O42" s="226"/>
      <c r="P42" s="226"/>
      <c r="Q42" s="226"/>
      <c r="R42" s="226"/>
      <c r="S42" s="615">
        <v>600</v>
      </c>
      <c r="T42" s="226"/>
      <c r="U42" s="582"/>
      <c r="V42" s="226">
        <f>SUM(H42:T42)</f>
        <v>600</v>
      </c>
      <c r="W42" s="219"/>
      <c r="X42" s="219"/>
    </row>
    <row r="43" spans="1:24" x14ac:dyDescent="0.15">
      <c r="A43" s="377" t="s">
        <v>786</v>
      </c>
      <c r="B43" s="377" t="s">
        <v>403</v>
      </c>
      <c r="C43" s="378"/>
      <c r="D43" s="411">
        <v>615140</v>
      </c>
      <c r="E43" s="379" t="s">
        <v>80</v>
      </c>
      <c r="F43" s="411" t="s">
        <v>192</v>
      </c>
      <c r="G43" s="364"/>
      <c r="H43" s="560"/>
      <c r="I43" s="226"/>
      <c r="J43" s="226"/>
      <c r="K43" s="226"/>
      <c r="L43" s="226"/>
      <c r="M43" s="226"/>
      <c r="N43" s="226"/>
      <c r="O43" s="226"/>
      <c r="P43" s="226"/>
      <c r="Q43" s="226"/>
      <c r="R43" s="226"/>
      <c r="S43" s="226"/>
      <c r="T43" s="226"/>
      <c r="U43" s="582"/>
      <c r="V43" s="226">
        <f>SUM(H43:T43)</f>
        <v>0</v>
      </c>
      <c r="W43" s="219"/>
      <c r="X43" s="219"/>
    </row>
    <row r="44" spans="1:24" x14ac:dyDescent="0.15">
      <c r="A44" s="377" t="s">
        <v>786</v>
      </c>
      <c r="B44" s="377" t="s">
        <v>438</v>
      </c>
      <c r="C44" s="378" t="s">
        <v>415</v>
      </c>
      <c r="D44" s="411">
        <v>615140</v>
      </c>
      <c r="E44" s="379" t="s">
        <v>80</v>
      </c>
      <c r="F44" s="411" t="s">
        <v>179</v>
      </c>
      <c r="G44" s="364">
        <f>6053.25/3</f>
        <v>2017.75</v>
      </c>
      <c r="H44" s="560"/>
      <c r="I44" s="226">
        <v>2017.75</v>
      </c>
      <c r="J44" s="226">
        <v>2017.75</v>
      </c>
      <c r="K44" s="226">
        <v>2017.75</v>
      </c>
      <c r="L44" s="226">
        <v>2017.75</v>
      </c>
      <c r="M44" s="226">
        <v>2017.75</v>
      </c>
      <c r="N44" s="226">
        <v>2017.75</v>
      </c>
      <c r="O44" s="226">
        <v>2017.75</v>
      </c>
      <c r="P44" s="226">
        <v>2017.75</v>
      </c>
      <c r="Q44" s="226">
        <v>2017.75</v>
      </c>
      <c r="R44" s="226">
        <v>2017.75</v>
      </c>
      <c r="S44" s="226">
        <v>2017.75</v>
      </c>
      <c r="T44" s="226">
        <v>2017.75</v>
      </c>
      <c r="U44" s="582"/>
      <c r="V44" s="226">
        <f>SUM(H44:T44)</f>
        <v>24213</v>
      </c>
      <c r="W44" s="219"/>
      <c r="X44" s="219"/>
    </row>
    <row r="45" spans="1:24" s="221" customFormat="1" ht="11.25" thickBot="1" x14ac:dyDescent="0.2">
      <c r="A45" s="536" t="s">
        <v>11</v>
      </c>
      <c r="B45" s="532"/>
      <c r="C45" s="542"/>
      <c r="D45" s="538"/>
      <c r="E45" s="536"/>
      <c r="F45" s="539"/>
      <c r="G45" s="540"/>
      <c r="H45" s="522">
        <f>SUM(H42:H44)</f>
        <v>0</v>
      </c>
      <c r="I45" s="522">
        <f t="shared" ref="I45:V45" si="8">SUM(I42:I44)</f>
        <v>2017.75</v>
      </c>
      <c r="J45" s="522">
        <f t="shared" si="8"/>
        <v>2017.75</v>
      </c>
      <c r="K45" s="522">
        <f t="shared" si="8"/>
        <v>2017.75</v>
      </c>
      <c r="L45" s="522">
        <f t="shared" si="8"/>
        <v>2017.75</v>
      </c>
      <c r="M45" s="522">
        <f t="shared" si="8"/>
        <v>2017.75</v>
      </c>
      <c r="N45" s="522">
        <f t="shared" si="8"/>
        <v>2017.75</v>
      </c>
      <c r="O45" s="522">
        <f t="shared" si="8"/>
        <v>2017.75</v>
      </c>
      <c r="P45" s="522">
        <f t="shared" si="8"/>
        <v>2017.75</v>
      </c>
      <c r="Q45" s="522">
        <f t="shared" si="8"/>
        <v>2017.75</v>
      </c>
      <c r="R45" s="522">
        <f t="shared" si="8"/>
        <v>2017.75</v>
      </c>
      <c r="S45" s="522">
        <f t="shared" si="8"/>
        <v>2617.75</v>
      </c>
      <c r="T45" s="522">
        <f t="shared" si="8"/>
        <v>2017.75</v>
      </c>
      <c r="U45" s="522">
        <f>SUM(U42:U44)</f>
        <v>0</v>
      </c>
      <c r="V45" s="522">
        <f t="shared" si="8"/>
        <v>24813</v>
      </c>
      <c r="W45" s="360" t="str">
        <f>+IF(V45=SUM(H45:T45),"contrôle ok", "erreur")</f>
        <v>contrôle ok</v>
      </c>
      <c r="X45" s="219"/>
    </row>
    <row r="46" spans="1:24" s="261" customFormat="1" ht="11.25" thickTop="1" x14ac:dyDescent="0.15">
      <c r="A46" s="398"/>
      <c r="B46" s="398"/>
      <c r="C46" s="399"/>
      <c r="D46" s="415"/>
      <c r="E46" s="380"/>
      <c r="F46" s="415"/>
      <c r="G46" s="367"/>
      <c r="H46" s="228"/>
      <c r="I46" s="228"/>
      <c r="J46" s="228"/>
      <c r="K46" s="228"/>
      <c r="L46" s="228"/>
      <c r="M46" s="228"/>
      <c r="N46" s="228"/>
      <c r="O46" s="228"/>
      <c r="P46" s="228"/>
      <c r="Q46" s="228"/>
      <c r="R46" s="228"/>
      <c r="S46" s="228"/>
      <c r="T46" s="228"/>
      <c r="U46" s="228"/>
      <c r="V46" s="381"/>
      <c r="W46" s="400"/>
      <c r="X46" s="400"/>
    </row>
    <row r="47" spans="1:24" x14ac:dyDescent="0.15">
      <c r="A47" s="352" t="s">
        <v>129</v>
      </c>
      <c r="B47" s="353"/>
      <c r="C47" s="354"/>
      <c r="D47" s="410"/>
      <c r="E47" s="355"/>
      <c r="F47" s="418"/>
      <c r="G47" s="356"/>
      <c r="H47" s="224"/>
      <c r="I47" s="224"/>
      <c r="J47" s="251"/>
      <c r="K47" s="224"/>
      <c r="L47" s="224"/>
      <c r="M47" s="224"/>
      <c r="N47" s="224"/>
      <c r="O47" s="224"/>
      <c r="P47" s="224"/>
      <c r="Q47" s="224"/>
      <c r="R47" s="224"/>
      <c r="S47" s="224"/>
      <c r="T47" s="224"/>
      <c r="U47" s="224"/>
      <c r="V47" s="252"/>
      <c r="W47" s="219"/>
      <c r="X47" s="219"/>
    </row>
    <row r="48" spans="1:24" x14ac:dyDescent="0.15">
      <c r="A48" s="377"/>
      <c r="B48" s="377"/>
      <c r="C48" s="378"/>
      <c r="D48" s="411">
        <v>615145</v>
      </c>
      <c r="E48" s="379" t="s">
        <v>143</v>
      </c>
      <c r="F48" s="411" t="s">
        <v>192</v>
      </c>
      <c r="G48" s="364"/>
      <c r="H48" s="560"/>
      <c r="I48" s="255"/>
      <c r="J48" s="255"/>
      <c r="K48" s="255"/>
      <c r="L48" s="255">
        <v>151.9</v>
      </c>
      <c r="M48" s="255"/>
      <c r="N48" s="255"/>
      <c r="O48" s="255"/>
      <c r="P48" s="255"/>
      <c r="Q48" s="255"/>
      <c r="R48" s="255"/>
      <c r="S48" s="255"/>
      <c r="T48" s="255"/>
      <c r="U48" s="582"/>
      <c r="V48" s="226">
        <f>SUM(H48:T48)</f>
        <v>151.9</v>
      </c>
      <c r="W48" s="219"/>
      <c r="X48" s="219"/>
    </row>
    <row r="49" spans="1:24" s="221" customFormat="1" ht="11.25" thickBot="1" x14ac:dyDescent="0.2">
      <c r="A49" s="536" t="s">
        <v>11</v>
      </c>
      <c r="B49" s="532"/>
      <c r="C49" s="542"/>
      <c r="D49" s="538"/>
      <c r="E49" s="536"/>
      <c r="F49" s="539"/>
      <c r="G49" s="540"/>
      <c r="H49" s="522">
        <f t="shared" ref="H49:V49" si="9">SUM(H48)</f>
        <v>0</v>
      </c>
      <c r="I49" s="522">
        <f t="shared" si="9"/>
        <v>0</v>
      </c>
      <c r="J49" s="522">
        <f t="shared" si="9"/>
        <v>0</v>
      </c>
      <c r="K49" s="522">
        <f t="shared" si="9"/>
        <v>0</v>
      </c>
      <c r="L49" s="522">
        <f t="shared" si="9"/>
        <v>151.9</v>
      </c>
      <c r="M49" s="522">
        <f t="shared" si="9"/>
        <v>0</v>
      </c>
      <c r="N49" s="522">
        <f t="shared" si="9"/>
        <v>0</v>
      </c>
      <c r="O49" s="522">
        <f t="shared" si="9"/>
        <v>0</v>
      </c>
      <c r="P49" s="522">
        <f t="shared" si="9"/>
        <v>0</v>
      </c>
      <c r="Q49" s="522">
        <f t="shared" si="9"/>
        <v>0</v>
      </c>
      <c r="R49" s="522">
        <f t="shared" si="9"/>
        <v>0</v>
      </c>
      <c r="S49" s="522">
        <f t="shared" si="9"/>
        <v>0</v>
      </c>
      <c r="T49" s="522">
        <f t="shared" si="9"/>
        <v>0</v>
      </c>
      <c r="U49" s="522">
        <f>SUM(U48)</f>
        <v>0</v>
      </c>
      <c r="V49" s="522">
        <f t="shared" si="9"/>
        <v>151.9</v>
      </c>
      <c r="W49" s="360" t="str">
        <f>+IF(V49=SUM(I49:T49),"contrôle ok", "erreur")</f>
        <v>contrôle ok</v>
      </c>
      <c r="X49" s="219"/>
    </row>
    <row r="50" spans="1:24" s="221" customFormat="1" ht="11.25" thickTop="1" x14ac:dyDescent="0.15">
      <c r="A50" s="361"/>
      <c r="B50" s="361"/>
      <c r="C50" s="362"/>
      <c r="D50" s="414"/>
      <c r="E50" s="363"/>
      <c r="F50" s="414"/>
      <c r="G50" s="364"/>
      <c r="H50" s="229"/>
      <c r="I50" s="229"/>
      <c r="J50" s="229"/>
      <c r="K50" s="229"/>
      <c r="L50" s="229"/>
      <c r="M50" s="229"/>
      <c r="N50" s="257"/>
      <c r="O50" s="229"/>
      <c r="P50" s="229"/>
      <c r="Q50" s="229"/>
      <c r="R50" s="229"/>
      <c r="S50" s="229"/>
      <c r="T50" s="229"/>
      <c r="U50" s="229"/>
      <c r="V50" s="258"/>
      <c r="X50" s="219"/>
    </row>
    <row r="51" spans="1:24" x14ac:dyDescent="0.15">
      <c r="A51" s="352" t="s">
        <v>444</v>
      </c>
      <c r="B51" s="353"/>
      <c r="C51" s="354"/>
      <c r="D51" s="410"/>
      <c r="E51" s="355"/>
      <c r="F51" s="418"/>
      <c r="G51" s="356"/>
      <c r="H51" s="224"/>
      <c r="I51" s="224"/>
      <c r="J51" s="251"/>
      <c r="K51" s="224"/>
      <c r="L51" s="224"/>
      <c r="M51" s="224"/>
      <c r="N51" s="224"/>
      <c r="O51" s="224"/>
      <c r="P51" s="224"/>
      <c r="Q51" s="224"/>
      <c r="R51" s="224"/>
      <c r="S51" s="224"/>
      <c r="T51" s="224"/>
      <c r="U51" s="224"/>
      <c r="V51" s="252"/>
      <c r="W51" s="219"/>
      <c r="X51" s="219"/>
    </row>
    <row r="52" spans="1:24" x14ac:dyDescent="0.15">
      <c r="A52" s="377" t="s">
        <v>193</v>
      </c>
      <c r="B52" s="377"/>
      <c r="C52" s="378"/>
      <c r="D52" s="411">
        <v>615150</v>
      </c>
      <c r="E52" s="379" t="s">
        <v>80</v>
      </c>
      <c r="F52" s="411" t="s">
        <v>192</v>
      </c>
      <c r="G52" s="364"/>
      <c r="H52" s="560"/>
      <c r="I52" s="226"/>
      <c r="J52" s="255"/>
      <c r="K52" s="226"/>
      <c r="L52" s="226"/>
      <c r="M52" s="226"/>
      <c r="N52" s="234"/>
      <c r="O52" s="255"/>
      <c r="P52" s="255"/>
      <c r="Q52" s="255"/>
      <c r="R52" s="255"/>
      <c r="S52" s="255"/>
      <c r="T52" s="255"/>
      <c r="U52" s="582"/>
      <c r="V52" s="226">
        <f>SUM(H52:T52)</f>
        <v>0</v>
      </c>
      <c r="W52" s="219"/>
      <c r="X52" s="219"/>
    </row>
    <row r="53" spans="1:24" s="221" customFormat="1" ht="11.25" thickBot="1" x14ac:dyDescent="0.2">
      <c r="A53" s="536" t="s">
        <v>11</v>
      </c>
      <c r="B53" s="532"/>
      <c r="C53" s="542"/>
      <c r="D53" s="538"/>
      <c r="E53" s="536"/>
      <c r="F53" s="539"/>
      <c r="G53" s="540"/>
      <c r="H53" s="522">
        <f>SUM(H52)</f>
        <v>0</v>
      </c>
      <c r="I53" s="599">
        <f>SUM(I52)</f>
        <v>0</v>
      </c>
      <c r="J53" s="599">
        <f t="shared" ref="J53:V53" si="10">SUM(J52)</f>
        <v>0</v>
      </c>
      <c r="K53" s="599">
        <f t="shared" si="10"/>
        <v>0</v>
      </c>
      <c r="L53" s="599">
        <f t="shared" si="10"/>
        <v>0</v>
      </c>
      <c r="M53" s="599">
        <f t="shared" si="10"/>
        <v>0</v>
      </c>
      <c r="N53" s="599">
        <f t="shared" si="10"/>
        <v>0</v>
      </c>
      <c r="O53" s="599">
        <f t="shared" si="10"/>
        <v>0</v>
      </c>
      <c r="P53" s="599">
        <f t="shared" si="10"/>
        <v>0</v>
      </c>
      <c r="Q53" s="599">
        <f t="shared" si="10"/>
        <v>0</v>
      </c>
      <c r="R53" s="599">
        <f t="shared" si="10"/>
        <v>0</v>
      </c>
      <c r="S53" s="599">
        <f t="shared" si="10"/>
        <v>0</v>
      </c>
      <c r="T53" s="599">
        <f t="shared" si="10"/>
        <v>0</v>
      </c>
      <c r="U53" s="599">
        <f>SUM(U52)</f>
        <v>0</v>
      </c>
      <c r="V53" s="599">
        <f t="shared" si="10"/>
        <v>0</v>
      </c>
      <c r="W53" s="360" t="str">
        <f>+IF(V53=SUM(I53:T53),"contrôle ok", "erreur")</f>
        <v>contrôle ok</v>
      </c>
      <c r="X53" s="219"/>
    </row>
    <row r="54" spans="1:24" s="221" customFormat="1" ht="11.25" thickTop="1" x14ac:dyDescent="0.15">
      <c r="A54" s="361"/>
      <c r="B54" s="361"/>
      <c r="C54" s="362"/>
      <c r="D54" s="414"/>
      <c r="E54" s="363"/>
      <c r="F54" s="414"/>
      <c r="G54" s="364"/>
      <c r="H54" s="229"/>
      <c r="I54" s="229"/>
      <c r="J54" s="229"/>
      <c r="K54" s="229"/>
      <c r="L54" s="229"/>
      <c r="M54" s="229"/>
      <c r="N54" s="257"/>
      <c r="O54" s="229"/>
      <c r="P54" s="229"/>
      <c r="Q54" s="229"/>
      <c r="R54" s="229"/>
      <c r="S54" s="229"/>
      <c r="T54" s="229"/>
      <c r="U54" s="229"/>
      <c r="V54" s="258"/>
      <c r="X54" s="219"/>
    </row>
    <row r="55" spans="1:24" x14ac:dyDescent="0.15">
      <c r="A55" s="352" t="s">
        <v>82</v>
      </c>
      <c r="B55" s="353"/>
      <c r="C55" s="354"/>
      <c r="D55" s="410"/>
      <c r="E55" s="355"/>
      <c r="F55" s="418"/>
      <c r="G55" s="356"/>
      <c r="H55" s="224"/>
      <c r="I55" s="224"/>
      <c r="J55" s="251"/>
      <c r="K55" s="224"/>
      <c r="L55" s="224"/>
      <c r="M55" s="224"/>
      <c r="N55" s="224"/>
      <c r="O55" s="224"/>
      <c r="P55" s="224"/>
      <c r="Q55" s="224"/>
      <c r="R55" s="224"/>
      <c r="S55" s="224"/>
      <c r="T55" s="224"/>
      <c r="U55" s="224"/>
      <c r="V55" s="252"/>
      <c r="W55" s="219"/>
      <c r="X55" s="219"/>
    </row>
    <row r="56" spans="1:24" x14ac:dyDescent="0.15">
      <c r="A56" s="377" t="s">
        <v>416</v>
      </c>
      <c r="B56" s="469" t="s">
        <v>334</v>
      </c>
      <c r="C56" s="378"/>
      <c r="D56" s="411">
        <v>615155</v>
      </c>
      <c r="E56" s="379" t="s">
        <v>80</v>
      </c>
      <c r="F56" s="411" t="s">
        <v>179</v>
      </c>
      <c r="G56" s="367">
        <v>372.94</v>
      </c>
      <c r="H56" s="560"/>
      <c r="I56" s="226">
        <v>372.94</v>
      </c>
      <c r="J56" s="226">
        <f>372.94-18.2</f>
        <v>354.74</v>
      </c>
      <c r="K56" s="226">
        <f>372.94-9.1</f>
        <v>363.84</v>
      </c>
      <c r="L56" s="226">
        <f>372.94-9.1</f>
        <v>363.84</v>
      </c>
      <c r="M56" s="226">
        <f>372.94-9.1</f>
        <v>363.84</v>
      </c>
      <c r="N56" s="226">
        <v>363.84</v>
      </c>
      <c r="O56" s="226">
        <v>363.84</v>
      </c>
      <c r="P56" s="226">
        <v>363.84</v>
      </c>
      <c r="Q56" s="226">
        <v>363.84</v>
      </c>
      <c r="R56" s="226">
        <v>363.84</v>
      </c>
      <c r="S56" s="226">
        <v>363.84</v>
      </c>
      <c r="T56" s="226">
        <f>372.94-9.06</f>
        <v>363.88</v>
      </c>
      <c r="U56" s="582"/>
      <c r="V56" s="226">
        <f>SUM(H56:T56)</f>
        <v>4366.1200000000008</v>
      </c>
      <c r="W56" s="219"/>
      <c r="X56" s="219"/>
    </row>
    <row r="57" spans="1:24" x14ac:dyDescent="0.15">
      <c r="A57" s="377" t="s">
        <v>164</v>
      </c>
      <c r="B57" s="377"/>
      <c r="C57" s="378"/>
      <c r="D57" s="411">
        <v>615155</v>
      </c>
      <c r="E57" s="379" t="s">
        <v>80</v>
      </c>
      <c r="F57" s="411" t="s">
        <v>192</v>
      </c>
      <c r="G57" s="367"/>
      <c r="H57" s="560"/>
      <c r="I57" s="226"/>
      <c r="J57" s="226">
        <v>498.5</v>
      </c>
      <c r="K57" s="226"/>
      <c r="L57" s="226"/>
      <c r="M57" s="255"/>
      <c r="N57" s="226">
        <v>875</v>
      </c>
      <c r="O57" s="226"/>
      <c r="P57" s="226"/>
      <c r="Q57" s="226"/>
      <c r="R57" s="226"/>
      <c r="S57" s="226"/>
      <c r="T57" s="226"/>
      <c r="U57" s="582"/>
      <c r="V57" s="226">
        <f>SUM(H57:T57)</f>
        <v>1373.5</v>
      </c>
      <c r="W57" s="219"/>
      <c r="X57" s="219"/>
    </row>
    <row r="58" spans="1:24" s="221" customFormat="1" ht="11.25" thickBot="1" x14ac:dyDescent="0.2">
      <c r="A58" s="536" t="s">
        <v>11</v>
      </c>
      <c r="B58" s="532"/>
      <c r="C58" s="542"/>
      <c r="D58" s="538"/>
      <c r="E58" s="536"/>
      <c r="F58" s="539"/>
      <c r="G58" s="540"/>
      <c r="H58" s="522">
        <f>SUM(H56:H57)</f>
        <v>0</v>
      </c>
      <c r="I58" s="522">
        <f t="shared" ref="I58:V58" si="11">SUM(I56:I57)</f>
        <v>372.94</v>
      </c>
      <c r="J58" s="522">
        <f t="shared" si="11"/>
        <v>853.24</v>
      </c>
      <c r="K58" s="522">
        <f t="shared" si="11"/>
        <v>363.84</v>
      </c>
      <c r="L58" s="522">
        <f t="shared" si="11"/>
        <v>363.84</v>
      </c>
      <c r="M58" s="522">
        <f t="shared" si="11"/>
        <v>363.84</v>
      </c>
      <c r="N58" s="522">
        <f t="shared" si="11"/>
        <v>1238.8399999999999</v>
      </c>
      <c r="O58" s="522">
        <f t="shared" si="11"/>
        <v>363.84</v>
      </c>
      <c r="P58" s="522">
        <f t="shared" si="11"/>
        <v>363.84</v>
      </c>
      <c r="Q58" s="522">
        <f t="shared" si="11"/>
        <v>363.84</v>
      </c>
      <c r="R58" s="522">
        <f t="shared" si="11"/>
        <v>363.84</v>
      </c>
      <c r="S58" s="522">
        <f t="shared" si="11"/>
        <v>363.84</v>
      </c>
      <c r="T58" s="522">
        <f t="shared" si="11"/>
        <v>363.88</v>
      </c>
      <c r="U58" s="522">
        <f>SUM(U56:U57)</f>
        <v>0</v>
      </c>
      <c r="V58" s="522">
        <f t="shared" si="11"/>
        <v>5739.6200000000008</v>
      </c>
      <c r="W58" s="360" t="str">
        <f>+IF(V58=SUM(I58:T58),"contrôle ok", "erreur")</f>
        <v>contrôle ok</v>
      </c>
      <c r="X58" s="219"/>
    </row>
    <row r="59" spans="1:24" s="221" customFormat="1" ht="11.25" thickTop="1" x14ac:dyDescent="0.15">
      <c r="A59" s="361"/>
      <c r="B59" s="361"/>
      <c r="C59" s="362"/>
      <c r="D59" s="414"/>
      <c r="E59" s="363"/>
      <c r="F59" s="414"/>
      <c r="G59" s="364"/>
      <c r="H59" s="229"/>
      <c r="I59" s="229"/>
      <c r="J59" s="229"/>
      <c r="K59" s="229"/>
      <c r="L59" s="229"/>
      <c r="M59" s="229"/>
      <c r="N59" s="257"/>
      <c r="O59" s="229"/>
      <c r="P59" s="229"/>
      <c r="Q59" s="229"/>
      <c r="R59" s="229"/>
      <c r="S59" s="229"/>
      <c r="T59" s="229"/>
      <c r="U59" s="229"/>
      <c r="V59" s="258"/>
      <c r="X59" s="219"/>
    </row>
    <row r="60" spans="1:24" x14ac:dyDescent="0.15">
      <c r="A60" s="352" t="s">
        <v>61</v>
      </c>
      <c r="B60" s="353"/>
      <c r="C60" s="354"/>
      <c r="D60" s="410"/>
      <c r="E60" s="355"/>
      <c r="F60" s="418"/>
      <c r="G60" s="356"/>
      <c r="H60" s="224"/>
      <c r="I60" s="224"/>
      <c r="J60" s="251"/>
      <c r="K60" s="224"/>
      <c r="L60" s="224"/>
      <c r="M60" s="224"/>
      <c r="N60" s="224"/>
      <c r="O60" s="224"/>
      <c r="P60" s="224"/>
      <c r="Q60" s="224"/>
      <c r="R60" s="224"/>
      <c r="S60" s="224"/>
      <c r="T60" s="224"/>
      <c r="U60" s="224"/>
      <c r="V60" s="252"/>
      <c r="W60" s="219"/>
      <c r="X60" s="219"/>
    </row>
    <row r="61" spans="1:24" x14ac:dyDescent="0.15">
      <c r="A61" s="377" t="s">
        <v>193</v>
      </c>
      <c r="B61" s="377"/>
      <c r="C61" s="378"/>
      <c r="D61" s="411"/>
      <c r="E61" s="379"/>
      <c r="F61" s="411"/>
      <c r="G61" s="364"/>
      <c r="H61" s="560"/>
      <c r="I61" s="255"/>
      <c r="J61" s="226"/>
      <c r="K61" s="255"/>
      <c r="L61" s="226"/>
      <c r="M61" s="226"/>
      <c r="N61" s="226"/>
      <c r="O61" s="226"/>
      <c r="P61" s="226"/>
      <c r="Q61" s="226">
        <v>230.5</v>
      </c>
      <c r="R61" s="226"/>
      <c r="S61" s="226"/>
      <c r="T61" s="226"/>
      <c r="U61" s="582"/>
      <c r="V61" s="226">
        <f>SUM(H61:T61)</f>
        <v>230.5</v>
      </c>
      <c r="W61" s="219"/>
      <c r="X61" s="219"/>
    </row>
    <row r="62" spans="1:24" s="221" customFormat="1" ht="11.25" thickBot="1" x14ac:dyDescent="0.2">
      <c r="A62" s="536" t="s">
        <v>11</v>
      </c>
      <c r="B62" s="532"/>
      <c r="C62" s="542"/>
      <c r="D62" s="543">
        <v>615160</v>
      </c>
      <c r="E62" s="544" t="s">
        <v>80</v>
      </c>
      <c r="F62" s="545" t="s">
        <v>192</v>
      </c>
      <c r="G62" s="540"/>
      <c r="H62" s="522">
        <f>SUM(H61)</f>
        <v>0</v>
      </c>
      <c r="I62" s="522">
        <f>SUM(I61)</f>
        <v>0</v>
      </c>
      <c r="J62" s="522">
        <f t="shared" ref="J62:V62" si="12">SUM(J61)</f>
        <v>0</v>
      </c>
      <c r="K62" s="522">
        <f t="shared" si="12"/>
        <v>0</v>
      </c>
      <c r="L62" s="522">
        <f t="shared" si="12"/>
        <v>0</v>
      </c>
      <c r="M62" s="522">
        <f t="shared" si="12"/>
        <v>0</v>
      </c>
      <c r="N62" s="522">
        <f t="shared" si="12"/>
        <v>0</v>
      </c>
      <c r="O62" s="522">
        <f t="shared" si="12"/>
        <v>0</v>
      </c>
      <c r="P62" s="522">
        <f t="shared" si="12"/>
        <v>0</v>
      </c>
      <c r="Q62" s="522">
        <f t="shared" si="12"/>
        <v>230.5</v>
      </c>
      <c r="R62" s="522">
        <f t="shared" si="12"/>
        <v>0</v>
      </c>
      <c r="S62" s="522">
        <f t="shared" si="12"/>
        <v>0</v>
      </c>
      <c r="T62" s="522">
        <f t="shared" si="12"/>
        <v>0</v>
      </c>
      <c r="U62" s="522">
        <f>SUM(U61)</f>
        <v>0</v>
      </c>
      <c r="V62" s="522">
        <f t="shared" si="12"/>
        <v>230.5</v>
      </c>
      <c r="W62" s="360" t="str">
        <f>+IF(V62=SUM(I62:T62),"contrôle ok", "erreur")</f>
        <v>contrôle ok</v>
      </c>
      <c r="X62" s="219"/>
    </row>
    <row r="63" spans="1:24" s="221" customFormat="1" ht="11.25" thickTop="1" x14ac:dyDescent="0.15">
      <c r="A63" s="361"/>
      <c r="B63" s="361"/>
      <c r="C63" s="362"/>
      <c r="D63" s="414"/>
      <c r="E63" s="363"/>
      <c r="F63" s="414"/>
      <c r="G63" s="364"/>
      <c r="H63" s="229"/>
      <c r="I63" s="229"/>
      <c r="J63" s="229"/>
      <c r="K63" s="229"/>
      <c r="L63" s="229"/>
      <c r="M63" s="229"/>
      <c r="N63" s="257"/>
      <c r="O63" s="229"/>
      <c r="P63" s="229"/>
      <c r="Q63" s="229"/>
      <c r="R63" s="229"/>
      <c r="S63" s="229"/>
      <c r="T63" s="229"/>
      <c r="U63" s="229"/>
      <c r="V63" s="258"/>
      <c r="X63" s="219"/>
    </row>
    <row r="64" spans="1:24" x14ac:dyDescent="0.15">
      <c r="A64" s="352" t="s">
        <v>330</v>
      </c>
      <c r="B64" s="353"/>
      <c r="C64" s="354"/>
      <c r="D64" s="410"/>
      <c r="E64" s="355"/>
      <c r="F64" s="418"/>
      <c r="G64" s="356"/>
      <c r="H64" s="224"/>
      <c r="I64" s="224"/>
      <c r="J64" s="251"/>
      <c r="K64" s="224"/>
      <c r="L64" s="224"/>
      <c r="M64" s="224"/>
      <c r="N64" s="224"/>
      <c r="O64" s="224"/>
      <c r="P64" s="224"/>
      <c r="Q64" s="224"/>
      <c r="R64" s="224"/>
      <c r="S64" s="224"/>
      <c r="T64" s="224"/>
      <c r="U64" s="224"/>
      <c r="V64" s="252"/>
      <c r="W64" s="219"/>
      <c r="X64" s="219"/>
    </row>
    <row r="65" spans="1:24" x14ac:dyDescent="0.15">
      <c r="A65" s="377" t="s">
        <v>452</v>
      </c>
      <c r="B65" s="377" t="s">
        <v>472</v>
      </c>
      <c r="C65" s="378" t="s">
        <v>532</v>
      </c>
      <c r="D65" s="411">
        <v>615175</v>
      </c>
      <c r="E65" s="379" t="s">
        <v>143</v>
      </c>
      <c r="F65" s="411" t="s">
        <v>179</v>
      </c>
      <c r="G65" s="367">
        <v>277.70999999999998</v>
      </c>
      <c r="H65" s="560"/>
      <c r="I65" s="226">
        <v>277.70999999999998</v>
      </c>
      <c r="J65" s="226">
        <v>277.70999999999998</v>
      </c>
      <c r="K65" s="226">
        <v>277.70999999999998</v>
      </c>
      <c r="L65" s="226">
        <v>277.70999999999998</v>
      </c>
      <c r="M65" s="226">
        <v>277.70999999999998</v>
      </c>
      <c r="N65" s="226">
        <v>277.70999999999998</v>
      </c>
      <c r="O65" s="226">
        <v>277.70999999999998</v>
      </c>
      <c r="P65" s="226">
        <v>277.70999999999998</v>
      </c>
      <c r="Q65" s="226">
        <v>277.70999999999998</v>
      </c>
      <c r="R65" s="226">
        <v>277.70999999999998</v>
      </c>
      <c r="S65" s="226">
        <v>277.70999999999998</v>
      </c>
      <c r="T65" s="226">
        <v>277.70999999999998</v>
      </c>
      <c r="U65" s="582"/>
      <c r="V65" s="226">
        <f t="shared" ref="V65:V71" si="13">SUM(H65:T65)</f>
        <v>3332.52</v>
      </c>
      <c r="W65" s="219"/>
      <c r="X65" s="219"/>
    </row>
    <row r="66" spans="1:24" x14ac:dyDescent="0.15">
      <c r="A66" s="377" t="s">
        <v>452</v>
      </c>
      <c r="B66" s="377" t="s">
        <v>522</v>
      </c>
      <c r="C66" s="378" t="s">
        <v>532</v>
      </c>
      <c r="D66" s="411">
        <v>615175</v>
      </c>
      <c r="E66" s="379" t="s">
        <v>143</v>
      </c>
      <c r="F66" s="411" t="s">
        <v>179</v>
      </c>
      <c r="G66" s="367">
        <v>41.67</v>
      </c>
      <c r="H66" s="560"/>
      <c r="I66" s="226">
        <v>41.67</v>
      </c>
      <c r="J66" s="226">
        <v>41.67</v>
      </c>
      <c r="K66" s="226">
        <v>41.67</v>
      </c>
      <c r="L66" s="226">
        <v>41.67</v>
      </c>
      <c r="M66" s="226">
        <v>41.67</v>
      </c>
      <c r="N66" s="226">
        <v>41.67</v>
      </c>
      <c r="O66" s="226">
        <v>41.67</v>
      </c>
      <c r="P66" s="226">
        <v>41.67</v>
      </c>
      <c r="Q66" s="226">
        <v>41.67</v>
      </c>
      <c r="R66" s="226">
        <v>41.67</v>
      </c>
      <c r="S66" s="226">
        <v>41.67</v>
      </c>
      <c r="T66" s="226">
        <v>41.67</v>
      </c>
      <c r="U66" s="582"/>
      <c r="V66" s="226">
        <f t="shared" si="13"/>
        <v>500.04000000000013</v>
      </c>
      <c r="W66" s="219"/>
      <c r="X66" s="219"/>
    </row>
    <row r="67" spans="1:24" x14ac:dyDescent="0.15">
      <c r="A67" s="377" t="s">
        <v>452</v>
      </c>
      <c r="B67" s="377" t="s">
        <v>460</v>
      </c>
      <c r="C67" s="378"/>
      <c r="D67" s="411">
        <v>615175</v>
      </c>
      <c r="E67" s="376" t="s">
        <v>143</v>
      </c>
      <c r="F67" s="411" t="s">
        <v>179</v>
      </c>
      <c r="G67" s="364">
        <v>18.350000000000001</v>
      </c>
      <c r="H67" s="560"/>
      <c r="I67" s="226">
        <v>18.350000000000001</v>
      </c>
      <c r="J67" s="226">
        <v>18.3</v>
      </c>
      <c r="K67" s="226"/>
      <c r="L67" s="226"/>
      <c r="M67" s="226"/>
      <c r="N67" s="226"/>
      <c r="O67" s="226"/>
      <c r="P67" s="226"/>
      <c r="Q67" s="226"/>
      <c r="R67" s="226"/>
      <c r="S67" s="226"/>
      <c r="T67" s="226"/>
      <c r="U67" s="582"/>
      <c r="V67" s="226">
        <f t="shared" si="13"/>
        <v>36.650000000000006</v>
      </c>
      <c r="W67" s="219"/>
      <c r="X67" s="219"/>
    </row>
    <row r="68" spans="1:24" x14ac:dyDescent="0.15">
      <c r="A68" s="377" t="s">
        <v>452</v>
      </c>
      <c r="B68" s="437"/>
      <c r="C68" s="378" t="s">
        <v>667</v>
      </c>
      <c r="D68" s="411">
        <v>615175</v>
      </c>
      <c r="E68" s="376" t="s">
        <v>143</v>
      </c>
      <c r="F68" s="411" t="s">
        <v>179</v>
      </c>
      <c r="G68" s="364">
        <v>37.68</v>
      </c>
      <c r="H68" s="560"/>
      <c r="I68" s="226">
        <v>37.68</v>
      </c>
      <c r="J68" s="226">
        <v>37.68</v>
      </c>
      <c r="K68" s="226">
        <v>37.68</v>
      </c>
      <c r="L68" s="226">
        <v>37.68</v>
      </c>
      <c r="M68" s="226">
        <v>37.68</v>
      </c>
      <c r="N68" s="226">
        <v>37.68</v>
      </c>
      <c r="O68" s="226">
        <v>37.68</v>
      </c>
      <c r="P68" s="226">
        <v>37.68</v>
      </c>
      <c r="Q68" s="226">
        <v>37.68</v>
      </c>
      <c r="R68" s="226">
        <v>37.68</v>
      </c>
      <c r="S68" s="226">
        <v>37.68</v>
      </c>
      <c r="T68" s="226">
        <v>37.619999999999997</v>
      </c>
      <c r="U68" s="582"/>
      <c r="V68" s="226">
        <f t="shared" si="13"/>
        <v>452.1</v>
      </c>
      <c r="W68" s="219"/>
      <c r="X68" s="219"/>
    </row>
    <row r="69" spans="1:24" x14ac:dyDescent="0.15">
      <c r="A69" s="377" t="s">
        <v>452</v>
      </c>
      <c r="B69" s="484" t="s">
        <v>546</v>
      </c>
      <c r="C69" s="137" t="s">
        <v>640</v>
      </c>
      <c r="D69" s="411">
        <v>615175</v>
      </c>
      <c r="E69" s="376" t="s">
        <v>143</v>
      </c>
      <c r="F69" s="411" t="s">
        <v>179</v>
      </c>
      <c r="G69" s="364">
        <v>13.75</v>
      </c>
      <c r="H69" s="560"/>
      <c r="I69" s="226">
        <v>13.75</v>
      </c>
      <c r="J69" s="226">
        <v>13.75</v>
      </c>
      <c r="K69" s="226">
        <v>13.75</v>
      </c>
      <c r="L69" s="226">
        <v>13.75</v>
      </c>
      <c r="M69" s="226">
        <v>13.75</v>
      </c>
      <c r="N69" s="226">
        <v>13.75</v>
      </c>
      <c r="O69" s="226">
        <v>13.75</v>
      </c>
      <c r="P69" s="226">
        <v>13.75</v>
      </c>
      <c r="Q69" s="226">
        <v>13.75</v>
      </c>
      <c r="R69" s="226">
        <v>13.75</v>
      </c>
      <c r="S69" s="226">
        <v>13.75</v>
      </c>
      <c r="T69" s="226">
        <v>13.75</v>
      </c>
      <c r="U69" s="582"/>
      <c r="V69" s="226">
        <f t="shared" si="13"/>
        <v>165</v>
      </c>
      <c r="W69" s="219"/>
      <c r="X69" s="219"/>
    </row>
    <row r="70" spans="1:24" x14ac:dyDescent="0.15">
      <c r="A70" s="377" t="s">
        <v>452</v>
      </c>
      <c r="B70" s="377"/>
      <c r="C70" s="378"/>
      <c r="D70" s="411">
        <v>615175</v>
      </c>
      <c r="E70" s="376" t="s">
        <v>143</v>
      </c>
      <c r="F70" s="411" t="s">
        <v>179</v>
      </c>
      <c r="G70" s="364">
        <v>27.5</v>
      </c>
      <c r="H70" s="560"/>
      <c r="I70" s="226">
        <v>27.5</v>
      </c>
      <c r="J70" s="226">
        <v>27.5</v>
      </c>
      <c r="K70" s="226">
        <v>27.5</v>
      </c>
      <c r="L70" s="226">
        <v>27.5</v>
      </c>
      <c r="M70" s="226">
        <v>27.5</v>
      </c>
      <c r="N70" s="226">
        <v>27.5</v>
      </c>
      <c r="O70" s="226">
        <v>27.5</v>
      </c>
      <c r="P70" s="226">
        <v>27.5</v>
      </c>
      <c r="Q70" s="226">
        <v>27.5</v>
      </c>
      <c r="R70" s="226">
        <v>27.5</v>
      </c>
      <c r="S70" s="226">
        <v>27.5</v>
      </c>
      <c r="T70" s="226">
        <v>27.5</v>
      </c>
      <c r="U70" s="582"/>
      <c r="V70" s="226">
        <f t="shared" si="13"/>
        <v>330</v>
      </c>
      <c r="W70" s="219"/>
      <c r="X70" s="219"/>
    </row>
    <row r="71" spans="1:24" x14ac:dyDescent="0.15">
      <c r="A71" s="377" t="s">
        <v>452</v>
      </c>
      <c r="B71" s="377"/>
      <c r="C71" s="378"/>
      <c r="D71" s="411">
        <v>615175</v>
      </c>
      <c r="E71" s="376" t="s">
        <v>143</v>
      </c>
      <c r="F71" s="411" t="s">
        <v>179</v>
      </c>
      <c r="G71" s="364">
        <v>27.88</v>
      </c>
      <c r="H71" s="560"/>
      <c r="I71" s="226">
        <v>27.88</v>
      </c>
      <c r="J71" s="226">
        <v>27.88</v>
      </c>
      <c r="K71" s="226">
        <v>27.88</v>
      </c>
      <c r="L71" s="226">
        <v>27.88</v>
      </c>
      <c r="M71" s="226">
        <v>27.88</v>
      </c>
      <c r="N71" s="226">
        <v>27.88</v>
      </c>
      <c r="O71" s="226">
        <v>27.88</v>
      </c>
      <c r="P71" s="226">
        <v>27.88</v>
      </c>
      <c r="Q71" s="226">
        <v>27.88</v>
      </c>
      <c r="R71" s="226">
        <v>27.88</v>
      </c>
      <c r="S71" s="226">
        <v>27.88</v>
      </c>
      <c r="T71" s="226">
        <v>27.87</v>
      </c>
      <c r="U71" s="582"/>
      <c r="V71" s="226">
        <f t="shared" si="13"/>
        <v>334.55</v>
      </c>
      <c r="W71" s="219"/>
      <c r="X71" s="219"/>
    </row>
    <row r="72" spans="1:24" s="221" customFormat="1" ht="11.25" thickBot="1" x14ac:dyDescent="0.2">
      <c r="A72" s="536" t="s">
        <v>11</v>
      </c>
      <c r="B72" s="532"/>
      <c r="C72" s="542"/>
      <c r="D72" s="538"/>
      <c r="E72" s="536"/>
      <c r="F72" s="539"/>
      <c r="G72" s="540"/>
      <c r="H72" s="522">
        <f t="shared" ref="H72:T72" si="14">SUM(H65:H71)</f>
        <v>0</v>
      </c>
      <c r="I72" s="522">
        <f t="shared" si="14"/>
        <v>444.54</v>
      </c>
      <c r="J72" s="522">
        <f t="shared" si="14"/>
        <v>444.49</v>
      </c>
      <c r="K72" s="522">
        <f t="shared" si="14"/>
        <v>426.19</v>
      </c>
      <c r="L72" s="522">
        <f t="shared" si="14"/>
        <v>426.19</v>
      </c>
      <c r="M72" s="522">
        <f t="shared" si="14"/>
        <v>426.19</v>
      </c>
      <c r="N72" s="522">
        <f t="shared" si="14"/>
        <v>426.19</v>
      </c>
      <c r="O72" s="522">
        <f t="shared" si="14"/>
        <v>426.19</v>
      </c>
      <c r="P72" s="522">
        <f t="shared" si="14"/>
        <v>426.19</v>
      </c>
      <c r="Q72" s="522">
        <f t="shared" si="14"/>
        <v>426.19</v>
      </c>
      <c r="R72" s="522">
        <f t="shared" si="14"/>
        <v>426.19</v>
      </c>
      <c r="S72" s="522">
        <f t="shared" si="14"/>
        <v>426.19</v>
      </c>
      <c r="T72" s="522">
        <f t="shared" si="14"/>
        <v>426.12</v>
      </c>
      <c r="U72" s="522">
        <f>SUM(U65:U71)</f>
        <v>0</v>
      </c>
      <c r="V72" s="522">
        <f>SUM(V65:V71)</f>
        <v>5150.8600000000006</v>
      </c>
      <c r="W72" s="360" t="str">
        <f>+IF(V72=SUM(H72:T72),"contrôle ok", "erreur")</f>
        <v>contrôle ok</v>
      </c>
      <c r="X72" s="219"/>
    </row>
    <row r="73" spans="1:24" s="221" customFormat="1" ht="11.25" thickTop="1" x14ac:dyDescent="0.15">
      <c r="A73" s="361"/>
      <c r="B73" s="361"/>
      <c r="C73" s="362"/>
      <c r="D73" s="414"/>
      <c r="E73" s="384"/>
      <c r="F73" s="414"/>
      <c r="G73" s="364"/>
      <c r="H73" s="229"/>
      <c r="I73" s="229"/>
      <c r="J73" s="229"/>
      <c r="K73" s="229"/>
      <c r="L73" s="229"/>
      <c r="M73" s="229"/>
      <c r="N73" s="257"/>
      <c r="O73" s="229"/>
      <c r="P73" s="229"/>
      <c r="Q73" s="229"/>
      <c r="R73" s="229"/>
      <c r="S73" s="229"/>
      <c r="T73" s="229"/>
      <c r="U73" s="229"/>
      <c r="V73" s="258"/>
      <c r="X73" s="219"/>
    </row>
    <row r="74" spans="1:24" x14ac:dyDescent="0.15">
      <c r="A74" s="352" t="s">
        <v>226</v>
      </c>
      <c r="B74" s="353"/>
      <c r="C74" s="354"/>
      <c r="D74" s="410"/>
      <c r="E74" s="355"/>
      <c r="F74" s="418"/>
      <c r="G74" s="356"/>
      <c r="H74" s="224"/>
      <c r="I74" s="224"/>
      <c r="J74" s="251"/>
      <c r="K74" s="224"/>
      <c r="L74" s="224"/>
      <c r="M74" s="224"/>
      <c r="N74" s="224"/>
      <c r="O74" s="224"/>
      <c r="P74" s="224"/>
      <c r="Q74" s="224"/>
      <c r="R74" s="224"/>
      <c r="S74" s="224"/>
      <c r="T74" s="224"/>
      <c r="U74" s="224"/>
      <c r="V74" s="252"/>
      <c r="W74" s="219"/>
      <c r="X74" s="219"/>
    </row>
    <row r="75" spans="1:24" x14ac:dyDescent="0.15">
      <c r="A75" s="377" t="s">
        <v>496</v>
      </c>
      <c r="B75" s="377"/>
      <c r="C75" s="378"/>
      <c r="D75" s="411">
        <v>615176</v>
      </c>
      <c r="E75" s="379" t="s">
        <v>143</v>
      </c>
      <c r="F75" s="411" t="s">
        <v>192</v>
      </c>
      <c r="G75" s="364"/>
      <c r="H75" s="564"/>
      <c r="I75" s="255"/>
      <c r="J75" s="255"/>
      <c r="K75" s="255"/>
      <c r="L75" s="255"/>
      <c r="M75" s="226"/>
      <c r="N75" s="226">
        <f>1074+2221</f>
        <v>3295</v>
      </c>
      <c r="O75" s="226">
        <f>80+80</f>
        <v>160</v>
      </c>
      <c r="P75" s="226"/>
      <c r="Q75" s="226"/>
      <c r="R75" s="226"/>
      <c r="S75" s="226"/>
      <c r="T75" s="226"/>
      <c r="U75" s="582"/>
      <c r="V75" s="226">
        <f>SUM(H75:T75)</f>
        <v>3455</v>
      </c>
      <c r="W75" s="219"/>
      <c r="X75" s="219"/>
    </row>
    <row r="76" spans="1:24" x14ac:dyDescent="0.15">
      <c r="A76" s="377" t="s">
        <v>306</v>
      </c>
      <c r="B76" s="377"/>
      <c r="C76" s="378"/>
      <c r="D76" s="411">
        <v>615176</v>
      </c>
      <c r="E76" s="379" t="s">
        <v>143</v>
      </c>
      <c r="F76" s="411" t="s">
        <v>179</v>
      </c>
      <c r="G76" s="364"/>
      <c r="H76" s="560"/>
      <c r="I76" s="255"/>
      <c r="J76" s="234"/>
      <c r="K76" s="234"/>
      <c r="L76" s="255"/>
      <c r="M76" s="226"/>
      <c r="N76" s="226"/>
      <c r="O76" s="226"/>
      <c r="P76" s="226"/>
      <c r="Q76" s="226"/>
      <c r="R76" s="226"/>
      <c r="S76" s="226"/>
      <c r="T76" s="226"/>
      <c r="U76" s="582"/>
      <c r="V76" s="226">
        <f>SUM(H76:T76)</f>
        <v>0</v>
      </c>
      <c r="W76" s="219"/>
      <c r="X76" s="219"/>
    </row>
    <row r="77" spans="1:24" s="221" customFormat="1" ht="11.25" thickBot="1" x14ac:dyDescent="0.2">
      <c r="A77" s="536" t="s">
        <v>11</v>
      </c>
      <c r="B77" s="532"/>
      <c r="C77" s="542"/>
      <c r="D77" s="538"/>
      <c r="E77" s="536"/>
      <c r="F77" s="539"/>
      <c r="G77" s="540"/>
      <c r="H77" s="522">
        <f>SUM(H75:H76)</f>
        <v>0</v>
      </c>
      <c r="I77" s="522">
        <f>SUM(I75:I76)</f>
        <v>0</v>
      </c>
      <c r="J77" s="522">
        <f t="shared" ref="J77:V77" si="15">SUM(J75:J76)</f>
        <v>0</v>
      </c>
      <c r="K77" s="522">
        <f t="shared" si="15"/>
        <v>0</v>
      </c>
      <c r="L77" s="522">
        <f t="shared" si="15"/>
        <v>0</v>
      </c>
      <c r="M77" s="522">
        <f t="shared" si="15"/>
        <v>0</v>
      </c>
      <c r="N77" s="522">
        <f t="shared" si="15"/>
        <v>3295</v>
      </c>
      <c r="O77" s="522">
        <f t="shared" si="15"/>
        <v>160</v>
      </c>
      <c r="P77" s="522">
        <f t="shared" si="15"/>
        <v>0</v>
      </c>
      <c r="Q77" s="522">
        <f t="shared" si="15"/>
        <v>0</v>
      </c>
      <c r="R77" s="522">
        <f t="shared" si="15"/>
        <v>0</v>
      </c>
      <c r="S77" s="522">
        <f t="shared" si="15"/>
        <v>0</v>
      </c>
      <c r="T77" s="522">
        <f t="shared" si="15"/>
        <v>0</v>
      </c>
      <c r="U77" s="522">
        <f>SUM(U75:U76)</f>
        <v>0</v>
      </c>
      <c r="V77" s="522">
        <f t="shared" si="15"/>
        <v>3455</v>
      </c>
      <c r="W77" s="360" t="str">
        <f>+IF(V77=SUM(I77:T77),"contrôle ok", "erreur")</f>
        <v>contrôle ok</v>
      </c>
      <c r="X77" s="219"/>
    </row>
    <row r="78" spans="1:24" s="221" customFormat="1" ht="11.25" thickTop="1" x14ac:dyDescent="0.15">
      <c r="A78" s="361"/>
      <c r="B78" s="361"/>
      <c r="C78" s="362"/>
      <c r="D78" s="414"/>
      <c r="E78" s="363"/>
      <c r="F78" s="414"/>
      <c r="G78" s="364"/>
      <c r="H78" s="229"/>
      <c r="I78" s="229"/>
      <c r="J78" s="229"/>
      <c r="K78" s="229"/>
      <c r="L78" s="229"/>
      <c r="M78" s="229"/>
      <c r="N78" s="257"/>
      <c r="O78" s="229"/>
      <c r="P78" s="229"/>
      <c r="Q78" s="229"/>
      <c r="R78" s="229"/>
      <c r="S78" s="229"/>
      <c r="T78" s="229"/>
      <c r="U78" s="229"/>
      <c r="V78" s="258"/>
      <c r="X78" s="219"/>
    </row>
    <row r="79" spans="1:24" x14ac:dyDescent="0.15">
      <c r="A79" s="352" t="s">
        <v>28</v>
      </c>
      <c r="B79" s="353"/>
      <c r="C79" s="354"/>
      <c r="D79" s="410"/>
      <c r="E79" s="355"/>
      <c r="F79" s="418"/>
      <c r="G79" s="356"/>
      <c r="H79" s="224"/>
      <c r="I79" s="224"/>
      <c r="J79" s="251"/>
      <c r="K79" s="224"/>
      <c r="L79" s="224"/>
      <c r="M79" s="224"/>
      <c r="N79" s="224"/>
      <c r="O79" s="224"/>
      <c r="P79" s="224"/>
      <c r="Q79" s="224"/>
      <c r="R79" s="224"/>
      <c r="S79" s="224"/>
      <c r="T79" s="224"/>
      <c r="U79" s="224"/>
      <c r="V79" s="252"/>
      <c r="W79" s="219"/>
      <c r="X79" s="219"/>
    </row>
    <row r="80" spans="1:24" ht="12.75" customHeight="1" x14ac:dyDescent="0.15">
      <c r="A80" s="377" t="s">
        <v>48</v>
      </c>
      <c r="B80" s="377"/>
      <c r="C80" s="378"/>
      <c r="D80" s="411">
        <v>615180</v>
      </c>
      <c r="E80" s="379" t="s">
        <v>80</v>
      </c>
      <c r="F80" s="411" t="s">
        <v>179</v>
      </c>
      <c r="G80" s="367">
        <f>3680/12</f>
        <v>306.66666666666669</v>
      </c>
      <c r="H80" s="560"/>
      <c r="I80" s="226"/>
      <c r="J80" s="226"/>
      <c r="K80" s="226"/>
      <c r="L80" s="226"/>
      <c r="M80" s="226"/>
      <c r="N80" s="226"/>
      <c r="O80" s="226"/>
      <c r="P80" s="226">
        <v>306.67</v>
      </c>
      <c r="Q80" s="226">
        <v>306.67</v>
      </c>
      <c r="R80" s="226">
        <v>306.67</v>
      </c>
      <c r="S80" s="226">
        <v>306.67</v>
      </c>
      <c r="T80" s="226">
        <v>306.67</v>
      </c>
      <c r="U80" s="582"/>
      <c r="V80" s="226">
        <f>SUM(H80:T80)</f>
        <v>1533.3500000000001</v>
      </c>
      <c r="W80" s="219"/>
      <c r="X80" s="219"/>
    </row>
    <row r="81" spans="1:24" ht="12.75" customHeight="1" x14ac:dyDescent="0.15">
      <c r="A81" s="377" t="s">
        <v>48</v>
      </c>
      <c r="B81" s="377"/>
      <c r="C81" s="378"/>
      <c r="D81" s="411">
        <v>615180</v>
      </c>
      <c r="E81" s="379" t="s">
        <v>80</v>
      </c>
      <c r="F81" s="411" t="s">
        <v>179</v>
      </c>
      <c r="G81" s="367">
        <f>6671.21/12</f>
        <v>555.93416666666667</v>
      </c>
      <c r="H81" s="560"/>
      <c r="I81" s="226">
        <v>555.92999999999995</v>
      </c>
      <c r="J81" s="226">
        <v>555.92999999999995</v>
      </c>
      <c r="K81" s="226">
        <v>555.92999999999995</v>
      </c>
      <c r="L81" s="226">
        <v>555.92999999999995</v>
      </c>
      <c r="M81" s="226">
        <v>555.92999999999995</v>
      </c>
      <c r="N81" s="226">
        <v>555.92999999999995</v>
      </c>
      <c r="O81" s="572"/>
      <c r="P81" s="572"/>
      <c r="Q81" s="572"/>
      <c r="R81" s="572"/>
      <c r="S81" s="572"/>
      <c r="T81" s="572"/>
      <c r="U81" s="582"/>
      <c r="V81" s="226">
        <f>SUM(H81:T81)</f>
        <v>3335.5799999999995</v>
      </c>
      <c r="W81" s="219"/>
      <c r="X81" s="219"/>
    </row>
    <row r="82" spans="1:24" ht="12.75" customHeight="1" x14ac:dyDescent="0.15">
      <c r="A82" s="377"/>
      <c r="B82" s="377"/>
      <c r="C82" s="378"/>
      <c r="D82" s="411">
        <v>615180</v>
      </c>
      <c r="E82" s="379" t="s">
        <v>80</v>
      </c>
      <c r="F82" s="411" t="s">
        <v>192</v>
      </c>
      <c r="G82" s="367"/>
      <c r="H82" s="560"/>
      <c r="I82" s="226"/>
      <c r="J82" s="226"/>
      <c r="K82" s="226"/>
      <c r="L82" s="226"/>
      <c r="M82" s="226"/>
      <c r="N82" s="226"/>
      <c r="O82" s="226"/>
      <c r="P82" s="226"/>
      <c r="Q82" s="226"/>
      <c r="R82" s="226"/>
      <c r="S82" s="226"/>
      <c r="T82" s="226">
        <f>200+1198</f>
        <v>1398</v>
      </c>
      <c r="U82" s="582"/>
      <c r="V82" s="226">
        <f>SUM(H82:T82)</f>
        <v>1398</v>
      </c>
      <c r="W82" s="219"/>
      <c r="X82" s="219"/>
    </row>
    <row r="83" spans="1:24" s="221" customFormat="1" ht="11.25" thickBot="1" x14ac:dyDescent="0.2">
      <c r="A83" s="536" t="s">
        <v>11</v>
      </c>
      <c r="B83" s="532"/>
      <c r="C83" s="542"/>
      <c r="D83" s="538"/>
      <c r="E83" s="536"/>
      <c r="F83" s="539"/>
      <c r="G83" s="540"/>
      <c r="H83" s="522">
        <f>SUM(H80:H82)</f>
        <v>0</v>
      </c>
      <c r="I83" s="522">
        <f t="shared" ref="I83:V83" si="16">SUM(I80:I82)</f>
        <v>555.92999999999995</v>
      </c>
      <c r="J83" s="522">
        <f t="shared" si="16"/>
        <v>555.92999999999995</v>
      </c>
      <c r="K83" s="522">
        <f t="shared" si="16"/>
        <v>555.92999999999995</v>
      </c>
      <c r="L83" s="522">
        <f t="shared" si="16"/>
        <v>555.92999999999995</v>
      </c>
      <c r="M83" s="522">
        <f t="shared" si="16"/>
        <v>555.92999999999995</v>
      </c>
      <c r="N83" s="522">
        <f t="shared" si="16"/>
        <v>555.92999999999995</v>
      </c>
      <c r="O83" s="522">
        <f t="shared" si="16"/>
        <v>0</v>
      </c>
      <c r="P83" s="522">
        <f t="shared" si="16"/>
        <v>306.67</v>
      </c>
      <c r="Q83" s="522">
        <f t="shared" si="16"/>
        <v>306.67</v>
      </c>
      <c r="R83" s="522">
        <f t="shared" si="16"/>
        <v>306.67</v>
      </c>
      <c r="S83" s="522">
        <f t="shared" si="16"/>
        <v>306.67</v>
      </c>
      <c r="T83" s="522">
        <f t="shared" si="16"/>
        <v>1704.67</v>
      </c>
      <c r="U83" s="522">
        <f>SUM(U80:U82)</f>
        <v>0</v>
      </c>
      <c r="V83" s="522">
        <f t="shared" si="16"/>
        <v>6266.9299999999994</v>
      </c>
      <c r="W83" s="360" t="str">
        <f>+IF(V83=SUM(I83:T83),"contrôle ok", "erreur")</f>
        <v>contrôle ok</v>
      </c>
      <c r="X83" s="219"/>
    </row>
    <row r="84" spans="1:24" s="221" customFormat="1" ht="11.25" thickTop="1" x14ac:dyDescent="0.15">
      <c r="A84" s="361"/>
      <c r="B84" s="361"/>
      <c r="C84" s="362"/>
      <c r="D84" s="414"/>
      <c r="E84" s="363"/>
      <c r="F84" s="414"/>
      <c r="G84" s="364"/>
      <c r="H84" s="229"/>
      <c r="I84" s="229"/>
      <c r="J84" s="229"/>
      <c r="K84" s="229"/>
      <c r="L84" s="229"/>
      <c r="M84" s="229"/>
      <c r="N84" s="257"/>
      <c r="O84" s="229"/>
      <c r="P84" s="229"/>
      <c r="Q84" s="229"/>
      <c r="R84" s="229"/>
      <c r="S84" s="229"/>
      <c r="T84" s="229"/>
      <c r="U84" s="229"/>
      <c r="V84" s="258"/>
      <c r="X84" s="219"/>
    </row>
    <row r="85" spans="1:24" x14ac:dyDescent="0.15">
      <c r="A85" s="352" t="s">
        <v>91</v>
      </c>
      <c r="B85" s="353"/>
      <c r="C85" s="354"/>
      <c r="D85" s="410"/>
      <c r="E85" s="355"/>
      <c r="F85" s="418"/>
      <c r="G85" s="356"/>
      <c r="H85" s="224"/>
      <c r="I85" s="224"/>
      <c r="J85" s="251"/>
      <c r="K85" s="224"/>
      <c r="L85" s="224"/>
      <c r="M85" s="224"/>
      <c r="N85" s="224"/>
      <c r="O85" s="224"/>
      <c r="P85" s="224"/>
      <c r="Q85" s="224"/>
      <c r="R85" s="224"/>
      <c r="S85" s="224"/>
      <c r="T85" s="224"/>
      <c r="U85" s="224"/>
      <c r="V85" s="252"/>
      <c r="W85" s="219"/>
      <c r="X85" s="219"/>
    </row>
    <row r="86" spans="1:24" x14ac:dyDescent="0.15">
      <c r="A86" s="377" t="s">
        <v>207</v>
      </c>
      <c r="B86" s="377"/>
      <c r="C86" s="378"/>
      <c r="D86" s="411">
        <v>615190</v>
      </c>
      <c r="E86" s="379" t="s">
        <v>80</v>
      </c>
      <c r="F86" s="411" t="s">
        <v>181</v>
      </c>
      <c r="G86" s="364"/>
      <c r="H86" s="560"/>
      <c r="I86" s="226"/>
      <c r="J86" s="226"/>
      <c r="K86" s="226"/>
      <c r="L86" s="226"/>
      <c r="M86" s="226"/>
      <c r="N86" s="226"/>
      <c r="O86" s="226"/>
      <c r="P86" s="226"/>
      <c r="Q86" s="226">
        <v>68.36</v>
      </c>
      <c r="R86" s="226">
        <v>615.20000000000005</v>
      </c>
      <c r="S86" s="226"/>
      <c r="T86" s="226"/>
      <c r="U86" s="582"/>
      <c r="V86" s="226">
        <f t="shared" ref="V86:V94" si="17">SUM(H86:T86)</f>
        <v>683.56000000000006</v>
      </c>
      <c r="W86" s="219"/>
      <c r="X86" s="219"/>
    </row>
    <row r="87" spans="1:24" x14ac:dyDescent="0.15">
      <c r="A87" s="377"/>
      <c r="B87" s="377"/>
      <c r="C87" s="378"/>
      <c r="D87" s="411">
        <v>615190</v>
      </c>
      <c r="E87" s="379" t="s">
        <v>80</v>
      </c>
      <c r="F87" s="411" t="s">
        <v>185</v>
      </c>
      <c r="G87" s="364"/>
      <c r="H87" s="560"/>
      <c r="I87" s="226"/>
      <c r="J87" s="226"/>
      <c r="K87" s="226"/>
      <c r="L87" s="226"/>
      <c r="M87" s="226"/>
      <c r="N87" s="226"/>
      <c r="O87" s="226"/>
      <c r="P87" s="226"/>
      <c r="Q87" s="226"/>
      <c r="R87" s="226"/>
      <c r="S87" s="226"/>
      <c r="T87" s="226"/>
      <c r="U87" s="582"/>
      <c r="V87" s="226">
        <f t="shared" si="17"/>
        <v>0</v>
      </c>
      <c r="W87" s="219"/>
      <c r="X87" s="219"/>
    </row>
    <row r="88" spans="1:24" x14ac:dyDescent="0.15">
      <c r="A88" s="377" t="s">
        <v>207</v>
      </c>
      <c r="B88" s="377"/>
      <c r="C88" s="378"/>
      <c r="D88" s="411">
        <v>615190</v>
      </c>
      <c r="E88" s="379" t="s">
        <v>80</v>
      </c>
      <c r="F88" s="411" t="s">
        <v>199</v>
      </c>
      <c r="G88" s="364"/>
      <c r="H88" s="560"/>
      <c r="I88" s="226"/>
      <c r="J88" s="226"/>
      <c r="K88" s="226"/>
      <c r="L88" s="226"/>
      <c r="M88" s="226"/>
      <c r="N88" s="226"/>
      <c r="O88" s="226"/>
      <c r="P88" s="226"/>
      <c r="Q88" s="226"/>
      <c r="R88" s="226"/>
      <c r="S88" s="226"/>
      <c r="T88" s="226"/>
      <c r="U88" s="582"/>
      <c r="V88" s="226">
        <f t="shared" si="17"/>
        <v>0</v>
      </c>
      <c r="W88" s="219"/>
      <c r="X88" s="219"/>
    </row>
    <row r="89" spans="1:24" x14ac:dyDescent="0.15">
      <c r="A89" s="377"/>
      <c r="B89" s="377"/>
      <c r="C89" s="378"/>
      <c r="D89" s="411">
        <v>615190</v>
      </c>
      <c r="E89" s="379" t="s">
        <v>80</v>
      </c>
      <c r="F89" s="411" t="s">
        <v>200</v>
      </c>
      <c r="G89" s="364"/>
      <c r="H89" s="560"/>
      <c r="I89" s="226"/>
      <c r="J89" s="226"/>
      <c r="K89" s="226"/>
      <c r="L89" s="226"/>
      <c r="M89" s="226"/>
      <c r="N89" s="226"/>
      <c r="O89" s="226"/>
      <c r="P89" s="226"/>
      <c r="Q89" s="226"/>
      <c r="R89" s="226"/>
      <c r="S89" s="226"/>
      <c r="T89" s="226"/>
      <c r="U89" s="582"/>
      <c r="V89" s="226">
        <f t="shared" si="17"/>
        <v>0</v>
      </c>
      <c r="W89" s="219"/>
      <c r="X89" s="219"/>
    </row>
    <row r="90" spans="1:24" x14ac:dyDescent="0.15">
      <c r="A90" s="377"/>
      <c r="B90" s="377"/>
      <c r="C90" s="378"/>
      <c r="D90" s="411">
        <v>615190</v>
      </c>
      <c r="E90" s="379" t="s">
        <v>80</v>
      </c>
      <c r="F90" s="411" t="s">
        <v>192</v>
      </c>
      <c r="G90" s="364"/>
      <c r="H90" s="560"/>
      <c r="I90" s="226"/>
      <c r="J90" s="226"/>
      <c r="K90" s="226"/>
      <c r="L90" s="226"/>
      <c r="M90" s="226"/>
      <c r="N90" s="226"/>
      <c r="O90" s="226"/>
      <c r="P90" s="226"/>
      <c r="Q90" s="226"/>
      <c r="R90" s="226"/>
      <c r="S90" s="226"/>
      <c r="T90" s="226"/>
      <c r="U90" s="582"/>
      <c r="V90" s="226">
        <f t="shared" si="17"/>
        <v>0</v>
      </c>
      <c r="W90" s="219"/>
      <c r="X90" s="219"/>
    </row>
    <row r="91" spans="1:24" x14ac:dyDescent="0.15">
      <c r="A91" s="377" t="s">
        <v>358</v>
      </c>
      <c r="B91" s="377" t="s">
        <v>359</v>
      </c>
      <c r="C91" s="478" t="s">
        <v>621</v>
      </c>
      <c r="D91" s="411">
        <v>615190</v>
      </c>
      <c r="E91" s="379" t="s">
        <v>80</v>
      </c>
      <c r="F91" s="411" t="s">
        <v>196</v>
      </c>
      <c r="G91" s="364">
        <f>2750.55/6</f>
        <v>458.42500000000001</v>
      </c>
      <c r="H91" s="560"/>
      <c r="I91" s="583">
        <v>458.43</v>
      </c>
      <c r="J91" s="583">
        <v>458.43</v>
      </c>
      <c r="K91" s="583">
        <v>458.43</v>
      </c>
      <c r="L91" s="583">
        <v>458.43</v>
      </c>
      <c r="M91" s="583">
        <v>458.43</v>
      </c>
      <c r="N91" s="583">
        <v>458.43</v>
      </c>
      <c r="O91" s="583">
        <v>458.43</v>
      </c>
      <c r="P91" s="583">
        <v>458.43</v>
      </c>
      <c r="Q91" s="583">
        <v>458.43</v>
      </c>
      <c r="R91" s="583">
        <v>458.43</v>
      </c>
      <c r="S91" s="583">
        <v>458.43</v>
      </c>
      <c r="T91" s="226"/>
      <c r="U91" s="582"/>
      <c r="V91" s="226">
        <f t="shared" si="17"/>
        <v>5042.7300000000005</v>
      </c>
      <c r="W91" s="219"/>
      <c r="X91" s="219"/>
    </row>
    <row r="92" spans="1:24" x14ac:dyDescent="0.15">
      <c r="A92" s="377" t="s">
        <v>207</v>
      </c>
      <c r="B92" s="377"/>
      <c r="C92" s="378"/>
      <c r="D92" s="411">
        <v>615190</v>
      </c>
      <c r="E92" s="379" t="s">
        <v>80</v>
      </c>
      <c r="F92" s="411" t="s">
        <v>184</v>
      </c>
      <c r="G92" s="364"/>
      <c r="H92" s="560"/>
      <c r="I92" s="226"/>
      <c r="J92" s="226"/>
      <c r="K92" s="226"/>
      <c r="L92" s="226"/>
      <c r="M92" s="226"/>
      <c r="N92" s="226">
        <v>691.44</v>
      </c>
      <c r="O92" s="226"/>
      <c r="P92" s="226"/>
      <c r="Q92" s="226"/>
      <c r="R92" s="226"/>
      <c r="S92" s="226"/>
      <c r="T92" s="226"/>
      <c r="U92" s="582"/>
      <c r="V92" s="226">
        <f t="shared" si="17"/>
        <v>691.44</v>
      </c>
      <c r="W92" s="219"/>
      <c r="X92" s="219"/>
    </row>
    <row r="93" spans="1:24" x14ac:dyDescent="0.15">
      <c r="A93" s="377" t="s">
        <v>207</v>
      </c>
      <c r="B93" s="377" t="s">
        <v>431</v>
      </c>
      <c r="C93" s="378"/>
      <c r="D93" s="411">
        <v>615190</v>
      </c>
      <c r="E93" s="379" t="s">
        <v>80</v>
      </c>
      <c r="F93" s="411" t="s">
        <v>198</v>
      </c>
      <c r="G93" s="364"/>
      <c r="H93" s="560"/>
      <c r="I93" s="226"/>
      <c r="J93" s="226"/>
      <c r="K93" s="226">
        <v>353.05</v>
      </c>
      <c r="L93" s="226"/>
      <c r="M93" s="226"/>
      <c r="N93" s="226"/>
      <c r="O93" s="226"/>
      <c r="P93" s="226"/>
      <c r="Q93" s="226"/>
      <c r="R93" s="226"/>
      <c r="S93" s="226"/>
      <c r="T93" s="226"/>
      <c r="U93" s="582"/>
      <c r="V93" s="226">
        <f t="shared" si="17"/>
        <v>353.05</v>
      </c>
      <c r="W93" s="219"/>
      <c r="X93" s="219"/>
    </row>
    <row r="94" spans="1:24" x14ac:dyDescent="0.15">
      <c r="A94" s="377"/>
      <c r="B94" s="377"/>
      <c r="C94" s="378"/>
      <c r="D94" s="411">
        <v>615190</v>
      </c>
      <c r="E94" s="379" t="s">
        <v>80</v>
      </c>
      <c r="F94" s="411" t="s">
        <v>197</v>
      </c>
      <c r="G94" s="364"/>
      <c r="H94" s="560"/>
      <c r="I94" s="226"/>
      <c r="J94" s="226"/>
      <c r="K94" s="226"/>
      <c r="L94" s="226"/>
      <c r="M94" s="226"/>
      <c r="N94" s="226"/>
      <c r="O94" s="226"/>
      <c r="P94" s="226"/>
      <c r="Q94" s="226"/>
      <c r="R94" s="226"/>
      <c r="S94" s="226"/>
      <c r="T94" s="226"/>
      <c r="U94" s="582"/>
      <c r="V94" s="226">
        <f t="shared" si="17"/>
        <v>0</v>
      </c>
      <c r="W94" s="219"/>
      <c r="X94" s="219"/>
    </row>
    <row r="95" spans="1:24" s="221" customFormat="1" ht="11.25" thickBot="1" x14ac:dyDescent="0.2">
      <c r="A95" s="536" t="s">
        <v>11</v>
      </c>
      <c r="B95" s="532"/>
      <c r="C95" s="542"/>
      <c r="D95" s="538"/>
      <c r="E95" s="536"/>
      <c r="F95" s="539"/>
      <c r="G95" s="540"/>
      <c r="H95" s="522">
        <f>SUM(H86:H94)</f>
        <v>0</v>
      </c>
      <c r="I95" s="522">
        <f t="shared" ref="I95:V95" si="18">SUM(I86:I94)</f>
        <v>458.43</v>
      </c>
      <c r="J95" s="522">
        <f t="shared" si="18"/>
        <v>458.43</v>
      </c>
      <c r="K95" s="522">
        <f t="shared" si="18"/>
        <v>811.48</v>
      </c>
      <c r="L95" s="522">
        <f t="shared" si="18"/>
        <v>458.43</v>
      </c>
      <c r="M95" s="522">
        <f t="shared" si="18"/>
        <v>458.43</v>
      </c>
      <c r="N95" s="522">
        <f t="shared" si="18"/>
        <v>1149.8700000000001</v>
      </c>
      <c r="O95" s="522">
        <f t="shared" si="18"/>
        <v>458.43</v>
      </c>
      <c r="P95" s="522">
        <f t="shared" si="18"/>
        <v>458.43</v>
      </c>
      <c r="Q95" s="522">
        <f t="shared" si="18"/>
        <v>526.79</v>
      </c>
      <c r="R95" s="522">
        <f t="shared" si="18"/>
        <v>1073.6300000000001</v>
      </c>
      <c r="S95" s="522">
        <f t="shared" si="18"/>
        <v>458.43</v>
      </c>
      <c r="T95" s="522">
        <f t="shared" si="18"/>
        <v>0</v>
      </c>
      <c r="U95" s="522">
        <f>SUM(U86:U94)</f>
        <v>0</v>
      </c>
      <c r="V95" s="522">
        <f t="shared" si="18"/>
        <v>6770.7800000000016</v>
      </c>
      <c r="W95" s="360" t="str">
        <f>+IF(V95=SUM(I95:T95),"contrôle ok", "erreur")</f>
        <v>contrôle ok</v>
      </c>
      <c r="X95" s="219"/>
    </row>
    <row r="96" spans="1:24" s="221" customFormat="1" ht="11.25" thickTop="1" x14ac:dyDescent="0.15">
      <c r="A96" s="361"/>
      <c r="B96" s="361"/>
      <c r="C96" s="362"/>
      <c r="D96" s="414"/>
      <c r="E96" s="363"/>
      <c r="F96" s="414"/>
      <c r="G96" s="364"/>
      <c r="H96" s="229"/>
      <c r="I96" s="229"/>
      <c r="J96" s="229"/>
      <c r="K96" s="229"/>
      <c r="L96" s="229"/>
      <c r="M96" s="229"/>
      <c r="N96" s="257"/>
      <c r="O96" s="229"/>
      <c r="P96" s="229"/>
      <c r="Q96" s="229"/>
      <c r="R96" s="229"/>
      <c r="S96" s="229"/>
      <c r="T96" s="229"/>
      <c r="U96" s="229"/>
      <c r="V96" s="258"/>
      <c r="X96" s="219"/>
    </row>
    <row r="97" spans="1:24" x14ac:dyDescent="0.15">
      <c r="A97" s="352" t="s">
        <v>127</v>
      </c>
      <c r="B97" s="353"/>
      <c r="C97" s="354"/>
      <c r="D97" s="410"/>
      <c r="E97" s="355"/>
      <c r="F97" s="418"/>
      <c r="G97" s="356"/>
      <c r="H97" s="224"/>
      <c r="I97" s="224"/>
      <c r="J97" s="251"/>
      <c r="K97" s="224"/>
      <c r="L97" s="224"/>
      <c r="M97" s="224"/>
      <c r="N97" s="224"/>
      <c r="O97" s="224"/>
      <c r="P97" s="224"/>
      <c r="Q97" s="224"/>
      <c r="R97" s="224"/>
      <c r="S97" s="224"/>
      <c r="T97" s="224"/>
      <c r="U97" s="224"/>
      <c r="V97" s="252"/>
      <c r="W97" s="219"/>
      <c r="X97" s="219"/>
    </row>
    <row r="98" spans="1:24" x14ac:dyDescent="0.15">
      <c r="A98" s="377"/>
      <c r="B98" s="377"/>
      <c r="C98" s="378"/>
      <c r="D98" s="411">
        <v>615191</v>
      </c>
      <c r="E98" s="379" t="s">
        <v>80</v>
      </c>
      <c r="F98" s="411" t="s">
        <v>696</v>
      </c>
      <c r="G98" s="364"/>
      <c r="H98" s="560"/>
      <c r="I98" s="226"/>
      <c r="J98" s="226"/>
      <c r="K98" s="226">
        <v>274.5</v>
      </c>
      <c r="L98" s="226"/>
      <c r="M98" s="226"/>
      <c r="N98" s="226"/>
      <c r="O98" s="226"/>
      <c r="P98" s="226"/>
      <c r="Q98" s="226"/>
      <c r="R98" s="226"/>
      <c r="S98" s="226"/>
      <c r="T98" s="226"/>
      <c r="U98" s="582"/>
      <c r="V98" s="226">
        <f>SUM(H98:T98)</f>
        <v>274.5</v>
      </c>
      <c r="W98" s="219"/>
      <c r="X98" s="219"/>
    </row>
    <row r="99" spans="1:24" x14ac:dyDescent="0.15">
      <c r="A99" s="377" t="s">
        <v>851</v>
      </c>
      <c r="B99" s="377"/>
      <c r="C99" s="378"/>
      <c r="D99" s="411">
        <v>615191</v>
      </c>
      <c r="E99" s="379" t="s">
        <v>80</v>
      </c>
      <c r="F99" s="411" t="s">
        <v>192</v>
      </c>
      <c r="G99" s="364"/>
      <c r="H99" s="560"/>
      <c r="I99" s="226"/>
      <c r="J99" s="226"/>
      <c r="K99" s="226"/>
      <c r="L99" s="226"/>
      <c r="M99" s="226"/>
      <c r="N99" s="226"/>
      <c r="O99" s="226"/>
      <c r="P99" s="226"/>
      <c r="Q99" s="226">
        <f>658.5+670</f>
        <v>1328.5</v>
      </c>
      <c r="R99" s="226"/>
      <c r="S99" s="226">
        <v>99.45</v>
      </c>
      <c r="T99" s="226"/>
      <c r="U99" s="582"/>
      <c r="V99" s="226">
        <f>SUM(H99:T99)</f>
        <v>1427.95</v>
      </c>
      <c r="W99" s="219"/>
      <c r="X99" s="219"/>
    </row>
    <row r="100" spans="1:24" s="221" customFormat="1" ht="11.25" thickBot="1" x14ac:dyDescent="0.2">
      <c r="A100" s="536" t="s">
        <v>11</v>
      </c>
      <c r="B100" s="532"/>
      <c r="C100" s="542"/>
      <c r="D100" s="538"/>
      <c r="E100" s="536"/>
      <c r="F100" s="539"/>
      <c r="G100" s="540"/>
      <c r="H100" s="522">
        <f>SUM(H98:H99)</f>
        <v>0</v>
      </c>
      <c r="I100" s="522">
        <f t="shared" ref="I100:T100" si="19">SUM(I98:I99)</f>
        <v>0</v>
      </c>
      <c r="J100" s="522">
        <f t="shared" si="19"/>
        <v>0</v>
      </c>
      <c r="K100" s="522">
        <f t="shared" si="19"/>
        <v>274.5</v>
      </c>
      <c r="L100" s="522">
        <f t="shared" si="19"/>
        <v>0</v>
      </c>
      <c r="M100" s="522">
        <f t="shared" si="19"/>
        <v>0</v>
      </c>
      <c r="N100" s="522">
        <f t="shared" si="19"/>
        <v>0</v>
      </c>
      <c r="O100" s="522">
        <f t="shared" si="19"/>
        <v>0</v>
      </c>
      <c r="P100" s="522">
        <f t="shared" si="19"/>
        <v>0</v>
      </c>
      <c r="Q100" s="522">
        <f t="shared" si="19"/>
        <v>1328.5</v>
      </c>
      <c r="R100" s="522">
        <f t="shared" si="19"/>
        <v>0</v>
      </c>
      <c r="S100" s="522">
        <f t="shared" si="19"/>
        <v>99.45</v>
      </c>
      <c r="T100" s="522">
        <f t="shared" si="19"/>
        <v>0</v>
      </c>
      <c r="U100" s="522">
        <f>SUM(U98:U99)</f>
        <v>0</v>
      </c>
      <c r="V100" s="522">
        <f>SUM(I100:T100)</f>
        <v>1702.45</v>
      </c>
      <c r="W100" s="360" t="str">
        <f>+IF(V100=SUM(I100:T100),"contrôle ok", "erreur")</f>
        <v>contrôle ok</v>
      </c>
      <c r="X100" s="219"/>
    </row>
    <row r="101" spans="1:24" s="221" customFormat="1" ht="11.25" thickTop="1" x14ac:dyDescent="0.15">
      <c r="A101" s="361"/>
      <c r="B101" s="361"/>
      <c r="C101" s="362"/>
      <c r="D101" s="414"/>
      <c r="E101" s="363"/>
      <c r="F101" s="414"/>
      <c r="G101" s="364"/>
      <c r="H101" s="229"/>
      <c r="I101" s="229"/>
      <c r="J101" s="229"/>
      <c r="K101" s="229"/>
      <c r="L101" s="229"/>
      <c r="M101" s="229"/>
      <c r="N101" s="257"/>
      <c r="O101" s="229"/>
      <c r="P101" s="229"/>
      <c r="Q101" s="229"/>
      <c r="R101" s="229"/>
      <c r="S101" s="229"/>
      <c r="T101" s="229"/>
      <c r="U101" s="229"/>
      <c r="V101" s="258"/>
      <c r="X101" s="219"/>
    </row>
    <row r="102" spans="1:24" x14ac:dyDescent="0.15">
      <c r="A102" s="352" t="s">
        <v>86</v>
      </c>
      <c r="B102" s="353"/>
      <c r="C102" s="354"/>
      <c r="D102" s="410"/>
      <c r="E102" s="355"/>
      <c r="F102" s="418"/>
      <c r="G102" s="356"/>
      <c r="H102" s="224"/>
      <c r="I102" s="224"/>
      <c r="J102" s="251"/>
      <c r="K102" s="224"/>
      <c r="L102" s="224"/>
      <c r="M102" s="224"/>
      <c r="N102" s="224"/>
      <c r="O102" s="224"/>
      <c r="P102" s="224"/>
      <c r="Q102" s="224"/>
      <c r="R102" s="224"/>
      <c r="S102" s="224"/>
      <c r="T102" s="224"/>
      <c r="U102" s="224"/>
      <c r="V102" s="252"/>
      <c r="W102" s="219"/>
      <c r="X102" s="219"/>
    </row>
    <row r="103" spans="1:24" x14ac:dyDescent="0.15">
      <c r="A103" s="377"/>
      <c r="B103" s="377"/>
      <c r="C103" s="378"/>
      <c r="D103" s="411">
        <v>615193</v>
      </c>
      <c r="E103" s="379" t="s">
        <v>80</v>
      </c>
      <c r="F103" s="411" t="s">
        <v>189</v>
      </c>
      <c r="G103" s="364"/>
      <c r="H103" s="560"/>
      <c r="I103" s="226"/>
      <c r="J103" s="226"/>
      <c r="K103" s="226"/>
      <c r="L103" s="226"/>
      <c r="M103" s="226"/>
      <c r="N103" s="226"/>
      <c r="O103" s="226"/>
      <c r="P103" s="226"/>
      <c r="Q103" s="226"/>
      <c r="R103" s="226"/>
      <c r="S103" s="226"/>
      <c r="T103" s="226"/>
      <c r="U103" s="582"/>
      <c r="V103" s="226">
        <f t="shared" ref="V103:V110" si="20">SUM(H103:T103)</f>
        <v>0</v>
      </c>
      <c r="W103" s="219"/>
      <c r="X103" s="219"/>
    </row>
    <row r="104" spans="1:24" x14ac:dyDescent="0.15">
      <c r="A104" s="377" t="s">
        <v>99</v>
      </c>
      <c r="B104" s="377"/>
      <c r="C104" s="378"/>
      <c r="D104" s="411">
        <v>615193</v>
      </c>
      <c r="E104" s="379" t="s">
        <v>80</v>
      </c>
      <c r="F104" s="411" t="s">
        <v>191</v>
      </c>
      <c r="G104" s="364"/>
      <c r="H104" s="560"/>
      <c r="I104" s="226"/>
      <c r="J104" s="226"/>
      <c r="K104" s="226"/>
      <c r="L104" s="226"/>
      <c r="M104" s="226">
        <f>1330.95+461</f>
        <v>1791.95</v>
      </c>
      <c r="N104" s="226"/>
      <c r="O104" s="226">
        <v>449.84</v>
      </c>
      <c r="P104" s="226"/>
      <c r="Q104" s="226">
        <v>828.65</v>
      </c>
      <c r="R104" s="226"/>
      <c r="S104" s="226"/>
      <c r="T104" s="226"/>
      <c r="U104" s="582"/>
      <c r="V104" s="226">
        <f t="shared" si="20"/>
        <v>3070.44</v>
      </c>
      <c r="W104" s="219"/>
      <c r="X104" s="219"/>
    </row>
    <row r="105" spans="1:24" x14ac:dyDescent="0.15">
      <c r="A105" s="377"/>
      <c r="B105" s="377"/>
      <c r="C105" s="378"/>
      <c r="D105" s="411">
        <v>615193</v>
      </c>
      <c r="E105" s="379" t="s">
        <v>80</v>
      </c>
      <c r="F105" s="411" t="s">
        <v>203</v>
      </c>
      <c r="G105" s="364"/>
      <c r="H105" s="560"/>
      <c r="I105" s="226"/>
      <c r="J105" s="226"/>
      <c r="K105" s="226"/>
      <c r="L105" s="226"/>
      <c r="M105" s="226"/>
      <c r="N105" s="226"/>
      <c r="O105" s="226"/>
      <c r="P105" s="226"/>
      <c r="Q105" s="226"/>
      <c r="R105" s="226"/>
      <c r="S105" s="226"/>
      <c r="T105" s="226"/>
      <c r="U105" s="582"/>
      <c r="V105" s="226">
        <f t="shared" si="20"/>
        <v>0</v>
      </c>
      <c r="W105" s="219"/>
      <c r="X105" s="219"/>
    </row>
    <row r="106" spans="1:24" x14ac:dyDescent="0.15">
      <c r="A106" s="377"/>
      <c r="B106" s="377"/>
      <c r="C106" s="378"/>
      <c r="D106" s="411">
        <v>615193</v>
      </c>
      <c r="E106" s="379" t="s">
        <v>80</v>
      </c>
      <c r="F106" s="411" t="s">
        <v>201</v>
      </c>
      <c r="G106" s="364"/>
      <c r="H106" s="560"/>
      <c r="I106" s="226"/>
      <c r="J106" s="226"/>
      <c r="K106" s="226"/>
      <c r="L106" s="226"/>
      <c r="M106" s="226"/>
      <c r="N106" s="226"/>
      <c r="O106" s="226"/>
      <c r="P106" s="226"/>
      <c r="Q106" s="226"/>
      <c r="R106" s="226"/>
      <c r="S106" s="226"/>
      <c r="T106" s="226"/>
      <c r="U106" s="582"/>
      <c r="V106" s="226">
        <f t="shared" si="20"/>
        <v>0</v>
      </c>
      <c r="W106" s="219"/>
      <c r="X106" s="219"/>
    </row>
    <row r="107" spans="1:24" x14ac:dyDescent="0.15">
      <c r="A107" s="377" t="s">
        <v>447</v>
      </c>
      <c r="B107" s="377" t="s">
        <v>448</v>
      </c>
      <c r="C107" s="378" t="s">
        <v>793</v>
      </c>
      <c r="D107" s="411">
        <v>615193</v>
      </c>
      <c r="E107" s="379" t="s">
        <v>80</v>
      </c>
      <c r="F107" s="411" t="s">
        <v>184</v>
      </c>
      <c r="G107" s="364">
        <f>1352.32/12</f>
        <v>112.69333333333333</v>
      </c>
      <c r="H107" s="560"/>
      <c r="I107" s="226">
        <v>110.38</v>
      </c>
      <c r="J107" s="226">
        <v>110.38</v>
      </c>
      <c r="K107" s="226">
        <v>110.38</v>
      </c>
      <c r="L107" s="226">
        <v>110.38</v>
      </c>
      <c r="M107" s="226">
        <v>110.37</v>
      </c>
      <c r="N107" s="226">
        <v>112.69</v>
      </c>
      <c r="O107" s="226">
        <v>112.69</v>
      </c>
      <c r="P107" s="226">
        <v>112.69</v>
      </c>
      <c r="Q107" s="226">
        <v>112.69</v>
      </c>
      <c r="R107" s="226">
        <v>112.69</v>
      </c>
      <c r="S107" s="226">
        <v>112.69</v>
      </c>
      <c r="T107" s="226">
        <v>112.69</v>
      </c>
      <c r="U107" s="582"/>
      <c r="V107" s="226">
        <f t="shared" si="20"/>
        <v>1340.7200000000003</v>
      </c>
      <c r="W107" s="219"/>
      <c r="X107" s="219"/>
    </row>
    <row r="108" spans="1:24" x14ac:dyDescent="0.15">
      <c r="A108" s="377" t="s">
        <v>99</v>
      </c>
      <c r="B108" s="377" t="s">
        <v>801</v>
      </c>
      <c r="C108" s="378"/>
      <c r="D108" s="411">
        <v>615193</v>
      </c>
      <c r="E108" s="379" t="s">
        <v>80</v>
      </c>
      <c r="F108" s="411" t="s">
        <v>179</v>
      </c>
      <c r="G108" s="364"/>
      <c r="H108" s="560"/>
      <c r="I108" s="226"/>
      <c r="J108" s="226"/>
      <c r="K108" s="226"/>
      <c r="L108" s="226">
        <v>1626.38</v>
      </c>
      <c r="M108" s="226"/>
      <c r="N108" s="226">
        <v>196.04</v>
      </c>
      <c r="O108" s="226">
        <v>1536.86</v>
      </c>
      <c r="P108" s="226"/>
      <c r="Q108" s="226">
        <v>1895.97</v>
      </c>
      <c r="R108" s="226"/>
      <c r="S108" s="226"/>
      <c r="T108" s="226">
        <v>1134</v>
      </c>
      <c r="U108" s="582"/>
      <c r="V108" s="226">
        <f t="shared" si="20"/>
        <v>6389.25</v>
      </c>
      <c r="W108" s="219"/>
      <c r="X108" s="219"/>
    </row>
    <row r="109" spans="1:24" x14ac:dyDescent="0.15">
      <c r="A109" s="377"/>
      <c r="B109" s="377"/>
      <c r="C109" s="378"/>
      <c r="D109" s="411">
        <v>615193</v>
      </c>
      <c r="E109" s="379" t="s">
        <v>80</v>
      </c>
      <c r="F109" s="411" t="s">
        <v>192</v>
      </c>
      <c r="G109" s="364"/>
      <c r="H109" s="560"/>
      <c r="I109" s="226"/>
      <c r="J109" s="226"/>
      <c r="K109" s="226"/>
      <c r="L109" s="226"/>
      <c r="M109" s="226"/>
      <c r="N109" s="226"/>
      <c r="O109" s="226">
        <v>130.21</v>
      </c>
      <c r="P109" s="226"/>
      <c r="Q109" s="226"/>
      <c r="R109" s="226"/>
      <c r="S109" s="226"/>
      <c r="T109" s="226"/>
      <c r="U109" s="582"/>
      <c r="V109" s="226">
        <f t="shared" si="20"/>
        <v>130.21</v>
      </c>
      <c r="W109" s="219"/>
      <c r="X109" s="219"/>
    </row>
    <row r="110" spans="1:24" x14ac:dyDescent="0.15">
      <c r="A110" s="377"/>
      <c r="B110" s="377"/>
      <c r="C110" s="378"/>
      <c r="D110" s="411">
        <v>615193</v>
      </c>
      <c r="E110" s="379" t="s">
        <v>80</v>
      </c>
      <c r="F110" s="411" t="s">
        <v>243</v>
      </c>
      <c r="G110" s="364"/>
      <c r="H110" s="560"/>
      <c r="I110" s="226"/>
      <c r="J110" s="226"/>
      <c r="K110" s="226"/>
      <c r="L110" s="226"/>
      <c r="M110" s="226"/>
      <c r="N110" s="226"/>
      <c r="O110" s="226"/>
      <c r="P110" s="226"/>
      <c r="Q110" s="226"/>
      <c r="R110" s="226"/>
      <c r="S110" s="226"/>
      <c r="T110" s="226"/>
      <c r="U110" s="582"/>
      <c r="V110" s="226">
        <f t="shared" si="20"/>
        <v>0</v>
      </c>
      <c r="W110" s="219"/>
      <c r="X110" s="219"/>
    </row>
    <row r="111" spans="1:24" s="221" customFormat="1" ht="11.25" thickBot="1" x14ac:dyDescent="0.2">
      <c r="A111" s="536" t="s">
        <v>11</v>
      </c>
      <c r="B111" s="532"/>
      <c r="C111" s="542"/>
      <c r="D111" s="538"/>
      <c r="E111" s="536"/>
      <c r="F111" s="539"/>
      <c r="G111" s="540"/>
      <c r="H111" s="522">
        <f>SUM(H103:H110)</f>
        <v>0</v>
      </c>
      <c r="I111" s="522">
        <f t="shared" ref="I111:T111" si="21">SUM(I103:I110)</f>
        <v>110.38</v>
      </c>
      <c r="J111" s="522">
        <f t="shared" si="21"/>
        <v>110.38</v>
      </c>
      <c r="K111" s="522">
        <f t="shared" si="21"/>
        <v>110.38</v>
      </c>
      <c r="L111" s="522">
        <f t="shared" si="21"/>
        <v>1736.7600000000002</v>
      </c>
      <c r="M111" s="522">
        <f t="shared" si="21"/>
        <v>1902.3200000000002</v>
      </c>
      <c r="N111" s="522">
        <f t="shared" si="21"/>
        <v>308.73</v>
      </c>
      <c r="O111" s="522">
        <f t="shared" si="21"/>
        <v>2229.6</v>
      </c>
      <c r="P111" s="522">
        <f t="shared" si="21"/>
        <v>112.69</v>
      </c>
      <c r="Q111" s="522">
        <f t="shared" si="21"/>
        <v>2837.31</v>
      </c>
      <c r="R111" s="522">
        <f t="shared" si="21"/>
        <v>112.69</v>
      </c>
      <c r="S111" s="522">
        <f t="shared" si="21"/>
        <v>112.69</v>
      </c>
      <c r="T111" s="522">
        <f t="shared" si="21"/>
        <v>1246.69</v>
      </c>
      <c r="U111" s="522">
        <f>SUM(U103:U110)</f>
        <v>0</v>
      </c>
      <c r="V111" s="522">
        <f>SUM(V103:V110)</f>
        <v>10930.619999999999</v>
      </c>
      <c r="W111" s="360" t="str">
        <f>+IF(V111=SUM(I111:T111),"contrôle ok", "erreur")</f>
        <v>contrôle ok</v>
      </c>
      <c r="X111" s="219"/>
    </row>
    <row r="112" spans="1:24" ht="11.25" thickTop="1" x14ac:dyDescent="0.15">
      <c r="A112" s="398"/>
      <c r="B112" s="401"/>
      <c r="C112" s="402"/>
      <c r="D112" s="416"/>
      <c r="E112" s="363"/>
      <c r="F112" s="416"/>
      <c r="G112" s="364"/>
      <c r="H112" s="229"/>
      <c r="I112" s="229"/>
      <c r="J112" s="229"/>
      <c r="K112" s="229"/>
      <c r="L112" s="229"/>
      <c r="M112" s="229"/>
      <c r="N112" s="229"/>
      <c r="O112" s="229"/>
      <c r="P112" s="229"/>
      <c r="Q112" s="229"/>
      <c r="R112" s="229"/>
      <c r="S112" s="229"/>
      <c r="T112" s="229"/>
      <c r="U112" s="229"/>
      <c r="V112" s="361"/>
      <c r="W112" s="337"/>
      <c r="X112" s="337"/>
    </row>
    <row r="113" spans="1:24" x14ac:dyDescent="0.15">
      <c r="A113" s="352" t="s">
        <v>109</v>
      </c>
      <c r="B113" s="353"/>
      <c r="C113" s="354"/>
      <c r="D113" s="410"/>
      <c r="E113" s="355"/>
      <c r="F113" s="418"/>
      <c r="G113" s="356"/>
      <c r="H113" s="224"/>
      <c r="I113" s="224"/>
      <c r="J113" s="251"/>
      <c r="K113" s="224"/>
      <c r="L113" s="224"/>
      <c r="M113" s="224"/>
      <c r="N113" s="224"/>
      <c r="O113" s="224"/>
      <c r="P113" s="224"/>
      <c r="Q113" s="224"/>
      <c r="R113" s="224"/>
      <c r="S113" s="224"/>
      <c r="T113" s="224"/>
      <c r="U113" s="224"/>
      <c r="V113" s="252"/>
      <c r="W113" s="219"/>
      <c r="X113" s="219"/>
    </row>
    <row r="114" spans="1:24" x14ac:dyDescent="0.15">
      <c r="A114" s="377"/>
      <c r="B114" s="377"/>
      <c r="C114" s="378"/>
      <c r="D114" s="411">
        <v>615194</v>
      </c>
      <c r="E114" s="379" t="s">
        <v>80</v>
      </c>
      <c r="F114" s="411" t="s">
        <v>192</v>
      </c>
      <c r="G114" s="364"/>
      <c r="H114" s="560"/>
      <c r="I114" s="255"/>
      <c r="J114" s="255"/>
      <c r="K114" s="255"/>
      <c r="L114" s="255"/>
      <c r="M114" s="255"/>
      <c r="N114" s="234"/>
      <c r="O114" s="255"/>
      <c r="P114" s="255"/>
      <c r="Q114" s="255"/>
      <c r="R114" s="255"/>
      <c r="S114" s="255"/>
      <c r="T114" s="255"/>
      <c r="U114" s="582"/>
      <c r="V114" s="226">
        <f>SUM(H114:T114)</f>
        <v>0</v>
      </c>
      <c r="W114" s="219"/>
      <c r="X114" s="219"/>
    </row>
    <row r="115" spans="1:24" x14ac:dyDescent="0.15">
      <c r="A115" s="377"/>
      <c r="B115" s="377"/>
      <c r="C115" s="378"/>
      <c r="D115" s="411">
        <v>615194</v>
      </c>
      <c r="E115" s="379" t="s">
        <v>80</v>
      </c>
      <c r="F115" s="411" t="s">
        <v>179</v>
      </c>
      <c r="G115" s="364"/>
      <c r="H115" s="560"/>
      <c r="I115" s="255"/>
      <c r="J115" s="255"/>
      <c r="K115" s="255"/>
      <c r="L115" s="255"/>
      <c r="M115" s="255"/>
      <c r="N115" s="234"/>
      <c r="O115" s="255"/>
      <c r="P115" s="255"/>
      <c r="Q115" s="255"/>
      <c r="R115" s="255"/>
      <c r="S115" s="255"/>
      <c r="T115" s="255"/>
      <c r="U115" s="582"/>
      <c r="V115" s="226">
        <f>SUM(H115:T115)</f>
        <v>0</v>
      </c>
      <c r="W115" s="219"/>
      <c r="X115" s="219"/>
    </row>
    <row r="116" spans="1:24" s="221" customFormat="1" ht="11.25" thickBot="1" x14ac:dyDescent="0.2">
      <c r="A116" s="536" t="s">
        <v>11</v>
      </c>
      <c r="B116" s="532"/>
      <c r="C116" s="542"/>
      <c r="D116" s="538"/>
      <c r="E116" s="536"/>
      <c r="F116" s="539"/>
      <c r="G116" s="540"/>
      <c r="H116" s="522">
        <f>SUM(H114:H115)</f>
        <v>0</v>
      </c>
      <c r="I116" s="522">
        <f>SUM(I114:I115)</f>
        <v>0</v>
      </c>
      <c r="J116" s="522">
        <f t="shared" ref="J116:V116" si="22">SUM(J114:J115)</f>
        <v>0</v>
      </c>
      <c r="K116" s="522">
        <f t="shared" si="22"/>
        <v>0</v>
      </c>
      <c r="L116" s="522">
        <f t="shared" si="22"/>
        <v>0</v>
      </c>
      <c r="M116" s="522">
        <f t="shared" si="22"/>
        <v>0</v>
      </c>
      <c r="N116" s="522">
        <f t="shared" si="22"/>
        <v>0</v>
      </c>
      <c r="O116" s="522">
        <f t="shared" si="22"/>
        <v>0</v>
      </c>
      <c r="P116" s="522">
        <f t="shared" si="22"/>
        <v>0</v>
      </c>
      <c r="Q116" s="522">
        <f t="shared" si="22"/>
        <v>0</v>
      </c>
      <c r="R116" s="522">
        <f t="shared" si="22"/>
        <v>0</v>
      </c>
      <c r="S116" s="522">
        <f t="shared" si="22"/>
        <v>0</v>
      </c>
      <c r="T116" s="522">
        <f t="shared" si="22"/>
        <v>0</v>
      </c>
      <c r="U116" s="522">
        <f>SUM(U114:U115)</f>
        <v>0</v>
      </c>
      <c r="V116" s="522">
        <f t="shared" si="22"/>
        <v>0</v>
      </c>
      <c r="W116" s="360" t="str">
        <f>+IF(V116=SUM(I116:T116),"contrôle ok", "erreur")</f>
        <v>contrôle ok</v>
      </c>
      <c r="X116" s="219"/>
    </row>
    <row r="117" spans="1:24" s="221" customFormat="1" ht="11.25" thickTop="1" x14ac:dyDescent="0.15">
      <c r="A117" s="361"/>
      <c r="B117" s="361"/>
      <c r="C117" s="362"/>
      <c r="D117" s="414"/>
      <c r="E117" s="363"/>
      <c r="F117" s="414"/>
      <c r="G117" s="364"/>
      <c r="H117" s="229"/>
      <c r="I117" s="229"/>
      <c r="J117" s="229"/>
      <c r="K117" s="229"/>
      <c r="L117" s="229"/>
      <c r="M117" s="229"/>
      <c r="N117" s="257"/>
      <c r="O117" s="229"/>
      <c r="P117" s="229"/>
      <c r="Q117" s="229"/>
      <c r="R117" s="229"/>
      <c r="S117" s="229"/>
      <c r="T117" s="229"/>
      <c r="U117" s="229"/>
      <c r="V117" s="258"/>
      <c r="X117" s="219"/>
    </row>
    <row r="118" spans="1:24" x14ac:dyDescent="0.15">
      <c r="A118" s="352" t="s">
        <v>98</v>
      </c>
      <c r="B118" s="353"/>
      <c r="C118" s="354"/>
      <c r="D118" s="410"/>
      <c r="E118" s="355"/>
      <c r="F118" s="418"/>
      <c r="G118" s="356"/>
      <c r="H118" s="224"/>
      <c r="I118" s="224"/>
      <c r="J118" s="251"/>
      <c r="K118" s="224"/>
      <c r="L118" s="224"/>
      <c r="M118" s="224"/>
      <c r="N118" s="224"/>
      <c r="O118" s="224"/>
      <c r="P118" s="224"/>
      <c r="Q118" s="224"/>
      <c r="R118" s="224"/>
      <c r="S118" s="224"/>
      <c r="T118" s="224"/>
      <c r="U118" s="224"/>
      <c r="V118" s="252"/>
      <c r="W118" s="219"/>
      <c r="X118" s="219"/>
    </row>
    <row r="119" spans="1:24" x14ac:dyDescent="0.15">
      <c r="A119" s="377"/>
      <c r="B119" s="377"/>
      <c r="C119" s="378"/>
      <c r="D119" s="411">
        <v>615195</v>
      </c>
      <c r="E119" s="379" t="s">
        <v>80</v>
      </c>
      <c r="F119" s="411" t="s">
        <v>188</v>
      </c>
      <c r="G119" s="367"/>
      <c r="H119" s="560"/>
      <c r="I119" s="226"/>
      <c r="J119" s="226"/>
      <c r="K119" s="226"/>
      <c r="L119" s="226"/>
      <c r="M119" s="226"/>
      <c r="N119" s="226"/>
      <c r="O119" s="226"/>
      <c r="P119" s="226"/>
      <c r="Q119" s="226"/>
      <c r="R119" s="226"/>
      <c r="S119" s="226"/>
      <c r="T119" s="226"/>
      <c r="U119" s="582"/>
      <c r="V119" s="226">
        <f t="shared" ref="V119:V125" si="23">SUM(H119:T119)</f>
        <v>0</v>
      </c>
      <c r="W119" s="219"/>
      <c r="X119" s="219"/>
    </row>
    <row r="120" spans="1:24" x14ac:dyDescent="0.15">
      <c r="A120" s="377"/>
      <c r="B120" s="377"/>
      <c r="C120" s="378"/>
      <c r="D120" s="411">
        <v>615195</v>
      </c>
      <c r="E120" s="379" t="s">
        <v>80</v>
      </c>
      <c r="F120" s="411" t="s">
        <v>185</v>
      </c>
      <c r="G120" s="367"/>
      <c r="H120" s="560"/>
      <c r="I120" s="226">
        <v>525</v>
      </c>
      <c r="J120" s="226">
        <v>376</v>
      </c>
      <c r="K120" s="226"/>
      <c r="L120" s="226"/>
      <c r="M120" s="226"/>
      <c r="N120" s="226"/>
      <c r="O120" s="226"/>
      <c r="P120" s="226">
        <f>533+388</f>
        <v>921</v>
      </c>
      <c r="Q120" s="615">
        <v>388</v>
      </c>
      <c r="R120" s="226">
        <v>449.89</v>
      </c>
      <c r="S120" s="226">
        <v>290.2</v>
      </c>
      <c r="T120" s="226"/>
      <c r="U120" s="582"/>
      <c r="V120" s="226">
        <f t="shared" si="23"/>
        <v>2950.0899999999997</v>
      </c>
      <c r="W120" s="231"/>
      <c r="X120" s="219"/>
    </row>
    <row r="121" spans="1:24" x14ac:dyDescent="0.15">
      <c r="A121" s="377"/>
      <c r="B121" s="377"/>
      <c r="C121" s="378"/>
      <c r="D121" s="411">
        <v>615195</v>
      </c>
      <c r="E121" s="379" t="s">
        <v>80</v>
      </c>
      <c r="F121" s="411" t="s">
        <v>203</v>
      </c>
      <c r="G121" s="367"/>
      <c r="H121" s="560"/>
      <c r="I121" s="226"/>
      <c r="J121" s="226"/>
      <c r="K121" s="226"/>
      <c r="L121" s="226"/>
      <c r="M121" s="226"/>
      <c r="N121" s="226"/>
      <c r="O121" s="226"/>
      <c r="P121" s="226"/>
      <c r="Q121" s="226"/>
      <c r="R121" s="255"/>
      <c r="S121" s="226"/>
      <c r="T121" s="226"/>
      <c r="U121" s="582"/>
      <c r="V121" s="226">
        <f t="shared" si="23"/>
        <v>0</v>
      </c>
      <c r="W121" s="219"/>
      <c r="X121" s="219"/>
    </row>
    <row r="122" spans="1:24" x14ac:dyDescent="0.15">
      <c r="A122" s="377"/>
      <c r="B122" s="377"/>
      <c r="C122" s="378"/>
      <c r="D122" s="411">
        <v>615195</v>
      </c>
      <c r="E122" s="379" t="s">
        <v>80</v>
      </c>
      <c r="F122" s="411" t="s">
        <v>192</v>
      </c>
      <c r="G122" s="367"/>
      <c r="H122" s="560"/>
      <c r="I122" s="226">
        <f>376+538.49</f>
        <v>914.49</v>
      </c>
      <c r="J122" s="226"/>
      <c r="K122" s="226"/>
      <c r="L122" s="226"/>
      <c r="M122" s="226">
        <v>681</v>
      </c>
      <c r="N122" s="226">
        <f>85.44+187.5</f>
        <v>272.94</v>
      </c>
      <c r="O122" s="226">
        <v>3128</v>
      </c>
      <c r="P122" s="226"/>
      <c r="Q122" s="226">
        <f>45.9+2420</f>
        <v>2465.9</v>
      </c>
      <c r="R122" s="219">
        <v>1780.15</v>
      </c>
      <c r="S122" s="615">
        <f>1395+290+609</f>
        <v>2294</v>
      </c>
      <c r="T122" s="226">
        <f>789+5500</f>
        <v>6289</v>
      </c>
      <c r="U122" s="582"/>
      <c r="V122" s="226">
        <f>SUM(H122:T122)</f>
        <v>17825.48</v>
      </c>
      <c r="W122" s="231"/>
      <c r="X122" s="219"/>
    </row>
    <row r="123" spans="1:24" x14ac:dyDescent="0.15">
      <c r="A123" s="377"/>
      <c r="B123" s="377"/>
      <c r="C123" s="378"/>
      <c r="D123" s="411">
        <v>615195</v>
      </c>
      <c r="E123" s="379" t="s">
        <v>80</v>
      </c>
      <c r="F123" s="411" t="s">
        <v>696</v>
      </c>
      <c r="G123" s="367"/>
      <c r="H123" s="560">
        <f>10830.89-4416.85-6414.04</f>
        <v>0</v>
      </c>
      <c r="I123" s="226"/>
      <c r="J123" s="226"/>
      <c r="K123" s="226"/>
      <c r="L123" s="226"/>
      <c r="M123" s="226"/>
      <c r="N123" s="226"/>
      <c r="O123" s="226"/>
      <c r="P123" s="226"/>
      <c r="Q123" s="226"/>
      <c r="R123" s="226"/>
      <c r="S123" s="226"/>
      <c r="T123" s="226"/>
      <c r="U123" s="582"/>
      <c r="V123" s="226">
        <f t="shared" si="23"/>
        <v>0</v>
      </c>
      <c r="W123" s="231"/>
      <c r="X123" s="219"/>
    </row>
    <row r="124" spans="1:24" x14ac:dyDescent="0.15">
      <c r="A124" s="377"/>
      <c r="B124" s="377"/>
      <c r="C124" s="378"/>
      <c r="D124" s="411">
        <v>615195</v>
      </c>
      <c r="E124" s="379" t="s">
        <v>80</v>
      </c>
      <c r="F124" s="411" t="s">
        <v>187</v>
      </c>
      <c r="G124" s="367"/>
      <c r="H124" s="560"/>
      <c r="I124" s="226"/>
      <c r="J124" s="226"/>
      <c r="K124" s="226"/>
      <c r="L124" s="226"/>
      <c r="M124" s="226"/>
      <c r="N124" s="226"/>
      <c r="O124" s="226"/>
      <c r="P124" s="226"/>
      <c r="Q124" s="226"/>
      <c r="R124" s="226"/>
      <c r="S124" s="226"/>
      <c r="T124" s="226"/>
      <c r="U124" s="582"/>
      <c r="V124" s="226">
        <f t="shared" si="23"/>
        <v>0</v>
      </c>
      <c r="W124" s="219"/>
      <c r="X124" s="219"/>
    </row>
    <row r="125" spans="1:24" x14ac:dyDescent="0.15">
      <c r="A125" s="377"/>
      <c r="B125" s="377"/>
      <c r="C125" s="378"/>
      <c r="D125" s="411">
        <v>615195</v>
      </c>
      <c r="E125" s="379" t="s">
        <v>80</v>
      </c>
      <c r="F125" s="411" t="s">
        <v>184</v>
      </c>
      <c r="G125" s="367"/>
      <c r="H125" s="560"/>
      <c r="I125" s="226"/>
      <c r="J125" s="226"/>
      <c r="K125" s="226"/>
      <c r="L125" s="226"/>
      <c r="M125" s="226"/>
      <c r="N125" s="226"/>
      <c r="O125" s="226"/>
      <c r="P125" s="226"/>
      <c r="Q125" s="226"/>
      <c r="R125" s="226"/>
      <c r="S125" s="226"/>
      <c r="T125" s="226"/>
      <c r="U125" s="582"/>
      <c r="V125" s="226">
        <f t="shared" si="23"/>
        <v>0</v>
      </c>
      <c r="W125" s="219"/>
      <c r="X125" s="219"/>
    </row>
    <row r="126" spans="1:24" s="221" customFormat="1" ht="11.25" thickBot="1" x14ac:dyDescent="0.2">
      <c r="A126" s="536" t="s">
        <v>11</v>
      </c>
      <c r="B126" s="532"/>
      <c r="C126" s="542"/>
      <c r="D126" s="538"/>
      <c r="E126" s="536"/>
      <c r="F126" s="539"/>
      <c r="G126" s="540"/>
      <c r="H126" s="522">
        <f>SUM(H119:H125)</f>
        <v>0</v>
      </c>
      <c r="I126" s="522">
        <f t="shared" ref="I126:V126" si="24">SUM(I119:I125)</f>
        <v>1439.49</v>
      </c>
      <c r="J126" s="522">
        <f t="shared" si="24"/>
        <v>376</v>
      </c>
      <c r="K126" s="522">
        <f t="shared" si="24"/>
        <v>0</v>
      </c>
      <c r="L126" s="522">
        <f t="shared" si="24"/>
        <v>0</v>
      </c>
      <c r="M126" s="522">
        <f t="shared" si="24"/>
        <v>681</v>
      </c>
      <c r="N126" s="522">
        <f t="shared" si="24"/>
        <v>272.94</v>
      </c>
      <c r="O126" s="522">
        <f t="shared" si="24"/>
        <v>3128</v>
      </c>
      <c r="P126" s="522">
        <f t="shared" si="24"/>
        <v>921</v>
      </c>
      <c r="Q126" s="522">
        <f t="shared" si="24"/>
        <v>2853.9</v>
      </c>
      <c r="R126" s="522">
        <f t="shared" si="24"/>
        <v>2230.04</v>
      </c>
      <c r="S126" s="522">
        <f t="shared" si="24"/>
        <v>2584.1999999999998</v>
      </c>
      <c r="T126" s="522">
        <f t="shared" si="24"/>
        <v>6289</v>
      </c>
      <c r="U126" s="522">
        <f>SUM(U119:U125)</f>
        <v>0</v>
      </c>
      <c r="V126" s="522">
        <f t="shared" si="24"/>
        <v>20775.57</v>
      </c>
      <c r="W126" s="360" t="str">
        <f>+IF(V126=SUM(H126:T126),"contrôle ok", "erreur")</f>
        <v>contrôle ok</v>
      </c>
      <c r="X126" s="219"/>
    </row>
    <row r="127" spans="1:24" s="221" customFormat="1" ht="11.25" thickTop="1" x14ac:dyDescent="0.15">
      <c r="A127" s="361"/>
      <c r="B127" s="361"/>
      <c r="C127" s="362"/>
      <c r="D127" s="414"/>
      <c r="E127" s="363"/>
      <c r="F127" s="414"/>
      <c r="G127" s="364"/>
      <c r="H127" s="229"/>
      <c r="I127" s="229"/>
      <c r="J127" s="229"/>
      <c r="K127" s="229"/>
      <c r="L127" s="229"/>
      <c r="M127" s="229"/>
      <c r="N127" s="257"/>
      <c r="O127" s="229"/>
      <c r="P127" s="229"/>
      <c r="Q127" s="229"/>
      <c r="R127" s="229"/>
      <c r="S127" s="229"/>
      <c r="T127" s="229"/>
      <c r="U127" s="229"/>
      <c r="V127" s="258"/>
      <c r="X127" s="219"/>
    </row>
    <row r="128" spans="1:24" x14ac:dyDescent="0.15">
      <c r="A128" s="352" t="s">
        <v>94</v>
      </c>
      <c r="B128" s="353"/>
      <c r="C128" s="354"/>
      <c r="D128" s="410"/>
      <c r="E128" s="355"/>
      <c r="F128" s="418"/>
      <c r="G128" s="356"/>
      <c r="H128" s="224"/>
      <c r="I128" s="224"/>
      <c r="J128" s="251"/>
      <c r="K128" s="224"/>
      <c r="L128" s="224"/>
      <c r="M128" s="224"/>
      <c r="N128" s="224"/>
      <c r="O128" s="224"/>
      <c r="P128" s="224"/>
      <c r="Q128" s="224"/>
      <c r="R128" s="224"/>
      <c r="S128" s="224"/>
      <c r="T128" s="224"/>
      <c r="U128" s="224"/>
      <c r="V128" s="252"/>
      <c r="W128" s="219"/>
      <c r="X128" s="219"/>
    </row>
    <row r="129" spans="1:24" x14ac:dyDescent="0.15">
      <c r="A129" s="377"/>
      <c r="B129" s="377"/>
      <c r="C129" s="378"/>
      <c r="D129" s="411">
        <v>615196</v>
      </c>
      <c r="E129" s="379" t="s">
        <v>80</v>
      </c>
      <c r="F129" s="411" t="s">
        <v>192</v>
      </c>
      <c r="G129" s="364"/>
      <c r="H129" s="560"/>
      <c r="I129" s="255"/>
      <c r="J129" s="226"/>
      <c r="K129" s="255"/>
      <c r="L129" s="234"/>
      <c r="M129" s="255">
        <v>383.18</v>
      </c>
      <c r="N129" s="234"/>
      <c r="O129" s="255"/>
      <c r="P129" s="255"/>
      <c r="Q129" s="255"/>
      <c r="R129" s="255"/>
      <c r="S129" s="255">
        <v>606.02</v>
      </c>
      <c r="T129" s="255"/>
      <c r="U129" s="582"/>
      <c r="V129" s="226">
        <f>SUM(H129:T129)</f>
        <v>989.2</v>
      </c>
      <c r="W129" s="219"/>
      <c r="X129" s="219"/>
    </row>
    <row r="130" spans="1:24" x14ac:dyDescent="0.15">
      <c r="A130" s="377"/>
      <c r="B130" s="377"/>
      <c r="C130" s="378"/>
      <c r="D130" s="411">
        <v>615196</v>
      </c>
      <c r="E130" s="379" t="s">
        <v>80</v>
      </c>
      <c r="F130" s="411" t="s">
        <v>183</v>
      </c>
      <c r="G130" s="364"/>
      <c r="H130" s="560"/>
      <c r="I130" s="255"/>
      <c r="J130" s="255"/>
      <c r="K130" s="255"/>
      <c r="L130" s="226"/>
      <c r="M130" s="255"/>
      <c r="N130" s="255"/>
      <c r="O130" s="255"/>
      <c r="P130" s="255"/>
      <c r="Q130" s="255"/>
      <c r="R130" s="255"/>
      <c r="S130" s="255"/>
      <c r="T130" s="255"/>
      <c r="U130" s="582"/>
      <c r="V130" s="226">
        <f>SUM(H130:T130)</f>
        <v>0</v>
      </c>
      <c r="W130" s="219"/>
      <c r="X130" s="219"/>
    </row>
    <row r="131" spans="1:24" x14ac:dyDescent="0.15">
      <c r="A131" s="377" t="s">
        <v>587</v>
      </c>
      <c r="B131" s="377" t="s">
        <v>588</v>
      </c>
      <c r="C131" s="623">
        <v>2017</v>
      </c>
      <c r="D131" s="411">
        <v>615196</v>
      </c>
      <c r="E131" s="379" t="s">
        <v>80</v>
      </c>
      <c r="F131" s="411" t="s">
        <v>182</v>
      </c>
      <c r="G131" s="364">
        <f>4183.38/12</f>
        <v>348.61500000000001</v>
      </c>
      <c r="H131" s="560"/>
      <c r="I131" s="226">
        <v>348.64</v>
      </c>
      <c r="J131" s="226">
        <v>348.62</v>
      </c>
      <c r="K131" s="226">
        <v>348.62</v>
      </c>
      <c r="L131" s="226">
        <v>348.61</v>
      </c>
      <c r="M131" s="226">
        <v>348.61</v>
      </c>
      <c r="N131" s="226">
        <v>348.61</v>
      </c>
      <c r="O131" s="226">
        <v>348.61</v>
      </c>
      <c r="P131" s="255">
        <v>348.61</v>
      </c>
      <c r="Q131" s="255">
        <v>348.61</v>
      </c>
      <c r="R131" s="255">
        <v>348.61</v>
      </c>
      <c r="S131" s="255">
        <v>348.61</v>
      </c>
      <c r="T131" s="255">
        <v>348.62</v>
      </c>
      <c r="U131" s="582"/>
      <c r="V131" s="226">
        <f>SUM(H131:T131)</f>
        <v>4183.380000000001</v>
      </c>
      <c r="W131" s="219"/>
      <c r="X131" s="219"/>
    </row>
    <row r="132" spans="1:24" s="221" customFormat="1" ht="11.25" thickBot="1" x14ac:dyDescent="0.2">
      <c r="A132" s="536" t="s">
        <v>11</v>
      </c>
      <c r="B132" s="532"/>
      <c r="C132" s="542"/>
      <c r="D132" s="538"/>
      <c r="E132" s="536"/>
      <c r="F132" s="539"/>
      <c r="G132" s="540"/>
      <c r="H132" s="522">
        <f t="shared" ref="H132:V132" si="25">SUM(H129:H131)</f>
        <v>0</v>
      </c>
      <c r="I132" s="522">
        <f t="shared" si="25"/>
        <v>348.64</v>
      </c>
      <c r="J132" s="522">
        <f t="shared" si="25"/>
        <v>348.62</v>
      </c>
      <c r="K132" s="522">
        <f t="shared" si="25"/>
        <v>348.62</v>
      </c>
      <c r="L132" s="522">
        <f t="shared" si="25"/>
        <v>348.61</v>
      </c>
      <c r="M132" s="522">
        <f t="shared" si="25"/>
        <v>731.79</v>
      </c>
      <c r="N132" s="522">
        <f t="shared" si="25"/>
        <v>348.61</v>
      </c>
      <c r="O132" s="522">
        <f t="shared" si="25"/>
        <v>348.61</v>
      </c>
      <c r="P132" s="522">
        <f t="shared" si="25"/>
        <v>348.61</v>
      </c>
      <c r="Q132" s="522">
        <f t="shared" si="25"/>
        <v>348.61</v>
      </c>
      <c r="R132" s="522">
        <f t="shared" si="25"/>
        <v>348.61</v>
      </c>
      <c r="S132" s="522">
        <f t="shared" si="25"/>
        <v>954.63</v>
      </c>
      <c r="T132" s="522">
        <f t="shared" si="25"/>
        <v>348.62</v>
      </c>
      <c r="U132" s="522">
        <f>SUM(U129:U131)</f>
        <v>0</v>
      </c>
      <c r="V132" s="522">
        <f t="shared" si="25"/>
        <v>5172.5800000000008</v>
      </c>
      <c r="W132" s="360" t="str">
        <f>+IF(V132=SUM(I132:T132),"contrôle ok", "erreur")</f>
        <v>contrôle ok</v>
      </c>
      <c r="X132" s="219"/>
    </row>
    <row r="133" spans="1:24" s="221" customFormat="1" ht="11.25" thickTop="1" x14ac:dyDescent="0.15">
      <c r="A133" s="361"/>
      <c r="B133" s="361"/>
      <c r="C133" s="362"/>
      <c r="D133" s="414"/>
      <c r="E133" s="363"/>
      <c r="F133" s="414"/>
      <c r="G133" s="364"/>
      <c r="H133" s="229"/>
      <c r="I133" s="229"/>
      <c r="J133" s="229"/>
      <c r="K133" s="229"/>
      <c r="L133" s="229"/>
      <c r="M133" s="229"/>
      <c r="N133" s="257"/>
      <c r="O133" s="229"/>
      <c r="P133" s="229"/>
      <c r="Q133" s="229"/>
      <c r="R133" s="229"/>
      <c r="S133" s="229"/>
      <c r="T133" s="229"/>
      <c r="U133" s="229"/>
      <c r="V133" s="258"/>
      <c r="X133" s="219"/>
    </row>
    <row r="134" spans="1:24" x14ac:dyDescent="0.15">
      <c r="A134" s="352" t="s">
        <v>9</v>
      </c>
      <c r="B134" s="353"/>
      <c r="C134" s="354"/>
      <c r="D134" s="410"/>
      <c r="E134" s="355"/>
      <c r="F134" s="418"/>
      <c r="G134" s="356"/>
      <c r="H134" s="224"/>
      <c r="I134" s="224"/>
      <c r="J134" s="251"/>
      <c r="K134" s="224"/>
      <c r="L134" s="224"/>
      <c r="M134" s="224"/>
      <c r="N134" s="224"/>
      <c r="O134" s="224"/>
      <c r="P134" s="224"/>
      <c r="Q134" s="224"/>
      <c r="R134" s="224"/>
      <c r="S134" s="224"/>
      <c r="T134" s="224"/>
      <c r="U134" s="224"/>
      <c r="V134" s="252"/>
      <c r="W134" s="219"/>
      <c r="X134" s="219"/>
    </row>
    <row r="135" spans="1:24" x14ac:dyDescent="0.15">
      <c r="A135" s="377" t="s">
        <v>349</v>
      </c>
      <c r="B135" s="377"/>
      <c r="C135" s="378"/>
      <c r="D135" s="411">
        <v>615200</v>
      </c>
      <c r="E135" s="379" t="s">
        <v>81</v>
      </c>
      <c r="F135" s="411" t="s">
        <v>192</v>
      </c>
      <c r="G135" s="364"/>
      <c r="H135" s="563"/>
      <c r="I135" s="299"/>
      <c r="J135" s="299"/>
      <c r="K135" s="299"/>
      <c r="L135" s="299"/>
      <c r="M135" s="299"/>
      <c r="N135" s="299"/>
      <c r="O135" s="299"/>
      <c r="P135" s="299"/>
      <c r="Q135" s="226"/>
      <c r="R135" s="226"/>
      <c r="S135" s="226"/>
      <c r="T135" s="226">
        <v>590</v>
      </c>
      <c r="U135" s="582"/>
      <c r="V135" s="226">
        <f>SUM(H135:T135)</f>
        <v>590</v>
      </c>
      <c r="W135" s="219"/>
      <c r="X135" s="219"/>
    </row>
    <row r="136" spans="1:24" x14ac:dyDescent="0.15">
      <c r="A136" s="377" t="s">
        <v>52</v>
      </c>
      <c r="B136" s="377"/>
      <c r="C136" s="378"/>
      <c r="D136" s="411">
        <v>615200</v>
      </c>
      <c r="E136" s="379" t="s">
        <v>81</v>
      </c>
      <c r="F136" s="411" t="s">
        <v>179</v>
      </c>
      <c r="G136" s="364">
        <v>275.05</v>
      </c>
      <c r="H136" s="563"/>
      <c r="I136" s="299">
        <v>275.05</v>
      </c>
      <c r="J136" s="299">
        <v>275.05</v>
      </c>
      <c r="K136" s="299">
        <v>275.05</v>
      </c>
      <c r="L136" s="299">
        <v>275.05</v>
      </c>
      <c r="M136" s="299">
        <v>275.05</v>
      </c>
      <c r="N136" s="299">
        <v>275.05</v>
      </c>
      <c r="O136" s="299">
        <v>275.05</v>
      </c>
      <c r="P136" s="299">
        <v>275.05</v>
      </c>
      <c r="Q136" s="299">
        <v>275.05</v>
      </c>
      <c r="R136" s="226">
        <v>275.05</v>
      </c>
      <c r="S136" s="226">
        <v>275.05</v>
      </c>
      <c r="T136" s="226">
        <v>275.05</v>
      </c>
      <c r="U136" s="582"/>
      <c r="V136" s="226">
        <f>SUM(H136:T136)</f>
        <v>3300.6000000000008</v>
      </c>
      <c r="W136" s="219"/>
      <c r="X136" s="219"/>
    </row>
    <row r="137" spans="1:24" x14ac:dyDescent="0.15">
      <c r="A137" s="377" t="s">
        <v>349</v>
      </c>
      <c r="B137" s="377" t="s">
        <v>575</v>
      </c>
      <c r="C137" s="378"/>
      <c r="D137" s="411">
        <v>615200</v>
      </c>
      <c r="E137" s="379" t="s">
        <v>81</v>
      </c>
      <c r="F137" s="411" t="s">
        <v>179</v>
      </c>
      <c r="G137" s="364">
        <v>1092.02</v>
      </c>
      <c r="H137" s="563"/>
      <c r="I137" s="299">
        <v>1092.02</v>
      </c>
      <c r="J137" s="299">
        <v>1092.02</v>
      </c>
      <c r="K137" s="299">
        <v>1092.02</v>
      </c>
      <c r="L137" s="299">
        <v>1092.02</v>
      </c>
      <c r="M137" s="299">
        <v>1092.02</v>
      </c>
      <c r="N137" s="299">
        <v>1092.02</v>
      </c>
      <c r="O137" s="299">
        <v>1092.02</v>
      </c>
      <c r="P137" s="299">
        <v>1092.02</v>
      </c>
      <c r="Q137" s="299">
        <v>1092.02</v>
      </c>
      <c r="R137" s="299">
        <v>1092.02</v>
      </c>
      <c r="S137" s="299">
        <v>1092.02</v>
      </c>
      <c r="T137" s="226"/>
      <c r="U137" s="582"/>
      <c r="V137" s="226">
        <f>SUM(H137:T137)</f>
        <v>12012.220000000003</v>
      </c>
      <c r="W137" s="219"/>
      <c r="X137" s="219"/>
    </row>
    <row r="138" spans="1:24" s="221" customFormat="1" ht="11.25" thickBot="1" x14ac:dyDescent="0.2">
      <c r="A138" s="536" t="s">
        <v>11</v>
      </c>
      <c r="B138" s="532"/>
      <c r="C138" s="542"/>
      <c r="D138" s="538"/>
      <c r="E138" s="536"/>
      <c r="F138" s="539"/>
      <c r="G138" s="540"/>
      <c r="H138" s="522">
        <f>SUM(H135:H137)</f>
        <v>0</v>
      </c>
      <c r="I138" s="522">
        <f t="shared" ref="I138:V138" si="26">SUM(I135:I137)</f>
        <v>1367.07</v>
      </c>
      <c r="J138" s="522">
        <f t="shared" si="26"/>
        <v>1367.07</v>
      </c>
      <c r="K138" s="522">
        <f t="shared" si="26"/>
        <v>1367.07</v>
      </c>
      <c r="L138" s="522">
        <f t="shared" si="26"/>
        <v>1367.07</v>
      </c>
      <c r="M138" s="522">
        <f t="shared" si="26"/>
        <v>1367.07</v>
      </c>
      <c r="N138" s="522">
        <f t="shared" si="26"/>
        <v>1367.07</v>
      </c>
      <c r="O138" s="522">
        <f t="shared" si="26"/>
        <v>1367.07</v>
      </c>
      <c r="P138" s="522">
        <f t="shared" si="26"/>
        <v>1367.07</v>
      </c>
      <c r="Q138" s="522">
        <f t="shared" si="26"/>
        <v>1367.07</v>
      </c>
      <c r="R138" s="522">
        <f t="shared" si="26"/>
        <v>1367.07</v>
      </c>
      <c r="S138" s="522">
        <f t="shared" si="26"/>
        <v>1367.07</v>
      </c>
      <c r="T138" s="522">
        <f t="shared" si="26"/>
        <v>865.05</v>
      </c>
      <c r="U138" s="522">
        <f>SUM(U135:U137)</f>
        <v>0</v>
      </c>
      <c r="V138" s="522">
        <f t="shared" si="26"/>
        <v>15902.820000000003</v>
      </c>
      <c r="W138" s="360" t="str">
        <f>+IF(V138=SUM(I138:T138),"contrôle ok", "erreur")</f>
        <v>contrôle ok</v>
      </c>
      <c r="X138" s="219"/>
    </row>
    <row r="139" spans="1:24" s="221" customFormat="1" ht="11.25" thickTop="1" x14ac:dyDescent="0.15">
      <c r="A139" s="361"/>
      <c r="B139" s="361"/>
      <c r="C139" s="362"/>
      <c r="D139" s="414"/>
      <c r="E139" s="363"/>
      <c r="F139" s="414"/>
      <c r="G139" s="364"/>
      <c r="H139" s="229"/>
      <c r="I139" s="229"/>
      <c r="J139" s="229"/>
      <c r="K139" s="229"/>
      <c r="L139" s="229"/>
      <c r="M139" s="229"/>
      <c r="N139" s="257"/>
      <c r="O139" s="229"/>
      <c r="P139" s="229"/>
      <c r="Q139" s="229"/>
      <c r="R139" s="229"/>
      <c r="S139" s="229"/>
      <c r="T139" s="229"/>
      <c r="U139" s="229"/>
      <c r="V139" s="258"/>
      <c r="X139" s="219"/>
    </row>
    <row r="140" spans="1:24" x14ac:dyDescent="0.15">
      <c r="A140" s="352" t="s">
        <v>787</v>
      </c>
      <c r="B140" s="353"/>
      <c r="C140" s="354"/>
      <c r="D140" s="410"/>
      <c r="E140" s="355"/>
      <c r="F140" s="418"/>
      <c r="G140" s="356"/>
      <c r="H140" s="224"/>
      <c r="I140" s="224"/>
      <c r="J140" s="251"/>
      <c r="K140" s="224"/>
      <c r="L140" s="224"/>
      <c r="M140" s="224"/>
      <c r="N140" s="224"/>
      <c r="O140" s="224"/>
      <c r="P140" s="224"/>
      <c r="Q140" s="224"/>
      <c r="R140" s="224"/>
      <c r="S140" s="224"/>
      <c r="T140" s="224"/>
      <c r="U140" s="224"/>
      <c r="V140" s="252"/>
      <c r="W140" s="219"/>
      <c r="X140" s="219"/>
    </row>
    <row r="141" spans="1:24" s="37" customFormat="1" x14ac:dyDescent="0.15">
      <c r="A141" s="143"/>
      <c r="B141" s="143" t="s">
        <v>142</v>
      </c>
      <c r="C141" s="144"/>
      <c r="D141" s="144">
        <v>615210</v>
      </c>
      <c r="E141" s="145" t="s">
        <v>708</v>
      </c>
      <c r="F141" s="145" t="s">
        <v>189</v>
      </c>
      <c r="G141" s="165"/>
      <c r="H141" s="559"/>
      <c r="I141" s="226"/>
      <c r="J141" s="226"/>
      <c r="K141" s="226"/>
      <c r="L141" s="226"/>
      <c r="M141" s="226"/>
      <c r="N141" s="226"/>
      <c r="O141" s="226"/>
      <c r="P141" s="226"/>
      <c r="Q141" s="226"/>
      <c r="R141" s="226"/>
      <c r="S141" s="226"/>
      <c r="T141" s="226"/>
      <c r="U141" s="226"/>
      <c r="V141" s="255">
        <f>SUM(H141:T141)</f>
        <v>0</v>
      </c>
      <c r="W141" s="14"/>
      <c r="X141" s="16"/>
    </row>
    <row r="142" spans="1:24" s="16" customFormat="1" x14ac:dyDescent="0.15">
      <c r="A142" s="143"/>
      <c r="B142" s="143" t="s">
        <v>170</v>
      </c>
      <c r="C142" s="144"/>
      <c r="D142" s="144">
        <v>615210</v>
      </c>
      <c r="E142" s="145" t="s">
        <v>80</v>
      </c>
      <c r="F142" s="145" t="s">
        <v>192</v>
      </c>
      <c r="G142" s="165"/>
      <c r="H142" s="559"/>
      <c r="I142" s="226"/>
      <c r="J142" s="226"/>
      <c r="K142" s="226"/>
      <c r="L142" s="226">
        <f>270-270</f>
        <v>0</v>
      </c>
      <c r="M142" s="226"/>
      <c r="N142" s="226"/>
      <c r="O142" s="226">
        <f>265+330</f>
        <v>595</v>
      </c>
      <c r="P142" s="226"/>
      <c r="Q142" s="226"/>
      <c r="R142" s="226"/>
      <c r="S142" s="226"/>
      <c r="T142" s="226"/>
      <c r="U142" s="226"/>
      <c r="V142" s="255">
        <f>SUM(H142:T142)</f>
        <v>595</v>
      </c>
      <c r="W142" s="14"/>
    </row>
    <row r="143" spans="1:24" s="221" customFormat="1" ht="11.25" thickBot="1" x14ac:dyDescent="0.2">
      <c r="A143" s="536" t="s">
        <v>11</v>
      </c>
      <c r="B143" s="532"/>
      <c r="C143" s="542"/>
      <c r="D143" s="538"/>
      <c r="E143" s="536"/>
      <c r="F143" s="539"/>
      <c r="G143" s="540"/>
      <c r="H143" s="522">
        <f t="shared" ref="H143:V143" si="27">SUM(H141:H142)</f>
        <v>0</v>
      </c>
      <c r="I143" s="522">
        <f t="shared" si="27"/>
        <v>0</v>
      </c>
      <c r="J143" s="522">
        <f t="shared" si="27"/>
        <v>0</v>
      </c>
      <c r="K143" s="522">
        <f t="shared" si="27"/>
        <v>0</v>
      </c>
      <c r="L143" s="522">
        <f t="shared" si="27"/>
        <v>0</v>
      </c>
      <c r="M143" s="522">
        <f t="shared" si="27"/>
        <v>0</v>
      </c>
      <c r="N143" s="522">
        <f t="shared" si="27"/>
        <v>0</v>
      </c>
      <c r="O143" s="522">
        <f t="shared" si="27"/>
        <v>595</v>
      </c>
      <c r="P143" s="522">
        <f t="shared" si="27"/>
        <v>0</v>
      </c>
      <c r="Q143" s="522">
        <f t="shared" si="27"/>
        <v>0</v>
      </c>
      <c r="R143" s="522">
        <f t="shared" si="27"/>
        <v>0</v>
      </c>
      <c r="S143" s="522">
        <f t="shared" si="27"/>
        <v>0</v>
      </c>
      <c r="T143" s="522">
        <f t="shared" si="27"/>
        <v>0</v>
      </c>
      <c r="U143" s="522">
        <f>SUM(U141:U142)</f>
        <v>0</v>
      </c>
      <c r="V143" s="522">
        <f t="shared" si="27"/>
        <v>595</v>
      </c>
      <c r="W143" s="360" t="str">
        <f>+IF(V143=SUM(I143:T143),"contrôle ok", "erreur")</f>
        <v>contrôle ok</v>
      </c>
      <c r="X143" s="219"/>
    </row>
    <row r="144" spans="1:24" s="221" customFormat="1" ht="11.25" thickTop="1" x14ac:dyDescent="0.15">
      <c r="A144" s="361"/>
      <c r="B144" s="361"/>
      <c r="C144" s="362"/>
      <c r="D144" s="414"/>
      <c r="E144" s="363"/>
      <c r="F144" s="414"/>
      <c r="G144" s="364"/>
      <c r="H144" s="229"/>
      <c r="I144" s="229"/>
      <c r="J144" s="229"/>
      <c r="K144" s="229"/>
      <c r="L144" s="229"/>
      <c r="M144" s="229"/>
      <c r="N144" s="257"/>
      <c r="O144" s="229"/>
      <c r="P144" s="229"/>
      <c r="Q144" s="229"/>
      <c r="R144" s="229"/>
      <c r="S144" s="229"/>
      <c r="T144" s="229"/>
      <c r="U144" s="229"/>
      <c r="V144" s="258"/>
      <c r="X144" s="219"/>
    </row>
    <row r="145" spans="1:24" x14ac:dyDescent="0.15">
      <c r="A145" s="352" t="s">
        <v>712</v>
      </c>
      <c r="B145" s="353"/>
      <c r="C145" s="354"/>
      <c r="D145" s="410"/>
      <c r="E145" s="355"/>
      <c r="F145" s="418"/>
      <c r="G145" s="356"/>
      <c r="H145" s="224"/>
      <c r="I145" s="224"/>
      <c r="J145" s="251"/>
      <c r="K145" s="224"/>
      <c r="L145" s="224"/>
      <c r="M145" s="224"/>
      <c r="N145" s="224"/>
      <c r="O145" s="224"/>
      <c r="P145" s="224"/>
      <c r="Q145" s="224"/>
      <c r="R145" s="224"/>
      <c r="S145" s="224"/>
      <c r="T145" s="224"/>
      <c r="U145" s="224"/>
      <c r="V145" s="252"/>
      <c r="W145" s="219"/>
      <c r="X145" s="219"/>
    </row>
    <row r="146" spans="1:24" x14ac:dyDescent="0.15">
      <c r="A146" s="377" t="s">
        <v>790</v>
      </c>
      <c r="B146" s="377"/>
      <c r="C146" s="378"/>
      <c r="D146" s="411">
        <v>615215</v>
      </c>
      <c r="E146" s="379" t="s">
        <v>80</v>
      </c>
      <c r="F146" s="411"/>
      <c r="G146" s="364"/>
      <c r="H146" s="563"/>
      <c r="I146" s="299"/>
      <c r="J146" s="299"/>
      <c r="K146" s="299"/>
      <c r="L146" s="299">
        <v>247.28</v>
      </c>
      <c r="M146" s="299"/>
      <c r="N146" s="299"/>
      <c r="O146" s="299"/>
      <c r="P146" s="299"/>
      <c r="Q146" s="226"/>
      <c r="R146" s="226"/>
      <c r="S146" s="226"/>
      <c r="T146" s="226"/>
      <c r="U146" s="582"/>
      <c r="V146" s="226">
        <f t="shared" ref="V146:V151" si="28">SUM(H146:T146)</f>
        <v>247.28</v>
      </c>
      <c r="W146" s="219"/>
      <c r="X146" s="219"/>
    </row>
    <row r="147" spans="1:24" x14ac:dyDescent="0.15">
      <c r="A147" s="377" t="s">
        <v>441</v>
      </c>
      <c r="B147" s="377" t="s">
        <v>763</v>
      </c>
      <c r="C147" s="378"/>
      <c r="D147" s="411">
        <v>615215</v>
      </c>
      <c r="E147" s="379" t="s">
        <v>80</v>
      </c>
      <c r="F147" s="411"/>
      <c r="G147" s="364">
        <v>500</v>
      </c>
      <c r="H147" s="563">
        <f>1493.6-1800</f>
        <v>-306.40000000000009</v>
      </c>
      <c r="I147" s="299">
        <v>817.24</v>
      </c>
      <c r="J147" s="299">
        <f>135.28+45.6+133.76+54.72+36.48</f>
        <v>405.84000000000003</v>
      </c>
      <c r="K147" s="299">
        <f>21.28+19.76+104.88+60.8+34.96+1905.08-1017.9</f>
        <v>1128.8599999999997</v>
      </c>
      <c r="L147" s="299">
        <f>25.84+50.16+44.08+94.24</f>
        <v>214.32</v>
      </c>
      <c r="M147" s="299">
        <v>234.08</v>
      </c>
      <c r="N147" s="299">
        <v>77.5</v>
      </c>
      <c r="O147" s="299">
        <f>132.24+221.36+256.32+273.12</f>
        <v>883.04000000000008</v>
      </c>
      <c r="P147" s="299">
        <f>98.8+51.68+120.08+36.48+27.36</f>
        <v>334.40000000000003</v>
      </c>
      <c r="Q147" s="226">
        <f>59.28*2+104.88+91.2</f>
        <v>314.64</v>
      </c>
      <c r="R147" s="226">
        <f>63.84+95.76+48.64+47.12+41.04</f>
        <v>296.40000000000003</v>
      </c>
      <c r="S147" s="226">
        <f>62.47+323.61</f>
        <v>386.08000000000004</v>
      </c>
      <c r="T147" s="226"/>
      <c r="U147" s="582"/>
      <c r="V147" s="226">
        <f t="shared" si="28"/>
        <v>4785.9999999999991</v>
      </c>
      <c r="W147" s="219"/>
      <c r="X147" s="219"/>
    </row>
    <row r="148" spans="1:24" x14ac:dyDescent="0.15">
      <c r="A148" s="377" t="s">
        <v>441</v>
      </c>
      <c r="B148" s="377" t="s">
        <v>810</v>
      </c>
      <c r="C148" s="378"/>
      <c r="D148" s="411">
        <v>615215</v>
      </c>
      <c r="E148" s="379" t="s">
        <v>80</v>
      </c>
      <c r="F148" s="411"/>
      <c r="G148" s="364">
        <v>900</v>
      </c>
      <c r="H148" s="563">
        <f>845.03-1000</f>
        <v>-154.97000000000003</v>
      </c>
      <c r="I148" s="299">
        <f>51.68+55.68+118+44.16+118+47.12+44.08+46.08+118+34.56+118+48.64</f>
        <v>843.99999999999989</v>
      </c>
      <c r="J148" s="299">
        <f>32.64+118+49.92+118+53.76+118</f>
        <v>490.32</v>
      </c>
      <c r="K148" s="299">
        <f>53.76+118+49.92+118+40.32+118+51.84+118+53.76+118</f>
        <v>839.6</v>
      </c>
      <c r="L148" s="299">
        <f>42.24+118+55.68+118+67.2+118+61.44+118</f>
        <v>698.56</v>
      </c>
      <c r="M148" s="299">
        <v>692.8</v>
      </c>
      <c r="N148" s="299">
        <f>59.52+118+33.44+49.92+118+36.48+61.44+118+82.08+59.52+118+36.48+80.64+118+72.96</f>
        <v>1162.48</v>
      </c>
      <c r="O148" s="299">
        <v>791.18</v>
      </c>
      <c r="P148" s="299">
        <f>53.76+118+69.12+118+49.92+118+55.68+118+17.1+55.68+118+77.5</f>
        <v>968.75999999999988</v>
      </c>
      <c r="Q148" s="226">
        <f>63.36+118+53.76+118+61.44+118+71.04+118+77.5+147.84</f>
        <v>946.93999999999994</v>
      </c>
      <c r="R148" s="226">
        <f>118+44.16+61.44+118+49.92+118+53.76+118+34.56+118</f>
        <v>833.84000000000015</v>
      </c>
      <c r="S148" s="226">
        <f>61.44+118+59.52+118+42.24+118+56.24+55.68+118+53.2</f>
        <v>800.32</v>
      </c>
      <c r="T148" s="226"/>
      <c r="U148" s="582"/>
      <c r="V148" s="226">
        <f t="shared" si="28"/>
        <v>8913.83</v>
      </c>
      <c r="W148" s="219"/>
      <c r="X148" s="219"/>
    </row>
    <row r="149" spans="1:24" x14ac:dyDescent="0.15">
      <c r="A149" s="377" t="s">
        <v>441</v>
      </c>
      <c r="B149" s="377" t="s">
        <v>700</v>
      </c>
      <c r="C149" s="378"/>
      <c r="D149" s="411">
        <v>615215</v>
      </c>
      <c r="E149" s="379" t="s">
        <v>80</v>
      </c>
      <c r="F149" s="591" t="s">
        <v>700</v>
      </c>
      <c r="G149" s="364"/>
      <c r="H149" s="563"/>
      <c r="I149" s="299"/>
      <c r="J149" s="299"/>
      <c r="K149" s="299"/>
      <c r="L149" s="299"/>
      <c r="M149" s="299"/>
      <c r="N149" s="299"/>
      <c r="O149" s="299"/>
      <c r="P149" s="299">
        <f>61.5+118</f>
        <v>179.5</v>
      </c>
      <c r="Q149" s="299"/>
      <c r="R149" s="226"/>
      <c r="S149" s="226"/>
      <c r="T149" s="226"/>
      <c r="U149" s="582"/>
      <c r="V149" s="226">
        <f t="shared" si="28"/>
        <v>179.5</v>
      </c>
      <c r="W149" s="219"/>
      <c r="X149" s="219"/>
    </row>
    <row r="150" spans="1:24" x14ac:dyDescent="0.15">
      <c r="A150" s="377" t="s">
        <v>441</v>
      </c>
      <c r="B150" s="377" t="s">
        <v>843</v>
      </c>
      <c r="C150" s="378"/>
      <c r="D150" s="411">
        <v>615215</v>
      </c>
      <c r="E150" s="379" t="s">
        <v>80</v>
      </c>
      <c r="F150" s="591" t="s">
        <v>824</v>
      </c>
      <c r="G150" s="364">
        <v>200</v>
      </c>
      <c r="H150" s="563"/>
      <c r="I150" s="299"/>
      <c r="J150" s="299"/>
      <c r="K150" s="299"/>
      <c r="L150" s="299"/>
      <c r="M150" s="299"/>
      <c r="N150" s="299"/>
      <c r="O150" s="299"/>
      <c r="P150" s="299"/>
      <c r="Q150" s="299">
        <v>700.22</v>
      </c>
      <c r="R150" s="226">
        <f>29.65+16.03</f>
        <v>45.68</v>
      </c>
      <c r="S150" s="226">
        <f>25+26+21.12</f>
        <v>72.12</v>
      </c>
      <c r="T150" s="226"/>
      <c r="U150" s="582"/>
      <c r="V150" s="226">
        <f t="shared" si="28"/>
        <v>818.02</v>
      </c>
      <c r="W150" s="219"/>
      <c r="X150" s="219"/>
    </row>
    <row r="151" spans="1:24" x14ac:dyDescent="0.15">
      <c r="A151" s="377" t="s">
        <v>441</v>
      </c>
      <c r="B151" s="377" t="s">
        <v>753</v>
      </c>
      <c r="C151" s="378"/>
      <c r="D151" s="411">
        <v>615215</v>
      </c>
      <c r="E151" s="379" t="s">
        <v>708</v>
      </c>
      <c r="F151" s="411"/>
      <c r="G151" s="364">
        <v>2500</v>
      </c>
      <c r="H151" s="563">
        <f>2040-2500</f>
        <v>-460</v>
      </c>
      <c r="I151" s="299">
        <f>123*19</f>
        <v>2337</v>
      </c>
      <c r="J151" s="299">
        <f>123*5+123*4+77.5+123*5+77.5+123*2</f>
        <v>2123</v>
      </c>
      <c r="K151" s="299">
        <f>4863.28-241.68-839.6-1290</f>
        <v>2491.9999999999995</v>
      </c>
      <c r="L151" s="299">
        <f>123*2+123*7+123*4+77.5+123*6+123*4</f>
        <v>2906.5</v>
      </c>
      <c r="M151" s="299">
        <v>2815.5</v>
      </c>
      <c r="N151" s="299">
        <f>123+123*2+77.5+123+123+123*4+123*5+123*4</f>
        <v>2291.5</v>
      </c>
      <c r="O151" s="299">
        <v>2583</v>
      </c>
      <c r="P151" s="299">
        <f>123*25+61.5+123*3</f>
        <v>3505.5</v>
      </c>
      <c r="Q151" s="299">
        <v>2583</v>
      </c>
      <c r="R151" s="299">
        <f>123*23</f>
        <v>2829</v>
      </c>
      <c r="S151" s="299">
        <f>123*23</f>
        <v>2829</v>
      </c>
      <c r="T151" s="226"/>
      <c r="U151" s="582"/>
      <c r="V151" s="226">
        <f t="shared" si="28"/>
        <v>28835</v>
      </c>
      <c r="W151" s="219"/>
      <c r="X151" s="219"/>
    </row>
    <row r="152" spans="1:24" s="221" customFormat="1" ht="11.25" thickBot="1" x14ac:dyDescent="0.2">
      <c r="A152" s="536" t="s">
        <v>11</v>
      </c>
      <c r="B152" s="532"/>
      <c r="C152" s="542"/>
      <c r="D152" s="538"/>
      <c r="E152" s="536"/>
      <c r="F152" s="539"/>
      <c r="G152" s="540"/>
      <c r="H152" s="522">
        <f>SUM(H146:H151)</f>
        <v>-921.37000000000012</v>
      </c>
      <c r="I152" s="522">
        <f>SUM(I146:I151)</f>
        <v>3998.24</v>
      </c>
      <c r="J152" s="522">
        <f t="shared" ref="J152:V152" si="29">SUM(J146:J151)</f>
        <v>3019.16</v>
      </c>
      <c r="K152" s="522">
        <f t="shared" si="29"/>
        <v>4460.4599999999991</v>
      </c>
      <c r="L152" s="522">
        <f t="shared" si="29"/>
        <v>4066.66</v>
      </c>
      <c r="M152" s="522">
        <f t="shared" si="29"/>
        <v>3742.38</v>
      </c>
      <c r="N152" s="522">
        <f t="shared" si="29"/>
        <v>3531.48</v>
      </c>
      <c r="O152" s="522">
        <f t="shared" si="29"/>
        <v>4257.22</v>
      </c>
      <c r="P152" s="522">
        <f t="shared" si="29"/>
        <v>4988.16</v>
      </c>
      <c r="Q152" s="522">
        <f t="shared" si="29"/>
        <v>4544.8</v>
      </c>
      <c r="R152" s="522">
        <f t="shared" si="29"/>
        <v>4004.92</v>
      </c>
      <c r="S152" s="522">
        <f t="shared" si="29"/>
        <v>4087.52</v>
      </c>
      <c r="T152" s="522">
        <f t="shared" si="29"/>
        <v>0</v>
      </c>
      <c r="U152" s="522">
        <f>SUM(U146:U151)</f>
        <v>0</v>
      </c>
      <c r="V152" s="522">
        <f t="shared" si="29"/>
        <v>43779.63</v>
      </c>
      <c r="W152" s="360" t="str">
        <f>+IF(V152=SUM(H152:T152),"contrôle ok", "erreur")</f>
        <v>contrôle ok</v>
      </c>
      <c r="X152" s="219"/>
    </row>
    <row r="153" spans="1:24" s="221" customFormat="1" ht="11.25" thickTop="1" x14ac:dyDescent="0.15">
      <c r="A153" s="361"/>
      <c r="B153" s="361"/>
      <c r="C153" s="362"/>
      <c r="D153" s="414"/>
      <c r="E153" s="363"/>
      <c r="F153" s="414"/>
      <c r="G153" s="364"/>
      <c r="H153" s="229"/>
      <c r="I153" s="229"/>
      <c r="J153" s="229"/>
      <c r="K153" s="229"/>
      <c r="L153" s="229"/>
      <c r="M153" s="229"/>
      <c r="N153" s="257"/>
      <c r="O153" s="229"/>
      <c r="P153" s="229"/>
      <c r="Q153" s="229"/>
      <c r="R153" s="229"/>
      <c r="S153" s="229"/>
      <c r="T153" s="229"/>
      <c r="U153" s="229"/>
      <c r="V153" s="258"/>
      <c r="X153" s="219"/>
    </row>
    <row r="154" spans="1:24" x14ac:dyDescent="0.15">
      <c r="A154" s="352" t="s">
        <v>12</v>
      </c>
      <c r="B154" s="353"/>
      <c r="C154" s="354"/>
      <c r="D154" s="410"/>
      <c r="E154" s="355"/>
      <c r="F154" s="418"/>
      <c r="G154" s="356"/>
      <c r="H154" s="224"/>
      <c r="I154" s="224"/>
      <c r="J154" s="251"/>
      <c r="K154" s="224"/>
      <c r="L154" s="224"/>
      <c r="M154" s="224"/>
      <c r="N154" s="224"/>
      <c r="O154" s="224"/>
      <c r="P154" s="224"/>
      <c r="Q154" s="224"/>
      <c r="R154" s="224"/>
      <c r="S154" s="224"/>
      <c r="T154" s="224"/>
      <c r="U154" s="224"/>
      <c r="V154" s="252"/>
      <c r="W154" s="219"/>
      <c r="X154" s="219"/>
    </row>
    <row r="155" spans="1:24" x14ac:dyDescent="0.15">
      <c r="A155" s="377" t="s">
        <v>580</v>
      </c>
      <c r="B155" s="377"/>
      <c r="C155" s="378"/>
      <c r="D155" s="411">
        <v>615220</v>
      </c>
      <c r="E155" s="379" t="s">
        <v>235</v>
      </c>
      <c r="F155" s="411">
        <v>999999</v>
      </c>
      <c r="G155" s="367"/>
      <c r="H155" s="560"/>
      <c r="I155" s="226"/>
      <c r="J155" s="226"/>
      <c r="K155" s="226"/>
      <c r="L155" s="226"/>
      <c r="M155" s="226"/>
      <c r="N155" s="226"/>
      <c r="O155" s="226"/>
      <c r="P155" s="226"/>
      <c r="Q155" s="226"/>
      <c r="R155" s="226"/>
      <c r="S155" s="226"/>
      <c r="T155" s="226"/>
      <c r="U155" s="582"/>
      <c r="V155" s="226">
        <f>SUM(H155:T155)</f>
        <v>0</v>
      </c>
      <c r="W155" s="219"/>
      <c r="X155" s="219"/>
    </row>
    <row r="156" spans="1:24" x14ac:dyDescent="0.15">
      <c r="A156" s="377" t="s">
        <v>294</v>
      </c>
      <c r="B156" s="377" t="s">
        <v>422</v>
      </c>
      <c r="C156" s="478" t="s">
        <v>515</v>
      </c>
      <c r="D156" s="411">
        <v>615220</v>
      </c>
      <c r="E156" s="379" t="s">
        <v>235</v>
      </c>
      <c r="F156" s="411" t="s">
        <v>179</v>
      </c>
      <c r="G156" s="367">
        <v>251.22</v>
      </c>
      <c r="H156" s="560"/>
      <c r="I156" s="226">
        <v>251.22</v>
      </c>
      <c r="J156" s="226">
        <v>251.22</v>
      </c>
      <c r="K156" s="226">
        <v>251.22</v>
      </c>
      <c r="L156" s="226">
        <v>251.22</v>
      </c>
      <c r="M156" s="226">
        <v>251.22</v>
      </c>
      <c r="N156" s="226">
        <v>251.22</v>
      </c>
      <c r="O156" s="226">
        <v>251.22</v>
      </c>
      <c r="P156" s="226">
        <v>251.22</v>
      </c>
      <c r="Q156" s="226">
        <v>251.22</v>
      </c>
      <c r="R156" s="226">
        <v>251.22</v>
      </c>
      <c r="S156" s="226">
        <v>251.22</v>
      </c>
      <c r="T156" s="226">
        <v>251.22</v>
      </c>
      <c r="U156" s="582"/>
      <c r="V156" s="226">
        <f t="shared" ref="V156:V166" si="30">SUM(H156:T156)</f>
        <v>3014.6399999999994</v>
      </c>
      <c r="W156" s="219"/>
      <c r="X156" s="219"/>
    </row>
    <row r="157" spans="1:24" x14ac:dyDescent="0.15">
      <c r="A157" s="377"/>
      <c r="B157" s="377"/>
      <c r="C157" s="378"/>
      <c r="D157" s="411"/>
      <c r="E157" s="379"/>
      <c r="F157" s="411"/>
      <c r="G157" s="367"/>
      <c r="H157" s="560"/>
      <c r="I157" s="226"/>
      <c r="J157" s="226"/>
      <c r="K157" s="226"/>
      <c r="L157" s="226"/>
      <c r="M157" s="226"/>
      <c r="N157" s="226"/>
      <c r="O157" s="226"/>
      <c r="P157" s="226"/>
      <c r="Q157" s="226"/>
      <c r="R157" s="226"/>
      <c r="S157" s="226"/>
      <c r="T157" s="226"/>
      <c r="U157" s="582"/>
      <c r="V157" s="226">
        <f t="shared" si="30"/>
        <v>0</v>
      </c>
      <c r="W157" s="219"/>
      <c r="X157" s="219"/>
    </row>
    <row r="158" spans="1:24" ht="12" customHeight="1" x14ac:dyDescent="0.15">
      <c r="A158" s="377" t="s">
        <v>622</v>
      </c>
      <c r="B158" s="377" t="s">
        <v>467</v>
      </c>
      <c r="C158" s="378" t="s">
        <v>623</v>
      </c>
      <c r="D158" s="411">
        <v>615220</v>
      </c>
      <c r="E158" s="379" t="s">
        <v>143</v>
      </c>
      <c r="F158" s="411" t="s">
        <v>179</v>
      </c>
      <c r="G158" s="367">
        <v>168.78</v>
      </c>
      <c r="H158" s="560"/>
      <c r="I158" s="226">
        <v>168.78</v>
      </c>
      <c r="J158" s="226">
        <v>168.78</v>
      </c>
      <c r="K158" s="226">
        <v>168.78</v>
      </c>
      <c r="L158" s="226">
        <v>168.78</v>
      </c>
      <c r="M158" s="226">
        <v>168.78</v>
      </c>
      <c r="N158" s="226">
        <v>168.78</v>
      </c>
      <c r="O158" s="226">
        <v>168.78</v>
      </c>
      <c r="P158" s="226">
        <v>168.78</v>
      </c>
      <c r="Q158" s="226">
        <v>168.78</v>
      </c>
      <c r="R158" s="226">
        <v>168.78</v>
      </c>
      <c r="S158" s="226">
        <v>168.78</v>
      </c>
      <c r="T158" s="226">
        <v>168.78</v>
      </c>
      <c r="U158" s="582"/>
      <c r="V158" s="226">
        <f t="shared" si="30"/>
        <v>2025.36</v>
      </c>
      <c r="W158" s="219"/>
      <c r="X158" s="219"/>
    </row>
    <row r="159" spans="1:24" ht="12" customHeight="1" x14ac:dyDescent="0.15">
      <c r="A159" s="377" t="s">
        <v>452</v>
      </c>
      <c r="B159" s="377" t="s">
        <v>453</v>
      </c>
      <c r="C159" s="478">
        <v>2017</v>
      </c>
      <c r="D159" s="411">
        <v>615220</v>
      </c>
      <c r="E159" s="379" t="s">
        <v>143</v>
      </c>
      <c r="F159" s="411" t="s">
        <v>179</v>
      </c>
      <c r="G159" s="367">
        <v>3.15</v>
      </c>
      <c r="H159" s="560">
        <v>-37.799999999999997</v>
      </c>
      <c r="I159" s="572"/>
      <c r="J159" s="572"/>
      <c r="K159" s="572"/>
      <c r="L159" s="572"/>
      <c r="M159" s="572"/>
      <c r="N159" s="572"/>
      <c r="O159" s="572"/>
      <c r="P159" s="572"/>
      <c r="Q159" s="572"/>
      <c r="R159" s="572"/>
      <c r="S159" s="572"/>
      <c r="T159" s="572"/>
      <c r="U159" s="582"/>
      <c r="V159" s="226">
        <f t="shared" si="30"/>
        <v>-37.799999999999997</v>
      </c>
      <c r="W159" s="219"/>
      <c r="X159" s="219"/>
    </row>
    <row r="160" spans="1:24" x14ac:dyDescent="0.15">
      <c r="A160" s="377" t="s">
        <v>452</v>
      </c>
      <c r="B160" s="377" t="s">
        <v>529</v>
      </c>
      <c r="C160" s="378" t="s">
        <v>528</v>
      </c>
      <c r="D160" s="411">
        <v>615220</v>
      </c>
      <c r="E160" s="379" t="s">
        <v>143</v>
      </c>
      <c r="F160" s="411" t="s">
        <v>179</v>
      </c>
      <c r="G160" s="367">
        <v>126.67</v>
      </c>
      <c r="H160" s="560"/>
      <c r="I160" s="226">
        <v>126.67</v>
      </c>
      <c r="J160" s="226">
        <v>126.67</v>
      </c>
      <c r="K160" s="226">
        <v>126.67</v>
      </c>
      <c r="L160" s="226">
        <v>126.67</v>
      </c>
      <c r="M160" s="226">
        <v>126.67</v>
      </c>
      <c r="N160" s="226">
        <v>126.67</v>
      </c>
      <c r="O160" s="226">
        <v>126.67</v>
      </c>
      <c r="P160" s="226">
        <v>126.67</v>
      </c>
      <c r="Q160" s="226">
        <v>126.67</v>
      </c>
      <c r="R160" s="226">
        <v>126.67</v>
      </c>
      <c r="S160" s="226">
        <v>126.67</v>
      </c>
      <c r="T160" s="226">
        <v>126.64</v>
      </c>
      <c r="U160" s="582"/>
      <c r="V160" s="226">
        <f t="shared" si="30"/>
        <v>1520.0100000000002</v>
      </c>
      <c r="W160" s="219"/>
      <c r="X160" s="219"/>
    </row>
    <row r="161" spans="1:24" x14ac:dyDescent="0.15">
      <c r="A161" s="377"/>
      <c r="B161" s="377"/>
      <c r="C161" s="378"/>
      <c r="D161" s="411"/>
      <c r="E161" s="379"/>
      <c r="F161" s="411"/>
      <c r="G161" s="367"/>
      <c r="H161" s="560"/>
      <c r="I161" s="226"/>
      <c r="J161" s="226"/>
      <c r="K161" s="226"/>
      <c r="L161" s="226"/>
      <c r="M161" s="226"/>
      <c r="N161" s="226"/>
      <c r="O161" s="226"/>
      <c r="P161" s="226"/>
      <c r="Q161" s="226"/>
      <c r="R161" s="226"/>
      <c r="S161" s="226"/>
      <c r="T161" s="226"/>
      <c r="U161" s="582"/>
      <c r="V161" s="226">
        <f t="shared" si="30"/>
        <v>0</v>
      </c>
      <c r="W161" s="219"/>
      <c r="X161" s="219"/>
    </row>
    <row r="162" spans="1:24" x14ac:dyDescent="0.15">
      <c r="A162" s="377" t="s">
        <v>238</v>
      </c>
      <c r="B162" s="377" t="s">
        <v>432</v>
      </c>
      <c r="C162" s="378"/>
      <c r="D162" s="411">
        <v>615220</v>
      </c>
      <c r="E162" s="379" t="s">
        <v>143</v>
      </c>
      <c r="F162" s="411">
        <v>999999</v>
      </c>
      <c r="G162" s="367"/>
      <c r="H162" s="560"/>
      <c r="I162" s="226"/>
      <c r="J162" s="226"/>
      <c r="K162" s="226"/>
      <c r="L162" s="226"/>
      <c r="M162" s="226"/>
      <c r="N162" s="226"/>
      <c r="O162" s="226"/>
      <c r="P162" s="226"/>
      <c r="Q162" s="226"/>
      <c r="R162" s="226"/>
      <c r="S162" s="226"/>
      <c r="T162" s="226"/>
      <c r="U162" s="582"/>
      <c r="V162" s="226">
        <f t="shared" si="30"/>
        <v>0</v>
      </c>
      <c r="W162" s="219"/>
      <c r="X162" s="219"/>
    </row>
    <row r="163" spans="1:24" x14ac:dyDescent="0.15">
      <c r="A163" s="377"/>
      <c r="B163" s="377"/>
      <c r="C163" s="378"/>
      <c r="D163" s="411"/>
      <c r="E163" s="379"/>
      <c r="F163" s="411"/>
      <c r="G163" s="367"/>
      <c r="H163" s="560"/>
      <c r="I163" s="226"/>
      <c r="J163" s="226"/>
      <c r="K163" s="226"/>
      <c r="L163" s="226"/>
      <c r="M163" s="226"/>
      <c r="N163" s="226"/>
      <c r="O163" s="226"/>
      <c r="P163" s="226"/>
      <c r="Q163" s="226"/>
      <c r="R163" s="226"/>
      <c r="S163" s="226"/>
      <c r="T163" s="226"/>
      <c r="U163" s="582"/>
      <c r="V163" s="226">
        <f t="shared" si="30"/>
        <v>0</v>
      </c>
      <c r="W163" s="219"/>
      <c r="X163" s="219"/>
    </row>
    <row r="164" spans="1:24" x14ac:dyDescent="0.15">
      <c r="A164" s="377" t="s">
        <v>483</v>
      </c>
      <c r="B164" s="377" t="s">
        <v>511</v>
      </c>
      <c r="C164" s="368" t="s">
        <v>530</v>
      </c>
      <c r="D164" s="411">
        <v>615220</v>
      </c>
      <c r="E164" s="379" t="s">
        <v>81</v>
      </c>
      <c r="F164" s="411" t="s">
        <v>179</v>
      </c>
      <c r="G164" s="367">
        <v>55.61</v>
      </c>
      <c r="H164" s="560"/>
      <c r="I164" s="226">
        <v>55.61</v>
      </c>
      <c r="J164" s="226">
        <v>55.61</v>
      </c>
      <c r="K164" s="226">
        <v>55.61</v>
      </c>
      <c r="L164" s="226">
        <v>55.61</v>
      </c>
      <c r="M164" s="226">
        <v>55.61</v>
      </c>
      <c r="N164" s="226">
        <v>55.61</v>
      </c>
      <c r="O164" s="226">
        <v>55.61</v>
      </c>
      <c r="P164" s="226">
        <v>55.61</v>
      </c>
      <c r="Q164" s="226">
        <v>55.61</v>
      </c>
      <c r="R164" s="226">
        <v>55.61</v>
      </c>
      <c r="S164" s="226">
        <v>55.61</v>
      </c>
      <c r="T164" s="226">
        <v>55.61</v>
      </c>
      <c r="U164" s="582"/>
      <c r="V164" s="226">
        <f t="shared" si="30"/>
        <v>667.32</v>
      </c>
      <c r="W164" s="219"/>
      <c r="X164" s="219"/>
    </row>
    <row r="165" spans="1:24" s="261" customFormat="1" x14ac:dyDescent="0.15">
      <c r="A165" s="365" t="s">
        <v>412</v>
      </c>
      <c r="B165" s="365" t="s">
        <v>479</v>
      </c>
      <c r="C165" s="366" t="s">
        <v>660</v>
      </c>
      <c r="D165" s="448">
        <v>615220</v>
      </c>
      <c r="E165" s="621" t="s">
        <v>81</v>
      </c>
      <c r="F165" s="448" t="s">
        <v>179</v>
      </c>
      <c r="G165" s="367">
        <v>43.89</v>
      </c>
      <c r="H165" s="231"/>
      <c r="I165" s="226">
        <v>43.89</v>
      </c>
      <c r="J165" s="226">
        <v>43.89</v>
      </c>
      <c r="K165" s="226">
        <v>43.89</v>
      </c>
      <c r="L165" s="226">
        <v>43.89</v>
      </c>
      <c r="M165" s="226">
        <v>43.89</v>
      </c>
      <c r="N165" s="226">
        <v>43.89</v>
      </c>
      <c r="O165" s="226">
        <v>43.89</v>
      </c>
      <c r="P165" s="226">
        <v>43.89</v>
      </c>
      <c r="Q165" s="226">
        <v>43.89</v>
      </c>
      <c r="R165" s="226">
        <v>43.89</v>
      </c>
      <c r="S165" s="226">
        <v>43.85</v>
      </c>
      <c r="T165" s="226"/>
      <c r="U165" s="582"/>
      <c r="V165" s="226">
        <f t="shared" si="30"/>
        <v>482.74999999999994</v>
      </c>
    </row>
    <row r="166" spans="1:24" x14ac:dyDescent="0.15">
      <c r="A166" s="377" t="s">
        <v>413</v>
      </c>
      <c r="B166" s="377" t="s">
        <v>414</v>
      </c>
      <c r="C166" s="378"/>
      <c r="D166" s="411">
        <v>615220</v>
      </c>
      <c r="E166" s="379" t="s">
        <v>81</v>
      </c>
      <c r="F166" s="411" t="s">
        <v>179</v>
      </c>
      <c r="G166" s="367"/>
      <c r="H166" s="560">
        <v>-150</v>
      </c>
      <c r="I166" s="226"/>
      <c r="J166" s="226"/>
      <c r="K166" s="226"/>
      <c r="L166" s="226"/>
      <c r="M166" s="226"/>
      <c r="N166" s="226"/>
      <c r="O166" s="226"/>
      <c r="P166" s="226"/>
      <c r="Q166" s="226"/>
      <c r="R166" s="226"/>
      <c r="S166" s="226"/>
      <c r="T166" s="226"/>
      <c r="U166" s="582"/>
      <c r="V166" s="226">
        <f t="shared" si="30"/>
        <v>-150</v>
      </c>
      <c r="W166" s="219"/>
      <c r="X166" s="219"/>
    </row>
    <row r="167" spans="1:24" s="221" customFormat="1" ht="11.25" thickBot="1" x14ac:dyDescent="0.2">
      <c r="A167" s="536" t="s">
        <v>11</v>
      </c>
      <c r="B167" s="532"/>
      <c r="C167" s="542"/>
      <c r="D167" s="538"/>
      <c r="E167" s="536"/>
      <c r="F167" s="539"/>
      <c r="G167" s="540"/>
      <c r="H167" s="522">
        <f t="shared" ref="H167:V167" si="31">SUM(H155:H166)</f>
        <v>-187.8</v>
      </c>
      <c r="I167" s="522">
        <f t="shared" si="31"/>
        <v>646.16999999999996</v>
      </c>
      <c r="J167" s="522">
        <f t="shared" si="31"/>
        <v>646.16999999999996</v>
      </c>
      <c r="K167" s="522">
        <f t="shared" si="31"/>
        <v>646.16999999999996</v>
      </c>
      <c r="L167" s="522">
        <f t="shared" si="31"/>
        <v>646.16999999999996</v>
      </c>
      <c r="M167" s="522">
        <f t="shared" si="31"/>
        <v>646.16999999999996</v>
      </c>
      <c r="N167" s="522">
        <f t="shared" si="31"/>
        <v>646.16999999999996</v>
      </c>
      <c r="O167" s="522">
        <f t="shared" si="31"/>
        <v>646.16999999999996</v>
      </c>
      <c r="P167" s="522">
        <f t="shared" si="31"/>
        <v>646.16999999999996</v>
      </c>
      <c r="Q167" s="522">
        <f t="shared" si="31"/>
        <v>646.16999999999996</v>
      </c>
      <c r="R167" s="522">
        <f t="shared" si="31"/>
        <v>646.16999999999996</v>
      </c>
      <c r="S167" s="522">
        <f t="shared" si="31"/>
        <v>646.13</v>
      </c>
      <c r="T167" s="522">
        <f t="shared" si="31"/>
        <v>602.25</v>
      </c>
      <c r="U167" s="522">
        <f>SUM(U155:U166)</f>
        <v>0</v>
      </c>
      <c r="V167" s="522">
        <f t="shared" si="31"/>
        <v>7522.2799999999988</v>
      </c>
      <c r="W167" s="360" t="str">
        <f>+IF(V167=SUM(H167:T167),"contrôle ok", "erreur")</f>
        <v>contrôle ok</v>
      </c>
      <c r="X167" s="219"/>
    </row>
    <row r="168" spans="1:24" s="221" customFormat="1" ht="11.25" thickTop="1" x14ac:dyDescent="0.15">
      <c r="A168" s="361"/>
      <c r="B168" s="361"/>
      <c r="C168" s="362"/>
      <c r="D168" s="414"/>
      <c r="E168" s="363"/>
      <c r="F168" s="414"/>
      <c r="G168" s="364"/>
      <c r="H168" s="229"/>
      <c r="I168" s="229"/>
      <c r="J168" s="229"/>
      <c r="K168" s="229"/>
      <c r="L168" s="229"/>
      <c r="M168" s="229"/>
      <c r="N168" s="257"/>
      <c r="O168" s="229"/>
      <c r="P168" s="229"/>
      <c r="Q168" s="229"/>
      <c r="R168" s="229"/>
      <c r="S168" s="229"/>
      <c r="T168" s="229"/>
      <c r="U168" s="229"/>
      <c r="V168" s="258"/>
      <c r="X168" s="219"/>
    </row>
    <row r="169" spans="1:24" x14ac:dyDescent="0.15">
      <c r="A169" s="352" t="s">
        <v>14</v>
      </c>
      <c r="B169" s="353"/>
      <c r="C169" s="354"/>
      <c r="D169" s="410"/>
      <c r="E169" s="355"/>
      <c r="F169" s="418"/>
      <c r="G169" s="356"/>
      <c r="H169" s="224"/>
      <c r="I169" s="224"/>
      <c r="J169" s="251"/>
      <c r="K169" s="224"/>
      <c r="L169" s="224"/>
      <c r="M169" s="224"/>
      <c r="N169" s="224"/>
      <c r="O169" s="224"/>
      <c r="P169" s="224"/>
      <c r="Q169" s="224"/>
      <c r="R169" s="224"/>
      <c r="S169" s="224"/>
      <c r="T169" s="224"/>
      <c r="U169" s="224"/>
      <c r="V169" s="252"/>
      <c r="W169" s="219"/>
      <c r="X169" s="219"/>
    </row>
    <row r="170" spans="1:24" x14ac:dyDescent="0.15">
      <c r="A170" s="377" t="s">
        <v>15</v>
      </c>
      <c r="B170" s="377" t="s">
        <v>97</v>
      </c>
      <c r="C170" s="378" t="s">
        <v>784</v>
      </c>
      <c r="D170" s="411">
        <v>615230</v>
      </c>
      <c r="E170" s="379" t="s">
        <v>81</v>
      </c>
      <c r="F170" s="411" t="s">
        <v>179</v>
      </c>
      <c r="G170" s="364">
        <v>734.07</v>
      </c>
      <c r="H170" s="560"/>
      <c r="I170" s="226">
        <v>515.23</v>
      </c>
      <c r="J170" s="226">
        <f>530.23-15</f>
        <v>515.23</v>
      </c>
      <c r="K170" s="226">
        <f>530.23-15</f>
        <v>515.23</v>
      </c>
      <c r="L170" s="226">
        <v>515.23</v>
      </c>
      <c r="M170" s="226">
        <v>734.07</v>
      </c>
      <c r="N170" s="226">
        <v>734.07</v>
      </c>
      <c r="O170" s="226">
        <v>734.07</v>
      </c>
      <c r="P170" s="226">
        <v>734.07</v>
      </c>
      <c r="Q170" s="226">
        <v>734.07</v>
      </c>
      <c r="R170" s="226">
        <v>734.07</v>
      </c>
      <c r="S170" s="226">
        <v>734.07</v>
      </c>
      <c r="T170" s="226">
        <v>734.07</v>
      </c>
      <c r="U170" s="582"/>
      <c r="V170" s="226">
        <f t="shared" ref="V170:V176" si="32">SUM(H170:T170)</f>
        <v>7933.4799999999987</v>
      </c>
      <c r="W170" s="219"/>
      <c r="X170" s="219"/>
    </row>
    <row r="171" spans="1:24" x14ac:dyDescent="0.15">
      <c r="A171" s="377" t="s">
        <v>15</v>
      </c>
      <c r="B171" s="377" t="s">
        <v>97</v>
      </c>
      <c r="C171" s="378" t="s">
        <v>682</v>
      </c>
      <c r="D171" s="411">
        <v>615230</v>
      </c>
      <c r="E171" s="379" t="s">
        <v>81</v>
      </c>
      <c r="F171" s="411" t="s">
        <v>179</v>
      </c>
      <c r="G171" s="364">
        <v>15</v>
      </c>
      <c r="H171" s="560"/>
      <c r="I171" s="226">
        <v>15</v>
      </c>
      <c r="J171" s="226">
        <v>15</v>
      </c>
      <c r="K171" s="226">
        <v>15</v>
      </c>
      <c r="L171" s="226">
        <v>15</v>
      </c>
      <c r="M171" s="589"/>
      <c r="N171" s="589"/>
      <c r="O171" s="589"/>
      <c r="P171" s="589"/>
      <c r="Q171" s="589"/>
      <c r="R171" s="589"/>
      <c r="S171" s="589"/>
      <c r="T171" s="589"/>
      <c r="U171" s="582"/>
      <c r="V171" s="226">
        <f>SUM(H171:T171)</f>
        <v>60</v>
      </c>
      <c r="W171" s="219"/>
      <c r="X171" s="219"/>
    </row>
    <row r="172" spans="1:24" x14ac:dyDescent="0.15">
      <c r="A172" s="377" t="s">
        <v>15</v>
      </c>
      <c r="B172" s="377" t="s">
        <v>783</v>
      </c>
      <c r="C172" s="378"/>
      <c r="D172" s="411">
        <v>615230</v>
      </c>
      <c r="E172" s="379" t="s">
        <v>81</v>
      </c>
      <c r="F172" s="411" t="s">
        <v>179</v>
      </c>
      <c r="G172" s="364"/>
      <c r="H172" s="560"/>
      <c r="I172" s="226"/>
      <c r="J172" s="226"/>
      <c r="K172" s="226"/>
      <c r="L172" s="226">
        <f>480+195</f>
        <v>675</v>
      </c>
      <c r="M172" s="226"/>
      <c r="N172" s="226"/>
      <c r="O172" s="226"/>
      <c r="P172" s="226"/>
      <c r="Q172" s="226"/>
      <c r="R172" s="226"/>
      <c r="S172" s="226"/>
      <c r="T172" s="226"/>
      <c r="U172" s="582"/>
      <c r="V172" s="226">
        <f t="shared" si="32"/>
        <v>675</v>
      </c>
      <c r="W172" s="219"/>
      <c r="X172" s="219"/>
    </row>
    <row r="173" spans="1:24" s="261" customFormat="1" x14ac:dyDescent="0.15">
      <c r="A173" s="365" t="s">
        <v>206</v>
      </c>
      <c r="B173" s="365"/>
      <c r="C173" s="366"/>
      <c r="D173" s="448">
        <v>615230</v>
      </c>
      <c r="E173" s="621" t="s">
        <v>81</v>
      </c>
      <c r="F173" s="448" t="s">
        <v>179</v>
      </c>
      <c r="G173" s="367">
        <v>14.59</v>
      </c>
      <c r="H173" s="231"/>
      <c r="I173" s="226">
        <v>14.59</v>
      </c>
      <c r="J173" s="226">
        <v>14.59</v>
      </c>
      <c r="K173" s="226">
        <v>14.59</v>
      </c>
      <c r="L173" s="226">
        <v>14.59</v>
      </c>
      <c r="M173" s="226">
        <v>14.59</v>
      </c>
      <c r="N173" s="226">
        <v>14.59</v>
      </c>
      <c r="O173" s="226">
        <v>14.59</v>
      </c>
      <c r="P173" s="226">
        <v>14.59</v>
      </c>
      <c r="Q173" s="226">
        <v>14.59</v>
      </c>
      <c r="R173" s="226">
        <v>14.59</v>
      </c>
      <c r="S173" s="226">
        <v>14.59</v>
      </c>
      <c r="T173" s="226">
        <v>14.59</v>
      </c>
      <c r="U173" s="582"/>
      <c r="V173" s="226">
        <f t="shared" si="32"/>
        <v>175.08</v>
      </c>
    </row>
    <row r="174" spans="1:24" x14ac:dyDescent="0.15">
      <c r="A174" s="377" t="s">
        <v>351</v>
      </c>
      <c r="B174" s="378" t="s">
        <v>408</v>
      </c>
      <c r="D174" s="411">
        <v>615230</v>
      </c>
      <c r="E174" s="379" t="s">
        <v>81</v>
      </c>
      <c r="F174" s="411" t="s">
        <v>179</v>
      </c>
      <c r="G174" s="364"/>
      <c r="H174" s="560"/>
      <c r="I174" s="226"/>
      <c r="J174" s="226"/>
      <c r="K174" s="226"/>
      <c r="L174" s="226"/>
      <c r="M174" s="226"/>
      <c r="N174" s="226"/>
      <c r="O174" s="226"/>
      <c r="P174" s="226"/>
      <c r="Q174" s="226"/>
      <c r="R174" s="226"/>
      <c r="S174" s="226"/>
      <c r="T174" s="226"/>
      <c r="U174" s="582"/>
      <c r="V174" s="226">
        <f t="shared" si="32"/>
        <v>0</v>
      </c>
      <c r="W174" s="219"/>
      <c r="X174" s="219"/>
    </row>
    <row r="175" spans="1:24" x14ac:dyDescent="0.15">
      <c r="A175" s="377" t="s">
        <v>351</v>
      </c>
      <c r="B175" s="378" t="s">
        <v>536</v>
      </c>
      <c r="C175" s="337" t="s">
        <v>692</v>
      </c>
      <c r="D175" s="411">
        <v>615230</v>
      </c>
      <c r="E175" s="379" t="s">
        <v>81</v>
      </c>
      <c r="F175" s="411" t="s">
        <v>179</v>
      </c>
      <c r="G175" s="364"/>
      <c r="H175" s="560"/>
      <c r="I175" s="226"/>
      <c r="J175" s="226">
        <v>86.13</v>
      </c>
      <c r="K175" s="226"/>
      <c r="L175" s="226"/>
      <c r="M175" s="226">
        <v>84.35</v>
      </c>
      <c r="N175" s="226"/>
      <c r="O175" s="226"/>
      <c r="P175" s="226">
        <v>79.63</v>
      </c>
      <c r="Q175" s="226"/>
      <c r="R175" s="226"/>
      <c r="S175" s="226">
        <v>84.48</v>
      </c>
      <c r="T175" s="226"/>
      <c r="U175" s="582"/>
      <c r="V175" s="226">
        <f t="shared" si="32"/>
        <v>334.59</v>
      </c>
      <c r="W175" s="219"/>
      <c r="X175" s="219"/>
    </row>
    <row r="176" spans="1:24" x14ac:dyDescent="0.15">
      <c r="A176" s="377" t="s">
        <v>218</v>
      </c>
      <c r="B176" s="377"/>
      <c r="C176" s="378"/>
      <c r="D176" s="411">
        <v>615230</v>
      </c>
      <c r="E176" s="379" t="s">
        <v>81</v>
      </c>
      <c r="F176" s="411" t="s">
        <v>192</v>
      </c>
      <c r="G176" s="364"/>
      <c r="H176" s="560"/>
      <c r="I176" s="226"/>
      <c r="J176" s="226"/>
      <c r="K176" s="226"/>
      <c r="L176" s="226"/>
      <c r="M176" s="226"/>
      <c r="N176" s="226"/>
      <c r="O176" s="226"/>
      <c r="P176" s="226"/>
      <c r="Q176" s="226"/>
      <c r="R176" s="226"/>
      <c r="S176" s="226"/>
      <c r="T176" s="226"/>
      <c r="U176" s="582"/>
      <c r="V176" s="226">
        <f t="shared" si="32"/>
        <v>0</v>
      </c>
      <c r="W176" s="219"/>
      <c r="X176" s="219"/>
    </row>
    <row r="177" spans="1:24" s="221" customFormat="1" ht="11.25" thickBot="1" x14ac:dyDescent="0.2">
      <c r="A177" s="536" t="s">
        <v>11</v>
      </c>
      <c r="B177" s="532"/>
      <c r="C177" s="542"/>
      <c r="D177" s="538"/>
      <c r="E177" s="536"/>
      <c r="F177" s="539"/>
      <c r="G177" s="540"/>
      <c r="H177" s="522">
        <f>SUM(H170:H176)</f>
        <v>0</v>
      </c>
      <c r="I177" s="522">
        <f t="shared" ref="I177:V177" si="33">SUM(I170:I176)</f>
        <v>544.82000000000005</v>
      </c>
      <c r="J177" s="522">
        <f t="shared" si="33"/>
        <v>630.95000000000005</v>
      </c>
      <c r="K177" s="522">
        <f t="shared" si="33"/>
        <v>544.82000000000005</v>
      </c>
      <c r="L177" s="522">
        <f t="shared" si="33"/>
        <v>1219.82</v>
      </c>
      <c r="M177" s="522">
        <f t="shared" si="33"/>
        <v>833.0100000000001</v>
      </c>
      <c r="N177" s="522">
        <f t="shared" si="33"/>
        <v>748.66000000000008</v>
      </c>
      <c r="O177" s="522">
        <f t="shared" si="33"/>
        <v>748.66000000000008</v>
      </c>
      <c r="P177" s="522">
        <f t="shared" si="33"/>
        <v>828.29000000000008</v>
      </c>
      <c r="Q177" s="522">
        <f t="shared" si="33"/>
        <v>748.66000000000008</v>
      </c>
      <c r="R177" s="522">
        <f t="shared" si="33"/>
        <v>748.66000000000008</v>
      </c>
      <c r="S177" s="522">
        <f t="shared" si="33"/>
        <v>833.1400000000001</v>
      </c>
      <c r="T177" s="522">
        <f t="shared" si="33"/>
        <v>748.66000000000008</v>
      </c>
      <c r="U177" s="522">
        <f>SUM(U170:U176)</f>
        <v>0</v>
      </c>
      <c r="V177" s="522">
        <f t="shared" si="33"/>
        <v>9178.15</v>
      </c>
      <c r="W177" s="360" t="str">
        <f>+IF(V177=SUM(I177:T177),"contrôle ok", "erreur")</f>
        <v>contrôle ok</v>
      </c>
      <c r="X177" s="219"/>
    </row>
    <row r="178" spans="1:24" s="221" customFormat="1" ht="11.25" thickTop="1" x14ac:dyDescent="0.15">
      <c r="A178" s="361"/>
      <c r="B178" s="361"/>
      <c r="C178" s="362"/>
      <c r="D178" s="414"/>
      <c r="E178" s="363"/>
      <c r="F178" s="414"/>
      <c r="G178" s="364"/>
      <c r="H178" s="229"/>
      <c r="I178" s="229"/>
      <c r="J178" s="229"/>
      <c r="K178" s="229"/>
      <c r="L178" s="229"/>
      <c r="M178" s="229"/>
      <c r="N178" s="257"/>
      <c r="O178" s="229"/>
      <c r="P178" s="229"/>
      <c r="Q178" s="229"/>
      <c r="R178" s="229"/>
      <c r="S178" s="229"/>
      <c r="T178" s="229"/>
      <c r="U178" s="229"/>
      <c r="V178" s="258"/>
      <c r="X178" s="219"/>
    </row>
    <row r="179" spans="1:24" x14ac:dyDescent="0.15">
      <c r="A179" s="352" t="s">
        <v>42</v>
      </c>
      <c r="B179" s="353"/>
      <c r="C179" s="354"/>
      <c r="D179" s="410"/>
      <c r="E179" s="355"/>
      <c r="F179" s="418"/>
      <c r="G179" s="356"/>
      <c r="H179" s="224"/>
      <c r="I179" s="224"/>
      <c r="J179" s="224"/>
      <c r="K179" s="224"/>
      <c r="L179" s="224"/>
      <c r="M179" s="224"/>
      <c r="N179" s="224"/>
      <c r="O179" s="224"/>
      <c r="P179" s="224"/>
      <c r="Q179" s="224"/>
      <c r="R179" s="224"/>
      <c r="S179" s="224"/>
      <c r="T179" s="224"/>
      <c r="U179" s="224"/>
      <c r="V179" s="252"/>
      <c r="W179" s="219"/>
      <c r="X179" s="219"/>
    </row>
    <row r="180" spans="1:24" x14ac:dyDescent="0.15">
      <c r="A180" s="377" t="s">
        <v>281</v>
      </c>
      <c r="B180" s="377"/>
      <c r="C180" s="378"/>
      <c r="D180" s="411">
        <v>626300</v>
      </c>
      <c r="E180" s="379" t="s">
        <v>81</v>
      </c>
      <c r="F180" s="411"/>
      <c r="G180" s="364">
        <f>1260/12</f>
        <v>105</v>
      </c>
      <c r="H180" s="560"/>
      <c r="I180" s="226">
        <v>105</v>
      </c>
      <c r="J180" s="226">
        <v>105</v>
      </c>
      <c r="K180" s="226">
        <v>105</v>
      </c>
      <c r="L180" s="255">
        <v>105</v>
      </c>
      <c r="M180" s="255">
        <v>105</v>
      </c>
      <c r="N180" s="255">
        <v>105</v>
      </c>
      <c r="O180" s="255">
        <v>105</v>
      </c>
      <c r="P180" s="255">
        <v>105</v>
      </c>
      <c r="Q180" s="255">
        <v>105</v>
      </c>
      <c r="R180" s="255">
        <v>105</v>
      </c>
      <c r="S180" s="255">
        <v>105</v>
      </c>
      <c r="T180" s="255">
        <v>105</v>
      </c>
      <c r="U180" s="582"/>
      <c r="V180" s="226">
        <f>SUM(H180:T180)</f>
        <v>1260</v>
      </c>
      <c r="W180" s="219"/>
      <c r="X180" s="219"/>
    </row>
    <row r="181" spans="1:24" s="221" customFormat="1" ht="11.25" thickBot="1" x14ac:dyDescent="0.2">
      <c r="A181" s="536" t="s">
        <v>11</v>
      </c>
      <c r="B181" s="532"/>
      <c r="C181" s="542"/>
      <c r="D181" s="538"/>
      <c r="E181" s="536"/>
      <c r="F181" s="539"/>
      <c r="G181" s="540"/>
      <c r="H181" s="522">
        <f>SUM(H180)</f>
        <v>0</v>
      </c>
      <c r="I181" s="522">
        <f>SUM(I180)</f>
        <v>105</v>
      </c>
      <c r="J181" s="522">
        <f t="shared" ref="J181:V181" si="34">SUM(J180)</f>
        <v>105</v>
      </c>
      <c r="K181" s="522">
        <f t="shared" si="34"/>
        <v>105</v>
      </c>
      <c r="L181" s="522">
        <v>105</v>
      </c>
      <c r="M181" s="522">
        <f t="shared" si="34"/>
        <v>105</v>
      </c>
      <c r="N181" s="522">
        <f t="shared" si="34"/>
        <v>105</v>
      </c>
      <c r="O181" s="522">
        <f t="shared" si="34"/>
        <v>105</v>
      </c>
      <c r="P181" s="522">
        <f t="shared" si="34"/>
        <v>105</v>
      </c>
      <c r="Q181" s="522">
        <f t="shared" si="34"/>
        <v>105</v>
      </c>
      <c r="R181" s="522">
        <f t="shared" si="34"/>
        <v>105</v>
      </c>
      <c r="S181" s="522">
        <f t="shared" si="34"/>
        <v>105</v>
      </c>
      <c r="T181" s="522">
        <f t="shared" si="34"/>
        <v>105</v>
      </c>
      <c r="U181" s="522">
        <f>SUM(U180)</f>
        <v>0</v>
      </c>
      <c r="V181" s="522">
        <f t="shared" si="34"/>
        <v>1260</v>
      </c>
      <c r="W181" s="360" t="str">
        <f>+IF(V181=SUM(I181:T181),"contrôle ok", "erreur")</f>
        <v>contrôle ok</v>
      </c>
      <c r="X181" s="219"/>
    </row>
    <row r="182" spans="1:24" s="221" customFormat="1" ht="11.25" thickTop="1" x14ac:dyDescent="0.15">
      <c r="A182" s="361"/>
      <c r="B182" s="361"/>
      <c r="C182" s="362"/>
      <c r="D182" s="414"/>
      <c r="E182" s="363"/>
      <c r="F182" s="414"/>
      <c r="G182" s="364"/>
      <c r="H182" s="229"/>
      <c r="I182" s="229"/>
      <c r="J182" s="229"/>
      <c r="K182" s="229"/>
      <c r="L182" s="229"/>
      <c r="M182" s="229"/>
      <c r="N182" s="257"/>
      <c r="O182" s="229"/>
      <c r="P182" s="229"/>
      <c r="Q182" s="229"/>
      <c r="R182" s="229"/>
      <c r="S182" s="229"/>
      <c r="T182" s="229"/>
      <c r="U182" s="229"/>
      <c r="V182" s="258"/>
      <c r="X182" s="219"/>
    </row>
    <row r="183" spans="1:24" x14ac:dyDescent="0.15">
      <c r="A183" s="352" t="s">
        <v>16</v>
      </c>
      <c r="B183" s="353"/>
      <c r="C183" s="354"/>
      <c r="D183" s="410"/>
      <c r="E183" s="355"/>
      <c r="F183" s="418"/>
      <c r="G183" s="356"/>
      <c r="H183" s="224"/>
      <c r="I183" s="224"/>
      <c r="J183" s="251"/>
      <c r="K183" s="224"/>
      <c r="L183" s="224"/>
      <c r="M183" s="224"/>
      <c r="N183" s="224"/>
      <c r="O183" s="224"/>
      <c r="P183" s="224"/>
      <c r="Q183" s="224"/>
      <c r="R183" s="224"/>
      <c r="S183" s="224"/>
      <c r="T183" s="224"/>
      <c r="U183" s="224"/>
      <c r="V183" s="252"/>
      <c r="W183" s="219"/>
      <c r="X183" s="219"/>
    </row>
    <row r="184" spans="1:24" x14ac:dyDescent="0.15">
      <c r="A184" s="377" t="s">
        <v>44</v>
      </c>
      <c r="B184" s="377" t="s">
        <v>146</v>
      </c>
      <c r="C184" s="378"/>
      <c r="D184" s="411">
        <v>628500</v>
      </c>
      <c r="E184" s="379" t="s">
        <v>80</v>
      </c>
      <c r="F184" s="145">
        <v>999999</v>
      </c>
      <c r="G184" s="364">
        <v>3121.95</v>
      </c>
      <c r="H184" s="560"/>
      <c r="I184" s="226">
        <v>3121.95</v>
      </c>
      <c r="J184" s="226">
        <v>3121.95</v>
      </c>
      <c r="K184" s="226">
        <v>3121.95</v>
      </c>
      <c r="L184" s="226">
        <v>3121.95</v>
      </c>
      <c r="M184" s="226">
        <v>3121.95</v>
      </c>
      <c r="N184" s="226">
        <v>3121.95</v>
      </c>
      <c r="O184" s="226">
        <v>3121.95</v>
      </c>
      <c r="P184" s="226">
        <v>3121.95</v>
      </c>
      <c r="Q184" s="226">
        <v>3121.95</v>
      </c>
      <c r="R184" s="226">
        <v>3121.95</v>
      </c>
      <c r="S184" s="226">
        <v>3121.95</v>
      </c>
      <c r="T184" s="226">
        <v>3121.95</v>
      </c>
      <c r="U184" s="582"/>
      <c r="V184" s="226">
        <f>SUM(H184:T184)</f>
        <v>37463.4</v>
      </c>
      <c r="W184" s="219"/>
      <c r="X184" s="219"/>
    </row>
    <row r="185" spans="1:24" x14ac:dyDescent="0.15">
      <c r="A185" s="377" t="s">
        <v>44</v>
      </c>
      <c r="B185" s="377" t="s">
        <v>146</v>
      </c>
      <c r="C185" s="378"/>
      <c r="D185" s="411">
        <v>628500</v>
      </c>
      <c r="E185" s="379" t="s">
        <v>80</v>
      </c>
      <c r="F185" s="145">
        <v>999999</v>
      </c>
      <c r="G185" s="364">
        <v>24.73</v>
      </c>
      <c r="H185" s="560"/>
      <c r="I185" s="226">
        <v>24.73</v>
      </c>
      <c r="J185" s="226">
        <v>24.73</v>
      </c>
      <c r="K185" s="226">
        <v>24.73</v>
      </c>
      <c r="L185" s="226">
        <v>24.73</v>
      </c>
      <c r="M185" s="226">
        <v>24.73</v>
      </c>
      <c r="N185" s="226">
        <v>24.73</v>
      </c>
      <c r="O185" s="226">
        <v>24.73</v>
      </c>
      <c r="P185" s="226">
        <v>24.73</v>
      </c>
      <c r="Q185" s="226">
        <v>24.73</v>
      </c>
      <c r="R185" s="226">
        <v>24.73</v>
      </c>
      <c r="S185" s="226">
        <v>24.73</v>
      </c>
      <c r="T185" s="226">
        <v>24.73</v>
      </c>
      <c r="U185" s="582"/>
      <c r="V185" s="226">
        <f>SUM(H185:T185)</f>
        <v>296.76</v>
      </c>
      <c r="W185" s="219"/>
      <c r="X185" s="219"/>
    </row>
    <row r="186" spans="1:24" x14ac:dyDescent="0.15">
      <c r="A186" s="377" t="s">
        <v>44</v>
      </c>
      <c r="B186" s="377" t="s">
        <v>353</v>
      </c>
      <c r="C186" s="378"/>
      <c r="D186" s="411">
        <v>628500</v>
      </c>
      <c r="E186" s="379" t="s">
        <v>80</v>
      </c>
      <c r="F186" s="145">
        <v>999999</v>
      </c>
      <c r="G186" s="364">
        <v>110</v>
      </c>
      <c r="H186" s="560">
        <v>-110</v>
      </c>
      <c r="I186" s="226">
        <v>106</v>
      </c>
      <c r="J186" s="226"/>
      <c r="K186" s="226"/>
      <c r="L186" s="226"/>
      <c r="M186" s="226"/>
      <c r="N186" s="226"/>
      <c r="P186" s="226"/>
      <c r="Q186" s="226"/>
      <c r="R186" s="226"/>
      <c r="S186" s="226">
        <f>106+116.6+128.25</f>
        <v>350.85</v>
      </c>
      <c r="T186" s="226">
        <f>116.6+340.26</f>
        <v>456.86</v>
      </c>
      <c r="U186" s="582"/>
      <c r="V186" s="226">
        <f>SUM(H186:T186)</f>
        <v>803.71</v>
      </c>
      <c r="W186" s="219"/>
      <c r="X186" s="219"/>
    </row>
    <row r="187" spans="1:24" x14ac:dyDescent="0.15">
      <c r="A187" s="377" t="s">
        <v>279</v>
      </c>
      <c r="B187" s="377" t="s">
        <v>229</v>
      </c>
      <c r="C187" s="378"/>
      <c r="D187" s="411">
        <v>628500</v>
      </c>
      <c r="E187" s="379" t="s">
        <v>80</v>
      </c>
      <c r="F187" s="145">
        <v>999999</v>
      </c>
      <c r="G187" s="364">
        <f>+(1112.04+4.45)/12</f>
        <v>93.040833333333339</v>
      </c>
      <c r="H187" s="560"/>
      <c r="I187" s="226">
        <v>93.05</v>
      </c>
      <c r="J187" s="226">
        <v>93.04</v>
      </c>
      <c r="K187" s="226">
        <v>93.04</v>
      </c>
      <c r="L187" s="226">
        <v>93.04</v>
      </c>
      <c r="M187" s="226">
        <v>93.04</v>
      </c>
      <c r="N187" s="226">
        <v>93.04</v>
      </c>
      <c r="O187" s="226">
        <v>93.04</v>
      </c>
      <c r="P187" s="226">
        <v>93.04</v>
      </c>
      <c r="Q187" s="226">
        <v>93.04</v>
      </c>
      <c r="R187" s="226">
        <v>93.04</v>
      </c>
      <c r="S187" s="226">
        <v>93.04</v>
      </c>
      <c r="T187" s="226">
        <v>93.04</v>
      </c>
      <c r="U187" s="582"/>
      <c r="V187" s="226">
        <f>SUM(H187:T187)</f>
        <v>1116.4899999999998</v>
      </c>
      <c r="W187" s="219"/>
      <c r="X187" s="219"/>
    </row>
    <row r="188" spans="1:24" x14ac:dyDescent="0.15">
      <c r="A188" s="377" t="s">
        <v>218</v>
      </c>
      <c r="B188" s="377"/>
      <c r="C188" s="378"/>
      <c r="D188" s="411"/>
      <c r="E188" s="379"/>
      <c r="F188" s="411"/>
      <c r="G188" s="364"/>
      <c r="H188" s="560"/>
      <c r="I188" s="226"/>
      <c r="J188" s="226"/>
      <c r="K188" s="226"/>
      <c r="L188" s="226"/>
      <c r="M188" s="226"/>
      <c r="N188" s="226"/>
      <c r="O188" s="226"/>
      <c r="P188" s="226"/>
      <c r="Q188" s="226"/>
      <c r="R188" s="226"/>
      <c r="S188" s="226"/>
      <c r="T188" s="226"/>
      <c r="U188" s="582"/>
      <c r="V188" s="226">
        <f>SUM(H188:T188)</f>
        <v>0</v>
      </c>
      <c r="W188" s="219"/>
      <c r="X188" s="219"/>
    </row>
    <row r="189" spans="1:24" s="221" customFormat="1" ht="11.25" thickBot="1" x14ac:dyDescent="0.2">
      <c r="A189" s="536" t="s">
        <v>11</v>
      </c>
      <c r="B189" s="532"/>
      <c r="C189" s="542"/>
      <c r="D189" s="538"/>
      <c r="E189" s="536"/>
      <c r="F189" s="539"/>
      <c r="G189" s="540"/>
      <c r="H189" s="522">
        <f>SUM(H184:H188)</f>
        <v>-110</v>
      </c>
      <c r="I189" s="522">
        <f>SUM(I184:I188)</f>
        <v>3345.73</v>
      </c>
      <c r="J189" s="522">
        <f t="shared" ref="J189:T189" si="35">SUM(J184:J188)</f>
        <v>3239.72</v>
      </c>
      <c r="K189" s="522">
        <f t="shared" si="35"/>
        <v>3239.72</v>
      </c>
      <c r="L189" s="522">
        <f t="shared" si="35"/>
        <v>3239.72</v>
      </c>
      <c r="M189" s="522">
        <f t="shared" si="35"/>
        <v>3239.72</v>
      </c>
      <c r="N189" s="522">
        <f t="shared" si="35"/>
        <v>3239.72</v>
      </c>
      <c r="O189" s="522">
        <f t="shared" si="35"/>
        <v>3239.72</v>
      </c>
      <c r="P189" s="522">
        <f t="shared" si="35"/>
        <v>3239.72</v>
      </c>
      <c r="Q189" s="522">
        <f t="shared" si="35"/>
        <v>3239.72</v>
      </c>
      <c r="R189" s="522">
        <f t="shared" si="35"/>
        <v>3239.72</v>
      </c>
      <c r="S189" s="522">
        <f t="shared" si="35"/>
        <v>3590.5699999999997</v>
      </c>
      <c r="T189" s="522">
        <f t="shared" si="35"/>
        <v>3696.58</v>
      </c>
      <c r="U189" s="522">
        <f>SUM(U184:U188)</f>
        <v>0</v>
      </c>
      <c r="V189" s="522">
        <f>SUM(V184:V188)</f>
        <v>39680.36</v>
      </c>
      <c r="W189" s="360" t="str">
        <f>+IF(V189=SUM(H189:T189),"contrôle ok", "erreur")</f>
        <v>contrôle ok</v>
      </c>
      <c r="X189" s="219"/>
    </row>
    <row r="190" spans="1:24" ht="12.75" customHeight="1" thickTop="1" thickBot="1" x14ac:dyDescent="0.2">
      <c r="A190" s="403"/>
      <c r="B190" s="404"/>
      <c r="C190" s="405"/>
      <c r="D190" s="417"/>
      <c r="E190" s="388"/>
      <c r="F190" s="417"/>
      <c r="G190" s="389"/>
      <c r="H190" s="406"/>
      <c r="I190" s="406"/>
      <c r="J190" s="406"/>
      <c r="K190" s="406"/>
      <c r="L190" s="406"/>
      <c r="M190" s="406"/>
      <c r="N190" s="406"/>
      <c r="O190" s="406"/>
      <c r="P190" s="406"/>
      <c r="Q190" s="406"/>
      <c r="R190" s="406"/>
      <c r="S190" s="406"/>
      <c r="T190" s="406"/>
      <c r="U190" s="406"/>
      <c r="V190" s="385"/>
    </row>
    <row r="191" spans="1:24" ht="12.75" customHeight="1" x14ac:dyDescent="0.15"/>
    <row r="192" spans="1:24" ht="12.75" customHeight="1" x14ac:dyDescent="0.15"/>
    <row r="193" ht="12.75" customHeight="1" x14ac:dyDescent="0.15"/>
  </sheetData>
  <customSheetViews>
    <customSheetView guid="{4BA9EA0D-01E7-49D1-8245-80B9A9A68B6F}" scale="110" showPageBreaks="1" fitToPage="1" printArea="1">
      <pane xSplit="7" ySplit="4" topLeftCell="K162" activePane="bottomRight" state="frozen"/>
      <selection pane="bottomRight" activeCell="G171" sqref="G171"/>
      <rowBreaks count="3" manualBreakCount="3">
        <brk id="83" max="20" man="1"/>
        <brk id="99" max="20" man="1"/>
        <brk id="153" max="20" man="1"/>
      </rowBreaks>
      <pageMargins left="3.937007874015748E-2" right="3.937007874015748E-2" top="0.15748031496062992" bottom="0.19685039370078741" header="0.15748031496062992" footer="0.23622047244094491"/>
      <pageSetup paperSize="9" scale="53" fitToHeight="2" orientation="landscape" r:id="rId1"/>
      <headerFooter alignWithMargins="0">
        <oddFooter>&amp;R&amp;8Le &amp;D
&amp;T</oddFooter>
      </headerFooter>
    </customSheetView>
    <customSheetView guid="{B5B04B19-0628-445C-9CF3-7F5D4D937774}" scale="110" fitToPage="1">
      <pane xSplit="7" ySplit="4" topLeftCell="K162" activePane="bottomRight" state="frozen"/>
      <selection pane="bottomRight" activeCell="G171" sqref="G171"/>
      <rowBreaks count="2" manualBreakCount="2">
        <brk id="83" max="20" man="1"/>
        <brk id="153" max="20" man="1"/>
      </rowBreaks>
      <pageMargins left="3.937007874015748E-2" right="3.937007874015748E-2" top="0.15748031496062992" bottom="0.19685039370078741" header="0.15748031496062992" footer="0.23622047244094491"/>
      <pageSetup paperSize="9" scale="54" fitToHeight="2" orientation="landscape" r:id="rId2"/>
      <headerFooter alignWithMargins="0">
        <oddFooter>&amp;R&amp;8Le &amp;D
&amp;T</oddFooter>
      </headerFooter>
    </customSheetView>
    <customSheetView guid="{DD021BEF-F767-4779-A362-C9308ACC088B}" scale="110" fitToPage="1">
      <pane xSplit="7" ySplit="4" topLeftCell="K162" activePane="bottomRight" state="frozen"/>
      <selection pane="bottomRight" activeCell="G171" sqref="G171"/>
      <rowBreaks count="2" manualBreakCount="2">
        <brk id="83" max="20" man="1"/>
        <brk id="153" max="20" man="1"/>
      </rowBreaks>
      <pageMargins left="3.937007874015748E-2" right="3.937007874015748E-2" top="0.15748031496062992" bottom="0.19685039370078741" header="0.15748031496062992" footer="0.23622047244094491"/>
      <pageSetup paperSize="9" scale="53" fitToHeight="2" orientation="landscape" r:id="rId3"/>
      <headerFooter alignWithMargins="0">
        <oddFooter>&amp;R&amp;8Le &amp;D
&amp;T</oddFooter>
      </headerFooter>
    </customSheetView>
    <customSheetView guid="{C8B269C8-9E4E-47CC-A407-F213FAC1E35C}" scale="110" fitToPage="1">
      <pane xSplit="7" ySplit="4" topLeftCell="K162" activePane="bottomRight" state="frozen"/>
      <selection pane="bottomRight" activeCell="G171" sqref="G171"/>
      <rowBreaks count="2" manualBreakCount="2">
        <brk id="83" max="20" man="1"/>
        <brk id="153" max="20" man="1"/>
      </rowBreaks>
      <pageMargins left="3.937007874015748E-2" right="3.937007874015748E-2" top="0.15748031496062992" bottom="0.19685039370078741" header="0.15748031496062992" footer="0.23622047244094491"/>
      <pageSetup paperSize="9" scale="53" fitToHeight="2" orientation="landscape" r:id="rId4"/>
      <headerFooter alignWithMargins="0">
        <oddFooter>&amp;R&amp;8Le &amp;D
&amp;T</oddFooter>
      </headerFooter>
    </customSheetView>
  </customSheetViews>
  <mergeCells count="1">
    <mergeCell ref="K2:L2"/>
  </mergeCells>
  <phoneticPr fontId="0" type="noConversion"/>
  <pageMargins left="3.937007874015748E-2" right="3.937007874015748E-2" top="0.15748031496062992" bottom="0.19685039370078741" header="0.15748031496062992" footer="0.23622047244094491"/>
  <pageSetup paperSize="9" scale="53" fitToHeight="2" orientation="landscape" r:id="rId5"/>
  <headerFooter alignWithMargins="0">
    <oddFooter>&amp;R&amp;8Le &amp;D
&amp;T</oddFooter>
  </headerFooter>
  <rowBreaks count="2" manualBreakCount="2">
    <brk id="83" max="20" man="1"/>
    <brk id="153" max="20" man="1"/>
  </rowBreaks>
  <drawing r:id="rId6"/>
  <legacyDrawing r:id="rId7"/>
  <controls>
    <mc:AlternateContent xmlns:mc="http://schemas.openxmlformats.org/markup-compatibility/2006">
      <mc:Choice Requires="x14">
        <control shapeId="4098" r:id="rId8" name="ComboBox1">
          <controlPr defaultSize="0" autoFill="0" autoLine="0" listFillRange="COMPTE" r:id="rId9">
            <anchor>
              <from>
                <xdr:col>1</xdr:col>
                <xdr:colOff>114300</xdr:colOff>
                <xdr:row>0</xdr:row>
                <xdr:rowOff>38100</xdr:rowOff>
              </from>
              <to>
                <xdr:col>2</xdr:col>
                <xdr:colOff>485775</xdr:colOff>
                <xdr:row>1</xdr:row>
                <xdr:rowOff>114300</xdr:rowOff>
              </to>
            </anchor>
          </controlPr>
        </control>
      </mc:Choice>
      <mc:Fallback>
        <control shapeId="4098" r:id="rId8" name="ComboBox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1:X198"/>
  <sheetViews>
    <sheetView zoomScaleNormal="100" zoomScaleSheetLayoutView="100" workbookViewId="0">
      <pane xSplit="7" ySplit="3" topLeftCell="J150" activePane="bottomRight" state="frozen"/>
      <selection activeCell="T231" sqref="T231:U231"/>
      <selection pane="topRight" activeCell="T231" sqref="T231:U231"/>
      <selection pane="bottomLeft" activeCell="T231" sqref="T231:U231"/>
      <selection pane="bottomRight" activeCell="E1" sqref="E1:E1048576"/>
    </sheetView>
  </sheetViews>
  <sheetFormatPr baseColWidth="10" defaultColWidth="27.5703125" defaultRowHeight="10.5" x14ac:dyDescent="0.15"/>
  <cols>
    <col min="1" max="1" width="26.7109375" style="219" customWidth="1"/>
    <col min="2" max="2" width="14.140625" style="219" customWidth="1"/>
    <col min="3" max="3" width="11.28515625" style="337" customWidth="1"/>
    <col min="4" max="4" width="7.7109375" style="419" customWidth="1"/>
    <col min="5" max="5" width="7.7109375" style="338" bestFit="1" customWidth="1"/>
    <col min="6" max="6" width="7.140625" style="419" bestFit="1" customWidth="1"/>
    <col min="7" max="7" width="9.28515625" style="392" bestFit="1" customWidth="1"/>
    <col min="8" max="22" width="10.42578125" style="219" customWidth="1"/>
    <col min="23" max="23" width="10.140625" style="219" bestFit="1" customWidth="1"/>
    <col min="24" max="16384" width="27.5703125" style="219"/>
  </cols>
  <sheetData>
    <row r="1" spans="1:24" ht="12.75" x14ac:dyDescent="0.2">
      <c r="A1" s="336" t="s">
        <v>677</v>
      </c>
      <c r="G1" s="339"/>
      <c r="H1" s="220"/>
      <c r="I1" s="220"/>
      <c r="J1" s="247"/>
      <c r="K1" s="247"/>
      <c r="L1" s="686"/>
      <c r="M1" s="687"/>
      <c r="N1" s="340"/>
      <c r="O1" s="340"/>
      <c r="P1" s="340"/>
      <c r="Q1" s="340"/>
      <c r="R1" s="340"/>
      <c r="V1" s="248"/>
    </row>
    <row r="2" spans="1:24" ht="11.25" thickBot="1" x14ac:dyDescent="0.2">
      <c r="A2" s="221"/>
      <c r="G2" s="341"/>
      <c r="H2" s="342"/>
      <c r="I2" s="342"/>
      <c r="V2" s="221"/>
    </row>
    <row r="3" spans="1:24" s="337" customFormat="1" ht="11.25" thickBot="1" x14ac:dyDescent="0.2">
      <c r="A3" s="222" t="s">
        <v>0</v>
      </c>
      <c r="B3" s="222" t="s">
        <v>1</v>
      </c>
      <c r="C3" s="222" t="s">
        <v>2</v>
      </c>
      <c r="D3" s="408"/>
      <c r="E3" s="222"/>
      <c r="F3" s="408"/>
      <c r="G3" s="343" t="s">
        <v>21</v>
      </c>
      <c r="H3" s="408">
        <v>2016</v>
      </c>
      <c r="I3" s="222" t="s">
        <v>55</v>
      </c>
      <c r="J3" s="222" t="s">
        <v>56</v>
      </c>
      <c r="K3" s="222" t="s">
        <v>5</v>
      </c>
      <c r="L3" s="222" t="s">
        <v>6</v>
      </c>
      <c r="M3" s="222" t="s">
        <v>7</v>
      </c>
      <c r="N3" s="222" t="s">
        <v>8</v>
      </c>
      <c r="O3" s="222" t="s">
        <v>65</v>
      </c>
      <c r="P3" s="222" t="s">
        <v>64</v>
      </c>
      <c r="Q3" s="222" t="s">
        <v>49</v>
      </c>
      <c r="R3" s="222" t="s">
        <v>50</v>
      </c>
      <c r="S3" s="222" t="s">
        <v>59</v>
      </c>
      <c r="T3" s="344" t="s">
        <v>51</v>
      </c>
      <c r="U3" s="344" t="s">
        <v>866</v>
      </c>
      <c r="V3" s="345" t="s">
        <v>66</v>
      </c>
    </row>
    <row r="4" spans="1:24" x14ac:dyDescent="0.15">
      <c r="A4" s="253"/>
      <c r="B4" s="253"/>
      <c r="C4" s="346"/>
      <c r="D4" s="420"/>
      <c r="E4" s="347"/>
      <c r="F4" s="464"/>
      <c r="G4" s="348"/>
      <c r="H4" s="349"/>
      <c r="I4" s="349"/>
      <c r="J4" s="350"/>
      <c r="K4" s="349"/>
      <c r="L4" s="349"/>
      <c r="M4" s="349"/>
      <c r="N4" s="349"/>
      <c r="O4" s="349"/>
      <c r="P4" s="349"/>
      <c r="Q4" s="349"/>
      <c r="R4" s="349"/>
      <c r="S4" s="349"/>
      <c r="T4" s="349"/>
      <c r="U4" s="349"/>
      <c r="V4" s="351"/>
    </row>
    <row r="5" spans="1:24" x14ac:dyDescent="0.15">
      <c r="A5" s="352" t="s">
        <v>148</v>
      </c>
      <c r="B5" s="353"/>
      <c r="C5" s="354"/>
      <c r="D5" s="410"/>
      <c r="E5" s="355"/>
      <c r="F5" s="418"/>
      <c r="G5" s="356"/>
      <c r="H5" s="224"/>
      <c r="I5" s="224"/>
      <c r="J5" s="251"/>
      <c r="K5" s="224"/>
      <c r="L5" s="224"/>
      <c r="M5" s="224"/>
      <c r="N5" s="224"/>
      <c r="O5" s="224"/>
      <c r="P5" s="224"/>
      <c r="Q5" s="224"/>
      <c r="R5" s="224"/>
      <c r="S5" s="224"/>
      <c r="T5" s="224"/>
      <c r="U5" s="224"/>
      <c r="V5" s="252"/>
    </row>
    <row r="6" spans="1:24" ht="12.75" customHeight="1" x14ac:dyDescent="0.15">
      <c r="A6" s="253" t="s">
        <v>161</v>
      </c>
      <c r="B6" s="255"/>
      <c r="C6" s="346"/>
      <c r="D6" s="412">
        <v>606801</v>
      </c>
      <c r="E6" s="358" t="s">
        <v>155</v>
      </c>
      <c r="F6" s="412"/>
      <c r="G6" s="359">
        <v>900</v>
      </c>
      <c r="H6" s="559">
        <f>961.45-1000</f>
        <v>-38.549999999999955</v>
      </c>
      <c r="I6" s="226">
        <v>906.77</v>
      </c>
      <c r="J6" s="225">
        <v>865.01</v>
      </c>
      <c r="K6" s="225">
        <v>1023.53</v>
      </c>
      <c r="L6" s="225">
        <v>929.1</v>
      </c>
      <c r="M6" s="297">
        <v>1035.31</v>
      </c>
      <c r="N6" s="297">
        <v>990.85</v>
      </c>
      <c r="O6" s="326">
        <v>1121.19</v>
      </c>
      <c r="P6" s="300">
        <v>1110.27</v>
      </c>
      <c r="Q6" s="225">
        <v>1058.82</v>
      </c>
      <c r="R6" s="225">
        <v>1235.43</v>
      </c>
      <c r="S6" s="225"/>
      <c r="T6" s="225"/>
      <c r="U6" s="648"/>
      <c r="V6" s="255">
        <f>SUM(H6:T6)</f>
        <v>10237.730000000001</v>
      </c>
    </row>
    <row r="7" spans="1:24" x14ac:dyDescent="0.15">
      <c r="A7" s="253" t="s">
        <v>503</v>
      </c>
      <c r="B7" s="255"/>
      <c r="C7" s="346"/>
      <c r="D7" s="412">
        <v>606801</v>
      </c>
      <c r="E7" s="358" t="s">
        <v>155</v>
      </c>
      <c r="F7" s="412"/>
      <c r="G7" s="359">
        <v>30</v>
      </c>
      <c r="H7" s="559">
        <f>25.38-40</f>
        <v>-14.620000000000001</v>
      </c>
      <c r="I7" s="226">
        <v>18.63</v>
      </c>
      <c r="J7" s="226">
        <v>18.899999999999999</v>
      </c>
      <c r="K7" s="226">
        <v>7.29</v>
      </c>
      <c r="L7" s="226">
        <v>9.18</v>
      </c>
      <c r="M7" s="226">
        <v>8.1</v>
      </c>
      <c r="N7" s="226">
        <v>14.85</v>
      </c>
      <c r="O7" s="226">
        <v>14.31</v>
      </c>
      <c r="P7" s="226">
        <v>22.14</v>
      </c>
      <c r="Q7" s="582">
        <v>20</v>
      </c>
      <c r="R7" s="226">
        <v>39.42</v>
      </c>
      <c r="S7" s="582">
        <v>20</v>
      </c>
      <c r="T7" s="225"/>
      <c r="U7" s="648"/>
      <c r="V7" s="255">
        <f>SUM(H7:T7)</f>
        <v>178.2</v>
      </c>
    </row>
    <row r="8" spans="1:24" s="221" customFormat="1" ht="11.25" thickBot="1" x14ac:dyDescent="0.2">
      <c r="A8" s="536" t="s">
        <v>11</v>
      </c>
      <c r="B8" s="546"/>
      <c r="C8" s="542"/>
      <c r="D8" s="547"/>
      <c r="E8" s="536"/>
      <c r="F8" s="548"/>
      <c r="G8" s="540"/>
      <c r="H8" s="530">
        <f>SUM(H6:H7)</f>
        <v>-53.169999999999959</v>
      </c>
      <c r="I8" s="530">
        <f>SUM(I6:I7)</f>
        <v>925.4</v>
      </c>
      <c r="J8" s="530">
        <f t="shared" ref="J8:V8" si="0">SUM(J6:J7)</f>
        <v>883.91</v>
      </c>
      <c r="K8" s="530">
        <f t="shared" si="0"/>
        <v>1030.82</v>
      </c>
      <c r="L8" s="530">
        <f t="shared" si="0"/>
        <v>938.28</v>
      </c>
      <c r="M8" s="530">
        <f t="shared" si="0"/>
        <v>1043.4099999999999</v>
      </c>
      <c r="N8" s="530">
        <f t="shared" si="0"/>
        <v>1005.7</v>
      </c>
      <c r="O8" s="530">
        <f t="shared" si="0"/>
        <v>1135.5</v>
      </c>
      <c r="P8" s="530">
        <f t="shared" si="0"/>
        <v>1132.4100000000001</v>
      </c>
      <c r="Q8" s="530">
        <f>SUM(Q6:Q7)</f>
        <v>1078.82</v>
      </c>
      <c r="R8" s="530">
        <f t="shared" si="0"/>
        <v>1274.8500000000001</v>
      </c>
      <c r="S8" s="530">
        <f t="shared" si="0"/>
        <v>20</v>
      </c>
      <c r="T8" s="530">
        <f t="shared" si="0"/>
        <v>0</v>
      </c>
      <c r="U8" s="530">
        <f>SUM(U6:U7)</f>
        <v>0</v>
      </c>
      <c r="V8" s="530">
        <f t="shared" si="0"/>
        <v>10415.930000000002</v>
      </c>
      <c r="W8" s="97" t="str">
        <f>+IF(V8=SUM(H8:T8),"contrôle ok", "erreur")</f>
        <v>contrôle ok</v>
      </c>
    </row>
    <row r="9" spans="1:24" s="221" customFormat="1" ht="11.25" thickTop="1" x14ac:dyDescent="0.15">
      <c r="A9" s="361"/>
      <c r="B9" s="361"/>
      <c r="C9" s="362"/>
      <c r="D9" s="414"/>
      <c r="E9" s="363"/>
      <c r="F9" s="414"/>
      <c r="G9" s="364"/>
      <c r="H9" s="229"/>
      <c r="I9" s="229"/>
      <c r="J9" s="229"/>
      <c r="K9" s="229"/>
      <c r="L9" s="229"/>
      <c r="M9" s="229"/>
      <c r="N9" s="257"/>
      <c r="O9" s="229"/>
      <c r="P9" s="229"/>
      <c r="Q9" s="229"/>
      <c r="R9" s="229"/>
      <c r="S9" s="229"/>
      <c r="T9" s="229"/>
      <c r="U9" s="229"/>
      <c r="V9" s="258"/>
    </row>
    <row r="10" spans="1:24" x14ac:dyDescent="0.15">
      <c r="A10" s="352" t="s">
        <v>41</v>
      </c>
      <c r="B10" s="353"/>
      <c r="C10" s="354"/>
      <c r="D10" s="410"/>
      <c r="E10" s="355"/>
      <c r="F10" s="418"/>
      <c r="G10" s="356"/>
      <c r="H10" s="224"/>
      <c r="I10" s="224"/>
      <c r="J10" s="251"/>
      <c r="K10" s="224"/>
      <c r="L10" s="224"/>
      <c r="M10" s="224"/>
      <c r="N10" s="224"/>
      <c r="O10" s="224"/>
      <c r="P10" s="224"/>
      <c r="Q10" s="224"/>
      <c r="R10" s="224"/>
      <c r="S10" s="224"/>
      <c r="T10" s="224"/>
      <c r="U10" s="224"/>
      <c r="V10" s="252"/>
    </row>
    <row r="11" spans="1:24" s="261" customFormat="1" x14ac:dyDescent="0.15">
      <c r="A11" s="365" t="s">
        <v>350</v>
      </c>
      <c r="B11" s="365"/>
      <c r="C11" s="366"/>
      <c r="D11" s="412">
        <v>615111</v>
      </c>
      <c r="E11" s="357" t="s">
        <v>236</v>
      </c>
      <c r="F11" s="448" t="s">
        <v>179</v>
      </c>
      <c r="G11" s="367">
        <v>204</v>
      </c>
      <c r="H11" s="559"/>
      <c r="I11" s="582">
        <v>204</v>
      </c>
      <c r="J11" s="226">
        <v>136</v>
      </c>
      <c r="K11" s="299">
        <v>136</v>
      </c>
      <c r="L11" s="299">
        <v>136</v>
      </c>
      <c r="M11" s="299">
        <v>136</v>
      </c>
      <c r="N11" s="226">
        <v>136</v>
      </c>
      <c r="O11" s="226">
        <v>136</v>
      </c>
      <c r="P11" s="582">
        <v>136</v>
      </c>
      <c r="Q11" s="226">
        <v>136</v>
      </c>
      <c r="R11" s="226">
        <v>136</v>
      </c>
      <c r="S11" s="226">
        <v>136</v>
      </c>
      <c r="T11" s="226"/>
      <c r="U11" s="582"/>
      <c r="V11" s="255">
        <f>SUM(H11:T11)</f>
        <v>1564</v>
      </c>
    </row>
    <row r="12" spans="1:24" x14ac:dyDescent="0.15">
      <c r="A12" s="255" t="s">
        <v>361</v>
      </c>
      <c r="B12" s="255"/>
      <c r="C12" s="368"/>
      <c r="D12" s="412">
        <v>615111</v>
      </c>
      <c r="E12" s="357" t="s">
        <v>236</v>
      </c>
      <c r="F12" s="412" t="s">
        <v>179</v>
      </c>
      <c r="G12" s="369"/>
      <c r="H12" s="559">
        <f>476-476-238</f>
        <v>-238</v>
      </c>
      <c r="I12" s="226">
        <v>408</v>
      </c>
      <c r="J12" s="226">
        <v>408</v>
      </c>
      <c r="K12" s="226">
        <v>408</v>
      </c>
      <c r="L12" s="226">
        <v>442</v>
      </c>
      <c r="M12" s="226">
        <v>442</v>
      </c>
      <c r="N12" s="226">
        <v>408</v>
      </c>
      <c r="O12" s="226">
        <v>578</v>
      </c>
      <c r="P12" s="226">
        <v>204</v>
      </c>
      <c r="Q12" s="226">
        <v>442</v>
      </c>
      <c r="R12" s="226">
        <v>476</v>
      </c>
      <c r="S12" s="226">
        <v>510</v>
      </c>
      <c r="T12" s="226"/>
      <c r="U12" s="582"/>
      <c r="V12" s="255">
        <f>SUM(H12:T12)</f>
        <v>4488</v>
      </c>
    </row>
    <row r="13" spans="1:24" x14ac:dyDescent="0.15">
      <c r="A13" s="255" t="s">
        <v>193</v>
      </c>
      <c r="B13" s="255"/>
      <c r="C13" s="368"/>
      <c r="D13" s="412">
        <v>615111</v>
      </c>
      <c r="E13" s="357" t="s">
        <v>236</v>
      </c>
      <c r="F13" s="412" t="s">
        <v>192</v>
      </c>
      <c r="G13" s="369"/>
      <c r="H13" s="226"/>
      <c r="I13" s="226"/>
      <c r="J13" s="226"/>
      <c r="K13" s="226"/>
      <c r="L13" s="226"/>
      <c r="M13" s="226"/>
      <c r="N13" s="226"/>
      <c r="O13" s="226"/>
      <c r="P13" s="226"/>
      <c r="Q13" s="226"/>
      <c r="R13" s="226"/>
      <c r="S13" s="226"/>
      <c r="T13" s="226"/>
      <c r="U13" s="226"/>
      <c r="V13" s="255">
        <f>SUM(H13:T13)</f>
        <v>0</v>
      </c>
    </row>
    <row r="14" spans="1:24" s="221" customFormat="1" ht="11.25" thickBot="1" x14ac:dyDescent="0.2">
      <c r="A14" s="536" t="s">
        <v>11</v>
      </c>
      <c r="B14" s="532"/>
      <c r="C14" s="542"/>
      <c r="D14" s="538"/>
      <c r="E14" s="536"/>
      <c r="F14" s="539"/>
      <c r="G14" s="540"/>
      <c r="H14" s="522">
        <f>SUM(H11:H13)</f>
        <v>-238</v>
      </c>
      <c r="I14" s="522">
        <f>SUM(I11:I13)</f>
        <v>612</v>
      </c>
      <c r="J14" s="522">
        <f t="shared" ref="J14:V14" si="1">SUM(J11:J13)</f>
        <v>544</v>
      </c>
      <c r="K14" s="522">
        <f t="shared" si="1"/>
        <v>544</v>
      </c>
      <c r="L14" s="522">
        <f t="shared" si="1"/>
        <v>578</v>
      </c>
      <c r="M14" s="522">
        <f t="shared" si="1"/>
        <v>578</v>
      </c>
      <c r="N14" s="522">
        <f t="shared" si="1"/>
        <v>544</v>
      </c>
      <c r="O14" s="522">
        <f t="shared" si="1"/>
        <v>714</v>
      </c>
      <c r="P14" s="522">
        <f t="shared" si="1"/>
        <v>340</v>
      </c>
      <c r="Q14" s="522">
        <f t="shared" si="1"/>
        <v>578</v>
      </c>
      <c r="R14" s="522">
        <f t="shared" si="1"/>
        <v>612</v>
      </c>
      <c r="S14" s="522">
        <f t="shared" si="1"/>
        <v>646</v>
      </c>
      <c r="T14" s="522">
        <f t="shared" si="1"/>
        <v>0</v>
      </c>
      <c r="U14" s="522">
        <f>SUM(U11:U13)</f>
        <v>0</v>
      </c>
      <c r="V14" s="522">
        <f t="shared" si="1"/>
        <v>6052</v>
      </c>
      <c r="W14" s="97" t="str">
        <f>+IF(V14=SUM(H14:T14),"contrôle ok", "erreur")</f>
        <v>contrôle ok</v>
      </c>
    </row>
    <row r="15" spans="1:24" ht="14.25" customHeight="1" thickTop="1" x14ac:dyDescent="0.15">
      <c r="A15" s="370"/>
      <c r="B15" s="370"/>
      <c r="C15" s="371"/>
      <c r="D15" s="413"/>
      <c r="E15" s="372"/>
      <c r="F15" s="413"/>
      <c r="G15" s="373"/>
      <c r="H15" s="223"/>
      <c r="I15" s="223"/>
      <c r="J15" s="223"/>
      <c r="K15" s="223"/>
      <c r="L15" s="223"/>
      <c r="M15" s="223"/>
      <c r="N15" s="223"/>
      <c r="O15" s="223"/>
      <c r="P15" s="223"/>
      <c r="Q15" s="223"/>
      <c r="R15" s="223"/>
      <c r="S15" s="223"/>
      <c r="T15" s="223"/>
      <c r="U15" s="223"/>
      <c r="V15" s="371"/>
      <c r="W15" s="374"/>
      <c r="X15" s="374"/>
    </row>
    <row r="16" spans="1:24" s="16" customFormat="1" x14ac:dyDescent="0.15">
      <c r="A16" s="27" t="s">
        <v>519</v>
      </c>
      <c r="B16" s="28"/>
      <c r="C16" s="29"/>
      <c r="D16" s="30"/>
      <c r="E16" s="30"/>
      <c r="F16" s="31"/>
      <c r="G16" s="101"/>
      <c r="H16" s="224"/>
      <c r="I16" s="224"/>
      <c r="J16" s="251"/>
      <c r="K16" s="224"/>
      <c r="L16" s="224"/>
      <c r="M16" s="224"/>
      <c r="N16" s="224"/>
      <c r="O16" s="224"/>
      <c r="P16" s="224"/>
      <c r="Q16" s="224"/>
      <c r="R16" s="224"/>
      <c r="S16" s="224"/>
      <c r="T16" s="224"/>
      <c r="U16" s="224"/>
      <c r="V16" s="252"/>
    </row>
    <row r="17" spans="1:24" s="16" customFormat="1" x14ac:dyDescent="0.15">
      <c r="A17" s="143" t="s">
        <v>429</v>
      </c>
      <c r="B17" s="143" t="s">
        <v>464</v>
      </c>
      <c r="C17" s="144"/>
      <c r="D17" s="145">
        <v>615113</v>
      </c>
      <c r="E17" s="145" t="s">
        <v>157</v>
      </c>
      <c r="F17" s="145" t="s">
        <v>805</v>
      </c>
      <c r="G17" s="163"/>
      <c r="H17" s="559"/>
      <c r="I17" s="226"/>
      <c r="J17" s="226"/>
      <c r="K17" s="226"/>
      <c r="L17" s="226"/>
      <c r="M17" s="226"/>
      <c r="N17" s="226"/>
      <c r="O17" s="226">
        <v>360</v>
      </c>
      <c r="P17" s="226"/>
      <c r="Q17" s="226"/>
      <c r="R17" s="226"/>
      <c r="S17" s="226"/>
      <c r="T17" s="226"/>
      <c r="U17" s="226"/>
      <c r="V17" s="255">
        <f>SUM(H17:T17)</f>
        <v>360</v>
      </c>
    </row>
    <row r="18" spans="1:24" s="221" customFormat="1" ht="11.25" thickBot="1" x14ac:dyDescent="0.2">
      <c r="A18" s="536" t="s">
        <v>11</v>
      </c>
      <c r="B18" s="532"/>
      <c r="C18" s="542"/>
      <c r="D18" s="538"/>
      <c r="E18" s="536"/>
      <c r="F18" s="539"/>
      <c r="G18" s="540"/>
      <c r="H18" s="522">
        <f>SUM(H15:H17)</f>
        <v>0</v>
      </c>
      <c r="I18" s="522">
        <f>SUM(I15:I17)</f>
        <v>0</v>
      </c>
      <c r="J18" s="522">
        <f t="shared" ref="J18:V18" si="2">SUM(J15:J17)</f>
        <v>0</v>
      </c>
      <c r="K18" s="522">
        <f t="shared" si="2"/>
        <v>0</v>
      </c>
      <c r="L18" s="522">
        <f t="shared" si="2"/>
        <v>0</v>
      </c>
      <c r="M18" s="522">
        <f t="shared" si="2"/>
        <v>0</v>
      </c>
      <c r="N18" s="522">
        <f t="shared" si="2"/>
        <v>0</v>
      </c>
      <c r="O18" s="522">
        <f t="shared" si="2"/>
        <v>360</v>
      </c>
      <c r="P18" s="522">
        <f t="shared" si="2"/>
        <v>0</v>
      </c>
      <c r="Q18" s="522">
        <f t="shared" si="2"/>
        <v>0</v>
      </c>
      <c r="R18" s="522">
        <f t="shared" si="2"/>
        <v>0</v>
      </c>
      <c r="S18" s="522">
        <f t="shared" si="2"/>
        <v>0</v>
      </c>
      <c r="T18" s="522">
        <f t="shared" si="2"/>
        <v>0</v>
      </c>
      <c r="U18" s="522">
        <f>SUM(U15:U17)</f>
        <v>0</v>
      </c>
      <c r="V18" s="522">
        <f t="shared" si="2"/>
        <v>360</v>
      </c>
      <c r="W18" s="97" t="str">
        <f>+IF(V18=SUM(H18:T18),"contrôle ok", "erreur")</f>
        <v>contrôle ok</v>
      </c>
    </row>
    <row r="19" spans="1:24" ht="14.25" customHeight="1" thickTop="1" x14ac:dyDescent="0.15">
      <c r="A19" s="370"/>
      <c r="B19" s="370"/>
      <c r="C19" s="371"/>
      <c r="D19" s="413"/>
      <c r="E19" s="372"/>
      <c r="F19" s="413"/>
      <c r="G19" s="373"/>
      <c r="H19" s="223"/>
      <c r="I19" s="223"/>
      <c r="J19" s="223"/>
      <c r="K19" s="223"/>
      <c r="L19" s="223"/>
      <c r="M19" s="223"/>
      <c r="N19" s="223"/>
      <c r="O19" s="223"/>
      <c r="P19" s="223"/>
      <c r="Q19" s="223"/>
      <c r="R19" s="223"/>
      <c r="S19" s="223"/>
      <c r="T19" s="223"/>
      <c r="U19" s="223"/>
      <c r="V19" s="371"/>
      <c r="W19" s="374"/>
      <c r="X19" s="374"/>
    </row>
    <row r="20" spans="1:24" ht="14.25" customHeight="1" x14ac:dyDescent="0.15">
      <c r="A20" s="27" t="s">
        <v>534</v>
      </c>
      <c r="B20" s="28"/>
      <c r="C20" s="29"/>
      <c r="D20" s="134"/>
      <c r="E20" s="30"/>
      <c r="F20" s="31"/>
      <c r="G20" s="101"/>
      <c r="H20" s="224"/>
      <c r="I20" s="224"/>
      <c r="J20" s="251"/>
      <c r="K20" s="224"/>
      <c r="L20" s="224"/>
      <c r="M20" s="224"/>
      <c r="N20" s="224"/>
      <c r="O20" s="224"/>
      <c r="P20" s="224"/>
      <c r="Q20" s="224"/>
      <c r="R20" s="224"/>
      <c r="S20" s="224"/>
      <c r="T20" s="224"/>
      <c r="U20" s="224"/>
      <c r="V20" s="252"/>
      <c r="W20" s="374"/>
      <c r="X20" s="374"/>
    </row>
    <row r="21" spans="1:24" ht="14.25" customHeight="1" x14ac:dyDescent="0.15">
      <c r="A21" s="475" t="s">
        <v>171</v>
      </c>
      <c r="B21" s="494"/>
      <c r="C21" s="495"/>
      <c r="D21" s="496">
        <v>615114</v>
      </c>
      <c r="E21" s="475" t="s">
        <v>236</v>
      </c>
      <c r="F21" s="475" t="s">
        <v>192</v>
      </c>
      <c r="G21" s="163"/>
      <c r="H21" s="559">
        <f>480-480+320-320-480</f>
        <v>-480</v>
      </c>
      <c r="I21" s="226"/>
      <c r="J21" s="226">
        <v>160</v>
      </c>
      <c r="K21" s="226"/>
      <c r="L21" s="226">
        <f>640-320</f>
        <v>320</v>
      </c>
      <c r="M21" s="226">
        <f>640-160</f>
        <v>480</v>
      </c>
      <c r="N21" s="226">
        <f>-320+160</f>
        <v>-160</v>
      </c>
      <c r="O21" s="226">
        <v>160</v>
      </c>
      <c r="P21" s="226">
        <f>480-160</f>
        <v>320</v>
      </c>
      <c r="Q21" s="226">
        <f>800-320</f>
        <v>480</v>
      </c>
      <c r="R21" s="226">
        <v>160</v>
      </c>
      <c r="S21" s="226">
        <v>320</v>
      </c>
      <c r="T21" s="226"/>
      <c r="U21" s="582"/>
      <c r="V21" s="255">
        <f>SUM(H21:T21)</f>
        <v>1760</v>
      </c>
      <c r="W21" s="374"/>
      <c r="X21" s="374"/>
    </row>
    <row r="22" spans="1:24" ht="14.25" customHeight="1" thickBot="1" x14ac:dyDescent="0.2">
      <c r="A22" s="516" t="s">
        <v>11</v>
      </c>
      <c r="B22" s="517"/>
      <c r="C22" s="524"/>
      <c r="D22" s="525"/>
      <c r="E22" s="520"/>
      <c r="F22" s="526"/>
      <c r="G22" s="521"/>
      <c r="H22" s="522">
        <f>SUM(H21:H21)</f>
        <v>-480</v>
      </c>
      <c r="I22" s="522">
        <f t="shared" ref="I22:V22" si="3">SUM(I21:I21)</f>
        <v>0</v>
      </c>
      <c r="J22" s="522">
        <f t="shared" si="3"/>
        <v>160</v>
      </c>
      <c r="K22" s="522">
        <f t="shared" si="3"/>
        <v>0</v>
      </c>
      <c r="L22" s="522">
        <f t="shared" si="3"/>
        <v>320</v>
      </c>
      <c r="M22" s="522">
        <f t="shared" si="3"/>
        <v>480</v>
      </c>
      <c r="N22" s="522">
        <f t="shared" si="3"/>
        <v>-160</v>
      </c>
      <c r="O22" s="522">
        <f t="shared" si="3"/>
        <v>160</v>
      </c>
      <c r="P22" s="522">
        <f t="shared" si="3"/>
        <v>320</v>
      </c>
      <c r="Q22" s="522">
        <f t="shared" si="3"/>
        <v>480</v>
      </c>
      <c r="R22" s="522">
        <f t="shared" si="3"/>
        <v>160</v>
      </c>
      <c r="S22" s="522">
        <f t="shared" si="3"/>
        <v>320</v>
      </c>
      <c r="T22" s="522">
        <f t="shared" si="3"/>
        <v>0</v>
      </c>
      <c r="U22" s="522">
        <f>SUM(U21:U21)</f>
        <v>0</v>
      </c>
      <c r="V22" s="522">
        <f t="shared" si="3"/>
        <v>1760</v>
      </c>
      <c r="W22" s="97" t="str">
        <f>+IF(V22=SUM(H22:T22),"contrôle ok", "erreur")</f>
        <v>contrôle ok</v>
      </c>
      <c r="X22" s="374"/>
    </row>
    <row r="23" spans="1:24" ht="14.25" customHeight="1" thickTop="1" x14ac:dyDescent="0.15">
      <c r="A23" s="370"/>
      <c r="B23" s="370"/>
      <c r="C23" s="250"/>
      <c r="D23" s="498"/>
      <c r="E23" s="499"/>
      <c r="F23" s="443"/>
      <c r="G23" s="373"/>
      <c r="H23" s="223"/>
      <c r="I23" s="223"/>
      <c r="J23" s="223"/>
      <c r="K23" s="223"/>
      <c r="L23" s="223"/>
      <c r="M23" s="223"/>
      <c r="N23" s="223"/>
      <c r="O23" s="223"/>
      <c r="P23" s="223"/>
      <c r="Q23" s="223"/>
      <c r="R23" s="223"/>
      <c r="S23" s="223"/>
      <c r="T23" s="223"/>
      <c r="U23" s="223"/>
      <c r="V23" s="426"/>
      <c r="W23" s="374"/>
      <c r="X23" s="374"/>
    </row>
    <row r="24" spans="1:24" x14ac:dyDescent="0.15">
      <c r="A24" s="352" t="s">
        <v>247</v>
      </c>
      <c r="B24" s="353"/>
      <c r="C24" s="354"/>
      <c r="D24" s="410"/>
      <c r="E24" s="355"/>
      <c r="F24" s="418"/>
      <c r="G24" s="356"/>
      <c r="H24" s="224"/>
      <c r="I24" s="224"/>
      <c r="J24" s="251"/>
      <c r="K24" s="224"/>
      <c r="L24" s="224"/>
      <c r="M24" s="224"/>
      <c r="N24" s="224"/>
      <c r="O24" s="224"/>
      <c r="P24" s="224"/>
      <c r="Q24" s="224"/>
      <c r="R24" s="224"/>
      <c r="S24" s="224"/>
      <c r="T24" s="224"/>
      <c r="U24" s="224"/>
      <c r="V24" s="252"/>
    </row>
    <row r="25" spans="1:24" x14ac:dyDescent="0.15">
      <c r="A25" s="255" t="s">
        <v>40</v>
      </c>
      <c r="B25" s="255"/>
      <c r="C25" s="368"/>
      <c r="D25" s="412">
        <v>615130</v>
      </c>
      <c r="E25" s="357" t="s">
        <v>156</v>
      </c>
      <c r="F25" s="412" t="s">
        <v>248</v>
      </c>
      <c r="G25" s="369"/>
      <c r="H25" s="559"/>
      <c r="I25" s="226"/>
      <c r="J25" s="226"/>
      <c r="K25" s="226">
        <v>5200</v>
      </c>
      <c r="L25" s="226">
        <f>720+1516.85</f>
        <v>2236.85</v>
      </c>
      <c r="M25" s="226">
        <v>6950</v>
      </c>
      <c r="N25" s="226">
        <v>515.67999999999995</v>
      </c>
      <c r="O25" s="226">
        <v>1203.28</v>
      </c>
      <c r="P25" s="226">
        <v>6936.83</v>
      </c>
      <c r="Q25" s="226">
        <f>2532+5780</f>
        <v>8312</v>
      </c>
      <c r="R25" s="226">
        <f>7200+10590+5626+23088.89+9116+4820+4355.6</f>
        <v>64796.49</v>
      </c>
      <c r="S25" s="226">
        <f>12512+27406+20000+4990+5874</f>
        <v>70782</v>
      </c>
      <c r="T25" s="226">
        <f>4880+3682+4000+2430.57+3070+325+3306+380+1501.5</f>
        <v>23575.07</v>
      </c>
      <c r="U25" s="582"/>
      <c r="V25" s="255">
        <f>SUM(H25:T25)</f>
        <v>190508.2</v>
      </c>
    </row>
    <row r="26" spans="1:24" s="221" customFormat="1" ht="11.25" thickBot="1" x14ac:dyDescent="0.2">
      <c r="A26" s="536" t="s">
        <v>11</v>
      </c>
      <c r="B26" s="532"/>
      <c r="C26" s="542"/>
      <c r="D26" s="538"/>
      <c r="E26" s="536"/>
      <c r="F26" s="539"/>
      <c r="G26" s="540"/>
      <c r="H26" s="522">
        <f>SUM(H25:H25)</f>
        <v>0</v>
      </c>
      <c r="I26" s="522">
        <f t="shared" ref="I26:V26" si="4">SUM(I25:I25)</f>
        <v>0</v>
      </c>
      <c r="J26" s="522">
        <f t="shared" si="4"/>
        <v>0</v>
      </c>
      <c r="K26" s="522">
        <f t="shared" si="4"/>
        <v>5200</v>
      </c>
      <c r="L26" s="522">
        <f t="shared" si="4"/>
        <v>2236.85</v>
      </c>
      <c r="M26" s="522">
        <f t="shared" si="4"/>
        <v>6950</v>
      </c>
      <c r="N26" s="522">
        <f t="shared" si="4"/>
        <v>515.67999999999995</v>
      </c>
      <c r="O26" s="522">
        <f t="shared" si="4"/>
        <v>1203.28</v>
      </c>
      <c r="P26" s="522">
        <f t="shared" si="4"/>
        <v>6936.83</v>
      </c>
      <c r="Q26" s="522">
        <f t="shared" si="4"/>
        <v>8312</v>
      </c>
      <c r="R26" s="522">
        <f t="shared" si="4"/>
        <v>64796.49</v>
      </c>
      <c r="S26" s="522">
        <f t="shared" si="4"/>
        <v>70782</v>
      </c>
      <c r="T26" s="522">
        <f t="shared" si="4"/>
        <v>23575.07</v>
      </c>
      <c r="U26" s="522">
        <f>SUM(U25:U25)</f>
        <v>0</v>
      </c>
      <c r="V26" s="522">
        <f t="shared" si="4"/>
        <v>190508.2</v>
      </c>
      <c r="W26" s="97" t="str">
        <f>+IF(V26=SUM(H26:T26),"contrôle ok", "erreur")</f>
        <v>contrôle ok</v>
      </c>
    </row>
    <row r="27" spans="1:24" s="221" customFormat="1" ht="11.25" thickTop="1" x14ac:dyDescent="0.15">
      <c r="A27" s="361"/>
      <c r="B27" s="361"/>
      <c r="C27" s="362"/>
      <c r="D27" s="414"/>
      <c r="E27" s="363"/>
      <c r="F27" s="414"/>
      <c r="G27" s="364"/>
      <c r="H27" s="229"/>
      <c r="I27" s="229"/>
      <c r="J27" s="229"/>
      <c r="K27" s="229"/>
      <c r="L27" s="229"/>
      <c r="M27" s="229"/>
      <c r="N27" s="257"/>
      <c r="O27" s="229"/>
      <c r="P27" s="229"/>
      <c r="Q27" s="229"/>
      <c r="R27" s="229"/>
      <c r="S27" s="229"/>
      <c r="T27" s="229"/>
      <c r="U27" s="229"/>
      <c r="V27" s="258"/>
    </row>
    <row r="28" spans="1:24" x14ac:dyDescent="0.15">
      <c r="A28" s="352" t="s">
        <v>369</v>
      </c>
      <c r="B28" s="353"/>
      <c r="C28" s="354"/>
      <c r="D28" s="410"/>
      <c r="E28" s="355"/>
      <c r="F28" s="418"/>
      <c r="G28" s="356"/>
      <c r="H28" s="224"/>
      <c r="I28" s="224"/>
      <c r="J28" s="251"/>
      <c r="K28" s="224"/>
      <c r="L28" s="224"/>
      <c r="M28" s="224"/>
      <c r="N28" s="224"/>
      <c r="O28" s="224"/>
      <c r="P28" s="224"/>
      <c r="Q28" s="224"/>
      <c r="R28" s="224"/>
      <c r="S28" s="224"/>
      <c r="T28" s="224"/>
      <c r="U28" s="224"/>
      <c r="V28" s="252"/>
    </row>
    <row r="29" spans="1:24" s="261" customFormat="1" x14ac:dyDescent="0.15">
      <c r="A29" s="375"/>
      <c r="B29" s="365"/>
      <c r="C29" s="366"/>
      <c r="D29" s="411">
        <v>615136</v>
      </c>
      <c r="E29" s="376" t="s">
        <v>157</v>
      </c>
      <c r="F29" s="411" t="s">
        <v>192</v>
      </c>
      <c r="G29" s="367"/>
      <c r="H29" s="559"/>
      <c r="I29" s="226"/>
      <c r="J29" s="299"/>
      <c r="K29" s="226"/>
      <c r="L29" s="226"/>
      <c r="M29" s="226"/>
      <c r="N29" s="226"/>
      <c r="O29" s="226"/>
      <c r="P29" s="226"/>
      <c r="Q29" s="226"/>
      <c r="R29" s="226"/>
      <c r="S29" s="226"/>
      <c r="T29" s="226"/>
      <c r="U29" s="582"/>
      <c r="V29" s="255">
        <f>SUM(H29:T29)</f>
        <v>0</v>
      </c>
    </row>
    <row r="30" spans="1:24" x14ac:dyDescent="0.15">
      <c r="A30" s="377" t="s">
        <v>397</v>
      </c>
      <c r="B30" s="361"/>
      <c r="C30" s="362"/>
      <c r="D30" s="411">
        <v>615136</v>
      </c>
      <c r="E30" s="376" t="s">
        <v>157</v>
      </c>
      <c r="F30" s="411" t="s">
        <v>269</v>
      </c>
      <c r="G30" s="364"/>
      <c r="H30" s="559"/>
      <c r="I30" s="226"/>
      <c r="J30" s="226"/>
      <c r="K30" s="226"/>
      <c r="L30" s="255"/>
      <c r="M30" s="255">
        <v>575</v>
      </c>
      <c r="N30" s="226"/>
      <c r="O30" s="226">
        <v>560</v>
      </c>
      <c r="P30" s="226"/>
      <c r="Q30" s="226"/>
      <c r="R30" s="226">
        <v>402.5</v>
      </c>
      <c r="S30" s="226"/>
      <c r="T30" s="226"/>
      <c r="U30" s="582"/>
      <c r="V30" s="255">
        <f>SUM(H30:T30)</f>
        <v>1537.5</v>
      </c>
    </row>
    <row r="31" spans="1:24" ht="11.25" thickBot="1" x14ac:dyDescent="0.2">
      <c r="A31" s="536" t="s">
        <v>11</v>
      </c>
      <c r="B31" s="532"/>
      <c r="C31" s="542"/>
      <c r="D31" s="538"/>
      <c r="E31" s="536"/>
      <c r="F31" s="539"/>
      <c r="G31" s="540"/>
      <c r="H31" s="522">
        <f>SUM(H30)</f>
        <v>0</v>
      </c>
      <c r="I31" s="522">
        <f>SUM(I30)</f>
        <v>0</v>
      </c>
      <c r="J31" s="522">
        <f t="shared" ref="J31:T31" si="5">SUM(J30)</f>
        <v>0</v>
      </c>
      <c r="K31" s="522">
        <f t="shared" si="5"/>
        <v>0</v>
      </c>
      <c r="L31" s="522">
        <f t="shared" si="5"/>
        <v>0</v>
      </c>
      <c r="M31" s="522">
        <f t="shared" si="5"/>
        <v>575</v>
      </c>
      <c r="N31" s="522">
        <f t="shared" si="5"/>
        <v>0</v>
      </c>
      <c r="O31" s="522">
        <f t="shared" si="5"/>
        <v>560</v>
      </c>
      <c r="P31" s="522">
        <f t="shared" si="5"/>
        <v>0</v>
      </c>
      <c r="Q31" s="522">
        <f t="shared" si="5"/>
        <v>0</v>
      </c>
      <c r="R31" s="522">
        <f>SUM(R29:R30)</f>
        <v>402.5</v>
      </c>
      <c r="S31" s="522">
        <f t="shared" si="5"/>
        <v>0</v>
      </c>
      <c r="T31" s="522">
        <f t="shared" si="5"/>
        <v>0</v>
      </c>
      <c r="U31" s="522">
        <f>SUM(U30)</f>
        <v>0</v>
      </c>
      <c r="V31" s="522">
        <f>SUM(V29:V30)</f>
        <v>1537.5</v>
      </c>
      <c r="W31" s="97" t="str">
        <f>+IF(V31=SUM(H31:T31),"contrôle ok", "erreur")</f>
        <v>contrôle ok</v>
      </c>
    </row>
    <row r="32" spans="1:24" s="261" customFormat="1" ht="11.25" thickTop="1" x14ac:dyDescent="0.15">
      <c r="A32" s="380"/>
      <c r="B32" s="381"/>
      <c r="C32" s="382"/>
      <c r="D32" s="421"/>
      <c r="E32" s="383"/>
      <c r="F32" s="421"/>
      <c r="G32" s="367"/>
      <c r="H32" s="228"/>
      <c r="I32" s="228"/>
      <c r="J32" s="228"/>
      <c r="K32" s="228"/>
      <c r="L32" s="228"/>
      <c r="M32" s="228"/>
      <c r="N32" s="228"/>
      <c r="O32" s="228"/>
      <c r="P32" s="228"/>
      <c r="Q32" s="228"/>
      <c r="R32" s="228"/>
      <c r="S32" s="228"/>
      <c r="T32" s="228"/>
      <c r="U32" s="228"/>
      <c r="V32" s="228"/>
      <c r="W32" s="360"/>
    </row>
    <row r="33" spans="1:24" x14ac:dyDescent="0.15">
      <c r="A33" s="352" t="s">
        <v>372</v>
      </c>
      <c r="B33" s="353"/>
      <c r="C33" s="354"/>
      <c r="D33" s="410"/>
      <c r="E33" s="355"/>
      <c r="F33" s="418"/>
      <c r="G33" s="356"/>
      <c r="H33" s="224"/>
      <c r="I33" s="224"/>
      <c r="J33" s="251"/>
      <c r="K33" s="224"/>
      <c r="L33" s="224"/>
      <c r="M33" s="224"/>
      <c r="N33" s="224"/>
      <c r="O33" s="224"/>
      <c r="P33" s="224"/>
      <c r="Q33" s="224"/>
      <c r="R33" s="224"/>
      <c r="S33" s="224"/>
      <c r="T33" s="224"/>
      <c r="U33" s="224"/>
      <c r="V33" s="252"/>
    </row>
    <row r="34" spans="1:24" x14ac:dyDescent="0.15">
      <c r="A34" s="377"/>
      <c r="B34" s="377"/>
      <c r="C34" s="378"/>
      <c r="D34" s="411">
        <v>615137</v>
      </c>
      <c r="E34" s="379" t="s">
        <v>236</v>
      </c>
      <c r="F34" s="411" t="s">
        <v>192</v>
      </c>
      <c r="G34" s="367"/>
      <c r="H34" s="559"/>
      <c r="I34" s="226"/>
      <c r="J34" s="226"/>
      <c r="K34" s="226"/>
      <c r="L34" s="226"/>
      <c r="M34" s="226">
        <f>1750+322-875</f>
        <v>1197</v>
      </c>
      <c r="N34" s="226"/>
      <c r="O34" s="226"/>
      <c r="P34" s="226"/>
      <c r="Q34" s="226"/>
      <c r="R34" s="226"/>
      <c r="S34" s="226"/>
      <c r="T34" s="226"/>
      <c r="U34" s="582"/>
      <c r="V34" s="255">
        <f>SUM(H34:T34)</f>
        <v>1197</v>
      </c>
    </row>
    <row r="35" spans="1:24" s="221" customFormat="1" ht="11.25" thickBot="1" x14ac:dyDescent="0.2">
      <c r="A35" s="536" t="s">
        <v>11</v>
      </c>
      <c r="B35" s="532"/>
      <c r="C35" s="542"/>
      <c r="D35" s="538"/>
      <c r="E35" s="536"/>
      <c r="F35" s="539"/>
      <c r="G35" s="540"/>
      <c r="H35" s="522">
        <f>SUM(H34)</f>
        <v>0</v>
      </c>
      <c r="I35" s="522">
        <f>SUM(I34)</f>
        <v>0</v>
      </c>
      <c r="J35" s="522">
        <f t="shared" ref="J35:T35" si="6">SUM(J34)</f>
        <v>0</v>
      </c>
      <c r="K35" s="522">
        <f t="shared" si="6"/>
        <v>0</v>
      </c>
      <c r="L35" s="522">
        <f t="shared" si="6"/>
        <v>0</v>
      </c>
      <c r="M35" s="522">
        <f t="shared" si="6"/>
        <v>1197</v>
      </c>
      <c r="N35" s="522">
        <f t="shared" si="6"/>
        <v>0</v>
      </c>
      <c r="O35" s="522">
        <f t="shared" si="6"/>
        <v>0</v>
      </c>
      <c r="P35" s="522">
        <f t="shared" si="6"/>
        <v>0</v>
      </c>
      <c r="Q35" s="522">
        <f t="shared" si="6"/>
        <v>0</v>
      </c>
      <c r="R35" s="522">
        <f t="shared" si="6"/>
        <v>0</v>
      </c>
      <c r="S35" s="522">
        <f t="shared" si="6"/>
        <v>0</v>
      </c>
      <c r="T35" s="522">
        <f t="shared" si="6"/>
        <v>0</v>
      </c>
      <c r="U35" s="522">
        <f>SUM(U34)</f>
        <v>0</v>
      </c>
      <c r="V35" s="522">
        <f>SUM(V34:V34)</f>
        <v>1197</v>
      </c>
      <c r="W35" s="97" t="str">
        <f>+IF(V35=SUM(H35:T35),"contrôle ok", "erreur")</f>
        <v>contrôle ok</v>
      </c>
      <c r="X35" s="219"/>
    </row>
    <row r="36" spans="1:24" s="261" customFormat="1" ht="11.25" thickTop="1" x14ac:dyDescent="0.15">
      <c r="A36" s="380"/>
      <c r="B36" s="381"/>
      <c r="C36" s="382"/>
      <c r="D36" s="421"/>
      <c r="E36" s="383"/>
      <c r="F36" s="421"/>
      <c r="G36" s="367"/>
      <c r="H36" s="228"/>
      <c r="I36" s="228"/>
      <c r="J36" s="228"/>
      <c r="K36" s="228"/>
      <c r="L36" s="228"/>
      <c r="M36" s="228"/>
      <c r="N36" s="228"/>
      <c r="O36" s="228"/>
      <c r="P36" s="228"/>
      <c r="Q36" s="228"/>
      <c r="R36" s="228"/>
      <c r="S36" s="228"/>
      <c r="T36" s="228"/>
      <c r="U36" s="228"/>
      <c r="V36" s="228"/>
      <c r="W36" s="360"/>
    </row>
    <row r="37" spans="1:24" x14ac:dyDescent="0.15">
      <c r="A37" s="352" t="s">
        <v>23</v>
      </c>
      <c r="B37" s="353"/>
      <c r="C37" s="354"/>
      <c r="D37" s="410"/>
      <c r="E37" s="355"/>
      <c r="F37" s="418"/>
      <c r="G37" s="356"/>
      <c r="H37" s="224"/>
      <c r="I37" s="224"/>
      <c r="J37" s="251"/>
      <c r="K37" s="224"/>
      <c r="L37" s="224"/>
      <c r="M37" s="224"/>
      <c r="N37" s="224"/>
      <c r="O37" s="224"/>
      <c r="P37" s="224"/>
      <c r="Q37" s="224"/>
      <c r="R37" s="224"/>
      <c r="S37" s="224"/>
      <c r="T37" s="224"/>
      <c r="U37" s="224"/>
      <c r="V37" s="252"/>
    </row>
    <row r="38" spans="1:24" x14ac:dyDescent="0.15">
      <c r="A38" s="255" t="s">
        <v>193</v>
      </c>
      <c r="B38" s="255"/>
      <c r="C38" s="368"/>
      <c r="D38" s="412">
        <v>615140</v>
      </c>
      <c r="E38" s="357" t="s">
        <v>156</v>
      </c>
      <c r="F38" s="412" t="s">
        <v>192</v>
      </c>
      <c r="G38" s="369"/>
      <c r="H38" s="559"/>
      <c r="I38" s="226">
        <f>496+1943.25</f>
        <v>2439.25</v>
      </c>
      <c r="J38" s="226">
        <f>498+344</f>
        <v>842</v>
      </c>
      <c r="K38" s="226">
        <f>793+3185.79</f>
        <v>3978.79</v>
      </c>
      <c r="L38" s="226"/>
      <c r="M38" s="226">
        <v>378.37</v>
      </c>
      <c r="N38" s="226">
        <f>805.74+718+3832.79</f>
        <v>5356.53</v>
      </c>
      <c r="O38" s="226">
        <v>3558</v>
      </c>
      <c r="P38" s="226"/>
      <c r="Q38" s="226">
        <v>4140.79</v>
      </c>
      <c r="R38" s="226"/>
      <c r="S38" s="582">
        <v>1428</v>
      </c>
      <c r="T38" s="226"/>
      <c r="U38" s="582"/>
      <c r="V38" s="255">
        <f>SUM(H38:T38)</f>
        <v>22121.73</v>
      </c>
    </row>
    <row r="39" spans="1:24" x14ac:dyDescent="0.15">
      <c r="A39" s="255" t="s">
        <v>282</v>
      </c>
      <c r="B39" s="255"/>
      <c r="C39" s="368"/>
      <c r="D39" s="412">
        <v>615140</v>
      </c>
      <c r="E39" s="357" t="s">
        <v>156</v>
      </c>
      <c r="F39" s="412" t="s">
        <v>179</v>
      </c>
      <c r="G39" s="369">
        <v>4380.18</v>
      </c>
      <c r="H39" s="559"/>
      <c r="I39" s="226">
        <v>4380.1899999999996</v>
      </c>
      <c r="J39" s="226">
        <v>4380.18</v>
      </c>
      <c r="K39" s="226">
        <v>4380.18</v>
      </c>
      <c r="L39" s="226">
        <v>4380.1899999999996</v>
      </c>
      <c r="M39" s="226">
        <v>4380.18</v>
      </c>
      <c r="N39" s="226">
        <v>4380.18</v>
      </c>
      <c r="O39" s="226">
        <v>4380.1899999999996</v>
      </c>
      <c r="P39" s="226">
        <v>4380.18</v>
      </c>
      <c r="Q39" s="226">
        <v>4380.18</v>
      </c>
      <c r="R39" s="226">
        <v>4380.1899999999996</v>
      </c>
      <c r="S39" s="226">
        <v>4380.18</v>
      </c>
      <c r="T39" s="226">
        <v>4380.18</v>
      </c>
      <c r="U39" s="582"/>
      <c r="V39" s="255">
        <f>SUM(H39:T39)</f>
        <v>52562.200000000004</v>
      </c>
    </row>
    <row r="40" spans="1:24" s="221" customFormat="1" ht="11.25" thickBot="1" x14ac:dyDescent="0.2">
      <c r="A40" s="536" t="s">
        <v>11</v>
      </c>
      <c r="B40" s="532"/>
      <c r="C40" s="542"/>
      <c r="D40" s="538"/>
      <c r="E40" s="536"/>
      <c r="F40" s="539"/>
      <c r="G40" s="540"/>
      <c r="H40" s="522">
        <f>SUM(H38:H39)</f>
        <v>0</v>
      </c>
      <c r="I40" s="522">
        <f t="shared" ref="I40:V40" si="7">SUM(I38:I39)</f>
        <v>6819.44</v>
      </c>
      <c r="J40" s="522">
        <f t="shared" si="7"/>
        <v>5222.18</v>
      </c>
      <c r="K40" s="522">
        <f t="shared" si="7"/>
        <v>8358.9700000000012</v>
      </c>
      <c r="L40" s="522">
        <f t="shared" si="7"/>
        <v>4380.1899999999996</v>
      </c>
      <c r="M40" s="522">
        <f t="shared" si="7"/>
        <v>4758.55</v>
      </c>
      <c r="N40" s="522">
        <f t="shared" si="7"/>
        <v>9736.7099999999991</v>
      </c>
      <c r="O40" s="522">
        <f t="shared" si="7"/>
        <v>7938.19</v>
      </c>
      <c r="P40" s="522">
        <f t="shared" si="7"/>
        <v>4380.18</v>
      </c>
      <c r="Q40" s="522">
        <f t="shared" si="7"/>
        <v>8520.9700000000012</v>
      </c>
      <c r="R40" s="522">
        <f t="shared" si="7"/>
        <v>4380.1899999999996</v>
      </c>
      <c r="S40" s="522">
        <f t="shared" si="7"/>
        <v>5808.18</v>
      </c>
      <c r="T40" s="522">
        <f t="shared" si="7"/>
        <v>4380.18</v>
      </c>
      <c r="U40" s="522">
        <f>SUM(U38:U39)</f>
        <v>0</v>
      </c>
      <c r="V40" s="522">
        <f t="shared" si="7"/>
        <v>74683.930000000008</v>
      </c>
      <c r="W40" s="97" t="str">
        <f>+IF(V40=SUM(H40:T40),"contrôle ok", "erreur")</f>
        <v>contrôle ok</v>
      </c>
    </row>
    <row r="41" spans="1:24" s="221" customFormat="1" ht="11.25" thickTop="1" x14ac:dyDescent="0.15">
      <c r="A41" s="328"/>
      <c r="B41" s="361"/>
      <c r="C41" s="362"/>
      <c r="D41" s="414"/>
      <c r="E41" s="363"/>
      <c r="F41" s="414"/>
      <c r="G41" s="364"/>
      <c r="H41" s="229"/>
      <c r="I41" s="229"/>
      <c r="J41" s="229"/>
      <c r="K41" s="229"/>
      <c r="L41" s="229"/>
      <c r="M41" s="229"/>
      <c r="N41" s="257"/>
      <c r="O41" s="229"/>
      <c r="P41" s="229"/>
      <c r="Q41" s="229"/>
      <c r="R41" s="229"/>
      <c r="S41" s="229"/>
      <c r="T41" s="229"/>
      <c r="U41" s="229"/>
      <c r="V41" s="258"/>
    </row>
    <row r="42" spans="1:24" x14ac:dyDescent="0.15">
      <c r="A42" s="352" t="s">
        <v>129</v>
      </c>
      <c r="B42" s="353"/>
      <c r="C42" s="354"/>
      <c r="D42" s="410"/>
      <c r="E42" s="355"/>
      <c r="F42" s="418"/>
      <c r="G42" s="356"/>
      <c r="H42" s="224"/>
      <c r="I42" s="224"/>
      <c r="J42" s="251"/>
      <c r="K42" s="224"/>
      <c r="L42" s="224"/>
      <c r="M42" s="224"/>
      <c r="N42" s="224"/>
      <c r="O42" s="224"/>
      <c r="P42" s="224"/>
      <c r="Q42" s="224"/>
      <c r="R42" s="224"/>
      <c r="S42" s="224"/>
      <c r="T42" s="224"/>
      <c r="U42" s="224"/>
      <c r="V42" s="252"/>
    </row>
    <row r="43" spans="1:24" x14ac:dyDescent="0.15">
      <c r="A43" s="255"/>
      <c r="B43" s="255"/>
      <c r="C43" s="368"/>
      <c r="D43" s="412">
        <v>615145</v>
      </c>
      <c r="E43" s="357" t="s">
        <v>157</v>
      </c>
      <c r="F43" s="412" t="s">
        <v>192</v>
      </c>
      <c r="G43" s="369"/>
      <c r="H43" s="559"/>
      <c r="I43" s="226"/>
      <c r="J43" s="226"/>
      <c r="K43" s="226"/>
      <c r="L43" s="226"/>
      <c r="M43" s="226"/>
      <c r="N43" s="226"/>
      <c r="O43" s="226"/>
      <c r="P43" s="226"/>
      <c r="Q43" s="226"/>
      <c r="R43" s="226"/>
      <c r="S43" s="226"/>
      <c r="T43" s="226"/>
      <c r="U43" s="582"/>
      <c r="V43" s="255">
        <f>SUM(H43:T43)</f>
        <v>0</v>
      </c>
    </row>
    <row r="44" spans="1:24" x14ac:dyDescent="0.15">
      <c r="A44" s="255"/>
      <c r="B44" s="255"/>
      <c r="C44" s="368"/>
      <c r="D44" s="412">
        <v>615145</v>
      </c>
      <c r="E44" s="357" t="s">
        <v>157</v>
      </c>
      <c r="F44" s="412" t="s">
        <v>269</v>
      </c>
      <c r="G44" s="369"/>
      <c r="H44" s="559"/>
      <c r="I44" s="226"/>
      <c r="J44" s="226"/>
      <c r="K44" s="226">
        <f>58.68</f>
        <v>58.68</v>
      </c>
      <c r="L44" s="226"/>
      <c r="M44" s="226">
        <v>109.2</v>
      </c>
      <c r="N44" s="226">
        <v>14.31</v>
      </c>
      <c r="O44" s="226">
        <v>63.34</v>
      </c>
      <c r="P44" s="226"/>
      <c r="Q44" s="226"/>
      <c r="R44" s="226">
        <v>189.63</v>
      </c>
      <c r="S44" s="226"/>
      <c r="T44" s="226"/>
      <c r="U44" s="582"/>
      <c r="V44" s="255">
        <f>SUM(H44:T44)</f>
        <v>435.15999999999997</v>
      </c>
    </row>
    <row r="45" spans="1:24" s="221" customFormat="1" ht="11.25" thickBot="1" x14ac:dyDescent="0.2">
      <c r="A45" s="536" t="s">
        <v>11</v>
      </c>
      <c r="B45" s="532"/>
      <c r="C45" s="542"/>
      <c r="D45" s="538"/>
      <c r="E45" s="536"/>
      <c r="F45" s="539"/>
      <c r="G45" s="540"/>
      <c r="H45" s="522">
        <f>SUM(H44:H44)</f>
        <v>0</v>
      </c>
      <c r="I45" s="522">
        <f t="shared" ref="I45:V45" si="8">SUM(I44:I44)</f>
        <v>0</v>
      </c>
      <c r="J45" s="522">
        <f t="shared" si="8"/>
        <v>0</v>
      </c>
      <c r="K45" s="522">
        <f t="shared" si="8"/>
        <v>58.68</v>
      </c>
      <c r="L45" s="522">
        <f t="shared" si="8"/>
        <v>0</v>
      </c>
      <c r="M45" s="522">
        <f t="shared" si="8"/>
        <v>109.2</v>
      </c>
      <c r="N45" s="522">
        <f t="shared" si="8"/>
        <v>14.31</v>
      </c>
      <c r="O45" s="522">
        <f t="shared" si="8"/>
        <v>63.34</v>
      </c>
      <c r="P45" s="522">
        <f t="shared" si="8"/>
        <v>0</v>
      </c>
      <c r="Q45" s="522">
        <f t="shared" si="8"/>
        <v>0</v>
      </c>
      <c r="R45" s="522">
        <f t="shared" si="8"/>
        <v>189.63</v>
      </c>
      <c r="S45" s="522">
        <f t="shared" si="8"/>
        <v>0</v>
      </c>
      <c r="T45" s="522">
        <f t="shared" si="8"/>
        <v>0</v>
      </c>
      <c r="U45" s="522">
        <f>SUM(U44:U44)</f>
        <v>0</v>
      </c>
      <c r="V45" s="522">
        <f t="shared" si="8"/>
        <v>435.15999999999997</v>
      </c>
      <c r="W45" s="97" t="str">
        <f>+IF(V45=SUM(H45:T45),"contrôle ok", "erreur")</f>
        <v>contrôle ok</v>
      </c>
    </row>
    <row r="46" spans="1:24" s="221" customFormat="1" ht="11.25" thickTop="1" x14ac:dyDescent="0.15">
      <c r="A46" s="361"/>
      <c r="B46" s="361"/>
      <c r="C46" s="362"/>
      <c r="D46" s="414"/>
      <c r="E46" s="363"/>
      <c r="F46" s="414"/>
      <c r="G46" s="364"/>
      <c r="H46" s="229"/>
      <c r="I46" s="229"/>
      <c r="J46" s="229"/>
      <c r="K46" s="229"/>
      <c r="L46" s="229"/>
      <c r="M46" s="229"/>
      <c r="N46" s="257"/>
      <c r="O46" s="229"/>
      <c r="P46" s="229"/>
      <c r="Q46" s="229"/>
      <c r="R46" s="229"/>
      <c r="S46" s="229"/>
      <c r="T46" s="229"/>
      <c r="U46" s="229"/>
      <c r="V46" s="258"/>
    </row>
    <row r="47" spans="1:24" x14ac:dyDescent="0.15">
      <c r="A47" s="352" t="s">
        <v>90</v>
      </c>
      <c r="B47" s="353"/>
      <c r="C47" s="354"/>
      <c r="D47" s="410"/>
      <c r="E47" s="355"/>
      <c r="F47" s="418"/>
      <c r="G47" s="356"/>
      <c r="H47" s="224"/>
      <c r="I47" s="224"/>
      <c r="J47" s="251"/>
      <c r="K47" s="224"/>
      <c r="L47" s="224"/>
      <c r="M47" s="224"/>
      <c r="N47" s="224"/>
      <c r="O47" s="224"/>
      <c r="P47" s="224"/>
      <c r="Q47" s="224"/>
      <c r="R47" s="224"/>
      <c r="S47" s="224"/>
      <c r="T47" s="224"/>
      <c r="U47" s="224"/>
      <c r="V47" s="252"/>
    </row>
    <row r="48" spans="1:24" x14ac:dyDescent="0.15">
      <c r="A48" s="255" t="s">
        <v>193</v>
      </c>
      <c r="B48" s="255"/>
      <c r="C48" s="368"/>
      <c r="D48" s="412">
        <v>615150</v>
      </c>
      <c r="E48" s="357" t="s">
        <v>156</v>
      </c>
      <c r="F48" s="412" t="s">
        <v>192</v>
      </c>
      <c r="G48" s="369"/>
      <c r="H48" s="559"/>
      <c r="I48" s="226"/>
      <c r="J48" s="226"/>
      <c r="K48" s="226"/>
      <c r="L48" s="226"/>
      <c r="M48" s="226"/>
      <c r="N48" s="226"/>
      <c r="O48" s="226"/>
      <c r="P48" s="226"/>
      <c r="Q48" s="226"/>
      <c r="R48" s="226"/>
      <c r="S48" s="226"/>
      <c r="T48" s="226"/>
      <c r="U48" s="226"/>
      <c r="V48" s="255">
        <f>SUM(H48:T48)</f>
        <v>0</v>
      </c>
    </row>
    <row r="49" spans="1:23" s="221" customFormat="1" ht="11.25" thickBot="1" x14ac:dyDescent="0.2">
      <c r="A49" s="536" t="s">
        <v>11</v>
      </c>
      <c r="B49" s="532"/>
      <c r="C49" s="542"/>
      <c r="D49" s="538"/>
      <c r="E49" s="536"/>
      <c r="F49" s="539"/>
      <c r="G49" s="540"/>
      <c r="H49" s="522">
        <f>SUM(H48)</f>
        <v>0</v>
      </c>
      <c r="I49" s="522">
        <f>SUM(I48)</f>
        <v>0</v>
      </c>
      <c r="J49" s="522">
        <f t="shared" ref="J49:V49" si="9">SUM(J48)</f>
        <v>0</v>
      </c>
      <c r="K49" s="522">
        <f t="shared" si="9"/>
        <v>0</v>
      </c>
      <c r="L49" s="522">
        <f t="shared" si="9"/>
        <v>0</v>
      </c>
      <c r="M49" s="522">
        <f t="shared" si="9"/>
        <v>0</v>
      </c>
      <c r="N49" s="522">
        <f t="shared" si="9"/>
        <v>0</v>
      </c>
      <c r="O49" s="522">
        <f t="shared" si="9"/>
        <v>0</v>
      </c>
      <c r="P49" s="522">
        <f t="shared" si="9"/>
        <v>0</v>
      </c>
      <c r="Q49" s="522">
        <f t="shared" si="9"/>
        <v>0</v>
      </c>
      <c r="R49" s="522">
        <f t="shared" si="9"/>
        <v>0</v>
      </c>
      <c r="S49" s="522">
        <f t="shared" si="9"/>
        <v>0</v>
      </c>
      <c r="T49" s="522">
        <f t="shared" si="9"/>
        <v>0</v>
      </c>
      <c r="U49" s="522">
        <f>SUM(U48)</f>
        <v>0</v>
      </c>
      <c r="V49" s="522">
        <f t="shared" si="9"/>
        <v>0</v>
      </c>
      <c r="W49" s="97" t="str">
        <f>+IF(V49=SUM(H49:T49),"contrôle ok", "erreur")</f>
        <v>contrôle ok</v>
      </c>
    </row>
    <row r="50" spans="1:23" s="221" customFormat="1" ht="11.25" thickTop="1" x14ac:dyDescent="0.15">
      <c r="A50" s="361"/>
      <c r="B50" s="361"/>
      <c r="C50" s="362"/>
      <c r="D50" s="414"/>
      <c r="E50" s="363"/>
      <c r="F50" s="414"/>
      <c r="G50" s="364"/>
      <c r="H50" s="229"/>
      <c r="I50" s="229"/>
      <c r="J50" s="229"/>
      <c r="K50" s="229"/>
      <c r="L50" s="229"/>
      <c r="M50" s="229"/>
      <c r="N50" s="257"/>
      <c r="O50" s="229"/>
      <c r="P50" s="229"/>
      <c r="Q50" s="229"/>
      <c r="R50" s="229"/>
      <c r="S50" s="229"/>
      <c r="T50" s="229"/>
      <c r="U50" s="229"/>
      <c r="V50" s="258"/>
    </row>
    <row r="51" spans="1:23" x14ac:dyDescent="0.15">
      <c r="A51" s="352" t="s">
        <v>82</v>
      </c>
      <c r="B51" s="353"/>
      <c r="C51" s="354"/>
      <c r="D51" s="410"/>
      <c r="E51" s="355"/>
      <c r="F51" s="418"/>
      <c r="G51" s="356"/>
      <c r="H51" s="224"/>
      <c r="I51" s="224"/>
      <c r="J51" s="251"/>
      <c r="K51" s="224"/>
      <c r="L51" s="224"/>
      <c r="M51" s="224"/>
      <c r="N51" s="224"/>
      <c r="O51" s="224"/>
      <c r="P51" s="224"/>
      <c r="Q51" s="224"/>
      <c r="R51" s="224"/>
      <c r="S51" s="224"/>
      <c r="T51" s="224"/>
      <c r="U51" s="224"/>
      <c r="V51" s="252"/>
    </row>
    <row r="52" spans="1:23" x14ac:dyDescent="0.15">
      <c r="A52" s="255" t="s">
        <v>164</v>
      </c>
      <c r="B52" s="255"/>
      <c r="C52" s="368"/>
      <c r="D52" s="412">
        <v>615155</v>
      </c>
      <c r="E52" s="357" t="s">
        <v>156</v>
      </c>
      <c r="F52" s="412" t="s">
        <v>192</v>
      </c>
      <c r="G52" s="369"/>
      <c r="H52" s="559"/>
      <c r="I52" s="226"/>
      <c r="J52" s="226"/>
      <c r="K52" s="226"/>
      <c r="L52" s="226"/>
      <c r="M52" s="226"/>
      <c r="N52" s="226"/>
      <c r="O52" s="226"/>
      <c r="P52" s="226"/>
      <c r="Q52" s="226"/>
      <c r="R52" s="226"/>
      <c r="S52" s="226"/>
      <c r="T52" s="226"/>
      <c r="U52" s="582"/>
      <c r="V52" s="255">
        <f>SUM(H52:T52)</f>
        <v>0</v>
      </c>
    </row>
    <row r="53" spans="1:23" x14ac:dyDescent="0.15">
      <c r="A53" s="255" t="s">
        <v>421</v>
      </c>
      <c r="B53" s="470"/>
      <c r="C53" s="368"/>
      <c r="D53" s="412">
        <v>615155</v>
      </c>
      <c r="E53" s="357" t="s">
        <v>156</v>
      </c>
      <c r="F53" s="412" t="s">
        <v>179</v>
      </c>
      <c r="G53" s="369">
        <v>539.55999999999995</v>
      </c>
      <c r="H53" s="559">
        <v>-315.19</v>
      </c>
      <c r="I53" s="226">
        <f>553.05-13.49</f>
        <v>539.55999999999995</v>
      </c>
      <c r="J53" s="226">
        <f>553.05-13.49</f>
        <v>539.55999999999995</v>
      </c>
      <c r="K53" s="226">
        <f>553.05-13.49</f>
        <v>539.55999999999995</v>
      </c>
      <c r="L53" s="226">
        <f>553.05-13.49</f>
        <v>539.55999999999995</v>
      </c>
      <c r="M53" s="226">
        <f>553.05-13.49</f>
        <v>539.55999999999995</v>
      </c>
      <c r="N53" s="226">
        <v>539.55999999999995</v>
      </c>
      <c r="O53" s="226">
        <v>539.55999999999995</v>
      </c>
      <c r="P53" s="226">
        <v>539.55999999999995</v>
      </c>
      <c r="Q53" s="226">
        <v>539.55999999999995</v>
      </c>
      <c r="R53" s="226">
        <v>539.55999999999995</v>
      </c>
      <c r="S53" s="226">
        <v>539.55999999999995</v>
      </c>
      <c r="T53" s="226">
        <f>553.04-13.48</f>
        <v>539.55999999999995</v>
      </c>
      <c r="U53" s="582"/>
      <c r="V53" s="255">
        <f>SUM(H53:T53)</f>
        <v>6159.5299999999988</v>
      </c>
    </row>
    <row r="54" spans="1:23" s="221" customFormat="1" ht="11.25" thickBot="1" x14ac:dyDescent="0.2">
      <c r="A54" s="536" t="s">
        <v>11</v>
      </c>
      <c r="B54" s="532"/>
      <c r="C54" s="542"/>
      <c r="D54" s="538"/>
      <c r="E54" s="536"/>
      <c r="F54" s="539"/>
      <c r="G54" s="540"/>
      <c r="H54" s="522">
        <f t="shared" ref="H54:V54" si="10">SUM(H52:H53)</f>
        <v>-315.19</v>
      </c>
      <c r="I54" s="522">
        <f t="shared" si="10"/>
        <v>539.55999999999995</v>
      </c>
      <c r="J54" s="522">
        <f t="shared" si="10"/>
        <v>539.55999999999995</v>
      </c>
      <c r="K54" s="522">
        <f t="shared" si="10"/>
        <v>539.55999999999995</v>
      </c>
      <c r="L54" s="522">
        <f t="shared" si="10"/>
        <v>539.55999999999995</v>
      </c>
      <c r="M54" s="522">
        <f t="shared" si="10"/>
        <v>539.55999999999995</v>
      </c>
      <c r="N54" s="522">
        <f t="shared" si="10"/>
        <v>539.55999999999995</v>
      </c>
      <c r="O54" s="522">
        <f t="shared" si="10"/>
        <v>539.55999999999995</v>
      </c>
      <c r="P54" s="522">
        <f t="shared" si="10"/>
        <v>539.55999999999995</v>
      </c>
      <c r="Q54" s="522">
        <f t="shared" si="10"/>
        <v>539.55999999999995</v>
      </c>
      <c r="R54" s="522">
        <f t="shared" si="10"/>
        <v>539.55999999999995</v>
      </c>
      <c r="S54" s="522">
        <f t="shared" si="10"/>
        <v>539.55999999999995</v>
      </c>
      <c r="T54" s="522">
        <f t="shared" si="10"/>
        <v>539.55999999999995</v>
      </c>
      <c r="U54" s="522">
        <f>SUM(U52:U53)</f>
        <v>0</v>
      </c>
      <c r="V54" s="522">
        <f t="shared" si="10"/>
        <v>6159.5299999999988</v>
      </c>
      <c r="W54" s="97" t="str">
        <f>+IF(V54=SUM(H54:T54),"contrôle ok", "erreur")</f>
        <v>contrôle ok</v>
      </c>
    </row>
    <row r="55" spans="1:23" s="221" customFormat="1" ht="11.25" thickTop="1" x14ac:dyDescent="0.15">
      <c r="A55" s="361"/>
      <c r="B55" s="361"/>
      <c r="C55" s="362"/>
      <c r="D55" s="414"/>
      <c r="E55" s="363"/>
      <c r="F55" s="414"/>
      <c r="G55" s="364"/>
      <c r="H55" s="229"/>
      <c r="I55" s="229"/>
      <c r="J55" s="229"/>
      <c r="K55" s="229"/>
      <c r="L55" s="229"/>
      <c r="M55" s="229"/>
      <c r="N55" s="257"/>
      <c r="O55" s="229"/>
      <c r="P55" s="229"/>
      <c r="Q55" s="229"/>
      <c r="R55" s="229"/>
      <c r="S55" s="229"/>
      <c r="T55" s="229"/>
      <c r="U55" s="229"/>
      <c r="V55" s="258"/>
    </row>
    <row r="56" spans="1:23" x14ac:dyDescent="0.15">
      <c r="A56" s="352" t="s">
        <v>61</v>
      </c>
      <c r="B56" s="353"/>
      <c r="C56" s="354"/>
      <c r="D56" s="410"/>
      <c r="E56" s="355"/>
      <c r="F56" s="418"/>
      <c r="G56" s="356"/>
      <c r="H56" s="224"/>
      <c r="I56" s="224"/>
      <c r="J56" s="251"/>
      <c r="K56" s="224"/>
      <c r="L56" s="224"/>
      <c r="M56" s="224"/>
      <c r="N56" s="224"/>
      <c r="O56" s="224"/>
      <c r="P56" s="224"/>
      <c r="Q56" s="224"/>
      <c r="R56" s="224"/>
      <c r="S56" s="224"/>
      <c r="T56" s="224"/>
      <c r="U56" s="224"/>
      <c r="V56" s="252"/>
    </row>
    <row r="57" spans="1:23" x14ac:dyDescent="0.15">
      <c r="A57" s="255" t="s">
        <v>193</v>
      </c>
      <c r="B57" s="255"/>
      <c r="C57" s="368"/>
      <c r="D57" s="412">
        <v>615160</v>
      </c>
      <c r="E57" s="357" t="s">
        <v>156</v>
      </c>
      <c r="F57" s="412" t="s">
        <v>192</v>
      </c>
      <c r="G57" s="369"/>
      <c r="H57" s="559"/>
      <c r="I57" s="226"/>
      <c r="J57" s="226"/>
      <c r="K57" s="226"/>
      <c r="L57" s="226"/>
      <c r="M57" s="226"/>
      <c r="N57" s="226"/>
      <c r="O57" s="226"/>
      <c r="P57" s="226"/>
      <c r="Q57" s="226"/>
      <c r="R57" s="226"/>
      <c r="S57" s="226"/>
      <c r="T57" s="226"/>
      <c r="U57" s="582"/>
      <c r="V57" s="255">
        <f>SUM(H57:T57)</f>
        <v>0</v>
      </c>
    </row>
    <row r="58" spans="1:23" s="221" customFormat="1" ht="11.25" thickBot="1" x14ac:dyDescent="0.2">
      <c r="A58" s="536" t="s">
        <v>11</v>
      </c>
      <c r="B58" s="532"/>
      <c r="C58" s="542"/>
      <c r="D58" s="538"/>
      <c r="E58" s="536"/>
      <c r="F58" s="539"/>
      <c r="G58" s="540"/>
      <c r="H58" s="522">
        <f>SUM(H57)</f>
        <v>0</v>
      </c>
      <c r="I58" s="522">
        <f>SUM(I57)</f>
        <v>0</v>
      </c>
      <c r="J58" s="522">
        <f>SUM(J57)</f>
        <v>0</v>
      </c>
      <c r="K58" s="522">
        <f>SUM(K57)</f>
        <v>0</v>
      </c>
      <c r="L58" s="522">
        <f>SUM(L57)</f>
        <v>0</v>
      </c>
      <c r="M58" s="522">
        <f t="shared" ref="M58:V58" si="11">SUM(M57)</f>
        <v>0</v>
      </c>
      <c r="N58" s="522">
        <f t="shared" si="11"/>
        <v>0</v>
      </c>
      <c r="O58" s="522">
        <f t="shared" si="11"/>
        <v>0</v>
      </c>
      <c r="P58" s="522">
        <f t="shared" si="11"/>
        <v>0</v>
      </c>
      <c r="Q58" s="522">
        <f t="shared" si="11"/>
        <v>0</v>
      </c>
      <c r="R58" s="522">
        <f t="shared" si="11"/>
        <v>0</v>
      </c>
      <c r="S58" s="522">
        <f t="shared" si="11"/>
        <v>0</v>
      </c>
      <c r="T58" s="522">
        <f t="shared" si="11"/>
        <v>0</v>
      </c>
      <c r="U58" s="522">
        <f>SUM(U57)</f>
        <v>0</v>
      </c>
      <c r="V58" s="522">
        <f t="shared" si="11"/>
        <v>0</v>
      </c>
      <c r="W58" s="97" t="str">
        <f>+IF(V58=SUM(H58:T58),"contrôle ok", "erreur")</f>
        <v>contrôle ok</v>
      </c>
    </row>
    <row r="59" spans="1:23" s="221" customFormat="1" ht="11.25" thickTop="1" x14ac:dyDescent="0.15">
      <c r="A59" s="361"/>
      <c r="B59" s="361"/>
      <c r="C59" s="362"/>
      <c r="D59" s="414"/>
      <c r="E59" s="363"/>
      <c r="F59" s="414"/>
      <c r="G59" s="364"/>
      <c r="H59" s="229"/>
      <c r="I59" s="229"/>
      <c r="J59" s="229"/>
      <c r="K59" s="229"/>
      <c r="L59" s="229"/>
      <c r="M59" s="229"/>
      <c r="N59" s="257"/>
      <c r="O59" s="229"/>
      <c r="P59" s="229"/>
      <c r="Q59" s="229"/>
      <c r="R59" s="229"/>
      <c r="S59" s="229"/>
      <c r="T59" s="229"/>
      <c r="U59" s="229"/>
      <c r="V59" s="258"/>
    </row>
    <row r="60" spans="1:23" x14ac:dyDescent="0.15">
      <c r="A60" s="352" t="s">
        <v>92</v>
      </c>
      <c r="B60" s="353"/>
      <c r="C60" s="354"/>
      <c r="D60" s="410"/>
      <c r="E60" s="355"/>
      <c r="F60" s="418"/>
      <c r="G60" s="356"/>
      <c r="H60" s="224"/>
      <c r="I60" s="224"/>
      <c r="J60" s="251"/>
      <c r="K60" s="224"/>
      <c r="L60" s="224"/>
      <c r="M60" s="224"/>
      <c r="N60" s="224"/>
      <c r="O60" s="224"/>
      <c r="P60" s="224"/>
      <c r="Q60" s="224"/>
      <c r="R60" s="224"/>
      <c r="S60" s="224"/>
      <c r="T60" s="224"/>
      <c r="U60" s="224"/>
      <c r="V60" s="252"/>
    </row>
    <row r="61" spans="1:23" x14ac:dyDescent="0.15">
      <c r="A61" s="255" t="s">
        <v>193</v>
      </c>
      <c r="B61" s="255"/>
      <c r="C61" s="368"/>
      <c r="D61" s="412">
        <v>615170</v>
      </c>
      <c r="E61" s="357" t="s">
        <v>156</v>
      </c>
      <c r="F61" s="412" t="s">
        <v>192</v>
      </c>
      <c r="G61" s="369"/>
      <c r="H61" s="559"/>
      <c r="I61" s="226"/>
      <c r="J61" s="226"/>
      <c r="K61" s="226"/>
      <c r="L61" s="226"/>
      <c r="M61" s="226"/>
      <c r="N61" s="226"/>
      <c r="O61" s="226"/>
      <c r="P61" s="226">
        <v>280.89999999999998</v>
      </c>
      <c r="Q61" s="226"/>
      <c r="R61" s="226"/>
      <c r="S61" s="226"/>
      <c r="T61" s="226"/>
      <c r="U61" s="226"/>
      <c r="V61" s="255">
        <f>SUM(H61:T61)</f>
        <v>280.89999999999998</v>
      </c>
    </row>
    <row r="62" spans="1:23" s="221" customFormat="1" ht="11.25" thickBot="1" x14ac:dyDescent="0.2">
      <c r="A62" s="536" t="s">
        <v>11</v>
      </c>
      <c r="B62" s="532"/>
      <c r="C62" s="542"/>
      <c r="D62" s="538"/>
      <c r="E62" s="536"/>
      <c r="F62" s="539"/>
      <c r="G62" s="540"/>
      <c r="H62" s="522">
        <f>SUM(H61)</f>
        <v>0</v>
      </c>
      <c r="I62" s="522">
        <f>SUM(I61)</f>
        <v>0</v>
      </c>
      <c r="J62" s="522">
        <f t="shared" ref="J62:V62" si="12">SUM(J61)</f>
        <v>0</v>
      </c>
      <c r="K62" s="522">
        <f t="shared" si="12"/>
        <v>0</v>
      </c>
      <c r="L62" s="522">
        <f t="shared" si="12"/>
        <v>0</v>
      </c>
      <c r="M62" s="522">
        <f t="shared" si="12"/>
        <v>0</v>
      </c>
      <c r="N62" s="522">
        <f t="shared" si="12"/>
        <v>0</v>
      </c>
      <c r="O62" s="522">
        <f t="shared" si="12"/>
        <v>0</v>
      </c>
      <c r="P62" s="522">
        <f t="shared" si="12"/>
        <v>280.89999999999998</v>
      </c>
      <c r="Q62" s="522">
        <f t="shared" si="12"/>
        <v>0</v>
      </c>
      <c r="R62" s="522">
        <f t="shared" si="12"/>
        <v>0</v>
      </c>
      <c r="S62" s="522">
        <f t="shared" si="12"/>
        <v>0</v>
      </c>
      <c r="T62" s="522">
        <f t="shared" si="12"/>
        <v>0</v>
      </c>
      <c r="U62" s="522">
        <f>SUM(U61)</f>
        <v>0</v>
      </c>
      <c r="V62" s="522">
        <f t="shared" si="12"/>
        <v>280.89999999999998</v>
      </c>
      <c r="W62" s="97" t="str">
        <f>+IF(V62=SUM(H62:T62),"contrôle ok", "erreur")</f>
        <v>contrôle ok</v>
      </c>
    </row>
    <row r="63" spans="1:23" s="221" customFormat="1" ht="11.25" thickTop="1" x14ac:dyDescent="0.15">
      <c r="A63" s="361"/>
      <c r="B63" s="361"/>
      <c r="C63" s="362"/>
      <c r="D63" s="414"/>
      <c r="E63" s="363"/>
      <c r="F63" s="414"/>
      <c r="G63" s="364"/>
      <c r="H63" s="229"/>
      <c r="I63" s="229"/>
      <c r="J63" s="229"/>
      <c r="K63" s="229"/>
      <c r="L63" s="229"/>
      <c r="M63" s="229"/>
      <c r="N63" s="257"/>
      <c r="O63" s="229"/>
      <c r="P63" s="229"/>
      <c r="Q63" s="229"/>
      <c r="R63" s="229"/>
      <c r="S63" s="229"/>
      <c r="T63" s="229"/>
      <c r="U63" s="229"/>
      <c r="V63" s="258"/>
    </row>
    <row r="64" spans="1:23" x14ac:dyDescent="0.15">
      <c r="A64" s="352" t="s">
        <v>330</v>
      </c>
      <c r="B64" s="353"/>
      <c r="C64" s="354"/>
      <c r="D64" s="410"/>
      <c r="E64" s="355"/>
      <c r="F64" s="418"/>
      <c r="G64" s="356"/>
      <c r="H64" s="224"/>
      <c r="I64" s="224"/>
      <c r="J64" s="224"/>
      <c r="K64" s="224"/>
      <c r="L64" s="224"/>
      <c r="M64" s="224"/>
      <c r="N64" s="224"/>
      <c r="O64" s="224"/>
      <c r="P64" s="224"/>
      <c r="Q64" s="224"/>
      <c r="R64" s="224"/>
      <c r="S64" s="224"/>
      <c r="T64" s="224"/>
      <c r="U64" s="224"/>
      <c r="V64" s="252"/>
    </row>
    <row r="65" spans="1:23" x14ac:dyDescent="0.15">
      <c r="A65" s="377" t="s">
        <v>452</v>
      </c>
      <c r="B65" s="377" t="s">
        <v>460</v>
      </c>
      <c r="C65" s="378"/>
      <c r="D65" s="411">
        <v>615175</v>
      </c>
      <c r="E65" s="376" t="s">
        <v>157</v>
      </c>
      <c r="F65" s="411" t="s">
        <v>179</v>
      </c>
      <c r="G65" s="428">
        <v>201.8</v>
      </c>
      <c r="H65" s="559"/>
      <c r="I65" s="226">
        <v>201.8</v>
      </c>
      <c r="J65" s="226">
        <v>201.8</v>
      </c>
      <c r="K65" s="226">
        <v>0.05</v>
      </c>
      <c r="L65" s="226"/>
      <c r="M65" s="226"/>
      <c r="N65" s="226"/>
      <c r="O65" s="226"/>
      <c r="P65" s="226"/>
      <c r="Q65" s="226"/>
      <c r="R65" s="226"/>
      <c r="S65" s="226"/>
      <c r="T65" s="226"/>
      <c r="U65" s="226"/>
      <c r="V65" s="255">
        <f t="shared" ref="V65:V72" si="13">SUM(H65:T65)</f>
        <v>403.65000000000003</v>
      </c>
    </row>
    <row r="66" spans="1:23" x14ac:dyDescent="0.15">
      <c r="A66" s="377" t="s">
        <v>452</v>
      </c>
      <c r="B66" s="377" t="s">
        <v>460</v>
      </c>
      <c r="C66" s="378" t="s">
        <v>826</v>
      </c>
      <c r="D66" s="411">
        <v>615175</v>
      </c>
      <c r="E66" s="376" t="s">
        <v>157</v>
      </c>
      <c r="F66" s="411" t="s">
        <v>179</v>
      </c>
      <c r="G66" s="428">
        <v>131.86000000000001</v>
      </c>
      <c r="H66" s="559"/>
      <c r="I66" s="226">
        <v>131.87</v>
      </c>
      <c r="J66" s="226">
        <v>131.87</v>
      </c>
      <c r="K66" s="226">
        <v>131.87</v>
      </c>
      <c r="L66" s="226">
        <v>131.87</v>
      </c>
      <c r="M66" s="226">
        <v>131.87</v>
      </c>
      <c r="N66" s="226">
        <v>131.87</v>
      </c>
      <c r="O66" s="226">
        <v>131.87</v>
      </c>
      <c r="P66" s="226">
        <v>131.87</v>
      </c>
      <c r="Q66" s="226">
        <v>131.87</v>
      </c>
      <c r="R66" s="226">
        <v>131.87</v>
      </c>
      <c r="S66" s="226">
        <v>131.87</v>
      </c>
      <c r="T66" s="226">
        <v>131.80000000000001</v>
      </c>
      <c r="U66" s="582"/>
      <c r="V66" s="255">
        <f t="shared" si="13"/>
        <v>1582.3699999999997</v>
      </c>
    </row>
    <row r="67" spans="1:23" x14ac:dyDescent="0.15">
      <c r="A67" s="143" t="s">
        <v>452</v>
      </c>
      <c r="B67" s="143" t="s">
        <v>472</v>
      </c>
      <c r="C67" s="144" t="s">
        <v>532</v>
      </c>
      <c r="D67" s="411">
        <v>615175</v>
      </c>
      <c r="E67" s="357" t="s">
        <v>157</v>
      </c>
      <c r="F67" s="145" t="s">
        <v>179</v>
      </c>
      <c r="G67" s="369">
        <v>252.14</v>
      </c>
      <c r="H67" s="559"/>
      <c r="I67" s="226">
        <v>252.14</v>
      </c>
      <c r="J67" s="226">
        <v>252.14</v>
      </c>
      <c r="K67" s="226">
        <v>252.14</v>
      </c>
      <c r="L67" s="226">
        <v>252.14</v>
      </c>
      <c r="M67" s="226">
        <v>252.14</v>
      </c>
      <c r="N67" s="226">
        <v>252.14</v>
      </c>
      <c r="O67" s="226">
        <v>252.14</v>
      </c>
      <c r="P67" s="226">
        <v>252.14</v>
      </c>
      <c r="Q67" s="226">
        <v>252.14</v>
      </c>
      <c r="R67" s="226">
        <v>252.14</v>
      </c>
      <c r="S67" s="226">
        <v>252.14</v>
      </c>
      <c r="T67" s="226">
        <v>252.14</v>
      </c>
      <c r="U67" s="582"/>
      <c r="V67" s="255">
        <f t="shared" si="13"/>
        <v>3025.6799999999989</v>
      </c>
    </row>
    <row r="68" spans="1:23" x14ac:dyDescent="0.15">
      <c r="A68" s="143" t="s">
        <v>452</v>
      </c>
      <c r="B68" s="484" t="s">
        <v>553</v>
      </c>
      <c r="C68" s="137" t="s">
        <v>640</v>
      </c>
      <c r="D68" s="411">
        <v>615175</v>
      </c>
      <c r="E68" s="357" t="s">
        <v>157</v>
      </c>
      <c r="F68" s="145" t="s">
        <v>179</v>
      </c>
      <c r="G68" s="369">
        <v>20.92</v>
      </c>
      <c r="H68" s="559"/>
      <c r="I68" s="226">
        <v>20.92</v>
      </c>
      <c r="J68" s="226">
        <v>20.92</v>
      </c>
      <c r="K68" s="226">
        <v>20.92</v>
      </c>
      <c r="L68" s="226">
        <v>20.92</v>
      </c>
      <c r="M68" s="226">
        <v>20.92</v>
      </c>
      <c r="N68" s="226">
        <v>20.92</v>
      </c>
      <c r="O68" s="226">
        <v>20.92</v>
      </c>
      <c r="P68" s="226">
        <v>20.92</v>
      </c>
      <c r="Q68" s="226">
        <v>20.92</v>
      </c>
      <c r="R68" s="226">
        <v>20.92</v>
      </c>
      <c r="S68" s="226">
        <v>20.92</v>
      </c>
      <c r="T68" s="226">
        <v>20.92</v>
      </c>
      <c r="U68" s="582"/>
      <c r="V68" s="255">
        <f t="shared" si="13"/>
        <v>251.04000000000008</v>
      </c>
    </row>
    <row r="69" spans="1:23" x14ac:dyDescent="0.15">
      <c r="A69" s="143" t="s">
        <v>452</v>
      </c>
      <c r="B69" s="143" t="s">
        <v>522</v>
      </c>
      <c r="C69" s="144" t="s">
        <v>532</v>
      </c>
      <c r="D69" s="411">
        <v>615175</v>
      </c>
      <c r="E69" s="357" t="s">
        <v>157</v>
      </c>
      <c r="F69" s="145" t="s">
        <v>179</v>
      </c>
      <c r="G69" s="369">
        <v>37.5</v>
      </c>
      <c r="H69" s="559"/>
      <c r="I69" s="226">
        <v>37.5</v>
      </c>
      <c r="J69" s="226">
        <v>37.5</v>
      </c>
      <c r="K69" s="226">
        <v>37.5</v>
      </c>
      <c r="L69" s="226">
        <v>37.5</v>
      </c>
      <c r="M69" s="226">
        <v>37.5</v>
      </c>
      <c r="N69" s="226">
        <v>37.5</v>
      </c>
      <c r="O69" s="226">
        <v>37.5</v>
      </c>
      <c r="P69" s="226">
        <v>37.5</v>
      </c>
      <c r="Q69" s="226">
        <v>37.5</v>
      </c>
      <c r="R69" s="226">
        <v>37.5</v>
      </c>
      <c r="S69" s="226">
        <v>37.5</v>
      </c>
      <c r="T69" s="226">
        <v>37.5</v>
      </c>
      <c r="U69" s="582"/>
      <c r="V69" s="255">
        <f t="shared" si="13"/>
        <v>450</v>
      </c>
    </row>
    <row r="70" spans="1:23" x14ac:dyDescent="0.15">
      <c r="A70" s="377" t="s">
        <v>452</v>
      </c>
      <c r="B70" s="377"/>
      <c r="C70" s="378"/>
      <c r="D70" s="411">
        <v>615175</v>
      </c>
      <c r="E70" s="376" t="s">
        <v>157</v>
      </c>
      <c r="F70" s="411" t="s">
        <v>179</v>
      </c>
      <c r="G70" s="428">
        <v>13.75</v>
      </c>
      <c r="H70" s="559"/>
      <c r="I70" s="226">
        <v>13.75</v>
      </c>
      <c r="J70" s="226">
        <v>13.75</v>
      </c>
      <c r="K70" s="226">
        <v>13.75</v>
      </c>
      <c r="L70" s="226">
        <v>13.75</v>
      </c>
      <c r="M70" s="226">
        <v>13.75</v>
      </c>
      <c r="N70" s="226">
        <v>13.75</v>
      </c>
      <c r="O70" s="226">
        <v>13.75</v>
      </c>
      <c r="P70" s="226">
        <v>13.75</v>
      </c>
      <c r="Q70" s="226">
        <v>13.75</v>
      </c>
      <c r="R70" s="226">
        <v>13.75</v>
      </c>
      <c r="S70" s="226">
        <v>13.75</v>
      </c>
      <c r="T70" s="226">
        <v>13.75</v>
      </c>
      <c r="U70" s="582"/>
      <c r="V70" s="255">
        <f t="shared" si="13"/>
        <v>165</v>
      </c>
    </row>
    <row r="71" spans="1:23" x14ac:dyDescent="0.15">
      <c r="A71" s="377" t="s">
        <v>452</v>
      </c>
      <c r="B71" s="143" t="s">
        <v>500</v>
      </c>
      <c r="C71" s="144" t="s">
        <v>827</v>
      </c>
      <c r="D71" s="411">
        <v>615175</v>
      </c>
      <c r="E71" s="357" t="s">
        <v>157</v>
      </c>
      <c r="F71" s="145" t="s">
        <v>179</v>
      </c>
      <c r="G71" s="433">
        <v>10.63</v>
      </c>
      <c r="H71" s="559"/>
      <c r="I71" s="226">
        <v>10.63</v>
      </c>
      <c r="J71" s="226">
        <v>10.63</v>
      </c>
      <c r="K71" s="226">
        <v>10.63</v>
      </c>
      <c r="L71" s="226">
        <v>10.63</v>
      </c>
      <c r="M71" s="226">
        <v>10.63</v>
      </c>
      <c r="N71" s="226">
        <v>10.63</v>
      </c>
      <c r="O71" s="226">
        <v>10.63</v>
      </c>
      <c r="P71" s="226">
        <v>10.63</v>
      </c>
      <c r="Q71" s="226">
        <v>10.63</v>
      </c>
      <c r="R71" s="226">
        <v>10.63</v>
      </c>
      <c r="S71" s="226">
        <v>10.63</v>
      </c>
      <c r="T71" s="226">
        <v>10.63</v>
      </c>
      <c r="U71" s="582"/>
      <c r="V71" s="255">
        <f t="shared" si="13"/>
        <v>127.55999999999999</v>
      </c>
    </row>
    <row r="72" spans="1:23" x14ac:dyDescent="0.15">
      <c r="A72" s="377" t="s">
        <v>452</v>
      </c>
      <c r="B72" s="143" t="s">
        <v>500</v>
      </c>
      <c r="C72" s="144" t="s">
        <v>828</v>
      </c>
      <c r="D72" s="411">
        <v>615175</v>
      </c>
      <c r="E72" s="357" t="s">
        <v>157</v>
      </c>
      <c r="F72" s="145" t="s">
        <v>179</v>
      </c>
      <c r="G72" s="433">
        <v>21.26</v>
      </c>
      <c r="H72" s="559"/>
      <c r="I72" s="226">
        <v>21.26</v>
      </c>
      <c r="J72" s="226">
        <v>21.26</v>
      </c>
      <c r="K72" s="226">
        <v>21.26</v>
      </c>
      <c r="L72" s="226">
        <v>21.26</v>
      </c>
      <c r="M72" s="226">
        <v>21.26</v>
      </c>
      <c r="N72" s="226">
        <v>21.26</v>
      </c>
      <c r="O72" s="226">
        <v>21.26</v>
      </c>
      <c r="P72" s="226">
        <v>21.26</v>
      </c>
      <c r="Q72" s="226">
        <v>21.26</v>
      </c>
      <c r="R72" s="226">
        <v>21.26</v>
      </c>
      <c r="S72" s="226">
        <v>21.26</v>
      </c>
      <c r="T72" s="226">
        <v>21.26</v>
      </c>
      <c r="U72" s="582"/>
      <c r="V72" s="255">
        <f t="shared" si="13"/>
        <v>255.11999999999998</v>
      </c>
    </row>
    <row r="73" spans="1:23" s="221" customFormat="1" ht="11.25" thickBot="1" x14ac:dyDescent="0.2">
      <c r="A73" s="536" t="s">
        <v>11</v>
      </c>
      <c r="B73" s="532"/>
      <c r="C73" s="542"/>
      <c r="D73" s="538"/>
      <c r="E73" s="536"/>
      <c r="F73" s="539"/>
      <c r="G73" s="549"/>
      <c r="H73" s="522">
        <f t="shared" ref="H73:V73" si="14">SUM(H65:H72)</f>
        <v>0</v>
      </c>
      <c r="I73" s="522">
        <f t="shared" si="14"/>
        <v>689.86999999999989</v>
      </c>
      <c r="J73" s="522">
        <f t="shared" si="14"/>
        <v>689.86999999999989</v>
      </c>
      <c r="K73" s="522">
        <f t="shared" si="14"/>
        <v>488.12</v>
      </c>
      <c r="L73" s="522">
        <f t="shared" si="14"/>
        <v>488.07</v>
      </c>
      <c r="M73" s="522">
        <f t="shared" si="14"/>
        <v>488.07</v>
      </c>
      <c r="N73" s="522">
        <f t="shared" si="14"/>
        <v>488.07</v>
      </c>
      <c r="O73" s="522">
        <f t="shared" si="14"/>
        <v>488.07</v>
      </c>
      <c r="P73" s="522">
        <f t="shared" si="14"/>
        <v>488.07</v>
      </c>
      <c r="Q73" s="522">
        <f t="shared" si="14"/>
        <v>488.07</v>
      </c>
      <c r="R73" s="522">
        <f t="shared" si="14"/>
        <v>488.07</v>
      </c>
      <c r="S73" s="522">
        <f t="shared" si="14"/>
        <v>488.07</v>
      </c>
      <c r="T73" s="522">
        <f t="shared" si="14"/>
        <v>488</v>
      </c>
      <c r="U73" s="522">
        <f>SUM(U65:U72)</f>
        <v>0</v>
      </c>
      <c r="V73" s="522">
        <f t="shared" si="14"/>
        <v>6260.4199999999992</v>
      </c>
      <c r="W73" s="97" t="str">
        <f>+IF(V73=SUM(H73:T73),"contrôle ok", "erreur")</f>
        <v>contrôle ok</v>
      </c>
    </row>
    <row r="74" spans="1:23" s="221" customFormat="1" ht="11.25" thickTop="1" x14ac:dyDescent="0.15">
      <c r="A74" s="361"/>
      <c r="B74" s="361"/>
      <c r="C74" s="362"/>
      <c r="D74" s="414"/>
      <c r="E74" s="384"/>
      <c r="F74" s="414"/>
      <c r="G74" s="364"/>
      <c r="H74" s="229"/>
      <c r="I74" s="229"/>
      <c r="J74" s="229"/>
      <c r="K74" s="229"/>
      <c r="L74" s="229"/>
      <c r="M74" s="229"/>
      <c r="N74" s="257"/>
      <c r="O74" s="229"/>
      <c r="P74" s="229"/>
      <c r="Q74" s="229"/>
      <c r="R74" s="229"/>
      <c r="S74" s="229"/>
      <c r="T74" s="229"/>
      <c r="U74" s="229"/>
      <c r="V74" s="258"/>
    </row>
    <row r="75" spans="1:23" x14ac:dyDescent="0.15">
      <c r="A75" s="352" t="s">
        <v>228</v>
      </c>
      <c r="B75" s="353"/>
      <c r="C75" s="354"/>
      <c r="D75" s="410"/>
      <c r="E75" s="355"/>
      <c r="F75" s="418"/>
      <c r="G75" s="356"/>
      <c r="H75" s="224"/>
      <c r="I75" s="224"/>
      <c r="J75" s="224"/>
      <c r="K75" s="224"/>
      <c r="L75" s="224"/>
      <c r="M75" s="224"/>
      <c r="N75" s="224"/>
      <c r="O75" s="224"/>
      <c r="P75" s="224"/>
      <c r="Q75" s="224"/>
      <c r="R75" s="224"/>
      <c r="S75" s="224"/>
      <c r="T75" s="224"/>
      <c r="U75" s="224"/>
      <c r="V75" s="252"/>
    </row>
    <row r="76" spans="1:23" x14ac:dyDescent="0.15">
      <c r="A76" s="255" t="s">
        <v>238</v>
      </c>
      <c r="B76" s="255"/>
      <c r="C76" s="368"/>
      <c r="D76" s="412">
        <v>615176</v>
      </c>
      <c r="E76" s="357" t="s">
        <v>157</v>
      </c>
      <c r="F76" s="412" t="s">
        <v>192</v>
      </c>
      <c r="G76" s="369"/>
      <c r="H76" s="559"/>
      <c r="I76" s="226"/>
      <c r="J76" s="226"/>
      <c r="K76" s="226"/>
      <c r="L76" s="226"/>
      <c r="M76" s="226">
        <v>428</v>
      </c>
      <c r="N76" s="226"/>
      <c r="O76" s="226"/>
      <c r="P76" s="226"/>
      <c r="Q76" s="226"/>
      <c r="R76" s="226"/>
      <c r="S76" s="226"/>
      <c r="T76" s="226"/>
      <c r="U76" s="226"/>
      <c r="V76" s="255">
        <f>SUM(H76:T76)</f>
        <v>428</v>
      </c>
    </row>
    <row r="77" spans="1:23" s="221" customFormat="1" ht="11.25" thickBot="1" x14ac:dyDescent="0.2">
      <c r="A77" s="536" t="s">
        <v>11</v>
      </c>
      <c r="B77" s="532"/>
      <c r="C77" s="542"/>
      <c r="D77" s="538"/>
      <c r="E77" s="536"/>
      <c r="F77" s="539"/>
      <c r="G77" s="549"/>
      <c r="H77" s="522">
        <f>+H76</f>
        <v>0</v>
      </c>
      <c r="I77" s="522">
        <f>+I76</f>
        <v>0</v>
      </c>
      <c r="J77" s="522">
        <f t="shared" ref="J77:V77" si="15">+J76</f>
        <v>0</v>
      </c>
      <c r="K77" s="522">
        <f t="shared" si="15"/>
        <v>0</v>
      </c>
      <c r="L77" s="522">
        <f t="shared" si="15"/>
        <v>0</v>
      </c>
      <c r="M77" s="522">
        <f t="shared" si="15"/>
        <v>428</v>
      </c>
      <c r="N77" s="522">
        <f t="shared" si="15"/>
        <v>0</v>
      </c>
      <c r="O77" s="522">
        <f t="shared" si="15"/>
        <v>0</v>
      </c>
      <c r="P77" s="522">
        <f t="shared" si="15"/>
        <v>0</v>
      </c>
      <c r="Q77" s="522">
        <f t="shared" si="15"/>
        <v>0</v>
      </c>
      <c r="R77" s="522">
        <f t="shared" si="15"/>
        <v>0</v>
      </c>
      <c r="S77" s="522">
        <f t="shared" si="15"/>
        <v>0</v>
      </c>
      <c r="T77" s="522">
        <f t="shared" si="15"/>
        <v>0</v>
      </c>
      <c r="U77" s="522">
        <f>+U76</f>
        <v>0</v>
      </c>
      <c r="V77" s="522">
        <f t="shared" si="15"/>
        <v>428</v>
      </c>
      <c r="W77" s="97" t="str">
        <f>+IF(V77=SUM(H77:T77),"contrôle ok", "erreur")</f>
        <v>contrôle ok</v>
      </c>
    </row>
    <row r="78" spans="1:23" s="221" customFormat="1" ht="11.25" thickTop="1" x14ac:dyDescent="0.15">
      <c r="A78" s="361"/>
      <c r="B78" s="361"/>
      <c r="C78" s="362"/>
      <c r="D78" s="414"/>
      <c r="E78" s="363"/>
      <c r="F78" s="414"/>
      <c r="G78" s="364"/>
      <c r="H78" s="229"/>
      <c r="I78" s="229"/>
      <c r="J78" s="229"/>
      <c r="K78" s="229"/>
      <c r="L78" s="229"/>
      <c r="M78" s="229"/>
      <c r="N78" s="257"/>
      <c r="O78" s="229"/>
      <c r="P78" s="229"/>
      <c r="Q78" s="229"/>
      <c r="R78" s="229"/>
      <c r="S78" s="229"/>
      <c r="T78" s="229"/>
      <c r="U78" s="229"/>
      <c r="V78" s="258"/>
    </row>
    <row r="79" spans="1:23" x14ac:dyDescent="0.15">
      <c r="A79" s="352" t="s">
        <v>28</v>
      </c>
      <c r="B79" s="353"/>
      <c r="C79" s="354"/>
      <c r="D79" s="410"/>
      <c r="E79" s="355"/>
      <c r="F79" s="418"/>
      <c r="G79" s="356"/>
      <c r="H79" s="224"/>
      <c r="I79" s="224"/>
      <c r="J79" s="251"/>
      <c r="K79" s="224"/>
      <c r="L79" s="224"/>
      <c r="M79" s="224"/>
      <c r="N79" s="224"/>
      <c r="O79" s="224"/>
      <c r="P79" s="224"/>
      <c r="Q79" s="224"/>
      <c r="R79" s="224"/>
      <c r="S79" s="224"/>
      <c r="T79" s="224"/>
      <c r="U79" s="224"/>
      <c r="V79" s="252"/>
    </row>
    <row r="80" spans="1:23" x14ac:dyDescent="0.15">
      <c r="A80" s="255" t="s">
        <v>253</v>
      </c>
      <c r="B80" s="255"/>
      <c r="C80" s="368"/>
      <c r="D80" s="412"/>
      <c r="E80" s="357"/>
      <c r="F80" s="412"/>
      <c r="G80" s="369"/>
      <c r="H80" s="559"/>
      <c r="I80" s="226"/>
      <c r="J80" s="226"/>
      <c r="K80" s="226"/>
      <c r="L80" s="226"/>
      <c r="M80" s="226"/>
      <c r="N80" s="226"/>
      <c r="O80" s="226"/>
      <c r="P80" s="226"/>
      <c r="Q80" s="226"/>
      <c r="R80" s="226"/>
      <c r="S80" s="226"/>
      <c r="T80" s="226"/>
      <c r="U80" s="582"/>
      <c r="V80" s="255">
        <f>SUM(H80:T80)</f>
        <v>0</v>
      </c>
    </row>
    <row r="81" spans="1:23" x14ac:dyDescent="0.15">
      <c r="A81" s="255" t="s">
        <v>252</v>
      </c>
      <c r="B81" s="255"/>
      <c r="C81" s="368" t="s">
        <v>533</v>
      </c>
      <c r="D81" s="412">
        <v>615180</v>
      </c>
      <c r="E81" s="357" t="s">
        <v>156</v>
      </c>
      <c r="F81" s="412" t="s">
        <v>268</v>
      </c>
      <c r="G81" s="369">
        <v>1500</v>
      </c>
      <c r="H81" s="559">
        <f>4353.5-4500</f>
        <v>-146.5</v>
      </c>
      <c r="I81" s="226">
        <v>1462.05</v>
      </c>
      <c r="J81" s="226">
        <v>1462.05</v>
      </c>
      <c r="K81" s="226">
        <v>1462.05</v>
      </c>
      <c r="L81" s="226">
        <v>1462.05</v>
      </c>
      <c r="M81" s="226">
        <v>1462.05</v>
      </c>
      <c r="N81" s="226">
        <v>1462.05</v>
      </c>
      <c r="O81" s="226">
        <v>1462.05</v>
      </c>
      <c r="P81" s="226">
        <v>1462.05</v>
      </c>
      <c r="Q81" s="226">
        <v>1462.05</v>
      </c>
      <c r="R81" s="582">
        <v>1500</v>
      </c>
      <c r="S81" s="582">
        <v>1500</v>
      </c>
      <c r="T81" s="226"/>
      <c r="U81" s="582"/>
      <c r="V81" s="255">
        <f>SUM(H81:T81)</f>
        <v>16011.949999999997</v>
      </c>
    </row>
    <row r="82" spans="1:23" x14ac:dyDescent="0.15">
      <c r="A82" s="255" t="s">
        <v>469</v>
      </c>
      <c r="B82" s="255"/>
      <c r="C82" s="368"/>
      <c r="D82" s="412">
        <v>615180</v>
      </c>
      <c r="E82" s="357" t="s">
        <v>156</v>
      </c>
      <c r="F82" s="412" t="s">
        <v>269</v>
      </c>
      <c r="G82" s="369"/>
      <c r="H82" s="559"/>
      <c r="I82" s="226"/>
      <c r="J82" s="226"/>
      <c r="K82" s="226"/>
      <c r="L82" s="226"/>
      <c r="M82" s="226"/>
      <c r="N82" s="226"/>
      <c r="O82" s="226"/>
      <c r="P82" s="226"/>
      <c r="Q82" s="226"/>
      <c r="R82" s="226"/>
      <c r="S82" s="226"/>
      <c r="T82" s="226"/>
      <c r="U82" s="582"/>
      <c r="V82" s="255">
        <f>SUM(H82:T82)</f>
        <v>0</v>
      </c>
    </row>
    <row r="83" spans="1:23" s="221" customFormat="1" ht="11.25" thickBot="1" x14ac:dyDescent="0.2">
      <c r="A83" s="536" t="s">
        <v>11</v>
      </c>
      <c r="B83" s="532"/>
      <c r="C83" s="542"/>
      <c r="D83" s="538"/>
      <c r="E83" s="536"/>
      <c r="F83" s="539"/>
      <c r="G83" s="540"/>
      <c r="H83" s="522">
        <f>SUM(H80:H82)</f>
        <v>-146.5</v>
      </c>
      <c r="I83" s="522">
        <f t="shared" ref="I83:V83" si="16">SUM(I80:I82)</f>
        <v>1462.05</v>
      </c>
      <c r="J83" s="522">
        <f t="shared" si="16"/>
        <v>1462.05</v>
      </c>
      <c r="K83" s="522">
        <f t="shared" si="16"/>
        <v>1462.05</v>
      </c>
      <c r="L83" s="522">
        <f t="shared" si="16"/>
        <v>1462.05</v>
      </c>
      <c r="M83" s="522">
        <f t="shared" si="16"/>
        <v>1462.05</v>
      </c>
      <c r="N83" s="522">
        <f t="shared" si="16"/>
        <v>1462.05</v>
      </c>
      <c r="O83" s="522">
        <f t="shared" si="16"/>
        <v>1462.05</v>
      </c>
      <c r="P83" s="522">
        <f t="shared" si="16"/>
        <v>1462.05</v>
      </c>
      <c r="Q83" s="522">
        <f t="shared" si="16"/>
        <v>1462.05</v>
      </c>
      <c r="R83" s="522">
        <f t="shared" si="16"/>
        <v>1500</v>
      </c>
      <c r="S83" s="522">
        <f t="shared" si="16"/>
        <v>1500</v>
      </c>
      <c r="T83" s="522">
        <f t="shared" si="16"/>
        <v>0</v>
      </c>
      <c r="U83" s="522">
        <f>SUM(U80:U82)</f>
        <v>0</v>
      </c>
      <c r="V83" s="522">
        <f t="shared" si="16"/>
        <v>16011.949999999997</v>
      </c>
      <c r="W83" s="97" t="str">
        <f>+IF(V83=SUM(H83:T83),"contrôle ok", "erreur")</f>
        <v>contrôle ok</v>
      </c>
    </row>
    <row r="84" spans="1:23" s="221" customFormat="1" ht="11.25" thickTop="1" x14ac:dyDescent="0.15">
      <c r="A84" s="361"/>
      <c r="B84" s="361"/>
      <c r="C84" s="362"/>
      <c r="D84" s="414"/>
      <c r="E84" s="363"/>
      <c r="F84" s="414"/>
      <c r="G84" s="364"/>
      <c r="H84" s="229"/>
      <c r="I84" s="229"/>
      <c r="J84" s="229"/>
      <c r="K84" s="229"/>
      <c r="L84" s="229"/>
      <c r="M84" s="229"/>
      <c r="N84" s="257"/>
      <c r="O84" s="229"/>
      <c r="P84" s="229"/>
      <c r="Q84" s="229"/>
      <c r="R84" s="229"/>
      <c r="S84" s="229"/>
      <c r="T84" s="229"/>
      <c r="U84" s="229"/>
      <c r="V84" s="258"/>
    </row>
    <row r="85" spans="1:23" x14ac:dyDescent="0.15">
      <c r="A85" s="352" t="s">
        <v>91</v>
      </c>
      <c r="B85" s="353"/>
      <c r="C85" s="354"/>
      <c r="D85" s="410"/>
      <c r="E85" s="355"/>
      <c r="F85" s="418"/>
      <c r="G85" s="356"/>
      <c r="H85" s="224"/>
      <c r="I85" s="224"/>
      <c r="J85" s="251"/>
      <c r="K85" s="224"/>
      <c r="L85" s="224"/>
      <c r="M85" s="224"/>
      <c r="N85" s="224"/>
      <c r="O85" s="224"/>
      <c r="P85" s="224"/>
      <c r="Q85" s="224"/>
      <c r="R85" s="224"/>
      <c r="S85" s="224"/>
      <c r="T85" s="224"/>
      <c r="U85" s="224"/>
      <c r="V85" s="252"/>
    </row>
    <row r="86" spans="1:23" x14ac:dyDescent="0.15">
      <c r="A86" s="255"/>
      <c r="B86" s="255"/>
      <c r="C86" s="368"/>
      <c r="D86" s="412">
        <v>615190</v>
      </c>
      <c r="E86" s="357" t="s">
        <v>156</v>
      </c>
      <c r="F86" s="412" t="s">
        <v>181</v>
      </c>
      <c r="G86" s="369"/>
      <c r="H86" s="559"/>
      <c r="I86" s="226"/>
      <c r="J86" s="226"/>
      <c r="K86" s="226"/>
      <c r="L86" s="226"/>
      <c r="M86" s="226"/>
      <c r="N86" s="226"/>
      <c r="O86" s="226"/>
      <c r="P86" s="226"/>
      <c r="Q86" s="226"/>
      <c r="R86" s="226"/>
      <c r="S86" s="226"/>
      <c r="T86" s="226"/>
      <c r="U86" s="582"/>
      <c r="V86" s="255">
        <f t="shared" ref="V86:V96" si="17">SUM(H86:T86)</f>
        <v>0</v>
      </c>
    </row>
    <row r="87" spans="1:23" x14ac:dyDescent="0.15">
      <c r="A87" s="255"/>
      <c r="B87" s="255"/>
      <c r="C87" s="368"/>
      <c r="D87" s="412">
        <v>615190</v>
      </c>
      <c r="E87" s="357" t="s">
        <v>156</v>
      </c>
      <c r="F87" s="412" t="s">
        <v>185</v>
      </c>
      <c r="G87" s="369"/>
      <c r="H87" s="559"/>
      <c r="I87" s="226"/>
      <c r="J87" s="226"/>
      <c r="K87" s="226"/>
      <c r="L87" s="226"/>
      <c r="M87" s="226"/>
      <c r="N87" s="226"/>
      <c r="O87" s="226"/>
      <c r="P87" s="226"/>
      <c r="Q87" s="226"/>
      <c r="R87" s="226"/>
      <c r="S87" s="226"/>
      <c r="T87" s="226"/>
      <c r="U87" s="582"/>
      <c r="V87" s="255">
        <f t="shared" si="17"/>
        <v>0</v>
      </c>
    </row>
    <row r="88" spans="1:23" x14ac:dyDescent="0.15">
      <c r="A88" s="255" t="s">
        <v>207</v>
      </c>
      <c r="B88" s="255"/>
      <c r="C88" s="368"/>
      <c r="D88" s="412">
        <v>615190</v>
      </c>
      <c r="E88" s="357" t="s">
        <v>156</v>
      </c>
      <c r="F88" s="412" t="s">
        <v>199</v>
      </c>
      <c r="G88" s="369"/>
      <c r="H88" s="559"/>
      <c r="I88" s="226"/>
      <c r="J88" s="226"/>
      <c r="K88" s="226"/>
      <c r="L88" s="226"/>
      <c r="M88" s="226">
        <v>52.99</v>
      </c>
      <c r="N88" s="226"/>
      <c r="O88" s="226">
        <f>536.14+833.64+1053.09</f>
        <v>2422.87</v>
      </c>
      <c r="P88" s="226"/>
      <c r="Q88" s="226"/>
      <c r="R88" s="226"/>
      <c r="S88" s="226"/>
      <c r="T88" s="226"/>
      <c r="U88" s="582"/>
      <c r="V88" s="255">
        <f>SUM(H88:T88)</f>
        <v>2475.8599999999997</v>
      </c>
    </row>
    <row r="89" spans="1:23" x14ac:dyDescent="0.15">
      <c r="A89" s="255" t="s">
        <v>104</v>
      </c>
      <c r="B89" s="255"/>
      <c r="C89" s="368"/>
      <c r="D89" s="412">
        <v>615190</v>
      </c>
      <c r="E89" s="357" t="s">
        <v>156</v>
      </c>
      <c r="F89" s="412" t="s">
        <v>200</v>
      </c>
      <c r="G89" s="369"/>
      <c r="H89" s="559"/>
      <c r="I89" s="226"/>
      <c r="J89" s="226"/>
      <c r="K89" s="226"/>
      <c r="L89" s="226"/>
      <c r="M89" s="226"/>
      <c r="N89" s="226"/>
      <c r="O89" s="226"/>
      <c r="P89" s="226"/>
      <c r="Q89" s="226">
        <v>1170</v>
      </c>
      <c r="R89" s="226"/>
      <c r="S89" s="226"/>
      <c r="T89" s="226"/>
      <c r="U89" s="582"/>
      <c r="V89" s="255">
        <f t="shared" si="17"/>
        <v>1170</v>
      </c>
    </row>
    <row r="90" spans="1:23" x14ac:dyDescent="0.15">
      <c r="A90" s="255"/>
      <c r="B90" s="255"/>
      <c r="C90" s="368"/>
      <c r="D90" s="412">
        <v>615190</v>
      </c>
      <c r="E90" s="357" t="s">
        <v>156</v>
      </c>
      <c r="F90" s="412" t="s">
        <v>192</v>
      </c>
      <c r="G90" s="369"/>
      <c r="H90" s="559"/>
      <c r="I90" s="226"/>
      <c r="J90" s="226"/>
      <c r="K90" s="226"/>
      <c r="L90" s="226"/>
      <c r="M90" s="226"/>
      <c r="N90" s="226"/>
      <c r="O90" s="226"/>
      <c r="P90" s="226"/>
      <c r="Q90" s="226"/>
      <c r="R90" s="226"/>
      <c r="S90" s="226"/>
      <c r="T90" s="226"/>
      <c r="U90" s="582"/>
      <c r="V90" s="255">
        <f t="shared" si="17"/>
        <v>0</v>
      </c>
    </row>
    <row r="91" spans="1:23" x14ac:dyDescent="0.15">
      <c r="A91" s="255" t="s">
        <v>283</v>
      </c>
      <c r="B91" s="255"/>
      <c r="C91" s="368"/>
      <c r="D91" s="412">
        <v>615190</v>
      </c>
      <c r="E91" s="357" t="s">
        <v>156</v>
      </c>
      <c r="F91" s="412" t="s">
        <v>179</v>
      </c>
      <c r="G91" s="369">
        <v>1856.89</v>
      </c>
      <c r="H91" s="559"/>
      <c r="I91" s="226">
        <v>1856.89</v>
      </c>
      <c r="J91" s="226">
        <v>1856.89</v>
      </c>
      <c r="K91" s="226">
        <v>1856.89</v>
      </c>
      <c r="L91" s="226">
        <v>1856.89</v>
      </c>
      <c r="M91" s="226">
        <v>1856.89</v>
      </c>
      <c r="N91" s="226">
        <v>1856.89</v>
      </c>
      <c r="O91" s="226">
        <v>1856.89</v>
      </c>
      <c r="P91" s="226">
        <v>1856.89</v>
      </c>
      <c r="Q91" s="226">
        <v>1856.89</v>
      </c>
      <c r="R91" s="226">
        <v>1856.89</v>
      </c>
      <c r="S91" s="226">
        <v>1856.89</v>
      </c>
      <c r="T91" s="226">
        <v>1856.83</v>
      </c>
      <c r="U91" s="582"/>
      <c r="V91" s="255">
        <f t="shared" si="17"/>
        <v>22282.619999999995</v>
      </c>
    </row>
    <row r="92" spans="1:23" x14ac:dyDescent="0.15">
      <c r="A92" s="255" t="s">
        <v>43</v>
      </c>
      <c r="C92" s="368" t="s">
        <v>525</v>
      </c>
      <c r="D92" s="412">
        <v>615190</v>
      </c>
      <c r="E92" s="357" t="s">
        <v>156</v>
      </c>
      <c r="F92" s="412" t="s">
        <v>196</v>
      </c>
      <c r="G92" s="369">
        <v>152.38</v>
      </c>
      <c r="H92" s="559">
        <v>-2015.81</v>
      </c>
      <c r="I92" s="582">
        <v>155</v>
      </c>
      <c r="J92" s="582">
        <v>155</v>
      </c>
      <c r="K92" s="582">
        <v>155</v>
      </c>
      <c r="L92" s="582">
        <v>155</v>
      </c>
      <c r="M92" s="582">
        <v>155</v>
      </c>
      <c r="N92" s="582">
        <v>155</v>
      </c>
      <c r="O92" s="582">
        <v>155</v>
      </c>
      <c r="P92" s="226">
        <v>-1085</v>
      </c>
      <c r="Q92" s="226"/>
      <c r="R92" s="226"/>
      <c r="S92" s="226"/>
      <c r="T92" s="226"/>
      <c r="U92" s="582"/>
      <c r="V92" s="255">
        <f t="shared" si="17"/>
        <v>-2015.81</v>
      </c>
    </row>
    <row r="93" spans="1:23" x14ac:dyDescent="0.15">
      <c r="A93" s="510" t="s">
        <v>789</v>
      </c>
      <c r="C93" s="557">
        <v>2017</v>
      </c>
      <c r="D93" s="412">
        <v>615190</v>
      </c>
      <c r="E93" s="357" t="s">
        <v>156</v>
      </c>
      <c r="F93" s="412" t="s">
        <v>196</v>
      </c>
      <c r="G93" s="369">
        <v>187.25</v>
      </c>
      <c r="H93" s="559"/>
      <c r="I93" s="226">
        <v>187.25</v>
      </c>
      <c r="J93" s="226">
        <v>187.25</v>
      </c>
      <c r="K93" s="226">
        <v>187.25</v>
      </c>
      <c r="L93" s="226">
        <v>187.25</v>
      </c>
      <c r="M93" s="226">
        <v>187.25</v>
      </c>
      <c r="N93" s="226">
        <v>187.25</v>
      </c>
      <c r="O93" s="226">
        <v>187.25</v>
      </c>
      <c r="P93" s="226">
        <v>187.25</v>
      </c>
      <c r="Q93" s="226">
        <v>187.25</v>
      </c>
      <c r="R93" s="226">
        <v>187.25</v>
      </c>
      <c r="S93" s="226">
        <v>187.25</v>
      </c>
      <c r="T93" s="226">
        <v>187.25</v>
      </c>
      <c r="U93" s="582"/>
      <c r="V93" s="255">
        <f t="shared" si="17"/>
        <v>2247</v>
      </c>
    </row>
    <row r="94" spans="1:23" x14ac:dyDescent="0.15">
      <c r="A94" s="255"/>
      <c r="B94" s="255"/>
      <c r="C94" s="368"/>
      <c r="D94" s="412">
        <v>615190</v>
      </c>
      <c r="E94" s="357" t="s">
        <v>156</v>
      </c>
      <c r="F94" s="412" t="s">
        <v>184</v>
      </c>
      <c r="G94" s="369"/>
      <c r="H94" s="559"/>
      <c r="I94" s="226"/>
      <c r="J94" s="226"/>
      <c r="K94" s="226"/>
      <c r="L94" s="226"/>
      <c r="M94" s="369"/>
      <c r="N94" s="226"/>
      <c r="O94" s="226"/>
      <c r="P94" s="226"/>
      <c r="Q94" s="226"/>
      <c r="R94" s="226"/>
      <c r="S94" s="226"/>
      <c r="T94" s="226"/>
      <c r="U94" s="582"/>
      <c r="V94" s="255">
        <f t="shared" si="17"/>
        <v>0</v>
      </c>
    </row>
    <row r="95" spans="1:23" x14ac:dyDescent="0.15">
      <c r="A95" s="255" t="s">
        <v>207</v>
      </c>
      <c r="B95" s="255"/>
      <c r="C95" s="368"/>
      <c r="D95" s="412">
        <v>615190</v>
      </c>
      <c r="E95" s="357" t="s">
        <v>156</v>
      </c>
      <c r="F95" s="412" t="s">
        <v>198</v>
      </c>
      <c r="G95" s="369"/>
      <c r="H95" s="559"/>
      <c r="I95" s="226"/>
      <c r="J95" s="226"/>
      <c r="K95" s="226"/>
      <c r="L95" s="226"/>
      <c r="M95" s="226"/>
      <c r="N95" s="226"/>
      <c r="O95" s="226"/>
      <c r="P95" s="226"/>
      <c r="Q95" s="226"/>
      <c r="R95" s="226"/>
      <c r="S95" s="226"/>
      <c r="T95" s="226"/>
      <c r="U95" s="582"/>
      <c r="V95" s="255">
        <f t="shared" si="17"/>
        <v>0</v>
      </c>
    </row>
    <row r="96" spans="1:23" x14ac:dyDescent="0.15">
      <c r="A96" s="255"/>
      <c r="B96" s="255"/>
      <c r="C96" s="368"/>
      <c r="D96" s="412">
        <v>615190</v>
      </c>
      <c r="E96" s="357" t="s">
        <v>156</v>
      </c>
      <c r="F96" s="412" t="s">
        <v>197</v>
      </c>
      <c r="G96" s="369"/>
      <c r="H96" s="559"/>
      <c r="I96" s="226"/>
      <c r="J96" s="226"/>
      <c r="K96" s="226"/>
      <c r="L96" s="226"/>
      <c r="M96" s="226"/>
      <c r="N96" s="226"/>
      <c r="O96" s="226"/>
      <c r="P96" s="226"/>
      <c r="Q96" s="226"/>
      <c r="R96" s="226"/>
      <c r="S96" s="226"/>
      <c r="T96" s="226"/>
      <c r="U96" s="582"/>
      <c r="V96" s="255">
        <f t="shared" si="17"/>
        <v>0</v>
      </c>
    </row>
    <row r="97" spans="1:23" s="221" customFormat="1" ht="11.25" thickBot="1" x14ac:dyDescent="0.2">
      <c r="A97" s="536" t="s">
        <v>11</v>
      </c>
      <c r="B97" s="532"/>
      <c r="C97" s="542"/>
      <c r="D97" s="538"/>
      <c r="E97" s="536"/>
      <c r="F97" s="539"/>
      <c r="G97" s="540"/>
      <c r="H97" s="522">
        <f>SUM(H86:H96)</f>
        <v>-2015.81</v>
      </c>
      <c r="I97" s="522">
        <f>SUM(I86:I96)</f>
        <v>2199.1400000000003</v>
      </c>
      <c r="J97" s="522">
        <f t="shared" ref="J97:V97" si="18">SUM(J86:J96)</f>
        <v>2199.1400000000003</v>
      </c>
      <c r="K97" s="522">
        <f t="shared" si="18"/>
        <v>2199.1400000000003</v>
      </c>
      <c r="L97" s="522">
        <f t="shared" si="18"/>
        <v>2199.1400000000003</v>
      </c>
      <c r="M97" s="522">
        <f t="shared" si="18"/>
        <v>2252.13</v>
      </c>
      <c r="N97" s="522">
        <f t="shared" si="18"/>
        <v>2199.1400000000003</v>
      </c>
      <c r="O97" s="522">
        <f t="shared" si="18"/>
        <v>4622.01</v>
      </c>
      <c r="P97" s="522">
        <f t="shared" si="18"/>
        <v>959.1400000000001</v>
      </c>
      <c r="Q97" s="522">
        <f>SUM(Q86:Q96)</f>
        <v>3214.1400000000003</v>
      </c>
      <c r="R97" s="522">
        <f>SUM(R86:R96)</f>
        <v>2044.14</v>
      </c>
      <c r="S97" s="522">
        <f>SUM(S86:S96)</f>
        <v>2044.14</v>
      </c>
      <c r="T97" s="522">
        <f t="shared" si="18"/>
        <v>2044.08</v>
      </c>
      <c r="U97" s="522">
        <f>SUM(U86:U96)</f>
        <v>0</v>
      </c>
      <c r="V97" s="522">
        <f t="shared" si="18"/>
        <v>26159.669999999995</v>
      </c>
      <c r="W97" s="97" t="str">
        <f>+IF(V97=SUM(H97:T97),"contrôle ok", "erreur")</f>
        <v>contrôle ok</v>
      </c>
    </row>
    <row r="98" spans="1:23" ht="11.25" thickTop="1" x14ac:dyDescent="0.15">
      <c r="A98" s="361"/>
      <c r="B98" s="361"/>
      <c r="C98" s="362"/>
      <c r="D98" s="414"/>
      <c r="E98" s="363"/>
      <c r="F98" s="414"/>
      <c r="G98" s="364"/>
      <c r="H98" s="229"/>
      <c r="I98" s="229"/>
      <c r="J98" s="229"/>
      <c r="K98" s="229"/>
      <c r="L98" s="229"/>
      <c r="M98" s="229"/>
      <c r="N98" s="229"/>
      <c r="O98" s="229"/>
      <c r="P98" s="229"/>
      <c r="Q98" s="229"/>
      <c r="R98" s="229"/>
      <c r="S98" s="229"/>
      <c r="T98" s="229"/>
      <c r="U98" s="229"/>
      <c r="V98" s="258"/>
    </row>
    <row r="99" spans="1:23" x14ac:dyDescent="0.15">
      <c r="A99" s="352" t="s">
        <v>127</v>
      </c>
      <c r="B99" s="353"/>
      <c r="C99" s="354"/>
      <c r="D99" s="410"/>
      <c r="E99" s="355"/>
      <c r="F99" s="418"/>
      <c r="G99" s="356"/>
      <c r="H99" s="224"/>
      <c r="I99" s="224"/>
      <c r="J99" s="251"/>
      <c r="K99" s="224"/>
      <c r="L99" s="224"/>
      <c r="M99" s="224"/>
      <c r="N99" s="224"/>
      <c r="O99" s="224"/>
      <c r="P99" s="224"/>
      <c r="Q99" s="224"/>
      <c r="R99" s="224"/>
      <c r="S99" s="224"/>
      <c r="T99" s="224"/>
      <c r="U99" s="224"/>
      <c r="V99" s="252"/>
    </row>
    <row r="100" spans="1:23" x14ac:dyDescent="0.15">
      <c r="A100" s="255" t="s">
        <v>266</v>
      </c>
      <c r="B100" s="255"/>
      <c r="C100" s="368"/>
      <c r="D100" s="412">
        <v>615191</v>
      </c>
      <c r="E100" s="357" t="s">
        <v>156</v>
      </c>
      <c r="F100" s="412" t="s">
        <v>192</v>
      </c>
      <c r="G100" s="369"/>
      <c r="H100" s="559"/>
      <c r="I100" s="226"/>
      <c r="J100" s="226"/>
      <c r="K100" s="226"/>
      <c r="L100" s="226"/>
      <c r="M100" s="226"/>
      <c r="N100" s="226"/>
      <c r="O100" s="226"/>
      <c r="P100" s="226"/>
      <c r="Q100" s="226"/>
      <c r="R100" s="226"/>
      <c r="S100" s="226"/>
      <c r="T100" s="226"/>
      <c r="U100" s="226"/>
      <c r="V100" s="255">
        <f>SUM(H100:T100)</f>
        <v>0</v>
      </c>
    </row>
    <row r="101" spans="1:23" x14ac:dyDescent="0.15">
      <c r="A101" s="255" t="s">
        <v>303</v>
      </c>
      <c r="B101" s="255" t="s">
        <v>526</v>
      </c>
      <c r="C101" s="368" t="s">
        <v>615</v>
      </c>
      <c r="D101" s="412">
        <v>615191</v>
      </c>
      <c r="E101" s="357" t="s">
        <v>156</v>
      </c>
      <c r="F101" s="412" t="s">
        <v>179</v>
      </c>
      <c r="G101" s="369">
        <v>149.81</v>
      </c>
      <c r="H101" s="559"/>
      <c r="I101" s="226">
        <v>149.81</v>
      </c>
      <c r="J101" s="226">
        <v>149.81</v>
      </c>
      <c r="K101" s="226">
        <v>149.81</v>
      </c>
      <c r="L101" s="226">
        <v>149.81</v>
      </c>
      <c r="M101" s="226">
        <v>149.81</v>
      </c>
      <c r="N101" s="608"/>
      <c r="O101" s="608"/>
      <c r="P101" s="608"/>
      <c r="Q101" s="608"/>
      <c r="R101" s="608"/>
      <c r="S101" s="608"/>
      <c r="T101" s="608"/>
      <c r="U101" s="608"/>
      <c r="V101" s="255">
        <f>SUM(H101:T101)</f>
        <v>749.05</v>
      </c>
    </row>
    <row r="102" spans="1:23" s="221" customFormat="1" ht="11.25" thickBot="1" x14ac:dyDescent="0.2">
      <c r="A102" s="536" t="s">
        <v>11</v>
      </c>
      <c r="B102" s="532"/>
      <c r="C102" s="542"/>
      <c r="D102" s="538"/>
      <c r="E102" s="536"/>
      <c r="F102" s="539"/>
      <c r="G102" s="540"/>
      <c r="H102" s="522">
        <f>SUM(H100:H101)</f>
        <v>0</v>
      </c>
      <c r="I102" s="522">
        <f>SUM(I100:I101)</f>
        <v>149.81</v>
      </c>
      <c r="J102" s="522">
        <f t="shared" ref="J102:V102" si="19">SUM(J100:J101)</f>
        <v>149.81</v>
      </c>
      <c r="K102" s="522">
        <f t="shared" si="19"/>
        <v>149.81</v>
      </c>
      <c r="L102" s="522">
        <f t="shared" si="19"/>
        <v>149.81</v>
      </c>
      <c r="M102" s="522">
        <f t="shared" si="19"/>
        <v>149.81</v>
      </c>
      <c r="N102" s="522">
        <f t="shared" si="19"/>
        <v>0</v>
      </c>
      <c r="O102" s="522">
        <f t="shared" si="19"/>
        <v>0</v>
      </c>
      <c r="P102" s="522">
        <f t="shared" si="19"/>
        <v>0</v>
      </c>
      <c r="Q102" s="522">
        <f t="shared" si="19"/>
        <v>0</v>
      </c>
      <c r="R102" s="522">
        <f t="shared" si="19"/>
        <v>0</v>
      </c>
      <c r="S102" s="522">
        <f t="shared" si="19"/>
        <v>0</v>
      </c>
      <c r="T102" s="522">
        <f t="shared" si="19"/>
        <v>0</v>
      </c>
      <c r="U102" s="522">
        <f>SUM(U100:U101)</f>
        <v>0</v>
      </c>
      <c r="V102" s="522">
        <f t="shared" si="19"/>
        <v>749.05</v>
      </c>
      <c r="W102" s="97" t="str">
        <f>+IF(V102=SUM(H102:T102),"contrôle ok", "erreur")</f>
        <v>contrôle ok</v>
      </c>
    </row>
    <row r="103" spans="1:23" s="221" customFormat="1" ht="11.25" thickTop="1" x14ac:dyDescent="0.15">
      <c r="A103" s="361"/>
      <c r="B103" s="361"/>
      <c r="C103" s="362"/>
      <c r="D103" s="414"/>
      <c r="E103" s="363"/>
      <c r="F103" s="414"/>
      <c r="G103" s="364"/>
      <c r="H103" s="229"/>
      <c r="I103" s="229"/>
      <c r="J103" s="229"/>
      <c r="K103" s="229"/>
      <c r="L103" s="229"/>
      <c r="M103" s="229"/>
      <c r="N103" s="257"/>
      <c r="O103" s="229"/>
      <c r="P103" s="229"/>
      <c r="Q103" s="229"/>
      <c r="R103" s="229"/>
      <c r="S103" s="229"/>
      <c r="T103" s="229"/>
      <c r="U103" s="229"/>
      <c r="V103" s="258"/>
    </row>
    <row r="104" spans="1:23" x14ac:dyDescent="0.15">
      <c r="A104" s="352" t="s">
        <v>93</v>
      </c>
      <c r="B104" s="353"/>
      <c r="C104" s="354"/>
      <c r="D104" s="410"/>
      <c r="E104" s="355"/>
      <c r="F104" s="418"/>
      <c r="G104" s="356"/>
      <c r="H104" s="224"/>
      <c r="I104" s="224"/>
      <c r="J104" s="251"/>
      <c r="K104" s="224"/>
      <c r="L104" s="224"/>
      <c r="M104" s="224"/>
      <c r="N104" s="224"/>
      <c r="O104" s="224"/>
      <c r="P104" s="224"/>
      <c r="Q104" s="224"/>
      <c r="R104" s="224"/>
      <c r="S104" s="224"/>
      <c r="T104" s="224"/>
      <c r="U104" s="224"/>
      <c r="V104" s="252"/>
    </row>
    <row r="105" spans="1:23" x14ac:dyDescent="0.15">
      <c r="A105" s="255" t="s">
        <v>406</v>
      </c>
      <c r="B105" s="255"/>
      <c r="C105" s="368"/>
      <c r="D105" s="412">
        <v>615193</v>
      </c>
      <c r="E105" s="357" t="s">
        <v>156</v>
      </c>
      <c r="F105" s="412" t="s">
        <v>192</v>
      </c>
      <c r="G105" s="369"/>
      <c r="H105" s="559"/>
      <c r="I105" s="226"/>
      <c r="J105" s="226"/>
      <c r="K105" s="226">
        <v>238</v>
      </c>
      <c r="L105" s="226"/>
      <c r="M105" s="226"/>
      <c r="N105" s="226"/>
      <c r="O105" s="226"/>
      <c r="P105" s="226"/>
      <c r="Q105" s="226"/>
      <c r="R105" s="226"/>
      <c r="S105" s="226">
        <v>2520</v>
      </c>
      <c r="T105" s="226"/>
      <c r="U105" s="582"/>
      <c r="V105" s="255">
        <f t="shared" ref="V105:V112" si="20">SUM(H105:T105)</f>
        <v>2758</v>
      </c>
    </row>
    <row r="106" spans="1:23" x14ac:dyDescent="0.15">
      <c r="A106" s="255"/>
      <c r="B106" s="255"/>
      <c r="C106" s="368"/>
      <c r="D106" s="412">
        <v>615193</v>
      </c>
      <c r="E106" s="357" t="s">
        <v>156</v>
      </c>
      <c r="F106" s="412" t="s">
        <v>187</v>
      </c>
      <c r="G106" s="369"/>
      <c r="H106" s="559"/>
      <c r="I106" s="226"/>
      <c r="J106" s="226"/>
      <c r="K106" s="226"/>
      <c r="L106" s="226"/>
      <c r="M106" s="226"/>
      <c r="N106" s="226"/>
      <c r="O106" s="226"/>
      <c r="P106" s="226"/>
      <c r="Q106" s="226"/>
      <c r="R106" s="226"/>
      <c r="S106" s="226"/>
      <c r="T106" s="226"/>
      <c r="U106" s="582"/>
      <c r="V106" s="255">
        <f t="shared" si="20"/>
        <v>0</v>
      </c>
    </row>
    <row r="107" spans="1:23" x14ac:dyDescent="0.15">
      <c r="A107" s="255"/>
      <c r="B107" s="255"/>
      <c r="C107" s="368"/>
      <c r="D107" s="412">
        <v>615193</v>
      </c>
      <c r="E107" s="357" t="s">
        <v>156</v>
      </c>
      <c r="F107" s="412" t="s">
        <v>189</v>
      </c>
      <c r="G107" s="369"/>
      <c r="H107" s="559"/>
      <c r="I107" s="226"/>
      <c r="J107" s="226"/>
      <c r="K107" s="226"/>
      <c r="L107" s="226"/>
      <c r="M107" s="226"/>
      <c r="N107" s="226"/>
      <c r="O107" s="226"/>
      <c r="P107" s="226"/>
      <c r="Q107" s="226"/>
      <c r="R107" s="226"/>
      <c r="S107" s="226"/>
      <c r="T107" s="226"/>
      <c r="U107" s="582"/>
      <c r="V107" s="255">
        <f t="shared" si="20"/>
        <v>0</v>
      </c>
    </row>
    <row r="108" spans="1:23" x14ac:dyDescent="0.15">
      <c r="A108" s="255"/>
      <c r="B108" s="255"/>
      <c r="C108" s="368"/>
      <c r="D108" s="412">
        <v>615193</v>
      </c>
      <c r="E108" s="357" t="s">
        <v>156</v>
      </c>
      <c r="F108" s="412" t="s">
        <v>191</v>
      </c>
      <c r="G108" s="369"/>
      <c r="H108" s="559"/>
      <c r="I108" s="226"/>
      <c r="J108" s="226"/>
      <c r="K108" s="226"/>
      <c r="L108" s="226">
        <v>1420.49</v>
      </c>
      <c r="M108" s="226"/>
      <c r="N108" s="226"/>
      <c r="O108" s="226"/>
      <c r="P108" s="226">
        <v>449.83</v>
      </c>
      <c r="Q108" s="226"/>
      <c r="R108" s="226"/>
      <c r="S108" s="226"/>
      <c r="T108" s="226"/>
      <c r="U108" s="582"/>
      <c r="V108" s="255">
        <f t="shared" si="20"/>
        <v>1870.32</v>
      </c>
    </row>
    <row r="109" spans="1:23" x14ac:dyDescent="0.15">
      <c r="A109" s="255"/>
      <c r="B109" s="255"/>
      <c r="C109" s="368"/>
      <c r="D109" s="412">
        <v>615193</v>
      </c>
      <c r="E109" s="357" t="s">
        <v>156</v>
      </c>
      <c r="F109" s="412" t="s">
        <v>201</v>
      </c>
      <c r="G109" s="369"/>
      <c r="H109" s="559"/>
      <c r="I109" s="226"/>
      <c r="J109" s="226"/>
      <c r="K109" s="226"/>
      <c r="L109" s="226"/>
      <c r="M109" s="226"/>
      <c r="N109" s="226"/>
      <c r="O109" s="226"/>
      <c r="P109" s="226"/>
      <c r="Q109" s="226"/>
      <c r="R109" s="226"/>
      <c r="S109" s="226"/>
      <c r="T109" s="226"/>
      <c r="U109" s="582"/>
      <c r="V109" s="255">
        <f t="shared" si="20"/>
        <v>0</v>
      </c>
    </row>
    <row r="110" spans="1:23" x14ac:dyDescent="0.15">
      <c r="A110" s="255" t="s">
        <v>190</v>
      </c>
      <c r="B110" s="255"/>
      <c r="C110" s="368"/>
      <c r="D110" s="412">
        <v>615193</v>
      </c>
      <c r="E110" s="357" t="s">
        <v>156</v>
      </c>
      <c r="F110" s="412" t="s">
        <v>184</v>
      </c>
      <c r="G110" s="369"/>
      <c r="H110" s="559"/>
      <c r="I110" s="226"/>
      <c r="J110" s="226"/>
      <c r="K110" s="226"/>
      <c r="L110" s="226"/>
      <c r="M110" s="226"/>
      <c r="N110" s="226"/>
      <c r="O110" s="226"/>
      <c r="P110" s="226"/>
      <c r="Q110" s="226"/>
      <c r="R110" s="226"/>
      <c r="S110" s="226"/>
      <c r="T110" s="226"/>
      <c r="U110" s="582"/>
      <c r="V110" s="255">
        <f t="shared" si="20"/>
        <v>0</v>
      </c>
    </row>
    <row r="111" spans="1:23" x14ac:dyDescent="0.15">
      <c r="A111" s="255"/>
      <c r="B111" s="255"/>
      <c r="C111" s="368"/>
      <c r="D111" s="412">
        <v>615193</v>
      </c>
      <c r="E111" s="357" t="s">
        <v>156</v>
      </c>
      <c r="F111" s="412" t="s">
        <v>179</v>
      </c>
      <c r="G111" s="369"/>
      <c r="H111" s="559"/>
      <c r="I111" s="226">
        <v>135.72</v>
      </c>
      <c r="J111" s="226"/>
      <c r="K111" s="226"/>
      <c r="L111" s="226">
        <v>2592.5</v>
      </c>
      <c r="M111" s="226"/>
      <c r="N111" s="226"/>
      <c r="O111" s="226">
        <v>135.72</v>
      </c>
      <c r="P111" s="226"/>
      <c r="Q111" s="226"/>
      <c r="R111" s="226"/>
      <c r="S111" s="226"/>
      <c r="T111" s="226">
        <v>2819.25</v>
      </c>
      <c r="U111" s="582"/>
      <c r="V111" s="255">
        <f t="shared" si="20"/>
        <v>5683.19</v>
      </c>
    </row>
    <row r="112" spans="1:23" x14ac:dyDescent="0.15">
      <c r="A112" s="255" t="s">
        <v>151</v>
      </c>
      <c r="B112" s="255"/>
      <c r="C112" s="368"/>
      <c r="D112" s="412">
        <v>615193</v>
      </c>
      <c r="E112" s="357" t="s">
        <v>156</v>
      </c>
      <c r="F112" s="412" t="s">
        <v>243</v>
      </c>
      <c r="G112" s="369"/>
      <c r="H112" s="559"/>
      <c r="I112" s="226"/>
      <c r="J112" s="226"/>
      <c r="K112" s="226"/>
      <c r="L112" s="226"/>
      <c r="M112" s="226"/>
      <c r="N112" s="226"/>
      <c r="O112" s="226"/>
      <c r="P112" s="226"/>
      <c r="Q112" s="226"/>
      <c r="R112" s="226"/>
      <c r="S112" s="226"/>
      <c r="T112" s="226">
        <v>2464.79</v>
      </c>
      <c r="U112" s="582"/>
      <c r="V112" s="255">
        <f t="shared" si="20"/>
        <v>2464.79</v>
      </c>
    </row>
    <row r="113" spans="1:23" s="221" customFormat="1" ht="11.25" thickBot="1" x14ac:dyDescent="0.2">
      <c r="A113" s="536" t="s">
        <v>11</v>
      </c>
      <c r="B113" s="532"/>
      <c r="C113" s="542"/>
      <c r="D113" s="538"/>
      <c r="E113" s="536"/>
      <c r="F113" s="539"/>
      <c r="G113" s="540"/>
      <c r="H113" s="522">
        <f>SUM(H105:H112)</f>
        <v>0</v>
      </c>
      <c r="I113" s="522">
        <f>SUM(I105:I112)</f>
        <v>135.72</v>
      </c>
      <c r="J113" s="522">
        <f t="shared" ref="J113:T113" si="21">SUM(J105:J112)</f>
        <v>0</v>
      </c>
      <c r="K113" s="522">
        <f t="shared" si="21"/>
        <v>238</v>
      </c>
      <c r="L113" s="522">
        <f t="shared" si="21"/>
        <v>4012.99</v>
      </c>
      <c r="M113" s="522">
        <f t="shared" si="21"/>
        <v>0</v>
      </c>
      <c r="N113" s="522">
        <f t="shared" si="21"/>
        <v>0</v>
      </c>
      <c r="O113" s="522">
        <f t="shared" si="21"/>
        <v>135.72</v>
      </c>
      <c r="P113" s="522">
        <f t="shared" si="21"/>
        <v>449.83</v>
      </c>
      <c r="Q113" s="522">
        <f t="shared" si="21"/>
        <v>0</v>
      </c>
      <c r="R113" s="522">
        <f t="shared" si="21"/>
        <v>0</v>
      </c>
      <c r="S113" s="522">
        <f t="shared" si="21"/>
        <v>2520</v>
      </c>
      <c r="T113" s="522">
        <f t="shared" si="21"/>
        <v>5284.04</v>
      </c>
      <c r="U113" s="522">
        <f>SUM(U105:U112)</f>
        <v>0</v>
      </c>
      <c r="V113" s="522">
        <f>SUM(V105:V112)</f>
        <v>12776.3</v>
      </c>
      <c r="W113" s="97" t="str">
        <f>+IF(V113=SUM(H113:T113),"contrôle ok", "erreur")</f>
        <v>contrôle ok</v>
      </c>
    </row>
    <row r="114" spans="1:23" s="221" customFormat="1" ht="11.25" thickTop="1" x14ac:dyDescent="0.15">
      <c r="A114" s="361"/>
      <c r="B114" s="361"/>
      <c r="C114" s="362"/>
      <c r="D114" s="414"/>
      <c r="E114" s="363"/>
      <c r="F114" s="414"/>
      <c r="G114" s="364"/>
      <c r="H114" s="229"/>
      <c r="I114" s="229"/>
      <c r="J114" s="229"/>
      <c r="K114" s="229"/>
      <c r="L114" s="229"/>
      <c r="M114" s="229"/>
      <c r="N114" s="257"/>
      <c r="O114" s="229"/>
      <c r="P114" s="229"/>
      <c r="Q114" s="229"/>
      <c r="R114" s="229"/>
      <c r="S114" s="229"/>
      <c r="T114" s="229"/>
      <c r="U114" s="229"/>
      <c r="V114" s="258"/>
    </row>
    <row r="115" spans="1:23" x14ac:dyDescent="0.15">
      <c r="A115" s="352" t="s">
        <v>128</v>
      </c>
      <c r="B115" s="353"/>
      <c r="C115" s="354"/>
      <c r="D115" s="410"/>
      <c r="E115" s="355"/>
      <c r="F115" s="418"/>
      <c r="G115" s="356"/>
      <c r="H115" s="224"/>
      <c r="I115" s="224"/>
      <c r="J115" s="251"/>
      <c r="K115" s="224"/>
      <c r="L115" s="224"/>
      <c r="M115" s="224"/>
      <c r="N115" s="224"/>
      <c r="O115" s="224"/>
      <c r="P115" s="224"/>
      <c r="Q115" s="224"/>
      <c r="R115" s="224"/>
      <c r="S115" s="224"/>
      <c r="T115" s="224"/>
      <c r="U115" s="224"/>
      <c r="V115" s="252"/>
    </row>
    <row r="116" spans="1:23" x14ac:dyDescent="0.15">
      <c r="A116" s="255"/>
      <c r="B116" s="255"/>
      <c r="C116" s="368"/>
      <c r="D116" s="412">
        <v>615194</v>
      </c>
      <c r="E116" s="357" t="s">
        <v>156</v>
      </c>
      <c r="F116" s="412" t="s">
        <v>192</v>
      </c>
      <c r="G116" s="369"/>
      <c r="H116" s="559"/>
      <c r="I116" s="226"/>
      <c r="J116" s="226"/>
      <c r="K116" s="226"/>
      <c r="L116" s="226"/>
      <c r="M116" s="226"/>
      <c r="N116" s="226"/>
      <c r="O116" s="226"/>
      <c r="P116" s="226"/>
      <c r="Q116" s="226"/>
      <c r="R116" s="226"/>
      <c r="S116" s="226"/>
      <c r="T116" s="226"/>
      <c r="U116" s="226"/>
      <c r="V116" s="255">
        <f>SUM(H116:T116)</f>
        <v>0</v>
      </c>
    </row>
    <row r="117" spans="1:23" x14ac:dyDescent="0.15">
      <c r="A117" s="255"/>
      <c r="B117" s="255"/>
      <c r="C117" s="368"/>
      <c r="D117" s="412">
        <v>615194</v>
      </c>
      <c r="E117" s="357" t="s">
        <v>156</v>
      </c>
      <c r="F117" s="412" t="s">
        <v>179</v>
      </c>
      <c r="G117" s="369"/>
      <c r="H117" s="559"/>
      <c r="I117" s="226"/>
      <c r="J117" s="226"/>
      <c r="K117" s="226"/>
      <c r="L117" s="226"/>
      <c r="M117" s="226"/>
      <c r="N117" s="226"/>
      <c r="O117" s="226"/>
      <c r="P117" s="226"/>
      <c r="Q117" s="226"/>
      <c r="R117" s="226"/>
      <c r="S117" s="226"/>
      <c r="T117" s="226"/>
      <c r="U117" s="226"/>
      <c r="V117" s="255">
        <f>SUM(H117:T117)</f>
        <v>0</v>
      </c>
    </row>
    <row r="118" spans="1:23" s="221" customFormat="1" ht="11.25" thickBot="1" x14ac:dyDescent="0.2">
      <c r="A118" s="536" t="s">
        <v>11</v>
      </c>
      <c r="B118" s="532"/>
      <c r="C118" s="542"/>
      <c r="D118" s="538"/>
      <c r="E118" s="536"/>
      <c r="F118" s="539"/>
      <c r="G118" s="540"/>
      <c r="H118" s="522">
        <f>SUM(H116:H117)</f>
        <v>0</v>
      </c>
      <c r="I118" s="522">
        <f t="shared" ref="I118:V118" si="22">SUM(I116:I117)</f>
        <v>0</v>
      </c>
      <c r="J118" s="522">
        <f t="shared" si="22"/>
        <v>0</v>
      </c>
      <c r="K118" s="522">
        <f t="shared" si="22"/>
        <v>0</v>
      </c>
      <c r="L118" s="522">
        <f t="shared" si="22"/>
        <v>0</v>
      </c>
      <c r="M118" s="522">
        <f t="shared" si="22"/>
        <v>0</v>
      </c>
      <c r="N118" s="522">
        <f t="shared" si="22"/>
        <v>0</v>
      </c>
      <c r="O118" s="522">
        <f t="shared" si="22"/>
        <v>0</v>
      </c>
      <c r="P118" s="522">
        <f t="shared" si="22"/>
        <v>0</v>
      </c>
      <c r="Q118" s="522">
        <f t="shared" si="22"/>
        <v>0</v>
      </c>
      <c r="R118" s="522">
        <f t="shared" si="22"/>
        <v>0</v>
      </c>
      <c r="S118" s="522">
        <f t="shared" si="22"/>
        <v>0</v>
      </c>
      <c r="T118" s="522">
        <f t="shared" si="22"/>
        <v>0</v>
      </c>
      <c r="U118" s="522">
        <f>SUM(U116:U117)</f>
        <v>0</v>
      </c>
      <c r="V118" s="522">
        <f t="shared" si="22"/>
        <v>0</v>
      </c>
      <c r="W118" s="97" t="str">
        <f>+IF(V118=SUM(H118:T118),"contrôle ok", "erreur")</f>
        <v>contrôle ok</v>
      </c>
    </row>
    <row r="119" spans="1:23" s="221" customFormat="1" ht="11.25" thickTop="1" x14ac:dyDescent="0.15">
      <c r="A119" s="361"/>
      <c r="B119" s="361"/>
      <c r="C119" s="362"/>
      <c r="D119" s="414"/>
      <c r="E119" s="363"/>
      <c r="F119" s="414"/>
      <c r="G119" s="364"/>
      <c r="H119" s="229"/>
      <c r="I119" s="229"/>
      <c r="J119" s="229"/>
      <c r="K119" s="229"/>
      <c r="L119" s="229"/>
      <c r="M119" s="229"/>
      <c r="N119" s="257"/>
      <c r="O119" s="229"/>
      <c r="P119" s="229"/>
      <c r="Q119" s="229"/>
      <c r="R119" s="229"/>
      <c r="S119" s="229"/>
      <c r="T119" s="229"/>
      <c r="U119" s="229"/>
      <c r="V119" s="258"/>
    </row>
    <row r="120" spans="1:23" x14ac:dyDescent="0.15">
      <c r="A120" s="352" t="s">
        <v>89</v>
      </c>
      <c r="B120" s="353"/>
      <c r="C120" s="354"/>
      <c r="D120" s="410"/>
      <c r="E120" s="355"/>
      <c r="F120" s="418"/>
      <c r="G120" s="356"/>
      <c r="H120" s="224"/>
      <c r="I120" s="224"/>
      <c r="J120" s="251"/>
      <c r="K120" s="224"/>
      <c r="L120" s="224"/>
      <c r="M120" s="224"/>
      <c r="N120" s="224"/>
      <c r="O120" s="224"/>
      <c r="P120" s="224"/>
      <c r="Q120" s="224"/>
      <c r="R120" s="224"/>
      <c r="S120" s="224"/>
      <c r="T120" s="224"/>
      <c r="U120" s="224"/>
      <c r="V120" s="252"/>
    </row>
    <row r="121" spans="1:23" x14ac:dyDescent="0.15">
      <c r="A121" s="255"/>
      <c r="B121" s="255"/>
      <c r="C121" s="368"/>
      <c r="D121" s="412">
        <v>615195</v>
      </c>
      <c r="E121" s="357" t="s">
        <v>156</v>
      </c>
      <c r="F121" s="412" t="s">
        <v>188</v>
      </c>
      <c r="G121" s="369"/>
      <c r="H121" s="559"/>
      <c r="I121" s="226"/>
      <c r="J121" s="226"/>
      <c r="K121" s="226"/>
      <c r="L121" s="226"/>
      <c r="M121" s="226"/>
      <c r="N121" s="226"/>
      <c r="O121" s="226"/>
      <c r="P121" s="226"/>
      <c r="Q121" s="226"/>
      <c r="R121" s="226"/>
      <c r="S121" s="226"/>
      <c r="T121" s="226"/>
      <c r="U121" s="582"/>
      <c r="V121" s="255">
        <f t="shared" ref="V121:V127" si="23">SUM(H121:T121)</f>
        <v>0</v>
      </c>
    </row>
    <row r="122" spans="1:23" x14ac:dyDescent="0.15">
      <c r="A122" s="255" t="s">
        <v>307</v>
      </c>
      <c r="B122" s="255"/>
      <c r="C122" s="368"/>
      <c r="D122" s="412">
        <v>615195</v>
      </c>
      <c r="E122" s="357" t="s">
        <v>156</v>
      </c>
      <c r="F122" s="412" t="s">
        <v>185</v>
      </c>
      <c r="G122" s="369"/>
      <c r="H122" s="559"/>
      <c r="I122" s="226"/>
      <c r="J122" s="226">
        <f>200+2135</f>
        <v>2335</v>
      </c>
      <c r="K122" s="226">
        <v>839</v>
      </c>
      <c r="L122" s="226"/>
      <c r="M122" s="226">
        <f>390+880+1686</f>
        <v>2956</v>
      </c>
      <c r="N122" s="226">
        <f>-2135+3096</f>
        <v>961</v>
      </c>
      <c r="O122" s="226">
        <v>2510</v>
      </c>
      <c r="P122" s="226">
        <v>4875</v>
      </c>
      <c r="Q122" s="226"/>
      <c r="R122" s="226"/>
      <c r="S122" s="226">
        <f>540+1950</f>
        <v>2490</v>
      </c>
      <c r="T122" s="582"/>
      <c r="U122" s="582"/>
      <c r="V122" s="255">
        <f t="shared" si="23"/>
        <v>16966</v>
      </c>
    </row>
    <row r="123" spans="1:23" x14ac:dyDescent="0.15">
      <c r="A123" s="255" t="s">
        <v>308</v>
      </c>
      <c r="B123" s="255"/>
      <c r="C123" s="368"/>
      <c r="D123" s="412">
        <v>615195</v>
      </c>
      <c r="E123" s="357" t="s">
        <v>156</v>
      </c>
      <c r="F123" s="412" t="s">
        <v>203</v>
      </c>
      <c r="G123" s="369"/>
      <c r="H123" s="559"/>
      <c r="I123" s="226"/>
      <c r="J123" s="226"/>
      <c r="K123" s="226"/>
      <c r="L123" s="226"/>
      <c r="M123" s="226"/>
      <c r="N123" s="226"/>
      <c r="O123" s="226"/>
      <c r="P123" s="226"/>
      <c r="Q123" s="226"/>
      <c r="R123" s="226"/>
      <c r="S123" s="226"/>
      <c r="T123" s="226"/>
      <c r="U123" s="582"/>
      <c r="V123" s="255">
        <f t="shared" si="23"/>
        <v>0</v>
      </c>
    </row>
    <row r="124" spans="1:23" x14ac:dyDescent="0.15">
      <c r="A124" s="255"/>
      <c r="B124" s="255"/>
      <c r="C124" s="368"/>
      <c r="D124" s="412">
        <v>615195</v>
      </c>
      <c r="E124" s="357" t="s">
        <v>156</v>
      </c>
      <c r="F124" s="412" t="s">
        <v>192</v>
      </c>
      <c r="G124" s="369"/>
      <c r="H124" s="559">
        <f>800-800</f>
        <v>0</v>
      </c>
      <c r="I124" s="226"/>
      <c r="J124" s="226"/>
      <c r="K124" s="226">
        <f>894.83+96.8</f>
        <v>991.63</v>
      </c>
      <c r="L124" s="226">
        <v>546.9</v>
      </c>
      <c r="M124" s="226"/>
      <c r="N124" s="226">
        <v>1699.84</v>
      </c>
      <c r="O124" s="226">
        <v>1094</v>
      </c>
      <c r="P124" s="226"/>
      <c r="Q124" s="226"/>
      <c r="R124" s="226">
        <f>4449.23+1790+575+4995+1820</f>
        <v>13629.23</v>
      </c>
      <c r="S124" s="226">
        <v>-575</v>
      </c>
      <c r="T124" s="226">
        <v>1100</v>
      </c>
      <c r="U124" s="582"/>
      <c r="V124" s="255">
        <f t="shared" si="23"/>
        <v>18486.599999999999</v>
      </c>
    </row>
    <row r="125" spans="1:23" x14ac:dyDescent="0.15">
      <c r="A125" s="255"/>
      <c r="B125" s="255"/>
      <c r="C125" s="368"/>
      <c r="D125" s="412">
        <v>615195</v>
      </c>
      <c r="E125" s="357" t="s">
        <v>156</v>
      </c>
      <c r="F125" s="412" t="s">
        <v>187</v>
      </c>
      <c r="G125" s="369"/>
      <c r="H125" s="559"/>
      <c r="I125" s="226"/>
      <c r="J125" s="226"/>
      <c r="K125" s="226"/>
      <c r="L125" s="226"/>
      <c r="M125" s="226"/>
      <c r="N125" s="226"/>
      <c r="O125" s="226"/>
      <c r="P125" s="226"/>
      <c r="Q125" s="226"/>
      <c r="R125" s="226"/>
      <c r="S125" s="226"/>
      <c r="T125" s="226"/>
      <c r="U125" s="582"/>
      <c r="V125" s="255">
        <f t="shared" si="23"/>
        <v>0</v>
      </c>
    </row>
    <row r="126" spans="1:23" x14ac:dyDescent="0.15">
      <c r="A126" s="255"/>
      <c r="B126" s="255"/>
      <c r="C126" s="368"/>
      <c r="D126" s="412">
        <v>615195</v>
      </c>
      <c r="E126" s="357" t="s">
        <v>156</v>
      </c>
      <c r="F126" s="412" t="s">
        <v>184</v>
      </c>
      <c r="G126" s="369"/>
      <c r="H126" s="559"/>
      <c r="I126" s="226"/>
      <c r="J126" s="226"/>
      <c r="K126" s="226"/>
      <c r="L126" s="226"/>
      <c r="M126" s="226"/>
      <c r="N126" s="226"/>
      <c r="O126" s="226"/>
      <c r="P126" s="226"/>
      <c r="Q126" s="226"/>
      <c r="R126" s="226"/>
      <c r="S126" s="226"/>
      <c r="T126" s="226"/>
      <c r="U126" s="582"/>
      <c r="V126" s="255">
        <f t="shared" si="23"/>
        <v>0</v>
      </c>
    </row>
    <row r="127" spans="1:23" x14ac:dyDescent="0.15">
      <c r="A127" s="255"/>
      <c r="B127" s="255"/>
      <c r="C127" s="368"/>
      <c r="D127" s="412">
        <v>615195</v>
      </c>
      <c r="E127" s="357" t="s">
        <v>156</v>
      </c>
      <c r="F127" s="412" t="s">
        <v>348</v>
      </c>
      <c r="G127" s="369"/>
      <c r="H127" s="559"/>
      <c r="I127" s="226"/>
      <c r="J127" s="226"/>
      <c r="K127" s="226"/>
      <c r="L127" s="226"/>
      <c r="M127" s="226"/>
      <c r="N127" s="226"/>
      <c r="O127" s="226"/>
      <c r="P127" s="226"/>
      <c r="Q127" s="226"/>
      <c r="R127" s="226"/>
      <c r="S127" s="226"/>
      <c r="T127" s="226"/>
      <c r="U127" s="582"/>
      <c r="V127" s="255">
        <f t="shared" si="23"/>
        <v>0</v>
      </c>
    </row>
    <row r="128" spans="1:23" s="221" customFormat="1" ht="11.25" thickBot="1" x14ac:dyDescent="0.2">
      <c r="A128" s="536" t="s">
        <v>11</v>
      </c>
      <c r="B128" s="532"/>
      <c r="C128" s="542"/>
      <c r="D128" s="538"/>
      <c r="E128" s="536"/>
      <c r="F128" s="539"/>
      <c r="G128" s="540"/>
      <c r="H128" s="522">
        <f>SUM(H121:H127)</f>
        <v>0</v>
      </c>
      <c r="I128" s="522">
        <f t="shared" ref="I128:V128" si="24">SUM(I121:I127)</f>
        <v>0</v>
      </c>
      <c r="J128" s="522">
        <f t="shared" si="24"/>
        <v>2335</v>
      </c>
      <c r="K128" s="522">
        <f t="shared" si="24"/>
        <v>1830.63</v>
      </c>
      <c r="L128" s="522">
        <f t="shared" si="24"/>
        <v>546.9</v>
      </c>
      <c r="M128" s="522">
        <f t="shared" si="24"/>
        <v>2956</v>
      </c>
      <c r="N128" s="522">
        <f t="shared" si="24"/>
        <v>2660.84</v>
      </c>
      <c r="O128" s="522">
        <f t="shared" si="24"/>
        <v>3604</v>
      </c>
      <c r="P128" s="522">
        <f t="shared" si="24"/>
        <v>4875</v>
      </c>
      <c r="Q128" s="522">
        <f t="shared" si="24"/>
        <v>0</v>
      </c>
      <c r="R128" s="522">
        <f t="shared" si="24"/>
        <v>13629.23</v>
      </c>
      <c r="S128" s="522">
        <f t="shared" si="24"/>
        <v>1915</v>
      </c>
      <c r="T128" s="522">
        <f t="shared" si="24"/>
        <v>1100</v>
      </c>
      <c r="U128" s="522">
        <f>SUM(U121:U127)</f>
        <v>0</v>
      </c>
      <c r="V128" s="522">
        <f t="shared" si="24"/>
        <v>35452.6</v>
      </c>
      <c r="W128" s="97" t="str">
        <f>+IF(V128=SUM(H128:T128),"contrôle ok", "erreur")</f>
        <v>contrôle ok</v>
      </c>
    </row>
    <row r="129" spans="1:23" s="221" customFormat="1" ht="11.25" thickTop="1" x14ac:dyDescent="0.15">
      <c r="A129" s="361"/>
      <c r="B129" s="361"/>
      <c r="C129" s="362"/>
      <c r="D129" s="414"/>
      <c r="E129" s="363"/>
      <c r="F129" s="414"/>
      <c r="G129" s="364"/>
      <c r="H129" s="229"/>
      <c r="I129" s="229"/>
      <c r="J129" s="229"/>
      <c r="K129" s="229"/>
      <c r="L129" s="229"/>
      <c r="M129" s="229"/>
      <c r="N129" s="257"/>
      <c r="O129" s="229"/>
      <c r="P129" s="229"/>
      <c r="Q129" s="229"/>
      <c r="R129" s="229"/>
      <c r="S129" s="229"/>
      <c r="T129" s="229"/>
      <c r="U129" s="229"/>
      <c r="V129" s="258"/>
    </row>
    <row r="130" spans="1:23" x14ac:dyDescent="0.15">
      <c r="A130" s="352" t="s">
        <v>94</v>
      </c>
      <c r="B130" s="353"/>
      <c r="C130" s="354"/>
      <c r="D130" s="410"/>
      <c r="E130" s="355"/>
      <c r="F130" s="418"/>
      <c r="G130" s="356"/>
      <c r="H130" s="224"/>
      <c r="I130" s="224"/>
      <c r="J130" s="251"/>
      <c r="K130" s="224"/>
      <c r="L130" s="224"/>
      <c r="M130" s="224"/>
      <c r="N130" s="224"/>
      <c r="O130" s="224"/>
      <c r="P130" s="224"/>
      <c r="Q130" s="224"/>
      <c r="R130" s="224"/>
      <c r="S130" s="224"/>
      <c r="T130" s="224"/>
      <c r="U130" s="224"/>
      <c r="V130" s="252"/>
    </row>
    <row r="131" spans="1:23" s="261" customFormat="1" x14ac:dyDescent="0.15">
      <c r="A131" s="226" t="s">
        <v>587</v>
      </c>
      <c r="B131" s="226" t="s">
        <v>107</v>
      </c>
      <c r="C131" s="645">
        <v>2017</v>
      </c>
      <c r="D131" s="618">
        <v>615196</v>
      </c>
      <c r="E131" s="644" t="s">
        <v>156</v>
      </c>
      <c r="F131" s="618" t="s">
        <v>182</v>
      </c>
      <c r="G131" s="369">
        <v>457.54</v>
      </c>
      <c r="H131" s="226"/>
      <c r="I131" s="226">
        <v>457.54</v>
      </c>
      <c r="J131" s="226">
        <v>457.54</v>
      </c>
      <c r="K131" s="226">
        <v>457.54</v>
      </c>
      <c r="L131" s="226">
        <v>457.54</v>
      </c>
      <c r="M131" s="226">
        <v>457.54</v>
      </c>
      <c r="N131" s="226">
        <v>457.54</v>
      </c>
      <c r="O131" s="226">
        <v>457.54</v>
      </c>
      <c r="P131" s="226">
        <v>457.54</v>
      </c>
      <c r="Q131" s="226">
        <v>457.54</v>
      </c>
      <c r="R131" s="226">
        <v>457.54</v>
      </c>
      <c r="S131" s="226">
        <v>457.54</v>
      </c>
      <c r="T131" s="226">
        <v>457.51</v>
      </c>
      <c r="U131" s="582"/>
      <c r="V131" s="226">
        <f>SUM(H131:T131)</f>
        <v>5490.4500000000007</v>
      </c>
    </row>
    <row r="132" spans="1:23" x14ac:dyDescent="0.15">
      <c r="A132" s="255" t="s">
        <v>587</v>
      </c>
      <c r="B132" s="255" t="s">
        <v>219</v>
      </c>
      <c r="C132" s="368"/>
      <c r="D132" s="412">
        <v>615196</v>
      </c>
      <c r="E132" s="357" t="s">
        <v>156</v>
      </c>
      <c r="F132" s="412" t="s">
        <v>183</v>
      </c>
      <c r="G132" s="369"/>
      <c r="H132" s="559"/>
      <c r="I132" s="226"/>
      <c r="J132" s="226"/>
      <c r="K132" s="226"/>
      <c r="L132" s="226"/>
      <c r="M132" s="226"/>
      <c r="N132" s="226"/>
      <c r="O132" s="226"/>
      <c r="P132" s="226"/>
      <c r="Q132" s="226"/>
      <c r="R132" s="226">
        <v>39.72</v>
      </c>
      <c r="S132" s="226"/>
      <c r="T132" s="226">
        <v>174.33</v>
      </c>
      <c r="U132" s="582"/>
      <c r="V132" s="255">
        <f>SUM(H132:T132)</f>
        <v>214.05</v>
      </c>
    </row>
    <row r="133" spans="1:23" s="221" customFormat="1" ht="11.25" thickBot="1" x14ac:dyDescent="0.2">
      <c r="A133" s="536" t="s">
        <v>11</v>
      </c>
      <c r="B133" s="532"/>
      <c r="C133" s="542"/>
      <c r="D133" s="538"/>
      <c r="E133" s="536"/>
      <c r="F133" s="539"/>
      <c r="G133" s="540"/>
      <c r="H133" s="522">
        <f t="shared" ref="H133:V133" si="25">SUM(H131:H132)</f>
        <v>0</v>
      </c>
      <c r="I133" s="522">
        <f t="shared" si="25"/>
        <v>457.54</v>
      </c>
      <c r="J133" s="522">
        <f t="shared" si="25"/>
        <v>457.54</v>
      </c>
      <c r="K133" s="522">
        <f t="shared" si="25"/>
        <v>457.54</v>
      </c>
      <c r="L133" s="522">
        <f t="shared" si="25"/>
        <v>457.54</v>
      </c>
      <c r="M133" s="522">
        <f t="shared" si="25"/>
        <v>457.54</v>
      </c>
      <c r="N133" s="522">
        <f t="shared" si="25"/>
        <v>457.54</v>
      </c>
      <c r="O133" s="522">
        <f t="shared" si="25"/>
        <v>457.54</v>
      </c>
      <c r="P133" s="522">
        <f t="shared" si="25"/>
        <v>457.54</v>
      </c>
      <c r="Q133" s="522">
        <f t="shared" si="25"/>
        <v>457.54</v>
      </c>
      <c r="R133" s="522">
        <f t="shared" si="25"/>
        <v>497.26</v>
      </c>
      <c r="S133" s="522">
        <f t="shared" si="25"/>
        <v>457.54</v>
      </c>
      <c r="T133" s="522">
        <f t="shared" si="25"/>
        <v>631.84</v>
      </c>
      <c r="U133" s="522">
        <f>SUM(U131:U132)</f>
        <v>0</v>
      </c>
      <c r="V133" s="522">
        <f t="shared" si="25"/>
        <v>5704.5000000000009</v>
      </c>
      <c r="W133" s="97" t="str">
        <f>+IF(V133=SUM(H133:T133),"contrôle ok", "erreur")</f>
        <v>contrôle ok</v>
      </c>
    </row>
    <row r="134" spans="1:23" s="221" customFormat="1" ht="11.25" thickTop="1" x14ac:dyDescent="0.15">
      <c r="A134" s="361"/>
      <c r="B134" s="361"/>
      <c r="C134" s="362"/>
      <c r="D134" s="414"/>
      <c r="E134" s="363"/>
      <c r="F134" s="414"/>
      <c r="G134" s="364"/>
      <c r="H134" s="229"/>
      <c r="I134" s="229"/>
      <c r="J134" s="229"/>
      <c r="K134" s="229"/>
      <c r="L134" s="229"/>
      <c r="M134" s="229"/>
      <c r="N134" s="257"/>
      <c r="O134" s="229"/>
      <c r="P134" s="229"/>
      <c r="Q134" s="229"/>
      <c r="R134" s="229"/>
      <c r="S134" s="229"/>
      <c r="T134" s="229"/>
      <c r="U134" s="229"/>
      <c r="V134" s="258"/>
    </row>
    <row r="135" spans="1:23" x14ac:dyDescent="0.15">
      <c r="A135" s="352" t="s">
        <v>9</v>
      </c>
      <c r="B135" s="353"/>
      <c r="C135" s="354"/>
      <c r="D135" s="410"/>
      <c r="E135" s="355"/>
      <c r="F135" s="418"/>
      <c r="G135" s="356"/>
      <c r="H135" s="224"/>
      <c r="I135" s="224"/>
      <c r="J135" s="251"/>
      <c r="K135" s="224"/>
      <c r="L135" s="224"/>
      <c r="M135" s="224"/>
      <c r="N135" s="224"/>
      <c r="O135" s="224"/>
      <c r="P135" s="224"/>
      <c r="Q135" s="224"/>
      <c r="R135" s="224"/>
      <c r="S135" s="224"/>
      <c r="T135" s="224"/>
      <c r="U135" s="224"/>
      <c r="V135" s="252"/>
    </row>
    <row r="136" spans="1:23" x14ac:dyDescent="0.15">
      <c r="A136" s="255" t="s">
        <v>429</v>
      </c>
      <c r="B136" s="255"/>
      <c r="C136" s="368"/>
      <c r="D136" s="412">
        <v>615200</v>
      </c>
      <c r="E136" s="357" t="s">
        <v>155</v>
      </c>
      <c r="F136" s="412" t="s">
        <v>179</v>
      </c>
      <c r="G136" s="369">
        <v>2070</v>
      </c>
      <c r="H136" s="559">
        <f>2070-2070-390</f>
        <v>-390</v>
      </c>
      <c r="I136" s="226">
        <v>2070</v>
      </c>
      <c r="J136" s="226">
        <v>2070</v>
      </c>
      <c r="K136" s="226">
        <v>2070</v>
      </c>
      <c r="L136" s="226">
        <v>2070</v>
      </c>
      <c r="M136" s="226">
        <v>2070</v>
      </c>
      <c r="N136" s="226">
        <v>2070</v>
      </c>
      <c r="O136" s="226">
        <v>2070</v>
      </c>
      <c r="P136" s="226">
        <v>2070</v>
      </c>
      <c r="Q136" s="226">
        <v>2070</v>
      </c>
      <c r="R136" s="226">
        <v>2070</v>
      </c>
      <c r="S136" s="226">
        <v>2070</v>
      </c>
      <c r="T136" s="226"/>
      <c r="U136" s="582"/>
      <c r="V136" s="255">
        <f>SUM(H136:T136)</f>
        <v>22380</v>
      </c>
    </row>
    <row r="137" spans="1:23" x14ac:dyDescent="0.15">
      <c r="A137" s="255" t="s">
        <v>429</v>
      </c>
      <c r="B137" s="255" t="s">
        <v>550</v>
      </c>
      <c r="C137" s="368"/>
      <c r="D137" s="412">
        <v>615200</v>
      </c>
      <c r="E137" s="357" t="s">
        <v>155</v>
      </c>
      <c r="F137" s="412" t="s">
        <v>179</v>
      </c>
      <c r="G137" s="369">
        <v>130</v>
      </c>
      <c r="H137" s="559"/>
      <c r="I137" s="226"/>
      <c r="J137" s="226"/>
      <c r="K137" s="226">
        <v>130</v>
      </c>
      <c r="L137" s="226"/>
      <c r="M137" s="226"/>
      <c r="N137" s="226">
        <v>130</v>
      </c>
      <c r="O137" s="226"/>
      <c r="P137" s="226"/>
      <c r="Q137" s="226">
        <v>130</v>
      </c>
      <c r="R137" s="582">
        <v>45</v>
      </c>
      <c r="S137" s="582">
        <v>45</v>
      </c>
      <c r="T137" s="226"/>
      <c r="U137" s="582"/>
      <c r="V137" s="255">
        <f>SUM(H137:T137)</f>
        <v>480</v>
      </c>
    </row>
    <row r="138" spans="1:23" x14ac:dyDescent="0.15">
      <c r="A138" s="255" t="s">
        <v>809</v>
      </c>
      <c r="B138" s="255"/>
      <c r="C138" s="368"/>
      <c r="D138" s="412">
        <v>615200</v>
      </c>
      <c r="E138" s="357" t="s">
        <v>155</v>
      </c>
      <c r="F138" s="412" t="s">
        <v>179</v>
      </c>
      <c r="G138" s="369">
        <v>230.26</v>
      </c>
      <c r="H138" s="559"/>
      <c r="I138" s="226">
        <v>230.26</v>
      </c>
      <c r="J138" s="226">
        <v>230.26</v>
      </c>
      <c r="K138" s="226">
        <v>230.26</v>
      </c>
      <c r="L138" s="226">
        <v>230.26</v>
      </c>
      <c r="M138" s="226">
        <v>230.26</v>
      </c>
      <c r="N138" s="226">
        <v>230.26</v>
      </c>
      <c r="O138" s="226">
        <v>230.26</v>
      </c>
      <c r="P138" s="226">
        <v>236.02</v>
      </c>
      <c r="Q138" s="226">
        <v>236.02</v>
      </c>
      <c r="R138" s="226"/>
      <c r="S138" s="226"/>
      <c r="T138" s="226"/>
      <c r="U138" s="582"/>
      <c r="V138" s="255">
        <f>SUM(H138:T138)</f>
        <v>2083.86</v>
      </c>
    </row>
    <row r="139" spans="1:23" x14ac:dyDescent="0.15">
      <c r="A139" s="255" t="s">
        <v>224</v>
      </c>
      <c r="B139" s="255"/>
      <c r="C139" s="368"/>
      <c r="D139" s="412">
        <v>615200</v>
      </c>
      <c r="E139" s="357" t="s">
        <v>155</v>
      </c>
      <c r="F139" s="412" t="s">
        <v>192</v>
      </c>
      <c r="G139" s="369"/>
      <c r="H139" s="559"/>
      <c r="I139" s="226"/>
      <c r="J139" s="226"/>
      <c r="K139" s="226"/>
      <c r="L139" s="226"/>
      <c r="M139" s="226"/>
      <c r="N139" s="226"/>
      <c r="O139" s="226"/>
      <c r="P139" s="226"/>
      <c r="Q139" s="226"/>
      <c r="R139" s="226"/>
      <c r="S139" s="226"/>
      <c r="T139" s="226">
        <v>175</v>
      </c>
      <c r="U139" s="582"/>
      <c r="V139" s="255">
        <f>SUM(H139:T139)</f>
        <v>175</v>
      </c>
    </row>
    <row r="140" spans="1:23" s="221" customFormat="1" ht="11.25" thickBot="1" x14ac:dyDescent="0.2">
      <c r="A140" s="536" t="s">
        <v>11</v>
      </c>
      <c r="B140" s="532"/>
      <c r="C140" s="542"/>
      <c r="D140" s="538"/>
      <c r="E140" s="536"/>
      <c r="F140" s="539"/>
      <c r="G140" s="540"/>
      <c r="H140" s="522">
        <f>SUM(H136:H139)</f>
        <v>-390</v>
      </c>
      <c r="I140" s="522">
        <f t="shared" ref="I140:V140" si="26">SUM(I136:I139)</f>
        <v>2300.2600000000002</v>
      </c>
      <c r="J140" s="522">
        <f t="shared" si="26"/>
        <v>2300.2600000000002</v>
      </c>
      <c r="K140" s="522">
        <f t="shared" si="26"/>
        <v>2430.2600000000002</v>
      </c>
      <c r="L140" s="522">
        <f t="shared" si="26"/>
        <v>2300.2600000000002</v>
      </c>
      <c r="M140" s="522">
        <f t="shared" si="26"/>
        <v>2300.2600000000002</v>
      </c>
      <c r="N140" s="522">
        <f t="shared" si="26"/>
        <v>2430.2600000000002</v>
      </c>
      <c r="O140" s="522">
        <f t="shared" si="26"/>
        <v>2300.2600000000002</v>
      </c>
      <c r="P140" s="522">
        <f t="shared" si="26"/>
        <v>2306.02</v>
      </c>
      <c r="Q140" s="522">
        <f t="shared" si="26"/>
        <v>2436.02</v>
      </c>
      <c r="R140" s="522">
        <f t="shared" si="26"/>
        <v>2115</v>
      </c>
      <c r="S140" s="522">
        <f t="shared" si="26"/>
        <v>2115</v>
      </c>
      <c r="T140" s="522">
        <f t="shared" si="26"/>
        <v>175</v>
      </c>
      <c r="U140" s="522">
        <f>SUM(U136:U139)</f>
        <v>0</v>
      </c>
      <c r="V140" s="522">
        <f t="shared" si="26"/>
        <v>25118.86</v>
      </c>
      <c r="W140" s="97" t="str">
        <f>+IF(V140=SUM(H140:T140),"contrôle ok", "erreur")</f>
        <v>contrôle ok</v>
      </c>
    </row>
    <row r="141" spans="1:23" s="221" customFormat="1" ht="11.25" thickTop="1" x14ac:dyDescent="0.15">
      <c r="A141" s="361"/>
      <c r="B141" s="361"/>
      <c r="C141" s="362"/>
      <c r="D141" s="414"/>
      <c r="E141" s="363"/>
      <c r="F141" s="414"/>
      <c r="G141" s="364"/>
      <c r="H141" s="229"/>
      <c r="I141" s="229"/>
      <c r="J141" s="229"/>
      <c r="K141" s="229"/>
      <c r="L141" s="229"/>
      <c r="M141" s="229"/>
      <c r="N141" s="257"/>
      <c r="O141" s="229"/>
      <c r="P141" s="229"/>
      <c r="Q141" s="229"/>
      <c r="R141" s="229"/>
      <c r="S141" s="229"/>
      <c r="T141" s="229"/>
      <c r="U141" s="229"/>
      <c r="V141" s="258"/>
    </row>
    <row r="142" spans="1:23" x14ac:dyDescent="0.15">
      <c r="A142" s="352" t="s">
        <v>101</v>
      </c>
      <c r="B142" s="353"/>
      <c r="C142" s="354"/>
      <c r="D142" s="410"/>
      <c r="E142" s="355"/>
      <c r="F142" s="418"/>
      <c r="G142" s="356"/>
      <c r="H142" s="224"/>
      <c r="I142" s="224"/>
      <c r="J142" s="251"/>
      <c r="K142" s="224"/>
      <c r="L142" s="224"/>
      <c r="M142" s="224"/>
      <c r="N142" s="224"/>
      <c r="O142" s="224"/>
      <c r="P142" s="224"/>
      <c r="Q142" s="224"/>
      <c r="R142" s="224"/>
      <c r="S142" s="224"/>
      <c r="T142" s="224"/>
      <c r="U142" s="224"/>
      <c r="V142" s="252"/>
    </row>
    <row r="143" spans="1:23" x14ac:dyDescent="0.15">
      <c r="A143" s="255"/>
      <c r="B143" s="255"/>
      <c r="C143" s="368"/>
      <c r="D143" s="412">
        <v>615205</v>
      </c>
      <c r="E143" s="357" t="s">
        <v>155</v>
      </c>
      <c r="F143" s="412"/>
      <c r="G143" s="369"/>
      <c r="H143" s="559"/>
      <c r="I143" s="226"/>
      <c r="J143" s="226"/>
      <c r="K143" s="226"/>
      <c r="L143" s="226"/>
      <c r="M143" s="226"/>
      <c r="N143" s="226"/>
      <c r="O143" s="226"/>
      <c r="P143" s="226"/>
      <c r="Q143" s="226"/>
      <c r="R143" s="226"/>
      <c r="S143" s="226"/>
      <c r="T143" s="226"/>
      <c r="U143" s="582"/>
      <c r="V143" s="255">
        <f>SUM(H143:T143)</f>
        <v>0</v>
      </c>
    </row>
    <row r="144" spans="1:23" x14ac:dyDescent="0.15">
      <c r="A144" s="255"/>
      <c r="B144" s="255"/>
      <c r="C144" s="368"/>
      <c r="D144" s="412">
        <v>615205</v>
      </c>
      <c r="E144" s="357" t="s">
        <v>156</v>
      </c>
      <c r="F144" s="412" t="s">
        <v>192</v>
      </c>
      <c r="G144" s="369"/>
      <c r="H144" s="559"/>
      <c r="I144" s="226"/>
      <c r="J144" s="226"/>
      <c r="K144" s="226"/>
      <c r="L144" s="226"/>
      <c r="M144" s="226"/>
      <c r="N144" s="226"/>
      <c r="O144" s="226"/>
      <c r="P144" s="226"/>
      <c r="Q144" s="226"/>
      <c r="R144" s="226"/>
      <c r="S144" s="226"/>
      <c r="T144" s="226"/>
      <c r="U144" s="582"/>
      <c r="V144" s="255">
        <f>SUM(H144:T144)</f>
        <v>0</v>
      </c>
    </row>
    <row r="145" spans="1:23" x14ac:dyDescent="0.15">
      <c r="A145" s="253"/>
      <c r="B145" s="253"/>
      <c r="C145" s="346"/>
      <c r="D145" s="412">
        <v>615205</v>
      </c>
      <c r="E145" s="357" t="s">
        <v>156</v>
      </c>
      <c r="F145" s="449" t="s">
        <v>179</v>
      </c>
      <c r="G145" s="359"/>
      <c r="H145" s="559"/>
      <c r="I145" s="226"/>
      <c r="J145" s="226"/>
      <c r="K145" s="226"/>
      <c r="L145" s="226"/>
      <c r="M145" s="226"/>
      <c r="N145" s="226"/>
      <c r="O145" s="226"/>
      <c r="P145" s="226"/>
      <c r="Q145" s="226"/>
      <c r="R145" s="226"/>
      <c r="S145" s="226"/>
      <c r="T145" s="226"/>
      <c r="U145" s="582"/>
      <c r="V145" s="255">
        <f>SUM(H145:T145)</f>
        <v>0</v>
      </c>
    </row>
    <row r="146" spans="1:23" s="221" customFormat="1" ht="11.25" thickBot="1" x14ac:dyDescent="0.2">
      <c r="A146" s="536" t="s">
        <v>11</v>
      </c>
      <c r="B146" s="532"/>
      <c r="C146" s="542"/>
      <c r="D146" s="538"/>
      <c r="E146" s="536"/>
      <c r="F146" s="539"/>
      <c r="G146" s="540"/>
      <c r="H146" s="522">
        <f>SUM(H143:H145)</f>
        <v>0</v>
      </c>
      <c r="I146" s="522">
        <f t="shared" ref="I146:N146" si="27">SUM(I143:I145)</f>
        <v>0</v>
      </c>
      <c r="J146" s="522">
        <f t="shared" si="27"/>
        <v>0</v>
      </c>
      <c r="K146" s="522">
        <f t="shared" si="27"/>
        <v>0</v>
      </c>
      <c r="L146" s="522">
        <f t="shared" si="27"/>
        <v>0</v>
      </c>
      <c r="M146" s="522">
        <f t="shared" si="27"/>
        <v>0</v>
      </c>
      <c r="N146" s="522">
        <f t="shared" si="27"/>
        <v>0</v>
      </c>
      <c r="O146" s="522">
        <f>SUM(O143:O145)</f>
        <v>0</v>
      </c>
      <c r="P146" s="522">
        <f t="shared" ref="P146:V146" si="28">SUM(P143:P145)</f>
        <v>0</v>
      </c>
      <c r="Q146" s="522">
        <f t="shared" si="28"/>
        <v>0</v>
      </c>
      <c r="R146" s="522">
        <f t="shared" si="28"/>
        <v>0</v>
      </c>
      <c r="S146" s="522">
        <f t="shared" si="28"/>
        <v>0</v>
      </c>
      <c r="T146" s="522">
        <f t="shared" si="28"/>
        <v>0</v>
      </c>
      <c r="U146" s="522">
        <f>SUM(U143:U145)</f>
        <v>0</v>
      </c>
      <c r="V146" s="522">
        <f t="shared" si="28"/>
        <v>0</v>
      </c>
      <c r="W146" s="97" t="str">
        <f>+IF(V146=SUM(H146:T146),"contrôle ok", "erreur")</f>
        <v>contrôle ok</v>
      </c>
    </row>
    <row r="147" spans="1:23" s="221" customFormat="1" ht="11.25" thickTop="1" x14ac:dyDescent="0.15">
      <c r="A147" s="361"/>
      <c r="B147" s="361"/>
      <c r="C147" s="378"/>
      <c r="D147" s="414"/>
      <c r="E147" s="363"/>
      <c r="F147" s="414"/>
      <c r="G147" s="364"/>
      <c r="H147" s="229"/>
      <c r="I147" s="229"/>
      <c r="J147" s="229"/>
      <c r="K147" s="229"/>
      <c r="L147" s="229"/>
      <c r="M147" s="229"/>
      <c r="N147" s="229"/>
      <c r="O147" s="229"/>
      <c r="P147" s="229"/>
      <c r="Q147" s="229"/>
      <c r="R147" s="229"/>
      <c r="S147" s="229"/>
      <c r="T147" s="229"/>
      <c r="U147" s="229"/>
      <c r="V147" s="258"/>
    </row>
    <row r="148" spans="1:23" x14ac:dyDescent="0.15">
      <c r="A148" s="352" t="s">
        <v>136</v>
      </c>
      <c r="B148" s="353"/>
      <c r="C148" s="354"/>
      <c r="D148" s="410"/>
      <c r="E148" s="355"/>
      <c r="F148" s="418"/>
      <c r="G148" s="356"/>
      <c r="H148" s="224"/>
      <c r="I148" s="224"/>
      <c r="J148" s="251"/>
      <c r="K148" s="224"/>
      <c r="L148" s="224"/>
      <c r="M148" s="224"/>
      <c r="N148" s="224"/>
      <c r="O148" s="224"/>
      <c r="P148" s="224"/>
      <c r="Q148" s="224"/>
      <c r="R148" s="224"/>
      <c r="S148" s="224"/>
      <c r="T148" s="224"/>
      <c r="U148" s="224"/>
      <c r="V148" s="252"/>
    </row>
    <row r="149" spans="1:23" x14ac:dyDescent="0.15">
      <c r="A149" s="255"/>
      <c r="B149" s="255"/>
      <c r="C149" s="368"/>
      <c r="D149" s="412">
        <v>615210</v>
      </c>
      <c r="E149" s="357" t="s">
        <v>156</v>
      </c>
      <c r="F149" s="412" t="s">
        <v>192</v>
      </c>
      <c r="G149" s="369"/>
      <c r="H149" s="559"/>
      <c r="I149" s="226"/>
      <c r="J149" s="226"/>
      <c r="K149" s="226"/>
      <c r="L149" s="226"/>
      <c r="M149" s="226">
        <v>232</v>
      </c>
      <c r="N149" s="226"/>
      <c r="O149" s="226"/>
      <c r="P149" s="226"/>
      <c r="Q149" s="226"/>
      <c r="R149" s="226"/>
      <c r="S149" s="226"/>
      <c r="T149" s="226"/>
      <c r="U149" s="226"/>
      <c r="V149" s="255">
        <f>SUM(H149:T149)</f>
        <v>232</v>
      </c>
    </row>
    <row r="150" spans="1:23" x14ac:dyDescent="0.15">
      <c r="A150" s="255" t="s">
        <v>286</v>
      </c>
      <c r="B150" s="255" t="s">
        <v>141</v>
      </c>
      <c r="C150" s="368"/>
      <c r="D150" s="412">
        <v>615210</v>
      </c>
      <c r="E150" s="357" t="s">
        <v>395</v>
      </c>
      <c r="F150" s="412" t="s">
        <v>192</v>
      </c>
      <c r="G150" s="369"/>
      <c r="H150" s="559"/>
      <c r="I150" s="226"/>
      <c r="J150" s="226"/>
      <c r="K150" s="226"/>
      <c r="L150" s="226"/>
      <c r="M150" s="226"/>
      <c r="N150" s="226"/>
      <c r="O150" s="226"/>
      <c r="P150" s="226"/>
      <c r="Q150" s="226"/>
      <c r="R150" s="226"/>
      <c r="S150" s="226"/>
      <c r="T150" s="226"/>
      <c r="U150" s="226"/>
      <c r="V150" s="255">
        <f>SUM(H150:T150)</f>
        <v>0</v>
      </c>
    </row>
    <row r="151" spans="1:23" s="221" customFormat="1" ht="11.25" thickBot="1" x14ac:dyDescent="0.2">
      <c r="A151" s="536" t="s">
        <v>11</v>
      </c>
      <c r="B151" s="532"/>
      <c r="C151" s="542"/>
      <c r="D151" s="538"/>
      <c r="E151" s="536"/>
      <c r="F151" s="539"/>
      <c r="G151" s="540"/>
      <c r="H151" s="522">
        <f>SUM(H149:H150)</f>
        <v>0</v>
      </c>
      <c r="I151" s="522">
        <f t="shared" ref="I151:V151" si="29">SUM(I149:I150)</f>
        <v>0</v>
      </c>
      <c r="J151" s="522">
        <f t="shared" si="29"/>
        <v>0</v>
      </c>
      <c r="K151" s="522">
        <f t="shared" si="29"/>
        <v>0</v>
      </c>
      <c r="L151" s="522">
        <f t="shared" si="29"/>
        <v>0</v>
      </c>
      <c r="M151" s="522">
        <f t="shared" si="29"/>
        <v>232</v>
      </c>
      <c r="N151" s="522">
        <f t="shared" si="29"/>
        <v>0</v>
      </c>
      <c r="O151" s="522">
        <f t="shared" si="29"/>
        <v>0</v>
      </c>
      <c r="P151" s="522">
        <f t="shared" si="29"/>
        <v>0</v>
      </c>
      <c r="Q151" s="522">
        <f t="shared" si="29"/>
        <v>0</v>
      </c>
      <c r="R151" s="522">
        <f t="shared" si="29"/>
        <v>0</v>
      </c>
      <c r="S151" s="522">
        <f t="shared" si="29"/>
        <v>0</v>
      </c>
      <c r="T151" s="522">
        <f t="shared" si="29"/>
        <v>0</v>
      </c>
      <c r="U151" s="522">
        <f>SUM(U149:U150)</f>
        <v>0</v>
      </c>
      <c r="V151" s="522">
        <f t="shared" si="29"/>
        <v>232</v>
      </c>
      <c r="W151" s="97" t="str">
        <f>+IF(V151=SUM(H151:T151),"contrôle ok", "erreur")</f>
        <v>contrôle ok</v>
      </c>
    </row>
    <row r="152" spans="1:23" s="221" customFormat="1" ht="11.25" thickTop="1" x14ac:dyDescent="0.15">
      <c r="A152" s="361"/>
      <c r="B152" s="361"/>
      <c r="C152" s="378"/>
      <c r="D152" s="414"/>
      <c r="E152" s="363"/>
      <c r="F152" s="414"/>
      <c r="G152" s="364"/>
      <c r="H152" s="229"/>
      <c r="I152" s="229"/>
      <c r="J152" s="229"/>
      <c r="K152" s="229"/>
      <c r="L152" s="229"/>
      <c r="M152" s="229"/>
      <c r="N152" s="229"/>
      <c r="O152" s="229"/>
      <c r="P152" s="229"/>
      <c r="Q152" s="229"/>
      <c r="R152" s="229"/>
      <c r="S152" s="229"/>
      <c r="T152" s="229"/>
      <c r="U152" s="229"/>
      <c r="V152" s="258"/>
    </row>
    <row r="153" spans="1:23" x14ac:dyDescent="0.15">
      <c r="A153" s="352" t="s">
        <v>712</v>
      </c>
      <c r="B153" s="353"/>
      <c r="C153" s="354"/>
      <c r="D153" s="410"/>
      <c r="E153" s="355"/>
      <c r="F153" s="418"/>
      <c r="G153" s="356"/>
      <c r="H153" s="224"/>
      <c r="I153" s="224"/>
      <c r="J153" s="251"/>
      <c r="K153" s="224"/>
      <c r="L153" s="224"/>
      <c r="M153" s="224"/>
      <c r="N153" s="224"/>
      <c r="O153" s="224"/>
      <c r="P153" s="224"/>
      <c r="Q153" s="224"/>
      <c r="R153" s="224"/>
      <c r="S153" s="224"/>
      <c r="T153" s="224"/>
      <c r="U153" s="224"/>
      <c r="V153" s="252"/>
    </row>
    <row r="154" spans="1:23" x14ac:dyDescent="0.15">
      <c r="A154" s="255" t="s">
        <v>764</v>
      </c>
      <c r="B154" s="255" t="s">
        <v>766</v>
      </c>
      <c r="C154" s="368"/>
      <c r="D154" s="412">
        <v>615215</v>
      </c>
      <c r="E154" s="357" t="s">
        <v>156</v>
      </c>
      <c r="F154" s="412"/>
      <c r="G154" s="369"/>
      <c r="H154" s="559">
        <f>608.5-608.5-608.5+608.5+344-344</f>
        <v>0</v>
      </c>
      <c r="I154" s="226">
        <v>384</v>
      </c>
      <c r="J154" s="226">
        <v>384</v>
      </c>
      <c r="K154" s="226">
        <v>500</v>
      </c>
      <c r="L154" s="226">
        <v>217</v>
      </c>
      <c r="M154" s="226">
        <v>510</v>
      </c>
      <c r="N154" s="226">
        <v>126</v>
      </c>
      <c r="O154" s="226">
        <v>0</v>
      </c>
      <c r="P154" s="226">
        <v>902</v>
      </c>
      <c r="Q154" s="226">
        <v>699</v>
      </c>
      <c r="R154" s="226">
        <v>408</v>
      </c>
      <c r="S154" s="226">
        <f>387+120</f>
        <v>507</v>
      </c>
      <c r="T154" s="226"/>
      <c r="U154" s="582"/>
      <c r="V154" s="255">
        <f t="shared" ref="V154:V161" si="30">SUM(H154:T154)</f>
        <v>4637</v>
      </c>
    </row>
    <row r="155" spans="1:23" x14ac:dyDescent="0.15">
      <c r="A155" s="255" t="s">
        <v>739</v>
      </c>
      <c r="B155" s="255"/>
      <c r="C155" s="368"/>
      <c r="D155" s="412">
        <v>615215</v>
      </c>
      <c r="E155" s="357" t="s">
        <v>156</v>
      </c>
      <c r="F155" s="412"/>
      <c r="G155" s="369"/>
      <c r="H155" s="559"/>
      <c r="I155" s="226"/>
      <c r="J155" s="226"/>
      <c r="K155" s="226"/>
      <c r="L155" s="226"/>
      <c r="M155" s="226"/>
      <c r="N155" s="226"/>
      <c r="O155" s="226">
        <v>152</v>
      </c>
      <c r="P155" s="226"/>
      <c r="Q155" s="226"/>
      <c r="R155" s="226"/>
      <c r="S155" s="226"/>
      <c r="T155" s="226"/>
      <c r="U155" s="582"/>
      <c r="V155" s="255">
        <f t="shared" si="30"/>
        <v>152</v>
      </c>
    </row>
    <row r="156" spans="1:23" x14ac:dyDescent="0.15">
      <c r="A156" s="255" t="s">
        <v>836</v>
      </c>
      <c r="B156" s="255" t="s">
        <v>755</v>
      </c>
      <c r="C156" s="368"/>
      <c r="D156" s="412">
        <v>615215</v>
      </c>
      <c r="E156" s="357" t="s">
        <v>156</v>
      </c>
      <c r="F156" s="412"/>
      <c r="G156" s="369"/>
      <c r="H156" s="559">
        <f>879.56-800+250-250-1150-500</f>
        <v>-1570.44</v>
      </c>
      <c r="I156" s="226">
        <v>797.68</v>
      </c>
      <c r="J156" s="226">
        <v>1026.5</v>
      </c>
      <c r="K156" s="226">
        <v>432</v>
      </c>
      <c r="L156" s="226">
        <f>387.6+76</f>
        <v>463.6</v>
      </c>
      <c r="M156" s="226">
        <v>342</v>
      </c>
      <c r="N156" s="226">
        <v>0</v>
      </c>
      <c r="O156" s="226">
        <v>1198</v>
      </c>
      <c r="P156" s="582">
        <v>500</v>
      </c>
      <c r="Q156" s="582">
        <v>500</v>
      </c>
      <c r="R156" s="226">
        <v>595.20000000000005</v>
      </c>
      <c r="S156" s="226">
        <v>612</v>
      </c>
      <c r="T156" s="226"/>
      <c r="U156" s="582"/>
      <c r="V156" s="255">
        <f t="shared" si="30"/>
        <v>4896.54</v>
      </c>
    </row>
    <row r="157" spans="1:23" s="261" customFormat="1" x14ac:dyDescent="0.15">
      <c r="A157" s="226" t="s">
        <v>836</v>
      </c>
      <c r="B157" s="226" t="s">
        <v>837</v>
      </c>
      <c r="C157" s="296"/>
      <c r="D157" s="618">
        <v>615215</v>
      </c>
      <c r="E157" s="357" t="s">
        <v>156</v>
      </c>
      <c r="F157" s="618" t="s">
        <v>726</v>
      </c>
      <c r="G157" s="369"/>
      <c r="H157" s="226"/>
      <c r="I157" s="226"/>
      <c r="J157" s="226"/>
      <c r="K157" s="226"/>
      <c r="L157" s="226"/>
      <c r="M157" s="226"/>
      <c r="N157" s="226"/>
      <c r="O157" s="226"/>
      <c r="P157" s="226"/>
      <c r="Q157" s="226"/>
      <c r="R157" s="226">
        <v>152.6</v>
      </c>
      <c r="S157" s="226"/>
      <c r="T157" s="226"/>
      <c r="U157" s="582"/>
      <c r="V157" s="255">
        <f>SUM(H157:T157)</f>
        <v>152.6</v>
      </c>
    </row>
    <row r="158" spans="1:23" x14ac:dyDescent="0.15">
      <c r="A158" s="255" t="s">
        <v>765</v>
      </c>
      <c r="B158" s="255"/>
      <c r="C158" s="368"/>
      <c r="D158" s="412">
        <v>615215</v>
      </c>
      <c r="E158" s="357" t="s">
        <v>709</v>
      </c>
      <c r="F158" s="412"/>
      <c r="G158" s="369"/>
      <c r="H158" s="559"/>
      <c r="I158" s="226"/>
      <c r="J158" s="226"/>
      <c r="K158" s="226"/>
      <c r="L158" s="226"/>
      <c r="M158" s="226"/>
      <c r="N158" s="226"/>
      <c r="O158" s="226"/>
      <c r="P158" s="226"/>
      <c r="Q158" s="226"/>
      <c r="R158" s="226"/>
      <c r="S158" s="226"/>
      <c r="T158" s="226"/>
      <c r="U158" s="582"/>
      <c r="V158" s="255">
        <f t="shared" si="30"/>
        <v>0</v>
      </c>
    </row>
    <row r="159" spans="1:23" x14ac:dyDescent="0.15">
      <c r="A159" s="255" t="s">
        <v>764</v>
      </c>
      <c r="B159" s="255" t="s">
        <v>767</v>
      </c>
      <c r="C159" s="368"/>
      <c r="D159" s="412">
        <v>615215</v>
      </c>
      <c r="E159" s="357" t="s">
        <v>709</v>
      </c>
      <c r="F159" s="412"/>
      <c r="G159" s="369"/>
      <c r="H159" s="559">
        <f>-600-600</f>
        <v>-1200</v>
      </c>
      <c r="I159" s="226"/>
      <c r="J159" s="226"/>
      <c r="K159" s="226"/>
      <c r="L159" s="226"/>
      <c r="M159" s="226"/>
      <c r="N159" s="226"/>
      <c r="O159" s="226"/>
      <c r="P159" s="226"/>
      <c r="Q159" s="226"/>
      <c r="R159" s="226"/>
      <c r="S159" s="226">
        <f>380+570</f>
        <v>950</v>
      </c>
      <c r="T159" s="226"/>
      <c r="U159" s="582"/>
      <c r="V159" s="255">
        <f t="shared" si="30"/>
        <v>-250</v>
      </c>
    </row>
    <row r="160" spans="1:23" x14ac:dyDescent="0.15">
      <c r="A160" s="255" t="s">
        <v>441</v>
      </c>
      <c r="B160" s="255"/>
      <c r="C160" s="368"/>
      <c r="D160" s="412">
        <v>615215</v>
      </c>
      <c r="E160" s="357" t="s">
        <v>395</v>
      </c>
      <c r="F160" s="412"/>
      <c r="G160" s="369">
        <v>4000</v>
      </c>
      <c r="H160" s="559">
        <f>3906-4000</f>
        <v>-94</v>
      </c>
      <c r="I160" s="226">
        <v>3724</v>
      </c>
      <c r="J160" s="226">
        <v>3758</v>
      </c>
      <c r="K160" s="226">
        <v>3800</v>
      </c>
      <c r="L160" s="226">
        <v>4004</v>
      </c>
      <c r="M160" s="226">
        <v>3876</v>
      </c>
      <c r="N160" s="226">
        <v>4354</v>
      </c>
      <c r="O160" s="226">
        <v>4372</v>
      </c>
      <c r="P160" s="226">
        <v>4630</v>
      </c>
      <c r="Q160" s="226">
        <v>4228</v>
      </c>
      <c r="R160" s="226">
        <v>4028</v>
      </c>
      <c r="S160" s="226">
        <v>3952</v>
      </c>
      <c r="T160" s="226"/>
      <c r="U160" s="582"/>
      <c r="V160" s="255">
        <f t="shared" si="30"/>
        <v>44632</v>
      </c>
    </row>
    <row r="161" spans="1:23" x14ac:dyDescent="0.15">
      <c r="A161" s="255"/>
      <c r="B161" s="255"/>
      <c r="C161" s="368"/>
      <c r="D161" s="412">
        <v>615215</v>
      </c>
      <c r="E161" s="357"/>
      <c r="F161" s="412"/>
      <c r="G161" s="369"/>
      <c r="H161" s="559"/>
      <c r="I161" s="226"/>
      <c r="J161" s="226"/>
      <c r="K161" s="226"/>
      <c r="L161" s="226"/>
      <c r="M161" s="226"/>
      <c r="N161" s="226"/>
      <c r="O161" s="226"/>
      <c r="P161" s="226"/>
      <c r="Q161" s="226"/>
      <c r="R161" s="226"/>
      <c r="S161" s="226"/>
      <c r="T161" s="226"/>
      <c r="U161" s="226"/>
      <c r="V161" s="255">
        <f t="shared" si="30"/>
        <v>0</v>
      </c>
    </row>
    <row r="162" spans="1:23" s="221" customFormat="1" ht="11.25" thickBot="1" x14ac:dyDescent="0.2">
      <c r="A162" s="536" t="s">
        <v>11</v>
      </c>
      <c r="B162" s="532"/>
      <c r="C162" s="542"/>
      <c r="D162" s="538"/>
      <c r="E162" s="536"/>
      <c r="F162" s="539"/>
      <c r="G162" s="540"/>
      <c r="H162" s="522">
        <f t="shared" ref="H162:V162" si="31">SUM(H154:H161)</f>
        <v>-2864.44</v>
      </c>
      <c r="I162" s="522">
        <f t="shared" si="31"/>
        <v>4905.68</v>
      </c>
      <c r="J162" s="522">
        <f t="shared" si="31"/>
        <v>5168.5</v>
      </c>
      <c r="K162" s="522">
        <f t="shared" si="31"/>
        <v>4732</v>
      </c>
      <c r="L162" s="522">
        <f t="shared" si="31"/>
        <v>4684.6000000000004</v>
      </c>
      <c r="M162" s="522">
        <f t="shared" si="31"/>
        <v>4728</v>
      </c>
      <c r="N162" s="522">
        <f t="shared" si="31"/>
        <v>4480</v>
      </c>
      <c r="O162" s="522">
        <f t="shared" si="31"/>
        <v>5722</v>
      </c>
      <c r="P162" s="522">
        <f t="shared" si="31"/>
        <v>6032</v>
      </c>
      <c r="Q162" s="522">
        <f t="shared" si="31"/>
        <v>5427</v>
      </c>
      <c r="R162" s="522">
        <f t="shared" si="31"/>
        <v>5183.8</v>
      </c>
      <c r="S162" s="522">
        <f t="shared" si="31"/>
        <v>6021</v>
      </c>
      <c r="T162" s="522">
        <f t="shared" si="31"/>
        <v>0</v>
      </c>
      <c r="U162" s="522">
        <f>SUM(U154:U161)</f>
        <v>0</v>
      </c>
      <c r="V162" s="522">
        <f t="shared" si="31"/>
        <v>54220.14</v>
      </c>
      <c r="W162" s="97" t="str">
        <f>+IF(V162=SUM(H162:T162),"contrôle ok", "erreur")</f>
        <v>contrôle ok</v>
      </c>
    </row>
    <row r="163" spans="1:23" s="221" customFormat="1" ht="11.25" thickTop="1" x14ac:dyDescent="0.15">
      <c r="A163" s="361"/>
      <c r="B163" s="361"/>
      <c r="C163" s="362"/>
      <c r="D163" s="414"/>
      <c r="E163" s="363"/>
      <c r="F163" s="414"/>
      <c r="G163" s="364"/>
      <c r="H163" s="229"/>
      <c r="I163" s="229"/>
      <c r="J163" s="229"/>
      <c r="K163" s="229"/>
      <c r="L163" s="229"/>
      <c r="M163" s="229"/>
      <c r="N163" s="257"/>
      <c r="O163" s="229"/>
      <c r="P163" s="229"/>
      <c r="Q163" s="229"/>
      <c r="R163" s="229"/>
      <c r="S163" s="229"/>
      <c r="T163" s="229"/>
      <c r="U163" s="229"/>
      <c r="V163" s="258"/>
    </row>
    <row r="164" spans="1:23" x14ac:dyDescent="0.15">
      <c r="A164" s="352" t="s">
        <v>12</v>
      </c>
      <c r="B164" s="353"/>
      <c r="C164" s="354"/>
      <c r="D164" s="410"/>
      <c r="E164" s="355"/>
      <c r="F164" s="418"/>
      <c r="G164" s="356"/>
      <c r="H164" s="224"/>
      <c r="I164" s="224"/>
      <c r="J164" s="251"/>
      <c r="K164" s="224"/>
      <c r="L164" s="224"/>
      <c r="M164" s="224"/>
      <c r="N164" s="224"/>
      <c r="O164" s="224"/>
      <c r="P164" s="224"/>
      <c r="Q164" s="224"/>
      <c r="R164" s="224"/>
      <c r="S164" s="224"/>
      <c r="T164" s="224"/>
      <c r="U164" s="224"/>
      <c r="V164" s="252"/>
    </row>
    <row r="165" spans="1:23" x14ac:dyDescent="0.15">
      <c r="A165" s="255" t="s">
        <v>439</v>
      </c>
      <c r="B165" s="255"/>
      <c r="C165" s="368"/>
      <c r="D165" s="412">
        <v>615220</v>
      </c>
      <c r="E165" s="357" t="s">
        <v>236</v>
      </c>
      <c r="F165" s="412" t="s">
        <v>192</v>
      </c>
      <c r="G165" s="369"/>
      <c r="H165" s="559"/>
      <c r="I165" s="226"/>
      <c r="J165" s="226"/>
      <c r="K165" s="226"/>
      <c r="L165" s="226"/>
      <c r="M165" s="226"/>
      <c r="N165" s="226"/>
      <c r="O165" s="226"/>
      <c r="P165" s="226"/>
      <c r="Q165" s="226"/>
      <c r="R165" s="226"/>
      <c r="S165" s="226"/>
      <c r="T165" s="226"/>
      <c r="U165" s="226"/>
      <c r="V165" s="255">
        <f t="shared" ref="V165:V177" si="32">SUM(H165:T165)</f>
        <v>0</v>
      </c>
    </row>
    <row r="166" spans="1:23" x14ac:dyDescent="0.15">
      <c r="A166" s="255"/>
      <c r="B166" s="255"/>
      <c r="C166" s="368"/>
      <c r="D166" s="412"/>
      <c r="E166" s="357"/>
      <c r="F166" s="412"/>
      <c r="G166" s="369"/>
      <c r="H166" s="559"/>
      <c r="I166" s="226"/>
      <c r="J166" s="226"/>
      <c r="K166" s="226"/>
      <c r="L166" s="226"/>
      <c r="M166" s="226"/>
      <c r="N166" s="226"/>
      <c r="O166" s="226"/>
      <c r="P166" s="226"/>
      <c r="Q166" s="226"/>
      <c r="R166" s="226"/>
      <c r="S166" s="226"/>
      <c r="T166" s="226"/>
      <c r="U166" s="226"/>
      <c r="V166" s="255">
        <f t="shared" si="32"/>
        <v>0</v>
      </c>
    </row>
    <row r="167" spans="1:23" x14ac:dyDescent="0.15">
      <c r="A167" s="255" t="s">
        <v>294</v>
      </c>
      <c r="B167" s="255" t="s">
        <v>422</v>
      </c>
      <c r="C167" s="477" t="s">
        <v>515</v>
      </c>
      <c r="D167" s="412">
        <v>615220</v>
      </c>
      <c r="E167" s="357" t="s">
        <v>236</v>
      </c>
      <c r="F167" s="412" t="s">
        <v>179</v>
      </c>
      <c r="G167" s="369">
        <v>442.94</v>
      </c>
      <c r="H167" s="559"/>
      <c r="I167" s="226">
        <v>442.94</v>
      </c>
      <c r="J167" s="226">
        <v>442.94</v>
      </c>
      <c r="K167" s="226">
        <v>442.94</v>
      </c>
      <c r="L167" s="226">
        <v>442.94</v>
      </c>
      <c r="M167" s="226">
        <v>442.94</v>
      </c>
      <c r="N167" s="226">
        <v>442.94</v>
      </c>
      <c r="O167" s="226">
        <v>442.94</v>
      </c>
      <c r="P167" s="226">
        <v>442.94</v>
      </c>
      <c r="Q167" s="226">
        <v>442.94</v>
      </c>
      <c r="R167" s="226">
        <v>442.94</v>
      </c>
      <c r="S167" s="226">
        <v>442.94</v>
      </c>
      <c r="T167" s="226">
        <v>442.94</v>
      </c>
      <c r="U167" s="582"/>
      <c r="V167" s="255">
        <f t="shared" si="32"/>
        <v>5315.2799999999988</v>
      </c>
    </row>
    <row r="168" spans="1:23" x14ac:dyDescent="0.15">
      <c r="A168" s="255"/>
      <c r="B168" s="255"/>
      <c r="C168" s="368"/>
      <c r="D168" s="412"/>
      <c r="E168" s="357"/>
      <c r="F168" s="412"/>
      <c r="G168" s="369"/>
      <c r="H168" s="559"/>
      <c r="I168" s="226"/>
      <c r="J168" s="226"/>
      <c r="K168" s="226"/>
      <c r="L168" s="226"/>
      <c r="M168" s="226"/>
      <c r="N168" s="226"/>
      <c r="O168" s="226"/>
      <c r="P168" s="226"/>
      <c r="Q168" s="226"/>
      <c r="R168" s="226"/>
      <c r="S168" s="226"/>
      <c r="T168" s="226"/>
      <c r="U168" s="582"/>
      <c r="V168" s="255">
        <f t="shared" si="32"/>
        <v>0</v>
      </c>
    </row>
    <row r="169" spans="1:23" x14ac:dyDescent="0.15">
      <c r="A169" s="255" t="s">
        <v>622</v>
      </c>
      <c r="B169" s="255" t="s">
        <v>467</v>
      </c>
      <c r="C169" s="368" t="s">
        <v>623</v>
      </c>
      <c r="D169" s="412">
        <v>615220</v>
      </c>
      <c r="E169" s="357" t="s">
        <v>157</v>
      </c>
      <c r="F169" s="412" t="s">
        <v>179</v>
      </c>
      <c r="G169" s="369">
        <v>151.9</v>
      </c>
      <c r="H169" s="559"/>
      <c r="I169" s="226">
        <v>151.9</v>
      </c>
      <c r="J169" s="226">
        <v>151.9</v>
      </c>
      <c r="K169" s="226">
        <v>151.9</v>
      </c>
      <c r="L169" s="226">
        <v>151.9</v>
      </c>
      <c r="M169" s="226">
        <v>151.9</v>
      </c>
      <c r="N169" s="226">
        <v>151.9</v>
      </c>
      <c r="O169" s="226">
        <v>151.9</v>
      </c>
      <c r="P169" s="226">
        <v>151.9</v>
      </c>
      <c r="Q169" s="226">
        <v>151.9</v>
      </c>
      <c r="R169" s="226">
        <v>151.9</v>
      </c>
      <c r="S169" s="226">
        <v>151.9</v>
      </c>
      <c r="T169" s="226">
        <v>151.9</v>
      </c>
      <c r="U169" s="582"/>
      <c r="V169" s="255">
        <f t="shared" si="32"/>
        <v>1822.8000000000004</v>
      </c>
    </row>
    <row r="170" spans="1:23" x14ac:dyDescent="0.15">
      <c r="A170" s="255" t="s">
        <v>452</v>
      </c>
      <c r="B170" s="255" t="s">
        <v>453</v>
      </c>
      <c r="C170" s="477">
        <v>2015</v>
      </c>
      <c r="D170" s="412">
        <v>615220</v>
      </c>
      <c r="E170" s="357" t="s">
        <v>157</v>
      </c>
      <c r="F170" s="412" t="s">
        <v>179</v>
      </c>
      <c r="G170" s="369">
        <v>9.8800000000000008</v>
      </c>
      <c r="H170" s="559">
        <v>-118.56</v>
      </c>
      <c r="I170" s="582"/>
      <c r="J170" s="582"/>
      <c r="K170" s="582"/>
      <c r="L170" s="582"/>
      <c r="M170" s="582"/>
      <c r="N170" s="582"/>
      <c r="O170" s="226"/>
      <c r="P170" s="226"/>
      <c r="Q170" s="226"/>
      <c r="R170" s="226"/>
      <c r="S170" s="226"/>
      <c r="T170" s="226"/>
      <c r="U170" s="582"/>
      <c r="V170" s="255">
        <f t="shared" si="32"/>
        <v>-118.56</v>
      </c>
    </row>
    <row r="171" spans="1:23" x14ac:dyDescent="0.15">
      <c r="A171" s="143" t="s">
        <v>452</v>
      </c>
      <c r="B171" s="143" t="s">
        <v>527</v>
      </c>
      <c r="C171" s="144" t="s">
        <v>528</v>
      </c>
      <c r="D171" s="412">
        <v>615220</v>
      </c>
      <c r="E171" s="357" t="s">
        <v>157</v>
      </c>
      <c r="F171" s="145" t="s">
        <v>179</v>
      </c>
      <c r="G171" s="369">
        <v>114</v>
      </c>
      <c r="H171" s="559"/>
      <c r="I171" s="226">
        <v>114.01</v>
      </c>
      <c r="J171" s="226">
        <v>114.01</v>
      </c>
      <c r="K171" s="226">
        <v>114.01</v>
      </c>
      <c r="L171" s="226">
        <v>114.01</v>
      </c>
      <c r="M171" s="226">
        <v>114.01</v>
      </c>
      <c r="N171" s="226">
        <v>114.01</v>
      </c>
      <c r="O171" s="226">
        <v>114.01</v>
      </c>
      <c r="P171" s="226">
        <v>114.01</v>
      </c>
      <c r="Q171" s="226">
        <v>114.01</v>
      </c>
      <c r="R171" s="226">
        <v>114.01</v>
      </c>
      <c r="S171" s="226">
        <v>114.01</v>
      </c>
      <c r="T171" s="226">
        <v>113.95</v>
      </c>
      <c r="U171" s="582"/>
      <c r="V171" s="255">
        <f t="shared" si="32"/>
        <v>1368.0600000000002</v>
      </c>
    </row>
    <row r="172" spans="1:23" x14ac:dyDescent="0.15">
      <c r="A172" s="255"/>
      <c r="B172" s="255"/>
      <c r="C172" s="368"/>
      <c r="D172" s="412">
        <v>615220</v>
      </c>
      <c r="E172" s="357" t="s">
        <v>157</v>
      </c>
      <c r="F172" s="145" t="s">
        <v>179</v>
      </c>
      <c r="G172" s="369">
        <v>59.28</v>
      </c>
      <c r="H172" s="559">
        <v>-711.36</v>
      </c>
      <c r="I172" s="582"/>
      <c r="J172" s="582"/>
      <c r="K172" s="582"/>
      <c r="L172" s="582"/>
      <c r="M172" s="582"/>
      <c r="N172" s="582"/>
      <c r="O172" s="582"/>
      <c r="P172" s="226"/>
      <c r="Q172" s="226"/>
      <c r="R172" s="226"/>
      <c r="S172" s="226"/>
      <c r="T172" s="226"/>
      <c r="U172" s="582"/>
      <c r="V172" s="255">
        <f t="shared" si="32"/>
        <v>-711.36</v>
      </c>
    </row>
    <row r="173" spans="1:23" x14ac:dyDescent="0.15">
      <c r="A173" s="255"/>
      <c r="B173" s="255"/>
      <c r="C173" s="368"/>
      <c r="D173" s="412">
        <v>615220</v>
      </c>
      <c r="E173" s="357" t="s">
        <v>157</v>
      </c>
      <c r="F173" s="412" t="s">
        <v>192</v>
      </c>
      <c r="G173" s="369"/>
      <c r="H173" s="559"/>
      <c r="I173" s="226"/>
      <c r="J173" s="226"/>
      <c r="K173" s="226"/>
      <c r="L173" s="226"/>
      <c r="M173" s="226"/>
      <c r="N173" s="226"/>
      <c r="O173" s="226"/>
      <c r="P173" s="226"/>
      <c r="Q173" s="226"/>
      <c r="R173" s="226"/>
      <c r="S173" s="226">
        <v>391.02</v>
      </c>
      <c r="T173" s="226"/>
      <c r="U173" s="582"/>
      <c r="V173" s="255">
        <f t="shared" si="32"/>
        <v>391.02</v>
      </c>
    </row>
    <row r="174" spans="1:23" x14ac:dyDescent="0.15">
      <c r="A174" s="255"/>
      <c r="B174" s="255"/>
      <c r="C174" s="368"/>
      <c r="D174" s="412"/>
      <c r="E174" s="357"/>
      <c r="F174" s="412"/>
      <c r="G174" s="369"/>
      <c r="H174" s="559"/>
      <c r="I174" s="226"/>
      <c r="J174" s="226"/>
      <c r="K174" s="226"/>
      <c r="L174" s="226"/>
      <c r="M174" s="226"/>
      <c r="N174" s="226"/>
      <c r="O174" s="226"/>
      <c r="P174" s="226"/>
      <c r="Q174" s="226"/>
      <c r="R174" s="226"/>
      <c r="S174" s="226"/>
      <c r="T174" s="226"/>
      <c r="U174" s="582"/>
      <c r="V174" s="255">
        <f t="shared" si="32"/>
        <v>0</v>
      </c>
    </row>
    <row r="175" spans="1:23" x14ac:dyDescent="0.15">
      <c r="A175" s="255" t="s">
        <v>483</v>
      </c>
      <c r="B175" s="255" t="s">
        <v>511</v>
      </c>
      <c r="C175" s="368" t="s">
        <v>512</v>
      </c>
      <c r="D175" s="412">
        <v>615220</v>
      </c>
      <c r="E175" s="357" t="s">
        <v>155</v>
      </c>
      <c r="F175" s="412" t="s">
        <v>179</v>
      </c>
      <c r="G175" s="369">
        <v>95.89</v>
      </c>
      <c r="H175" s="559"/>
      <c r="I175" s="226">
        <v>95.89</v>
      </c>
      <c r="J175" s="226">
        <v>95.89</v>
      </c>
      <c r="K175" s="226">
        <v>95.89</v>
      </c>
      <c r="L175" s="226">
        <v>95.89</v>
      </c>
      <c r="M175" s="226">
        <v>95.89</v>
      </c>
      <c r="N175" s="226">
        <v>95.89</v>
      </c>
      <c r="O175" s="226">
        <v>95.89</v>
      </c>
      <c r="P175" s="226">
        <v>95.89</v>
      </c>
      <c r="Q175" s="226">
        <v>95.89</v>
      </c>
      <c r="R175" s="226">
        <v>95.89</v>
      </c>
      <c r="S175" s="226">
        <v>95.89</v>
      </c>
      <c r="T175" s="226">
        <v>95.89</v>
      </c>
      <c r="U175" s="582"/>
      <c r="V175" s="255">
        <f t="shared" si="32"/>
        <v>1150.68</v>
      </c>
    </row>
    <row r="176" spans="1:23" x14ac:dyDescent="0.15">
      <c r="A176" s="255" t="s">
        <v>483</v>
      </c>
      <c r="B176" s="255" t="s">
        <v>511</v>
      </c>
      <c r="C176" s="368" t="s">
        <v>542</v>
      </c>
      <c r="D176" s="412">
        <v>615220</v>
      </c>
      <c r="E176" s="357" t="s">
        <v>155</v>
      </c>
      <c r="F176" s="412" t="s">
        <v>179</v>
      </c>
      <c r="G176" s="369">
        <v>32.17</v>
      </c>
      <c r="H176" s="559"/>
      <c r="I176" s="226">
        <v>32.17</v>
      </c>
      <c r="J176" s="226">
        <v>32.17</v>
      </c>
      <c r="K176" s="226">
        <v>32.17</v>
      </c>
      <c r="L176" s="226">
        <v>32.17</v>
      </c>
      <c r="M176" s="226">
        <v>32.17</v>
      </c>
      <c r="N176" s="226">
        <v>32.17</v>
      </c>
      <c r="O176" s="226">
        <v>32.17</v>
      </c>
      <c r="P176" s="226">
        <v>32.17</v>
      </c>
      <c r="Q176" s="226">
        <v>32.17</v>
      </c>
      <c r="R176" s="226">
        <v>32.17</v>
      </c>
      <c r="S176" s="226">
        <v>32.17</v>
      </c>
      <c r="T176" s="226">
        <v>32.17</v>
      </c>
      <c r="U176" s="582"/>
      <c r="V176" s="255">
        <f t="shared" si="32"/>
        <v>386.04000000000013</v>
      </c>
    </row>
    <row r="177" spans="1:23" s="261" customFormat="1" x14ac:dyDescent="0.15">
      <c r="A177" s="226" t="s">
        <v>412</v>
      </c>
      <c r="B177" s="226" t="s">
        <v>479</v>
      </c>
      <c r="C177" s="296" t="s">
        <v>861</v>
      </c>
      <c r="D177" s="618">
        <v>615220</v>
      </c>
      <c r="E177" s="644" t="s">
        <v>155</v>
      </c>
      <c r="F177" s="618" t="s">
        <v>179</v>
      </c>
      <c r="G177" s="369">
        <v>43.89</v>
      </c>
      <c r="H177" s="226"/>
      <c r="I177" s="226">
        <v>43.89</v>
      </c>
      <c r="J177" s="226">
        <v>43.89</v>
      </c>
      <c r="K177" s="226">
        <v>43.89</v>
      </c>
      <c r="L177" s="226">
        <v>43.89</v>
      </c>
      <c r="M177" s="226">
        <v>43.89</v>
      </c>
      <c r="N177" s="226">
        <v>43.89</v>
      </c>
      <c r="O177" s="226">
        <v>43.89</v>
      </c>
      <c r="P177" s="226">
        <v>43.89</v>
      </c>
      <c r="Q177" s="226">
        <v>43.89</v>
      </c>
      <c r="R177" s="226">
        <v>43.89</v>
      </c>
      <c r="S177" s="226">
        <v>43.85</v>
      </c>
      <c r="T177" s="226"/>
      <c r="U177" s="226"/>
      <c r="V177" s="226">
        <f t="shared" si="32"/>
        <v>482.74999999999994</v>
      </c>
    </row>
    <row r="178" spans="1:23" s="221" customFormat="1" ht="11.25" thickBot="1" x14ac:dyDescent="0.2">
      <c r="A178" s="536" t="s">
        <v>11</v>
      </c>
      <c r="B178" s="532"/>
      <c r="C178" s="542"/>
      <c r="D178" s="538"/>
      <c r="E178" s="536"/>
      <c r="F178" s="539"/>
      <c r="G178" s="540"/>
      <c r="H178" s="522">
        <f t="shared" ref="H178:V178" si="33">SUM(H165:H177)</f>
        <v>-829.92000000000007</v>
      </c>
      <c r="I178" s="522">
        <f t="shared" si="33"/>
        <v>880.8</v>
      </c>
      <c r="J178" s="522">
        <f t="shared" si="33"/>
        <v>880.8</v>
      </c>
      <c r="K178" s="522">
        <f t="shared" si="33"/>
        <v>880.8</v>
      </c>
      <c r="L178" s="522">
        <f t="shared" si="33"/>
        <v>880.8</v>
      </c>
      <c r="M178" s="522">
        <f t="shared" si="33"/>
        <v>880.8</v>
      </c>
      <c r="N178" s="522">
        <f t="shared" si="33"/>
        <v>880.8</v>
      </c>
      <c r="O178" s="522">
        <f t="shared" si="33"/>
        <v>880.8</v>
      </c>
      <c r="P178" s="522">
        <f t="shared" si="33"/>
        <v>880.8</v>
      </c>
      <c r="Q178" s="522">
        <f t="shared" si="33"/>
        <v>880.8</v>
      </c>
      <c r="R178" s="522">
        <f t="shared" si="33"/>
        <v>880.8</v>
      </c>
      <c r="S178" s="522">
        <f t="shared" si="33"/>
        <v>1271.78</v>
      </c>
      <c r="T178" s="522">
        <f t="shared" si="33"/>
        <v>836.85</v>
      </c>
      <c r="U178" s="522">
        <f>SUM(U165:U177)</f>
        <v>0</v>
      </c>
      <c r="V178" s="522">
        <f t="shared" si="33"/>
        <v>10086.709999999999</v>
      </c>
      <c r="W178" s="97" t="str">
        <f>+IF(V178=SUM(H178:T178),"contrôle ok", "erreur")</f>
        <v>contrôle ok</v>
      </c>
    </row>
    <row r="179" spans="1:23" s="221" customFormat="1" ht="11.25" thickTop="1" x14ac:dyDescent="0.15">
      <c r="A179" s="361"/>
      <c r="B179" s="361"/>
      <c r="C179" s="362"/>
      <c r="D179" s="414"/>
      <c r="E179" s="363"/>
      <c r="F179" s="414"/>
      <c r="G179" s="364"/>
      <c r="H179" s="229"/>
      <c r="I179" s="229"/>
      <c r="J179" s="229"/>
      <c r="K179" s="229"/>
      <c r="L179" s="229"/>
      <c r="M179" s="229"/>
      <c r="N179" s="257"/>
      <c r="O179" s="229"/>
      <c r="P179" s="229"/>
      <c r="Q179" s="229"/>
      <c r="R179" s="229"/>
      <c r="S179" s="229"/>
      <c r="T179" s="229"/>
      <c r="U179" s="229"/>
      <c r="V179" s="258"/>
    </row>
    <row r="180" spans="1:23" x14ac:dyDescent="0.15">
      <c r="A180" s="352" t="s">
        <v>14</v>
      </c>
      <c r="B180" s="482"/>
      <c r="C180" s="354"/>
      <c r="D180" s="410"/>
      <c r="E180" s="355"/>
      <c r="F180" s="418"/>
      <c r="G180" s="356"/>
      <c r="H180" s="224"/>
      <c r="I180" s="224"/>
      <c r="J180" s="251"/>
      <c r="K180" s="224"/>
      <c r="L180" s="224"/>
      <c r="M180" s="224"/>
      <c r="N180" s="224"/>
      <c r="O180" s="224"/>
      <c r="P180" s="224"/>
      <c r="Q180" s="224"/>
      <c r="R180" s="224"/>
      <c r="S180" s="224"/>
      <c r="T180" s="224"/>
      <c r="U180" s="224"/>
      <c r="V180" s="252"/>
    </row>
    <row r="181" spans="1:23" x14ac:dyDescent="0.15">
      <c r="A181" s="255" t="s">
        <v>159</v>
      </c>
      <c r="B181" s="481" t="s">
        <v>97</v>
      </c>
      <c r="C181" s="368" t="s">
        <v>781</v>
      </c>
      <c r="D181" s="412">
        <v>615230</v>
      </c>
      <c r="E181" s="357" t="s">
        <v>155</v>
      </c>
      <c r="F181" s="412" t="s">
        <v>179</v>
      </c>
      <c r="G181" s="369">
        <v>656.66</v>
      </c>
      <c r="H181" s="575"/>
      <c r="I181" s="576">
        <f>608.53+48.02</f>
        <v>656.55</v>
      </c>
      <c r="J181" s="576">
        <v>608.53</v>
      </c>
      <c r="K181" s="576">
        <v>608.53</v>
      </c>
      <c r="L181" s="576">
        <v>608.48</v>
      </c>
      <c r="M181" s="576">
        <v>618.97</v>
      </c>
      <c r="N181" s="576">
        <v>618.97</v>
      </c>
      <c r="O181" s="576">
        <v>618.97</v>
      </c>
      <c r="P181" s="576">
        <v>618.97</v>
      </c>
      <c r="Q181" s="576">
        <v>618.97</v>
      </c>
      <c r="R181" s="576">
        <v>618.97</v>
      </c>
      <c r="S181" s="576">
        <v>618.97</v>
      </c>
      <c r="T181" s="576">
        <v>618.97</v>
      </c>
      <c r="U181" s="651"/>
      <c r="V181" s="255">
        <f t="shared" ref="V181:V187" si="34">SUM(H181:T181)</f>
        <v>7433.8500000000022</v>
      </c>
    </row>
    <row r="182" spans="1:23" x14ac:dyDescent="0.15">
      <c r="A182" s="255" t="s">
        <v>159</v>
      </c>
      <c r="B182" s="481" t="s">
        <v>686</v>
      </c>
      <c r="C182" s="368" t="s">
        <v>844</v>
      </c>
      <c r="D182" s="412">
        <v>615230</v>
      </c>
      <c r="E182" s="357" t="s">
        <v>155</v>
      </c>
      <c r="F182" s="412" t="s">
        <v>179</v>
      </c>
      <c r="G182" s="369">
        <v>48.97</v>
      </c>
      <c r="H182" s="575"/>
      <c r="I182" s="576"/>
      <c r="J182" s="576">
        <v>48.97</v>
      </c>
      <c r="K182" s="576">
        <v>48.97</v>
      </c>
      <c r="L182" s="576">
        <v>48.97</v>
      </c>
      <c r="M182" s="576">
        <v>48.97</v>
      </c>
      <c r="N182" s="576">
        <v>48.97</v>
      </c>
      <c r="O182" s="576">
        <v>48.97</v>
      </c>
      <c r="P182" s="576">
        <v>48.97</v>
      </c>
      <c r="Q182" s="576">
        <v>48.97</v>
      </c>
      <c r="R182" s="576">
        <v>48.97</v>
      </c>
      <c r="S182" s="576">
        <v>48.97</v>
      </c>
      <c r="T182" s="576">
        <v>48.97</v>
      </c>
      <c r="U182" s="651"/>
      <c r="V182" s="255">
        <f t="shared" si="34"/>
        <v>538.67000000000007</v>
      </c>
    </row>
    <row r="183" spans="1:23" s="261" customFormat="1" x14ac:dyDescent="0.15">
      <c r="A183" s="226" t="s">
        <v>295</v>
      </c>
      <c r="B183" s="226" t="s">
        <v>321</v>
      </c>
      <c r="C183" s="296" t="s">
        <v>860</v>
      </c>
      <c r="D183" s="618">
        <v>615230</v>
      </c>
      <c r="E183" s="644" t="s">
        <v>155</v>
      </c>
      <c r="F183" s="618" t="s">
        <v>179</v>
      </c>
      <c r="G183" s="369">
        <v>14.59</v>
      </c>
      <c r="H183" s="576"/>
      <c r="I183" s="576">
        <v>14.59</v>
      </c>
      <c r="J183" s="576">
        <v>14.59</v>
      </c>
      <c r="K183" s="576">
        <v>14.59</v>
      </c>
      <c r="L183" s="576">
        <v>14.59</v>
      </c>
      <c r="M183" s="576">
        <v>14.59</v>
      </c>
      <c r="N183" s="576">
        <v>14.59</v>
      </c>
      <c r="O183" s="576">
        <v>14.59</v>
      </c>
      <c r="P183" s="576">
        <v>14.59</v>
      </c>
      <c r="Q183" s="576">
        <v>14.59</v>
      </c>
      <c r="R183" s="576">
        <v>14.59</v>
      </c>
      <c r="S183" s="576">
        <v>14.51</v>
      </c>
      <c r="T183" s="576">
        <v>14.59</v>
      </c>
      <c r="U183" s="651"/>
      <c r="V183" s="226">
        <f t="shared" si="34"/>
        <v>175</v>
      </c>
    </row>
    <row r="184" spans="1:23" x14ac:dyDescent="0.15">
      <c r="A184" s="255" t="s">
        <v>295</v>
      </c>
      <c r="B184" s="255" t="s">
        <v>867</v>
      </c>
      <c r="C184" s="368" t="s">
        <v>868</v>
      </c>
      <c r="D184" s="412">
        <v>615230</v>
      </c>
      <c r="E184" s="357" t="s">
        <v>155</v>
      </c>
      <c r="F184" s="412" t="s">
        <v>179</v>
      </c>
      <c r="G184" s="369"/>
      <c r="H184" s="575"/>
      <c r="I184" s="576"/>
      <c r="J184" s="576"/>
      <c r="K184" s="576"/>
      <c r="L184" s="576"/>
      <c r="M184" s="576"/>
      <c r="N184" s="576"/>
      <c r="O184" s="576"/>
      <c r="P184" s="576"/>
      <c r="Q184" s="576"/>
      <c r="R184" s="576"/>
      <c r="S184" s="576"/>
      <c r="T184" s="576">
        <v>14.59</v>
      </c>
      <c r="U184" s="651"/>
      <c r="V184" s="255">
        <f>SUM(H184:T184)</f>
        <v>14.59</v>
      </c>
    </row>
    <row r="185" spans="1:23" x14ac:dyDescent="0.15">
      <c r="A185" s="255" t="s">
        <v>295</v>
      </c>
      <c r="B185" s="255" t="s">
        <v>476</v>
      </c>
      <c r="C185" s="368"/>
      <c r="D185" s="412">
        <v>615230</v>
      </c>
      <c r="E185" s="357" t="s">
        <v>155</v>
      </c>
      <c r="F185" s="412" t="s">
        <v>179</v>
      </c>
      <c r="G185" s="369"/>
      <c r="H185" s="575">
        <v>-30</v>
      </c>
      <c r="I185" s="576"/>
      <c r="J185" s="576">
        <v>67.17</v>
      </c>
      <c r="K185" s="576"/>
      <c r="L185" s="576"/>
      <c r="M185" s="576">
        <v>103.14</v>
      </c>
      <c r="N185" s="576"/>
      <c r="O185" s="576"/>
      <c r="P185" s="576">
        <v>81.22</v>
      </c>
      <c r="Q185" s="576"/>
      <c r="R185" s="576"/>
      <c r="S185" s="576">
        <v>89.41</v>
      </c>
      <c r="T185" s="576"/>
      <c r="U185" s="651"/>
      <c r="V185" s="255">
        <f t="shared" si="34"/>
        <v>310.94</v>
      </c>
    </row>
    <row r="186" spans="1:23" x14ac:dyDescent="0.15">
      <c r="A186" s="255" t="s">
        <v>13</v>
      </c>
      <c r="B186" s="255"/>
      <c r="C186" s="368"/>
      <c r="D186" s="412">
        <v>615230</v>
      </c>
      <c r="E186" s="357" t="s">
        <v>155</v>
      </c>
      <c r="F186" s="412" t="s">
        <v>192</v>
      </c>
      <c r="G186" s="369"/>
      <c r="H186" s="575"/>
      <c r="I186" s="576"/>
      <c r="J186" s="576"/>
      <c r="K186" s="576"/>
      <c r="L186" s="576"/>
      <c r="M186" s="576"/>
      <c r="N186" s="576"/>
      <c r="O186" s="576"/>
      <c r="P186" s="576"/>
      <c r="Q186" s="576"/>
      <c r="R186" s="576"/>
      <c r="S186" s="576"/>
      <c r="T186" s="576"/>
      <c r="U186" s="576"/>
      <c r="V186" s="255">
        <f t="shared" si="34"/>
        <v>0</v>
      </c>
    </row>
    <row r="187" spans="1:23" s="221" customFormat="1" ht="11.25" thickBot="1" x14ac:dyDescent="0.2">
      <c r="A187" s="536" t="s">
        <v>11</v>
      </c>
      <c r="B187" s="532"/>
      <c r="C187" s="542"/>
      <c r="D187" s="538"/>
      <c r="E187" s="536"/>
      <c r="F187" s="539"/>
      <c r="G187" s="540"/>
      <c r="H187" s="577">
        <f>SUM(H181:H186)</f>
        <v>-30</v>
      </c>
      <c r="I187" s="577">
        <f t="shared" ref="I187:T187" si="35">SUM(I181:I186)</f>
        <v>671.14</v>
      </c>
      <c r="J187" s="577">
        <f t="shared" si="35"/>
        <v>739.26</v>
      </c>
      <c r="K187" s="577">
        <f t="shared" si="35"/>
        <v>672.09</v>
      </c>
      <c r="L187" s="577">
        <f t="shared" si="35"/>
        <v>672.04000000000008</v>
      </c>
      <c r="M187" s="577">
        <f t="shared" si="35"/>
        <v>785.67000000000007</v>
      </c>
      <c r="N187" s="577">
        <f t="shared" si="35"/>
        <v>682.53000000000009</v>
      </c>
      <c r="O187" s="577">
        <f t="shared" si="35"/>
        <v>682.53000000000009</v>
      </c>
      <c r="P187" s="577">
        <f t="shared" si="35"/>
        <v>763.75000000000011</v>
      </c>
      <c r="Q187" s="577">
        <f t="shared" si="35"/>
        <v>682.53000000000009</v>
      </c>
      <c r="R187" s="577">
        <f t="shared" si="35"/>
        <v>682.53000000000009</v>
      </c>
      <c r="S187" s="577">
        <f t="shared" si="35"/>
        <v>771.86</v>
      </c>
      <c r="T187" s="577">
        <f t="shared" si="35"/>
        <v>697.12000000000012</v>
      </c>
      <c r="U187" s="577">
        <f>SUM(U181:U186)</f>
        <v>0</v>
      </c>
      <c r="V187" s="577">
        <f t="shared" si="34"/>
        <v>8473.0499999999993</v>
      </c>
      <c r="W187" s="97" t="str">
        <f>+IF(V187=SUM(H187:T187),"contrôle ok", "erreur")</f>
        <v>contrôle ok</v>
      </c>
    </row>
    <row r="188" spans="1:23" s="221" customFormat="1" ht="11.25" thickTop="1" x14ac:dyDescent="0.15">
      <c r="A188" s="361"/>
      <c r="B188" s="361"/>
      <c r="C188" s="362"/>
      <c r="D188" s="414"/>
      <c r="E188" s="363"/>
      <c r="F188" s="414"/>
      <c r="G188" s="364"/>
      <c r="H188" s="229"/>
      <c r="I188" s="229"/>
      <c r="J188" s="229"/>
      <c r="K188" s="229"/>
      <c r="L188" s="229"/>
      <c r="M188" s="229"/>
      <c r="N188" s="257"/>
      <c r="O188" s="229"/>
      <c r="P188" s="229"/>
      <c r="Q188" s="229"/>
      <c r="R188" s="229"/>
      <c r="S188" s="229"/>
      <c r="T188" s="229"/>
      <c r="U188" s="229"/>
      <c r="V188" s="258"/>
    </row>
    <row r="189" spans="1:23" x14ac:dyDescent="0.15">
      <c r="A189" s="352" t="s">
        <v>34</v>
      </c>
      <c r="B189" s="353"/>
      <c r="C189" s="354"/>
      <c r="D189" s="410"/>
      <c r="E189" s="355"/>
      <c r="F189" s="418"/>
      <c r="G189" s="356"/>
      <c r="H189" s="224"/>
      <c r="I189" s="224"/>
      <c r="J189" s="251"/>
      <c r="K189" s="224"/>
      <c r="L189" s="224"/>
      <c r="M189" s="224"/>
      <c r="N189" s="224"/>
      <c r="O189" s="224"/>
      <c r="P189" s="224"/>
      <c r="Q189" s="224"/>
      <c r="R189" s="224"/>
      <c r="S189" s="224"/>
      <c r="T189" s="224"/>
      <c r="U189" s="224"/>
      <c r="V189" s="252"/>
    </row>
    <row r="190" spans="1:23" x14ac:dyDescent="0.15">
      <c r="A190" s="255" t="s">
        <v>39</v>
      </c>
      <c r="B190" s="255" t="s">
        <v>36</v>
      </c>
      <c r="C190" s="368"/>
      <c r="D190" s="412">
        <v>626300</v>
      </c>
      <c r="E190" s="357" t="s">
        <v>155</v>
      </c>
      <c r="F190" s="412"/>
      <c r="G190" s="369"/>
      <c r="H190" s="559"/>
      <c r="I190" s="226"/>
      <c r="J190" s="226"/>
      <c r="K190" s="226"/>
      <c r="L190" s="226"/>
      <c r="M190" s="226"/>
      <c r="N190" s="226"/>
      <c r="O190" s="226"/>
      <c r="P190" s="226"/>
      <c r="Q190" s="226"/>
      <c r="R190" s="226"/>
      <c r="S190" s="226"/>
      <c r="T190" s="226"/>
      <c r="U190" s="226"/>
      <c r="V190" s="255">
        <f>SUM(H190:T190)</f>
        <v>0</v>
      </c>
    </row>
    <row r="191" spans="1:23" s="221" customFormat="1" ht="11.25" thickBot="1" x14ac:dyDescent="0.2">
      <c r="A191" s="536" t="s">
        <v>11</v>
      </c>
      <c r="B191" s="532"/>
      <c r="C191" s="542"/>
      <c r="D191" s="538"/>
      <c r="E191" s="536"/>
      <c r="F191" s="539"/>
      <c r="G191" s="540"/>
      <c r="H191" s="522">
        <f>SUM(H190)</f>
        <v>0</v>
      </c>
      <c r="I191" s="522">
        <f>SUM(I190)</f>
        <v>0</v>
      </c>
      <c r="J191" s="522">
        <f t="shared" ref="J191:V191" si="36">SUM(J190)</f>
        <v>0</v>
      </c>
      <c r="K191" s="522">
        <f t="shared" si="36"/>
        <v>0</v>
      </c>
      <c r="L191" s="522">
        <f t="shared" si="36"/>
        <v>0</v>
      </c>
      <c r="M191" s="522">
        <f t="shared" si="36"/>
        <v>0</v>
      </c>
      <c r="N191" s="522">
        <f t="shared" si="36"/>
        <v>0</v>
      </c>
      <c r="O191" s="522">
        <f t="shared" si="36"/>
        <v>0</v>
      </c>
      <c r="P191" s="522">
        <f t="shared" si="36"/>
        <v>0</v>
      </c>
      <c r="Q191" s="522">
        <f t="shared" si="36"/>
        <v>0</v>
      </c>
      <c r="R191" s="522">
        <f t="shared" si="36"/>
        <v>0</v>
      </c>
      <c r="S191" s="522">
        <f t="shared" si="36"/>
        <v>0</v>
      </c>
      <c r="T191" s="522">
        <f t="shared" si="36"/>
        <v>0</v>
      </c>
      <c r="U191" s="522">
        <f>SUM(U190)</f>
        <v>0</v>
      </c>
      <c r="V191" s="522">
        <f t="shared" si="36"/>
        <v>0</v>
      </c>
      <c r="W191" s="97" t="str">
        <f>+IF(V191=SUM(H191:T191),"contrôle ok", "erreur")</f>
        <v>contrôle ok</v>
      </c>
    </row>
    <row r="192" spans="1:23" s="221" customFormat="1" ht="11.25" thickTop="1" x14ac:dyDescent="0.15">
      <c r="A192" s="361"/>
      <c r="B192" s="361"/>
      <c r="C192" s="362"/>
      <c r="D192" s="414"/>
      <c r="E192" s="363"/>
      <c r="F192" s="414"/>
      <c r="G192" s="364"/>
      <c r="H192" s="229"/>
      <c r="I192" s="229"/>
      <c r="J192" s="229"/>
      <c r="K192" s="229"/>
      <c r="L192" s="229"/>
      <c r="M192" s="229"/>
      <c r="N192" s="257"/>
      <c r="O192" s="229"/>
      <c r="P192" s="229"/>
      <c r="Q192" s="229"/>
      <c r="R192" s="229"/>
      <c r="S192" s="229"/>
      <c r="T192" s="229"/>
      <c r="U192" s="229"/>
      <c r="V192" s="258"/>
    </row>
    <row r="193" spans="1:23" x14ac:dyDescent="0.15">
      <c r="A193" s="352" t="s">
        <v>16</v>
      </c>
      <c r="B193" s="353"/>
      <c r="C193" s="354"/>
      <c r="D193" s="410"/>
      <c r="E193" s="355"/>
      <c r="F193" s="418"/>
      <c r="G193" s="356"/>
      <c r="H193" s="224"/>
      <c r="I193" s="224"/>
      <c r="J193" s="251"/>
      <c r="K193" s="224"/>
      <c r="L193" s="224"/>
      <c r="M193" s="224"/>
      <c r="N193" s="224"/>
      <c r="O193" s="224"/>
      <c r="P193" s="224"/>
      <c r="Q193" s="224"/>
      <c r="R193" s="224"/>
      <c r="S193" s="224"/>
      <c r="T193" s="224"/>
      <c r="U193" s="224"/>
      <c r="V193" s="252"/>
    </row>
    <row r="194" spans="1:23" x14ac:dyDescent="0.15">
      <c r="A194" s="255" t="s">
        <v>160</v>
      </c>
      <c r="B194" s="255"/>
      <c r="C194" s="368"/>
      <c r="D194" s="412">
        <v>628500</v>
      </c>
      <c r="E194" s="357" t="s">
        <v>156</v>
      </c>
      <c r="F194" s="412">
        <v>999999</v>
      </c>
      <c r="G194" s="369">
        <v>16467.509999999998</v>
      </c>
      <c r="H194" s="559"/>
      <c r="I194" s="226">
        <v>16796.86</v>
      </c>
      <c r="J194" s="226">
        <v>16796.86</v>
      </c>
      <c r="K194" s="226">
        <v>16796.86</v>
      </c>
      <c r="L194" s="226">
        <v>16796.86</v>
      </c>
      <c r="M194" s="226">
        <v>16796.86</v>
      </c>
      <c r="N194" s="226">
        <v>16796.86</v>
      </c>
      <c r="O194" s="226">
        <v>16796.86</v>
      </c>
      <c r="P194" s="226">
        <v>16796.86</v>
      </c>
      <c r="Q194" s="226">
        <v>16796.86</v>
      </c>
      <c r="R194" s="226">
        <v>16796.86</v>
      </c>
      <c r="S194" s="226">
        <v>16796.86</v>
      </c>
      <c r="T194" s="226"/>
      <c r="U194" s="582"/>
      <c r="V194" s="255">
        <f>SUM(H194:T194)</f>
        <v>184765.45999999996</v>
      </c>
    </row>
    <row r="195" spans="1:23" x14ac:dyDescent="0.15">
      <c r="A195" s="255" t="s">
        <v>355</v>
      </c>
      <c r="B195" s="255" t="s">
        <v>280</v>
      </c>
      <c r="C195" s="368"/>
      <c r="D195" s="412">
        <v>628500</v>
      </c>
      <c r="E195" s="357" t="s">
        <v>156</v>
      </c>
      <c r="F195" s="412">
        <v>999999</v>
      </c>
      <c r="G195" s="369">
        <v>94.31</v>
      </c>
      <c r="H195" s="559"/>
      <c r="I195" s="226">
        <v>94.31</v>
      </c>
      <c r="J195" s="226">
        <v>94.31</v>
      </c>
      <c r="K195" s="226">
        <v>94.31</v>
      </c>
      <c r="L195" s="226">
        <v>94.31</v>
      </c>
      <c r="M195" s="226">
        <v>94.31</v>
      </c>
      <c r="N195" s="226">
        <v>94.31</v>
      </c>
      <c r="O195" s="226">
        <v>94.31</v>
      </c>
      <c r="P195" s="226">
        <v>94.31</v>
      </c>
      <c r="Q195" s="226">
        <v>94.31</v>
      </c>
      <c r="R195" s="226">
        <v>94.31</v>
      </c>
      <c r="S195" s="226">
        <v>94.31</v>
      </c>
      <c r="T195" s="226">
        <v>94.31</v>
      </c>
      <c r="U195" s="582"/>
      <c r="V195" s="255">
        <f>SUM(H195:T195)</f>
        <v>1131.7199999999998</v>
      </c>
    </row>
    <row r="196" spans="1:23" x14ac:dyDescent="0.15">
      <c r="A196" s="255" t="s">
        <v>38</v>
      </c>
      <c r="B196" s="255"/>
      <c r="C196" s="368"/>
      <c r="D196" s="412"/>
      <c r="E196" s="357"/>
      <c r="F196" s="412"/>
      <c r="G196" s="369"/>
      <c r="H196" s="559"/>
      <c r="I196" s="226"/>
      <c r="J196" s="226"/>
      <c r="K196" s="226"/>
      <c r="L196" s="226"/>
      <c r="M196" s="226"/>
      <c r="N196" s="226"/>
      <c r="O196" s="226"/>
      <c r="P196" s="226"/>
      <c r="Q196" s="226"/>
      <c r="R196" s="226"/>
      <c r="S196" s="226"/>
      <c r="T196" s="226"/>
      <c r="U196" s="226"/>
      <c r="V196" s="255">
        <f>SUM(H196:T196)</f>
        <v>0</v>
      </c>
    </row>
    <row r="197" spans="1:23" s="221" customFormat="1" ht="11.25" thickBot="1" x14ac:dyDescent="0.2">
      <c r="A197" s="536" t="s">
        <v>11</v>
      </c>
      <c r="B197" s="532"/>
      <c r="C197" s="542"/>
      <c r="D197" s="538"/>
      <c r="E197" s="536"/>
      <c r="F197" s="539">
        <v>999999</v>
      </c>
      <c r="G197" s="540"/>
      <c r="H197" s="522">
        <f>SUM(H194:H196)</f>
        <v>0</v>
      </c>
      <c r="I197" s="522">
        <f t="shared" ref="I197:V197" si="37">SUM(I194:I196)</f>
        <v>16891.170000000002</v>
      </c>
      <c r="J197" s="522">
        <f t="shared" si="37"/>
        <v>16891.170000000002</v>
      </c>
      <c r="K197" s="522">
        <f t="shared" si="37"/>
        <v>16891.170000000002</v>
      </c>
      <c r="L197" s="522">
        <f t="shared" si="37"/>
        <v>16891.170000000002</v>
      </c>
      <c r="M197" s="522">
        <f t="shared" si="37"/>
        <v>16891.170000000002</v>
      </c>
      <c r="N197" s="522">
        <f t="shared" si="37"/>
        <v>16891.170000000002</v>
      </c>
      <c r="O197" s="522">
        <f t="shared" si="37"/>
        <v>16891.170000000002</v>
      </c>
      <c r="P197" s="522">
        <f t="shared" si="37"/>
        <v>16891.170000000002</v>
      </c>
      <c r="Q197" s="522">
        <f t="shared" si="37"/>
        <v>16891.170000000002</v>
      </c>
      <c r="R197" s="522">
        <f t="shared" si="37"/>
        <v>16891.170000000002</v>
      </c>
      <c r="S197" s="522">
        <f t="shared" si="37"/>
        <v>16891.170000000002</v>
      </c>
      <c r="T197" s="522">
        <f t="shared" si="37"/>
        <v>94.31</v>
      </c>
      <c r="U197" s="522">
        <f>SUM(U194:U196)</f>
        <v>0</v>
      </c>
      <c r="V197" s="522">
        <f t="shared" si="37"/>
        <v>185897.17999999996</v>
      </c>
      <c r="W197" s="97" t="str">
        <f>+IF(V197=SUM(H197:T197),"contrôle ok", "erreur")</f>
        <v>contrôle ok</v>
      </c>
    </row>
    <row r="198" spans="1:23" ht="12" thickTop="1" thickBot="1" x14ac:dyDescent="0.2">
      <c r="A198" s="385"/>
      <c r="B198" s="386"/>
      <c r="C198" s="387"/>
      <c r="D198" s="417"/>
      <c r="E198" s="388"/>
      <c r="F198" s="465"/>
      <c r="G198" s="389"/>
      <c r="H198" s="233"/>
      <c r="I198" s="233"/>
      <c r="J198" s="264"/>
      <c r="K198" s="390"/>
      <c r="L198" s="390"/>
      <c r="M198" s="390"/>
      <c r="N198" s="390"/>
      <c r="O198" s="390"/>
      <c r="P198" s="390"/>
      <c r="Q198" s="390"/>
      <c r="R198" s="390"/>
      <c r="S198" s="233"/>
      <c r="T198" s="233"/>
      <c r="U198" s="233"/>
      <c r="V198" s="391"/>
    </row>
  </sheetData>
  <customSheetViews>
    <customSheetView guid="{4BA9EA0D-01E7-49D1-8245-80B9A9A68B6F}" showPageBreaks="1" fitToPage="1" printArea="1">
      <pane xSplit="7" ySplit="3" topLeftCell="H172" activePane="bottomRight" state="frozen"/>
      <selection pane="bottomRight" activeCell="F226" sqref="F226"/>
      <rowBreaks count="4" manualBreakCount="4">
        <brk id="82" max="20" man="1"/>
        <brk id="83" max="20" man="1"/>
        <brk id="162" max="20" man="1"/>
        <brk id="168" max="20" man="1"/>
      </rowBreaks>
      <pageMargins left="3.937007874015748E-2" right="3.937007874015748E-2" top="0.15748031496062992" bottom="0.19685039370078741" header="0.15748031496062992" footer="0.23622047244094491"/>
      <pageSetup paperSize="9" scale="64" fitToHeight="3" orientation="landscape" r:id="rId1"/>
      <headerFooter alignWithMargins="0">
        <oddFooter>&amp;R&amp;8Le &amp;D
&amp;T</oddFooter>
      </headerFooter>
    </customSheetView>
    <customSheetView guid="{B5B04B19-0628-445C-9CF3-7F5D4D937774}" fitToPage="1">
      <pane xSplit="7" ySplit="3" topLeftCell="H112" activePane="bottomRight" state="frozen"/>
      <selection pane="bottomRight" activeCell="O125" sqref="O125"/>
      <rowBreaks count="2" manualBreakCount="2">
        <brk id="83" max="20" man="1"/>
        <brk id="162" max="20" man="1"/>
      </rowBreaks>
      <pageMargins left="3.937007874015748E-2" right="3.937007874015748E-2" top="0.15748031496062992" bottom="0.19685039370078741" header="0.15748031496062992" footer="0.23622047244094491"/>
      <pageSetup paperSize="9" scale="63" fitToHeight="3" orientation="landscape" r:id="rId2"/>
      <headerFooter alignWithMargins="0">
        <oddFooter>&amp;R&amp;8Le &amp;D
&amp;T</oddFooter>
      </headerFooter>
    </customSheetView>
    <customSheetView guid="{DD021BEF-F767-4779-A362-C9308ACC088B}" fitToPage="1" printArea="1">
      <pane xSplit="7" ySplit="3" topLeftCell="L130" activePane="bottomRight" state="frozen"/>
      <selection pane="bottomRight" activeCell="U159" sqref="U158:U159"/>
      <rowBreaks count="2" manualBreakCount="2">
        <brk id="83" max="20" man="1"/>
        <brk id="162" max="20" man="1"/>
      </rowBreaks>
      <pageMargins left="3.937007874015748E-2" right="3.937007874015748E-2" top="0.15748031496062992" bottom="0.19685039370078741" header="0.15748031496062992" footer="0.23622047244094491"/>
      <pageSetup paperSize="9" scale="63" fitToHeight="3" orientation="landscape" r:id="rId3"/>
      <headerFooter alignWithMargins="0">
        <oddFooter>&amp;R&amp;8Le &amp;D
&amp;T</oddFooter>
      </headerFooter>
    </customSheetView>
    <customSheetView guid="{C8B269C8-9E4E-47CC-A407-F213FAC1E35C}" fitToPage="1">
      <pane xSplit="7" ySplit="3" topLeftCell="H4" activePane="bottomRight" state="frozen"/>
      <selection pane="bottomRight" activeCell="S22" sqref="S22"/>
      <rowBreaks count="2" manualBreakCount="2">
        <brk id="83" max="20" man="1"/>
        <brk id="162" max="20" man="1"/>
      </rowBreaks>
      <pageMargins left="3.937007874015748E-2" right="3.937007874015748E-2" top="0.15748031496062992" bottom="0.19685039370078741" header="0.15748031496062992" footer="0.23622047244094491"/>
      <pageSetup paperSize="9" scale="10" fitToHeight="3" orientation="landscape" r:id="rId4"/>
      <headerFooter alignWithMargins="0">
        <oddFooter>&amp;R&amp;8Le &amp;D
&amp;T</oddFooter>
      </headerFooter>
    </customSheetView>
  </customSheetViews>
  <mergeCells count="1">
    <mergeCell ref="L1:M1"/>
  </mergeCells>
  <phoneticPr fontId="0" type="noConversion"/>
  <pageMargins left="3.937007874015748E-2" right="3.937007874015748E-2" top="0.15748031496062992" bottom="0.19685039370078741" header="0.15748031496062992" footer="0.23622047244094491"/>
  <pageSetup paperSize="9" scale="10" fitToHeight="3" orientation="landscape" r:id="rId5"/>
  <headerFooter alignWithMargins="0">
    <oddFooter>&amp;R&amp;8Le &amp;D
&amp;T</oddFooter>
  </headerFooter>
  <rowBreaks count="2" manualBreakCount="2">
    <brk id="83" max="20" man="1"/>
    <brk id="162" max="20" man="1"/>
  </rowBreaks>
  <drawing r:id="rId6"/>
  <legacyDrawing r:id="rId7"/>
  <controls>
    <mc:AlternateContent xmlns:mc="http://schemas.openxmlformats.org/markup-compatibility/2006">
      <mc:Choice Requires="x14">
        <control shapeId="15361" r:id="rId8" name="ComboBox1">
          <controlPr defaultSize="0" autoFill="0" autoLine="0" listFillRange="COMPTE" r:id="rId9">
            <anchor>
              <from>
                <xdr:col>1</xdr:col>
                <xdr:colOff>161925</xdr:colOff>
                <xdr:row>0</xdr:row>
                <xdr:rowOff>28575</xdr:rowOff>
              </from>
              <to>
                <xdr:col>3</xdr:col>
                <xdr:colOff>76200</xdr:colOff>
                <xdr:row>1</xdr:row>
                <xdr:rowOff>104775</xdr:rowOff>
              </to>
            </anchor>
          </controlPr>
        </control>
      </mc:Choice>
      <mc:Fallback>
        <control shapeId="15361" r:id="rId8" name="ComboBox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R126"/>
  <sheetViews>
    <sheetView zoomScale="115" zoomScaleNormal="115" workbookViewId="0">
      <pane xSplit="7" ySplit="3" topLeftCell="L82" activePane="bottomRight" state="frozen"/>
      <selection pane="topRight" activeCell="H1" sqref="H1"/>
      <selection pane="bottomLeft" activeCell="A4" sqref="A4"/>
      <selection pane="bottomRight" activeCell="E1" sqref="E1:E1048576"/>
    </sheetView>
  </sheetViews>
  <sheetFormatPr baseColWidth="10" defaultRowHeight="10.5" x14ac:dyDescent="0.15"/>
  <cols>
    <col min="1" max="1" width="25.7109375" style="16" customWidth="1"/>
    <col min="2" max="2" width="13.5703125" style="16" customWidth="1"/>
    <col min="3" max="3" width="14.140625" style="16" bestFit="1" customWidth="1"/>
    <col min="4" max="4" width="7" style="58" bestFit="1" customWidth="1"/>
    <col min="5" max="5" width="7.7109375" style="58" bestFit="1" customWidth="1"/>
    <col min="6" max="6" width="7.42578125" style="624" bestFit="1" customWidth="1"/>
    <col min="7" max="7" width="8.85546875" style="106" customWidth="1"/>
    <col min="8" max="22" width="10.28515625" style="16" customWidth="1"/>
    <col min="23" max="23" width="10.140625" style="16" bestFit="1" customWidth="1"/>
    <col min="24" max="16384" width="11.42578125" style="16"/>
  </cols>
  <sheetData>
    <row r="1" spans="1:24" ht="12.75" x14ac:dyDescent="0.2">
      <c r="A1" s="147" t="s">
        <v>671</v>
      </c>
      <c r="C1" s="17"/>
      <c r="G1" s="102"/>
      <c r="H1" s="59"/>
      <c r="I1" s="59"/>
      <c r="J1" s="19"/>
      <c r="K1" s="19"/>
      <c r="L1" s="682"/>
      <c r="M1" s="679"/>
      <c r="N1" s="60"/>
      <c r="O1" s="60"/>
      <c r="P1" s="60"/>
      <c r="Q1" s="60"/>
      <c r="R1" s="60"/>
      <c r="S1" s="14"/>
      <c r="T1" s="14"/>
      <c r="U1" s="14"/>
      <c r="V1" s="2"/>
      <c r="W1" s="14"/>
    </row>
    <row r="2" spans="1:24" ht="11.25" thickBot="1" x14ac:dyDescent="0.2">
      <c r="A2" s="37"/>
      <c r="C2" s="17"/>
      <c r="G2" s="103"/>
      <c r="H2" s="61"/>
      <c r="I2" s="61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4"/>
      <c r="W2" s="14"/>
    </row>
    <row r="3" spans="1:24" s="17" customFormat="1" ht="11.25" thickBot="1" x14ac:dyDescent="0.2">
      <c r="A3" s="63" t="s">
        <v>0</v>
      </c>
      <c r="B3" s="63" t="s">
        <v>1</v>
      </c>
      <c r="C3" s="63" t="s">
        <v>2</v>
      </c>
      <c r="D3" s="63"/>
      <c r="E3" s="63"/>
      <c r="F3" s="625"/>
      <c r="G3" s="471" t="s">
        <v>21</v>
      </c>
      <c r="H3" s="408">
        <v>2016</v>
      </c>
      <c r="I3" s="65" t="s">
        <v>55</v>
      </c>
      <c r="J3" s="65" t="s">
        <v>56</v>
      </c>
      <c r="K3" s="65" t="s">
        <v>5</v>
      </c>
      <c r="L3" s="65" t="s">
        <v>6</v>
      </c>
      <c r="M3" s="65" t="s">
        <v>7</v>
      </c>
      <c r="N3" s="65" t="s">
        <v>8</v>
      </c>
      <c r="O3" s="65" t="s">
        <v>65</v>
      </c>
      <c r="P3" s="65" t="s">
        <v>64</v>
      </c>
      <c r="Q3" s="65" t="s">
        <v>49</v>
      </c>
      <c r="R3" s="65" t="s">
        <v>50</v>
      </c>
      <c r="S3" s="65" t="s">
        <v>59</v>
      </c>
      <c r="T3" s="66" t="s">
        <v>51</v>
      </c>
      <c r="U3" s="66" t="s">
        <v>866</v>
      </c>
      <c r="V3" s="67" t="s">
        <v>66</v>
      </c>
      <c r="W3" s="157"/>
    </row>
    <row r="4" spans="1:24" ht="8.25" customHeight="1" x14ac:dyDescent="0.15">
      <c r="A4" s="87"/>
      <c r="B4" s="87"/>
      <c r="C4" s="119"/>
      <c r="D4" s="140"/>
      <c r="E4" s="89"/>
      <c r="F4" s="626"/>
      <c r="G4" s="110"/>
      <c r="H4" s="91"/>
      <c r="I4" s="91"/>
      <c r="J4" s="91"/>
      <c r="K4" s="91"/>
      <c r="L4" s="91"/>
      <c r="M4" s="91"/>
      <c r="N4" s="91"/>
      <c r="O4" s="91"/>
      <c r="P4" s="91"/>
      <c r="Q4" s="91"/>
      <c r="R4" s="91"/>
      <c r="S4" s="91"/>
      <c r="T4" s="91"/>
      <c r="U4" s="91"/>
      <c r="V4" s="112"/>
      <c r="W4" s="142"/>
    </row>
    <row r="5" spans="1:24" x14ac:dyDescent="0.15">
      <c r="A5" s="27" t="s">
        <v>149</v>
      </c>
      <c r="B5" s="28"/>
      <c r="C5" s="132"/>
      <c r="D5" s="30"/>
      <c r="E5" s="30"/>
      <c r="F5" s="627"/>
      <c r="G5" s="213"/>
      <c r="H5" s="9"/>
      <c r="I5" s="9"/>
      <c r="J5" s="10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32"/>
    </row>
    <row r="6" spans="1:24" x14ac:dyDescent="0.15">
      <c r="A6" s="198" t="s">
        <v>344</v>
      </c>
      <c r="B6" s="199" t="s">
        <v>345</v>
      </c>
      <c r="C6" s="200" t="s">
        <v>30</v>
      </c>
      <c r="D6" s="209"/>
      <c r="E6" s="201" t="s">
        <v>309</v>
      </c>
      <c r="F6" s="628">
        <v>999999</v>
      </c>
      <c r="G6" s="472">
        <v>300</v>
      </c>
      <c r="H6" s="566">
        <f>446.75-400</f>
        <v>46.75</v>
      </c>
      <c r="I6" s="324">
        <v>273.73</v>
      </c>
      <c r="J6" s="324">
        <v>341.94</v>
      </c>
      <c r="K6" s="324">
        <v>300.43</v>
      </c>
      <c r="L6" s="324">
        <v>350.64</v>
      </c>
      <c r="M6" s="324">
        <v>386.57</v>
      </c>
      <c r="N6" s="324">
        <v>204.29</v>
      </c>
      <c r="O6" s="324">
        <v>298.14</v>
      </c>
      <c r="P6" s="325">
        <v>356.94</v>
      </c>
      <c r="Q6" s="324">
        <v>379.75</v>
      </c>
      <c r="R6" s="324">
        <v>241.78</v>
      </c>
      <c r="S6" s="226">
        <v>327.26</v>
      </c>
      <c r="T6" s="226"/>
      <c r="U6" s="226"/>
      <c r="V6" s="501">
        <f>SUM(H6:T6)</f>
        <v>3508.2200000000003</v>
      </c>
    </row>
    <row r="7" spans="1:24" ht="11.25" thickBot="1" x14ac:dyDescent="0.2">
      <c r="A7" s="550" t="s">
        <v>11</v>
      </c>
      <c r="B7" s="550"/>
      <c r="C7" s="527"/>
      <c r="D7" s="533"/>
      <c r="E7" s="534"/>
      <c r="F7" s="629"/>
      <c r="G7" s="551"/>
      <c r="H7" s="530">
        <f>+H6</f>
        <v>46.75</v>
      </c>
      <c r="I7" s="530">
        <f t="shared" ref="I7:S7" si="0">+I6</f>
        <v>273.73</v>
      </c>
      <c r="J7" s="530">
        <f t="shared" si="0"/>
        <v>341.94</v>
      </c>
      <c r="K7" s="530">
        <f t="shared" si="0"/>
        <v>300.43</v>
      </c>
      <c r="L7" s="530">
        <f t="shared" si="0"/>
        <v>350.64</v>
      </c>
      <c r="M7" s="530">
        <f t="shared" si="0"/>
        <v>386.57</v>
      </c>
      <c r="N7" s="530">
        <f t="shared" si="0"/>
        <v>204.29</v>
      </c>
      <c r="O7" s="530">
        <f t="shared" si="0"/>
        <v>298.14</v>
      </c>
      <c r="P7" s="530">
        <f t="shared" si="0"/>
        <v>356.94</v>
      </c>
      <c r="Q7" s="530">
        <f t="shared" si="0"/>
        <v>379.75</v>
      </c>
      <c r="R7" s="530">
        <f t="shared" si="0"/>
        <v>241.78</v>
      </c>
      <c r="S7" s="530">
        <f t="shared" si="0"/>
        <v>327.26</v>
      </c>
      <c r="T7" s="530">
        <f>+T6</f>
        <v>0</v>
      </c>
      <c r="U7" s="530">
        <f>+U6</f>
        <v>0</v>
      </c>
      <c r="V7" s="530">
        <f>+V6</f>
        <v>3508.2200000000003</v>
      </c>
      <c r="W7" s="97" t="str">
        <f>+IF(V7=SUM(H7:T7),"contrôle ok", "erreur")</f>
        <v>contrôle ok</v>
      </c>
    </row>
    <row r="8" spans="1:24" s="191" customFormat="1" ht="13.5" thickTop="1" x14ac:dyDescent="0.2">
      <c r="A8" s="192"/>
      <c r="B8" s="193"/>
      <c r="C8" s="194"/>
      <c r="D8" s="195"/>
      <c r="E8" s="196"/>
      <c r="F8" s="630"/>
      <c r="G8" s="197"/>
      <c r="H8" s="502"/>
      <c r="I8" s="502"/>
      <c r="J8" s="502"/>
      <c r="K8" s="502"/>
      <c r="L8" s="502"/>
      <c r="M8" s="502"/>
      <c r="N8" s="502"/>
      <c r="O8" s="503"/>
      <c r="P8" s="502"/>
      <c r="Q8" s="502"/>
      <c r="R8" s="236"/>
      <c r="S8" s="236"/>
      <c r="T8" s="236"/>
      <c r="U8" s="236"/>
      <c r="V8" s="504"/>
    </row>
    <row r="9" spans="1:24" x14ac:dyDescent="0.15">
      <c r="A9" s="27" t="s">
        <v>41</v>
      </c>
      <c r="B9" s="28"/>
      <c r="C9" s="29"/>
      <c r="D9" s="30"/>
      <c r="E9" s="30"/>
      <c r="F9" s="627"/>
      <c r="G9" s="213"/>
      <c r="H9" s="224"/>
      <c r="I9" s="224"/>
      <c r="J9" s="251"/>
      <c r="K9" s="224"/>
      <c r="L9" s="224"/>
      <c r="M9" s="224"/>
      <c r="N9" s="224"/>
      <c r="O9" s="224"/>
      <c r="P9" s="224"/>
      <c r="Q9" s="224"/>
      <c r="R9" s="224"/>
      <c r="S9" s="224"/>
      <c r="T9" s="224"/>
      <c r="U9" s="224"/>
      <c r="V9" s="252"/>
    </row>
    <row r="10" spans="1:24" x14ac:dyDescent="0.15">
      <c r="A10" s="613" t="s">
        <v>363</v>
      </c>
      <c r="B10" s="199"/>
      <c r="C10" s="200"/>
      <c r="D10" s="209">
        <v>615111</v>
      </c>
      <c r="E10" s="201" t="s">
        <v>237</v>
      </c>
      <c r="F10" s="631" t="s">
        <v>179</v>
      </c>
      <c r="G10" s="476"/>
      <c r="H10" s="566">
        <f>311.6-311.6+281.6-279.28</f>
        <v>2.32000000000005</v>
      </c>
      <c r="I10" s="324">
        <f>311.6+249.28</f>
        <v>560.88</v>
      </c>
      <c r="J10" s="324">
        <f>343.92+373.92</f>
        <v>717.84</v>
      </c>
      <c r="K10" s="324">
        <v>747.84</v>
      </c>
      <c r="L10" s="324">
        <v>747.84</v>
      </c>
      <c r="M10" s="324">
        <f>997.12</f>
        <v>997.12</v>
      </c>
      <c r="N10" s="324">
        <v>623.20000000000005</v>
      </c>
      <c r="O10" s="325">
        <v>655.52</v>
      </c>
      <c r="P10" s="324">
        <v>623.20000000000005</v>
      </c>
      <c r="Q10" s="324">
        <v>747.84</v>
      </c>
      <c r="R10" s="324">
        <v>658.38</v>
      </c>
      <c r="S10" s="615">
        <v>186.96</v>
      </c>
      <c r="T10" s="608"/>
      <c r="U10" s="608"/>
      <c r="V10" s="501">
        <f>SUM(H10:T10)</f>
        <v>7268.94</v>
      </c>
    </row>
    <row r="11" spans="1:24" x14ac:dyDescent="0.15">
      <c r="A11" s="198"/>
      <c r="B11" s="199"/>
      <c r="C11" s="200"/>
      <c r="D11" s="209">
        <v>615111</v>
      </c>
      <c r="E11" s="201" t="s">
        <v>237</v>
      </c>
      <c r="F11" s="631" t="s">
        <v>179</v>
      </c>
      <c r="G11" s="202"/>
      <c r="H11" s="566"/>
      <c r="I11" s="324"/>
      <c r="J11" s="324"/>
      <c r="K11" s="324"/>
      <c r="L11" s="324"/>
      <c r="M11" s="324"/>
      <c r="N11" s="324"/>
      <c r="O11" s="325"/>
      <c r="P11" s="324"/>
      <c r="Q11" s="324"/>
      <c r="R11" s="226"/>
      <c r="S11" s="615">
        <f>249.28+47+47+47+47+47</f>
        <v>484.28</v>
      </c>
      <c r="T11" s="226"/>
      <c r="U11" s="226"/>
      <c r="V11" s="501">
        <f>SUM(H11:T11)</f>
        <v>484.28</v>
      </c>
    </row>
    <row r="12" spans="1:24" x14ac:dyDescent="0.15">
      <c r="A12" s="198" t="s">
        <v>540</v>
      </c>
      <c r="B12" s="199"/>
      <c r="C12" s="200"/>
      <c r="D12" s="209">
        <v>615111</v>
      </c>
      <c r="E12" s="201" t="s">
        <v>205</v>
      </c>
      <c r="F12" s="631" t="s">
        <v>179</v>
      </c>
      <c r="G12" s="202"/>
      <c r="H12" s="566"/>
      <c r="I12" s="324"/>
      <c r="J12" s="324"/>
      <c r="K12" s="324"/>
      <c r="L12" s="324"/>
      <c r="M12" s="324"/>
      <c r="N12" s="324"/>
      <c r="O12" s="325"/>
      <c r="P12" s="324"/>
      <c r="Q12" s="324"/>
      <c r="R12" s="226"/>
      <c r="S12" s="226"/>
      <c r="T12" s="226"/>
      <c r="U12" s="226"/>
      <c r="V12" s="501">
        <f>SUM(H12:T12)</f>
        <v>0</v>
      </c>
    </row>
    <row r="13" spans="1:24" ht="11.25" thickBot="1" x14ac:dyDescent="0.2">
      <c r="A13" s="550" t="s">
        <v>11</v>
      </c>
      <c r="B13" s="550"/>
      <c r="C13" s="527"/>
      <c r="D13" s="533"/>
      <c r="E13" s="534"/>
      <c r="F13" s="629"/>
      <c r="G13" s="551"/>
      <c r="H13" s="530">
        <f t="shared" ref="H13:V13" si="1">SUM(H10:H12)</f>
        <v>2.32000000000005</v>
      </c>
      <c r="I13" s="530">
        <f t="shared" si="1"/>
        <v>560.88</v>
      </c>
      <c r="J13" s="530">
        <f t="shared" si="1"/>
        <v>717.84</v>
      </c>
      <c r="K13" s="530">
        <f t="shared" si="1"/>
        <v>747.84</v>
      </c>
      <c r="L13" s="530">
        <f t="shared" si="1"/>
        <v>747.84</v>
      </c>
      <c r="M13" s="530">
        <f t="shared" si="1"/>
        <v>997.12</v>
      </c>
      <c r="N13" s="530">
        <f t="shared" si="1"/>
        <v>623.20000000000005</v>
      </c>
      <c r="O13" s="530">
        <f t="shared" si="1"/>
        <v>655.52</v>
      </c>
      <c r="P13" s="530">
        <f t="shared" si="1"/>
        <v>623.20000000000005</v>
      </c>
      <c r="Q13" s="530">
        <f t="shared" si="1"/>
        <v>747.84</v>
      </c>
      <c r="R13" s="530">
        <f t="shared" si="1"/>
        <v>658.38</v>
      </c>
      <c r="S13" s="530">
        <f t="shared" si="1"/>
        <v>671.24</v>
      </c>
      <c r="T13" s="530">
        <f t="shared" si="1"/>
        <v>0</v>
      </c>
      <c r="U13" s="530">
        <f>SUM(U10:U12)</f>
        <v>0</v>
      </c>
      <c r="V13" s="530">
        <f t="shared" si="1"/>
        <v>7753.2199999999993</v>
      </c>
      <c r="W13" s="97" t="str">
        <f>+IF(V13=SUM(H13:T13),"contrôle ok", "erreur")</f>
        <v>contrôle ok</v>
      </c>
    </row>
    <row r="14" spans="1:24" s="98" customFormat="1" ht="11.25" thickTop="1" x14ac:dyDescent="0.15">
      <c r="A14" s="54"/>
      <c r="B14" s="54"/>
      <c r="C14" s="138"/>
      <c r="D14" s="52"/>
      <c r="E14" s="53"/>
      <c r="F14" s="632"/>
      <c r="G14" s="156"/>
      <c r="H14" s="228"/>
      <c r="I14" s="228"/>
      <c r="J14" s="228"/>
      <c r="K14" s="228"/>
      <c r="L14" s="228"/>
      <c r="M14" s="228"/>
      <c r="N14" s="228"/>
      <c r="O14" s="228"/>
      <c r="P14" s="228"/>
      <c r="Q14" s="228"/>
      <c r="R14" s="228"/>
      <c r="S14" s="228"/>
      <c r="T14" s="228"/>
      <c r="U14" s="228"/>
      <c r="V14" s="228"/>
      <c r="W14" s="97"/>
    </row>
    <row r="15" spans="1:24" s="219" customFormat="1" ht="14.25" customHeight="1" x14ac:dyDescent="0.15">
      <c r="A15" s="27" t="s">
        <v>534</v>
      </c>
      <c r="B15" s="28"/>
      <c r="C15" s="29"/>
      <c r="D15" s="134"/>
      <c r="E15" s="30"/>
      <c r="F15" s="627"/>
      <c r="G15" s="101"/>
      <c r="H15" s="224"/>
      <c r="I15" s="224"/>
      <c r="J15" s="251"/>
      <c r="K15" s="224"/>
      <c r="L15" s="224"/>
      <c r="M15" s="224"/>
      <c r="N15" s="224"/>
      <c r="O15" s="224"/>
      <c r="P15" s="224"/>
      <c r="Q15" s="224"/>
      <c r="R15" s="224"/>
      <c r="S15" s="224"/>
      <c r="T15" s="224"/>
      <c r="U15" s="224"/>
      <c r="V15" s="252"/>
      <c r="W15" s="374"/>
      <c r="X15" s="374"/>
    </row>
    <row r="16" spans="1:24" s="219" customFormat="1" ht="14.25" customHeight="1" x14ac:dyDescent="0.15">
      <c r="A16" s="475" t="s">
        <v>171</v>
      </c>
      <c r="B16" s="494"/>
      <c r="C16" s="495"/>
      <c r="D16" s="496">
        <v>615114</v>
      </c>
      <c r="E16" s="475" t="s">
        <v>237</v>
      </c>
      <c r="F16" s="633" t="s">
        <v>192</v>
      </c>
      <c r="G16" s="163"/>
      <c r="H16" s="559">
        <f>320-160</f>
        <v>160</v>
      </c>
      <c r="I16" s="226"/>
      <c r="J16" s="226"/>
      <c r="K16" s="226"/>
      <c r="L16" s="226"/>
      <c r="M16" s="226"/>
      <c r="N16" s="226"/>
      <c r="O16" s="226">
        <v>160</v>
      </c>
      <c r="P16" s="226"/>
      <c r="Q16" s="226"/>
      <c r="R16" s="226"/>
      <c r="S16" s="615">
        <v>160</v>
      </c>
      <c r="T16" s="226"/>
      <c r="U16" s="226"/>
      <c r="V16" s="255">
        <f>SUM(H16:T16)</f>
        <v>480</v>
      </c>
      <c r="W16" s="374"/>
      <c r="X16" s="374"/>
    </row>
    <row r="17" spans="1:24" s="219" customFormat="1" ht="14.25" customHeight="1" thickBot="1" x14ac:dyDescent="0.2">
      <c r="A17" s="516" t="s">
        <v>11</v>
      </c>
      <c r="B17" s="517"/>
      <c r="C17" s="524"/>
      <c r="D17" s="525"/>
      <c r="E17" s="520"/>
      <c r="F17" s="634"/>
      <c r="G17" s="521"/>
      <c r="H17" s="522">
        <f>SUM(H16:H16)</f>
        <v>160</v>
      </c>
      <c r="I17" s="522">
        <f t="shared" ref="I17:V17" si="2">SUM(I16:I16)</f>
        <v>0</v>
      </c>
      <c r="J17" s="522">
        <f t="shared" si="2"/>
        <v>0</v>
      </c>
      <c r="K17" s="522">
        <f t="shared" si="2"/>
        <v>0</v>
      </c>
      <c r="L17" s="522">
        <f t="shared" si="2"/>
        <v>0</v>
      </c>
      <c r="M17" s="522">
        <f t="shared" si="2"/>
        <v>0</v>
      </c>
      <c r="N17" s="522">
        <f t="shared" si="2"/>
        <v>0</v>
      </c>
      <c r="O17" s="522">
        <f t="shared" si="2"/>
        <v>160</v>
      </c>
      <c r="P17" s="522">
        <f t="shared" si="2"/>
        <v>0</v>
      </c>
      <c r="Q17" s="522">
        <f t="shared" si="2"/>
        <v>0</v>
      </c>
      <c r="R17" s="522">
        <f t="shared" si="2"/>
        <v>0</v>
      </c>
      <c r="S17" s="522">
        <f t="shared" si="2"/>
        <v>160</v>
      </c>
      <c r="T17" s="522">
        <f t="shared" si="2"/>
        <v>0</v>
      </c>
      <c r="U17" s="522">
        <f>SUM(U16:U16)</f>
        <v>0</v>
      </c>
      <c r="V17" s="522">
        <f t="shared" si="2"/>
        <v>480</v>
      </c>
      <c r="W17" s="97" t="str">
        <f>+IF(V17=SUM(H17:T17),"contrôle ok", "erreur")</f>
        <v>contrôle ok</v>
      </c>
      <c r="X17" s="374"/>
    </row>
    <row r="18" spans="1:24" s="191" customFormat="1" ht="13.5" thickTop="1" x14ac:dyDescent="0.2">
      <c r="A18" s="204"/>
      <c r="B18" s="205"/>
      <c r="C18" s="206"/>
      <c r="D18" s="207"/>
      <c r="E18" s="208"/>
      <c r="F18" s="630"/>
      <c r="G18" s="197"/>
      <c r="H18" s="505"/>
      <c r="I18" s="505"/>
      <c r="J18" s="502"/>
      <c r="K18" s="502"/>
      <c r="L18" s="502"/>
      <c r="M18" s="502"/>
      <c r="N18" s="502"/>
      <c r="O18" s="503"/>
      <c r="P18" s="502"/>
      <c r="Q18" s="502"/>
      <c r="R18" s="246"/>
      <c r="S18" s="219"/>
      <c r="T18" s="246"/>
      <c r="U18" s="246"/>
      <c r="V18" s="504"/>
    </row>
    <row r="19" spans="1:24" x14ac:dyDescent="0.15">
      <c r="A19" s="27" t="s">
        <v>247</v>
      </c>
      <c r="B19" s="27"/>
      <c r="C19" s="28"/>
      <c r="D19" s="29"/>
      <c r="E19" s="30"/>
      <c r="F19" s="627"/>
      <c r="G19" s="155"/>
      <c r="H19" s="356"/>
      <c r="I19" s="356"/>
      <c r="J19" s="224"/>
      <c r="K19" s="251"/>
      <c r="L19" s="224"/>
      <c r="M19" s="224"/>
      <c r="N19" s="224"/>
      <c r="O19" s="224"/>
      <c r="P19" s="224"/>
      <c r="Q19" s="224"/>
      <c r="R19" s="224"/>
      <c r="S19" s="224"/>
      <c r="T19" s="224"/>
      <c r="U19" s="224"/>
      <c r="V19" s="224"/>
      <c r="W19" s="142"/>
    </row>
    <row r="20" spans="1:24" x14ac:dyDescent="0.15">
      <c r="A20" s="46" t="s">
        <v>40</v>
      </c>
      <c r="B20" s="46"/>
      <c r="C20" s="46"/>
      <c r="D20" s="48">
        <v>615130</v>
      </c>
      <c r="E20" s="49" t="s">
        <v>172</v>
      </c>
      <c r="F20" s="635" t="s">
        <v>248</v>
      </c>
      <c r="G20" s="474"/>
      <c r="H20" s="567"/>
      <c r="I20" s="506"/>
      <c r="J20" s="255"/>
      <c r="K20" s="226"/>
      <c r="L20" s="226"/>
      <c r="M20" s="255"/>
      <c r="N20" s="255"/>
      <c r="O20" s="226"/>
      <c r="P20" s="226"/>
      <c r="Q20" s="226"/>
      <c r="R20" s="226"/>
      <c r="S20" s="226"/>
      <c r="T20" s="226"/>
      <c r="U20" s="226"/>
      <c r="V20" s="501">
        <f>SUM(H20:T20)</f>
        <v>0</v>
      </c>
      <c r="W20" s="5"/>
    </row>
    <row r="21" spans="1:24" ht="11.25" thickBot="1" x14ac:dyDescent="0.2">
      <c r="A21" s="516" t="s">
        <v>11</v>
      </c>
      <c r="B21" s="516"/>
      <c r="C21" s="517"/>
      <c r="D21" s="518"/>
      <c r="E21" s="519"/>
      <c r="F21" s="636"/>
      <c r="G21" s="552"/>
      <c r="H21" s="522">
        <f>SUM(H20:H20)</f>
        <v>0</v>
      </c>
      <c r="I21" s="522">
        <f t="shared" ref="I21:V21" si="3">SUM(I20:I20)</f>
        <v>0</v>
      </c>
      <c r="J21" s="522">
        <f t="shared" si="3"/>
        <v>0</v>
      </c>
      <c r="K21" s="522">
        <f t="shared" si="3"/>
        <v>0</v>
      </c>
      <c r="L21" s="522">
        <f t="shared" si="3"/>
        <v>0</v>
      </c>
      <c r="M21" s="522">
        <f t="shared" si="3"/>
        <v>0</v>
      </c>
      <c r="N21" s="522">
        <f t="shared" si="3"/>
        <v>0</v>
      </c>
      <c r="O21" s="522">
        <f t="shared" si="3"/>
        <v>0</v>
      </c>
      <c r="P21" s="522">
        <f t="shared" si="3"/>
        <v>0</v>
      </c>
      <c r="Q21" s="522">
        <f t="shared" si="3"/>
        <v>0</v>
      </c>
      <c r="R21" s="522">
        <f t="shared" si="3"/>
        <v>0</v>
      </c>
      <c r="S21" s="522">
        <f t="shared" si="3"/>
        <v>0</v>
      </c>
      <c r="T21" s="522">
        <f t="shared" si="3"/>
        <v>0</v>
      </c>
      <c r="U21" s="522">
        <f>SUM(U20:U20)</f>
        <v>0</v>
      </c>
      <c r="V21" s="522">
        <f t="shared" si="3"/>
        <v>0</v>
      </c>
      <c r="W21" s="97" t="str">
        <f>+IF(V21=SUM(H21:T21),"contrôle ok", "erreur")</f>
        <v>contrôle ok</v>
      </c>
    </row>
    <row r="22" spans="1:24" s="98" customFormat="1" ht="11.25" thickTop="1" x14ac:dyDescent="0.15">
      <c r="A22" s="54"/>
      <c r="B22" s="54"/>
      <c r="C22" s="138"/>
      <c r="D22" s="52"/>
      <c r="E22" s="53"/>
      <c r="F22" s="632"/>
      <c r="G22" s="156"/>
      <c r="H22" s="228"/>
      <c r="I22" s="228"/>
      <c r="J22" s="228"/>
      <c r="K22" s="228"/>
      <c r="L22" s="228"/>
      <c r="M22" s="228"/>
      <c r="N22" s="228"/>
      <c r="O22" s="228"/>
      <c r="P22" s="228"/>
      <c r="Q22" s="228"/>
      <c r="R22" s="228"/>
      <c r="S22" s="228"/>
      <c r="T22" s="228"/>
      <c r="U22" s="228"/>
      <c r="V22" s="228"/>
      <c r="W22" s="97"/>
    </row>
    <row r="23" spans="1:24" x14ac:dyDescent="0.15">
      <c r="A23" s="27" t="s">
        <v>374</v>
      </c>
      <c r="B23" s="28"/>
      <c r="C23" s="29"/>
      <c r="D23" s="30"/>
      <c r="E23" s="30"/>
      <c r="F23" s="627"/>
      <c r="G23" s="101"/>
      <c r="H23" s="224"/>
      <c r="I23" s="224"/>
      <c r="J23" s="251"/>
      <c r="K23" s="224"/>
      <c r="L23" s="224"/>
      <c r="M23" s="224"/>
      <c r="N23" s="224"/>
      <c r="O23" s="224"/>
      <c r="P23" s="224"/>
      <c r="Q23" s="224"/>
      <c r="R23" s="224"/>
      <c r="S23" s="224"/>
      <c r="T23" s="224"/>
      <c r="U23" s="224"/>
      <c r="V23" s="252"/>
    </row>
    <row r="24" spans="1:24" x14ac:dyDescent="0.15">
      <c r="A24" s="33"/>
      <c r="B24" s="33"/>
      <c r="C24" s="34"/>
      <c r="D24" s="48">
        <v>615137</v>
      </c>
      <c r="E24" s="173" t="s">
        <v>237</v>
      </c>
      <c r="F24" s="637" t="s">
        <v>192</v>
      </c>
      <c r="G24" s="100"/>
      <c r="H24" s="560"/>
      <c r="I24" s="255"/>
      <c r="J24" s="226"/>
      <c r="K24" s="226"/>
      <c r="L24" s="255"/>
      <c r="M24" s="255"/>
      <c r="N24" s="255"/>
      <c r="O24" s="226">
        <v>88.09</v>
      </c>
      <c r="P24" s="226"/>
      <c r="Q24" s="226"/>
      <c r="R24" s="226"/>
      <c r="S24" s="255"/>
      <c r="T24" s="226"/>
      <c r="U24" s="226"/>
      <c r="V24" s="501">
        <f>SUM(H24:T24)</f>
        <v>88.09</v>
      </c>
    </row>
    <row r="25" spans="1:24" ht="11.25" thickBot="1" x14ac:dyDescent="0.2">
      <c r="A25" s="516" t="s">
        <v>11</v>
      </c>
      <c r="B25" s="517"/>
      <c r="C25" s="518"/>
      <c r="D25" s="519"/>
      <c r="E25" s="516"/>
      <c r="F25" s="638"/>
      <c r="G25" s="521"/>
      <c r="H25" s="522">
        <f>SUM(H24:H24)</f>
        <v>0</v>
      </c>
      <c r="I25" s="522">
        <f t="shared" ref="I25:V25" si="4">SUM(I24:I24)</f>
        <v>0</v>
      </c>
      <c r="J25" s="522">
        <f t="shared" si="4"/>
        <v>0</v>
      </c>
      <c r="K25" s="522">
        <f t="shared" si="4"/>
        <v>0</v>
      </c>
      <c r="L25" s="522">
        <f t="shared" si="4"/>
        <v>0</v>
      </c>
      <c r="M25" s="522">
        <f t="shared" si="4"/>
        <v>0</v>
      </c>
      <c r="N25" s="522">
        <f t="shared" si="4"/>
        <v>0</v>
      </c>
      <c r="O25" s="522">
        <f t="shared" si="4"/>
        <v>88.09</v>
      </c>
      <c r="P25" s="522">
        <f t="shared" si="4"/>
        <v>0</v>
      </c>
      <c r="Q25" s="522">
        <f t="shared" si="4"/>
        <v>0</v>
      </c>
      <c r="R25" s="522">
        <f t="shared" si="4"/>
        <v>0</v>
      </c>
      <c r="S25" s="522">
        <f t="shared" si="4"/>
        <v>0</v>
      </c>
      <c r="T25" s="522">
        <f t="shared" si="4"/>
        <v>0</v>
      </c>
      <c r="U25" s="522">
        <f>SUM(U24:U24)</f>
        <v>0</v>
      </c>
      <c r="V25" s="522">
        <f t="shared" si="4"/>
        <v>88.09</v>
      </c>
      <c r="W25" s="97" t="str">
        <f>+IF(V25=SUM(H25:T25),"contrôle ok", "erreur")</f>
        <v>contrôle ok</v>
      </c>
    </row>
    <row r="26" spans="1:24" ht="11.25" thickTop="1" x14ac:dyDescent="0.15">
      <c r="A26" s="87"/>
      <c r="B26" s="87"/>
      <c r="C26" s="119"/>
      <c r="D26" s="140"/>
      <c r="E26" s="89"/>
      <c r="F26" s="626"/>
      <c r="G26" s="110"/>
      <c r="H26" s="223"/>
      <c r="I26" s="223"/>
      <c r="J26" s="223"/>
      <c r="K26" s="223"/>
      <c r="L26" s="223"/>
      <c r="M26" s="223"/>
      <c r="N26" s="223"/>
      <c r="O26" s="223"/>
      <c r="P26" s="223"/>
      <c r="Q26" s="223"/>
      <c r="R26" s="223"/>
      <c r="S26" s="223"/>
      <c r="T26" s="223"/>
      <c r="U26" s="223"/>
      <c r="V26" s="427"/>
      <c r="W26" s="14"/>
    </row>
    <row r="27" spans="1:24" s="37" customFormat="1" x14ac:dyDescent="0.15">
      <c r="A27" s="27" t="s">
        <v>250</v>
      </c>
      <c r="B27" s="28"/>
      <c r="C27" s="29"/>
      <c r="D27" s="30"/>
      <c r="E27" s="30"/>
      <c r="F27" s="627"/>
      <c r="G27" s="101"/>
      <c r="H27" s="224"/>
      <c r="I27" s="224"/>
      <c r="J27" s="251"/>
      <c r="K27" s="224"/>
      <c r="L27" s="224"/>
      <c r="M27" s="224"/>
      <c r="N27" s="224"/>
      <c r="O27" s="224"/>
      <c r="P27" s="224"/>
      <c r="Q27" s="224"/>
      <c r="R27" s="224"/>
      <c r="S27" s="224"/>
      <c r="T27" s="224"/>
      <c r="U27" s="224"/>
      <c r="V27" s="252"/>
      <c r="W27" s="16"/>
    </row>
    <row r="28" spans="1:24" s="37" customFormat="1" x14ac:dyDescent="0.15">
      <c r="A28" s="143" t="s">
        <v>436</v>
      </c>
      <c r="B28" s="143"/>
      <c r="C28" s="144"/>
      <c r="D28" s="145">
        <v>615140</v>
      </c>
      <c r="E28" s="145" t="s">
        <v>172</v>
      </c>
      <c r="F28" s="635" t="s">
        <v>179</v>
      </c>
      <c r="G28" s="165">
        <v>673.65</v>
      </c>
      <c r="H28" s="559"/>
      <c r="I28" s="226">
        <v>673.65</v>
      </c>
      <c r="J28" s="226">
        <v>673.65</v>
      </c>
      <c r="K28" s="226">
        <v>673.65</v>
      </c>
      <c r="L28" s="226">
        <v>673.65</v>
      </c>
      <c r="M28" s="226">
        <v>673.65</v>
      </c>
      <c r="N28" s="299">
        <v>673.65</v>
      </c>
      <c r="O28" s="326">
        <v>673.65</v>
      </c>
      <c r="P28" s="326">
        <v>673.65</v>
      </c>
      <c r="Q28" s="326">
        <v>673.65</v>
      </c>
      <c r="R28" s="297">
        <v>673.65</v>
      </c>
      <c r="S28" s="226">
        <v>673.65</v>
      </c>
      <c r="T28" s="226">
        <v>673.35</v>
      </c>
      <c r="U28" s="226"/>
      <c r="V28" s="501">
        <f>SUM(H28:T28)</f>
        <v>8083.4999999999991</v>
      </c>
      <c r="W28" s="16"/>
    </row>
    <row r="29" spans="1:24" ht="11.25" thickBot="1" x14ac:dyDescent="0.2">
      <c r="A29" s="516" t="s">
        <v>11</v>
      </c>
      <c r="B29" s="517"/>
      <c r="C29" s="518"/>
      <c r="D29" s="519"/>
      <c r="E29" s="516"/>
      <c r="F29" s="638"/>
      <c r="G29" s="521"/>
      <c r="H29" s="522">
        <f>SUM(H28:H28)</f>
        <v>0</v>
      </c>
      <c r="I29" s="522">
        <f t="shared" ref="I29:V29" si="5">SUM(I28:I28)</f>
        <v>673.65</v>
      </c>
      <c r="J29" s="522">
        <f t="shared" si="5"/>
        <v>673.65</v>
      </c>
      <c r="K29" s="522">
        <f t="shared" si="5"/>
        <v>673.65</v>
      </c>
      <c r="L29" s="522">
        <f t="shared" si="5"/>
        <v>673.65</v>
      </c>
      <c r="M29" s="522">
        <f t="shared" si="5"/>
        <v>673.65</v>
      </c>
      <c r="N29" s="522">
        <f t="shared" si="5"/>
        <v>673.65</v>
      </c>
      <c r="O29" s="522">
        <f t="shared" si="5"/>
        <v>673.65</v>
      </c>
      <c r="P29" s="522">
        <f t="shared" si="5"/>
        <v>673.65</v>
      </c>
      <c r="Q29" s="522">
        <f t="shared" si="5"/>
        <v>673.65</v>
      </c>
      <c r="R29" s="522">
        <f t="shared" si="5"/>
        <v>673.65</v>
      </c>
      <c r="S29" s="522">
        <f t="shared" si="5"/>
        <v>673.65</v>
      </c>
      <c r="T29" s="522">
        <f t="shared" si="5"/>
        <v>673.35</v>
      </c>
      <c r="U29" s="522">
        <f>SUM(U28:U28)</f>
        <v>0</v>
      </c>
      <c r="V29" s="522">
        <f t="shared" si="5"/>
        <v>8083.4999999999991</v>
      </c>
      <c r="W29" s="97" t="str">
        <f>+IF(V29=SUM(H29:T29),"contrôle ok", "erreur")</f>
        <v>contrôle ok</v>
      </c>
    </row>
    <row r="30" spans="1:24" s="98" customFormat="1" ht="11.25" thickTop="1" x14ac:dyDescent="0.15">
      <c r="A30" s="54"/>
      <c r="B30" s="51"/>
      <c r="C30" s="123"/>
      <c r="D30" s="53"/>
      <c r="E30" s="120"/>
      <c r="F30" s="632"/>
      <c r="G30" s="139"/>
      <c r="H30" s="228"/>
      <c r="I30" s="228"/>
      <c r="J30" s="228"/>
      <c r="K30" s="228"/>
      <c r="L30" s="228"/>
      <c r="M30" s="228"/>
      <c r="N30" s="228"/>
      <c r="O30" s="228"/>
      <c r="P30" s="228"/>
      <c r="Q30" s="228"/>
      <c r="R30" s="228"/>
      <c r="S30" s="228"/>
      <c r="T30" s="228"/>
      <c r="U30" s="228"/>
      <c r="V30" s="228"/>
      <c r="W30" s="97"/>
    </row>
    <row r="31" spans="1:24" x14ac:dyDescent="0.15">
      <c r="A31" s="27" t="s">
        <v>90</v>
      </c>
      <c r="B31" s="27"/>
      <c r="C31" s="28"/>
      <c r="D31" s="29"/>
      <c r="E31" s="30"/>
      <c r="F31" s="627"/>
      <c r="G31" s="155"/>
      <c r="H31" s="356"/>
      <c r="I31" s="356"/>
      <c r="J31" s="224"/>
      <c r="K31" s="251"/>
      <c r="L31" s="224"/>
      <c r="M31" s="224"/>
      <c r="N31" s="224"/>
      <c r="O31" s="224"/>
      <c r="P31" s="224"/>
      <c r="Q31" s="224"/>
      <c r="R31" s="224"/>
      <c r="S31" s="224"/>
      <c r="T31" s="224"/>
      <c r="U31" s="224"/>
      <c r="V31" s="224"/>
      <c r="W31" s="14"/>
    </row>
    <row r="32" spans="1:24" x14ac:dyDescent="0.15">
      <c r="A32" s="46" t="s">
        <v>193</v>
      </c>
      <c r="B32" s="46"/>
      <c r="C32" s="46"/>
      <c r="D32" s="48">
        <v>615150</v>
      </c>
      <c r="E32" s="49" t="s">
        <v>172</v>
      </c>
      <c r="F32" s="635" t="s">
        <v>192</v>
      </c>
      <c r="G32" s="474"/>
      <c r="H32" s="567"/>
      <c r="I32" s="506"/>
      <c r="J32" s="255"/>
      <c r="K32" s="255"/>
      <c r="L32" s="255"/>
      <c r="M32" s="255"/>
      <c r="N32" s="255"/>
      <c r="O32" s="234"/>
      <c r="P32" s="255"/>
      <c r="Q32" s="255"/>
      <c r="R32" s="255"/>
      <c r="S32" s="255"/>
      <c r="T32" s="255"/>
      <c r="U32" s="255"/>
      <c r="V32" s="501">
        <f>SUM(H32:T32)</f>
        <v>0</v>
      </c>
      <c r="W32" s="14"/>
    </row>
    <row r="33" spans="1:23" ht="11.25" thickBot="1" x14ac:dyDescent="0.2">
      <c r="A33" s="516" t="s">
        <v>11</v>
      </c>
      <c r="B33" s="516"/>
      <c r="C33" s="517"/>
      <c r="D33" s="518"/>
      <c r="E33" s="519"/>
      <c r="F33" s="636"/>
      <c r="G33" s="552"/>
      <c r="H33" s="522">
        <f>SUM(H32)</f>
        <v>0</v>
      </c>
      <c r="I33" s="522">
        <f>SUM(I32)</f>
        <v>0</v>
      </c>
      <c r="J33" s="522">
        <f>SUM(J32)</f>
        <v>0</v>
      </c>
      <c r="K33" s="522">
        <f t="shared" ref="K33:V33" si="6">SUM(K32)</f>
        <v>0</v>
      </c>
      <c r="L33" s="522">
        <f t="shared" si="6"/>
        <v>0</v>
      </c>
      <c r="M33" s="522">
        <f t="shared" si="6"/>
        <v>0</v>
      </c>
      <c r="N33" s="522">
        <f t="shared" si="6"/>
        <v>0</v>
      </c>
      <c r="O33" s="522">
        <f t="shared" si="6"/>
        <v>0</v>
      </c>
      <c r="P33" s="522">
        <f t="shared" si="6"/>
        <v>0</v>
      </c>
      <c r="Q33" s="522">
        <f t="shared" si="6"/>
        <v>0</v>
      </c>
      <c r="R33" s="522">
        <f t="shared" si="6"/>
        <v>0</v>
      </c>
      <c r="S33" s="522">
        <f t="shared" si="6"/>
        <v>0</v>
      </c>
      <c r="T33" s="522">
        <f t="shared" si="6"/>
        <v>0</v>
      </c>
      <c r="U33" s="522">
        <f>SUM(U32)</f>
        <v>0</v>
      </c>
      <c r="V33" s="522">
        <f t="shared" si="6"/>
        <v>0</v>
      </c>
      <c r="W33" s="97" t="str">
        <f>+IF(V33=SUM(H33:T33),"contrôle ok", "erreur")</f>
        <v>contrôle ok</v>
      </c>
    </row>
    <row r="34" spans="1:23" ht="11.25" thickTop="1" x14ac:dyDescent="0.15">
      <c r="A34" s="54"/>
      <c r="B34" s="54"/>
      <c r="C34" s="138"/>
      <c r="D34" s="52"/>
      <c r="E34" s="53"/>
      <c r="F34" s="632"/>
      <c r="G34" s="156"/>
      <c r="H34" s="507"/>
      <c r="I34" s="507"/>
      <c r="J34" s="228"/>
      <c r="K34" s="228"/>
      <c r="L34" s="228"/>
      <c r="M34" s="228"/>
      <c r="N34" s="228"/>
      <c r="O34" s="228"/>
      <c r="P34" s="228"/>
      <c r="Q34" s="228"/>
      <c r="R34" s="228"/>
      <c r="S34" s="228"/>
      <c r="T34" s="228"/>
      <c r="U34" s="228"/>
      <c r="V34" s="228"/>
      <c r="W34" s="8"/>
    </row>
    <row r="35" spans="1:23" s="37" customFormat="1" x14ac:dyDescent="0.15">
      <c r="A35" s="27" t="s">
        <v>82</v>
      </c>
      <c r="B35" s="28"/>
      <c r="C35" s="29"/>
      <c r="D35" s="30"/>
      <c r="E35" s="30"/>
      <c r="F35" s="627"/>
      <c r="G35" s="213"/>
      <c r="H35" s="224"/>
      <c r="I35" s="224"/>
      <c r="J35" s="251"/>
      <c r="K35" s="224"/>
      <c r="L35" s="224"/>
      <c r="M35" s="224"/>
      <c r="N35" s="224"/>
      <c r="O35" s="224"/>
      <c r="P35" s="224"/>
      <c r="Q35" s="224"/>
      <c r="R35" s="224"/>
      <c r="S35" s="224"/>
      <c r="T35" s="224"/>
      <c r="U35" s="224"/>
      <c r="V35" s="252"/>
      <c r="W35" s="16"/>
    </row>
    <row r="36" spans="1:23" x14ac:dyDescent="0.15">
      <c r="A36" s="46" t="s">
        <v>416</v>
      </c>
      <c r="B36" s="46"/>
      <c r="C36" s="47"/>
      <c r="D36" s="48">
        <v>615155</v>
      </c>
      <c r="E36" s="49" t="s">
        <v>172</v>
      </c>
      <c r="F36" s="635" t="s">
        <v>179</v>
      </c>
      <c r="G36" s="165">
        <v>256.08999999999997</v>
      </c>
      <c r="H36" s="581"/>
      <c r="I36" s="226">
        <f>262.5-6.41</f>
        <v>256.08999999999997</v>
      </c>
      <c r="J36" s="226">
        <f>262.5-6.41</f>
        <v>256.08999999999997</v>
      </c>
      <c r="K36" s="226">
        <f>262.5-6.41</f>
        <v>256.08999999999997</v>
      </c>
      <c r="L36" s="226">
        <f>262.5-6.41</f>
        <v>256.08999999999997</v>
      </c>
      <c r="M36" s="226">
        <f>262.5-6.41</f>
        <v>256.08999999999997</v>
      </c>
      <c r="N36" s="226">
        <v>256.08999999999997</v>
      </c>
      <c r="O36" s="226">
        <v>256.08999999999997</v>
      </c>
      <c r="P36" s="226">
        <v>256.08999999999997</v>
      </c>
      <c r="Q36" s="226">
        <v>256.08999999999997</v>
      </c>
      <c r="R36" s="226">
        <v>256.08999999999997</v>
      </c>
      <c r="S36" s="501">
        <v>256.08999999999997</v>
      </c>
      <c r="T36" s="501">
        <f>262.43-6.32</f>
        <v>256.11</v>
      </c>
      <c r="U36" s="501"/>
      <c r="V36" s="501">
        <f>SUM(H36:T36)</f>
        <v>3073.1000000000004</v>
      </c>
    </row>
    <row r="37" spans="1:23" x14ac:dyDescent="0.15">
      <c r="A37" s="46" t="s">
        <v>416</v>
      </c>
      <c r="B37" s="46" t="s">
        <v>514</v>
      </c>
      <c r="C37" s="47"/>
      <c r="D37" s="48">
        <v>615155</v>
      </c>
      <c r="E37" s="49" t="s">
        <v>172</v>
      </c>
      <c r="F37" s="635" t="s">
        <v>179</v>
      </c>
      <c r="G37" s="165">
        <v>22.72</v>
      </c>
      <c r="H37" s="581">
        <v>-22.72</v>
      </c>
      <c r="I37" s="226">
        <v>22.72</v>
      </c>
      <c r="J37" s="226">
        <v>22.72</v>
      </c>
      <c r="K37" s="226">
        <v>22.72</v>
      </c>
      <c r="L37" s="226">
        <v>22.72</v>
      </c>
      <c r="M37" s="226">
        <v>23.29</v>
      </c>
      <c r="N37" s="226">
        <v>23.29</v>
      </c>
      <c r="O37" s="226">
        <v>23.29</v>
      </c>
      <c r="P37" s="582"/>
      <c r="Q37" s="582"/>
      <c r="R37" s="582"/>
      <c r="S37" s="226">
        <v>23.29</v>
      </c>
      <c r="T37" s="226">
        <v>23.29</v>
      </c>
      <c r="U37" s="226"/>
      <c r="V37" s="501">
        <f>SUM(H37:T37)</f>
        <v>184.60999999999996</v>
      </c>
    </row>
    <row r="38" spans="1:23" x14ac:dyDescent="0.15">
      <c r="A38" s="46" t="s">
        <v>416</v>
      </c>
      <c r="B38" s="46"/>
      <c r="C38" s="47"/>
      <c r="D38" s="48">
        <v>615155</v>
      </c>
      <c r="E38" s="49" t="s">
        <v>172</v>
      </c>
      <c r="F38" s="635" t="s">
        <v>192</v>
      </c>
      <c r="G38" s="165"/>
      <c r="H38" s="581"/>
      <c r="I38" s="226"/>
      <c r="J38" s="226"/>
      <c r="K38" s="226"/>
      <c r="L38" s="226"/>
      <c r="M38" s="226"/>
      <c r="N38" s="226"/>
      <c r="O38" s="226"/>
      <c r="P38" s="226"/>
      <c r="Q38" s="226"/>
      <c r="R38" s="226"/>
      <c r="S38" s="501"/>
      <c r="T38" s="501">
        <v>135.13999999999999</v>
      </c>
      <c r="U38" s="501"/>
      <c r="V38" s="501">
        <f>SUM(H38:T38)</f>
        <v>135.13999999999999</v>
      </c>
    </row>
    <row r="39" spans="1:23" s="37" customFormat="1" ht="11.25" thickBot="1" x14ac:dyDescent="0.2">
      <c r="A39" s="516" t="s">
        <v>11</v>
      </c>
      <c r="B39" s="517"/>
      <c r="C39" s="518"/>
      <c r="D39" s="519"/>
      <c r="E39" s="516"/>
      <c r="F39" s="634"/>
      <c r="G39" s="553"/>
      <c r="H39" s="522">
        <f>SUM(H36:H38)</f>
        <v>-22.72</v>
      </c>
      <c r="I39" s="522">
        <f>SUM(I36:I38)</f>
        <v>278.80999999999995</v>
      </c>
      <c r="J39" s="522">
        <f t="shared" ref="J39:V39" si="7">SUM(J36:J38)</f>
        <v>278.80999999999995</v>
      </c>
      <c r="K39" s="522">
        <f t="shared" si="7"/>
        <v>278.80999999999995</v>
      </c>
      <c r="L39" s="522">
        <f t="shared" si="7"/>
        <v>278.80999999999995</v>
      </c>
      <c r="M39" s="522">
        <f t="shared" si="7"/>
        <v>279.38</v>
      </c>
      <c r="N39" s="522">
        <f t="shared" si="7"/>
        <v>279.38</v>
      </c>
      <c r="O39" s="522">
        <f t="shared" si="7"/>
        <v>279.38</v>
      </c>
      <c r="P39" s="522">
        <f t="shared" si="7"/>
        <v>256.08999999999997</v>
      </c>
      <c r="Q39" s="522">
        <f t="shared" si="7"/>
        <v>256.08999999999997</v>
      </c>
      <c r="R39" s="522">
        <f t="shared" si="7"/>
        <v>256.08999999999997</v>
      </c>
      <c r="S39" s="522">
        <f t="shared" si="7"/>
        <v>279.38</v>
      </c>
      <c r="T39" s="522">
        <f t="shared" si="7"/>
        <v>414.54</v>
      </c>
      <c r="U39" s="522">
        <f>SUM(U36:U38)</f>
        <v>0</v>
      </c>
      <c r="V39" s="522">
        <f t="shared" si="7"/>
        <v>3392.8500000000004</v>
      </c>
      <c r="W39" s="97" t="str">
        <f>+IF(V39=SUM(H39:T39),"contrôle ok", "erreur")</f>
        <v>contrôle ok</v>
      </c>
    </row>
    <row r="40" spans="1:23" s="56" customFormat="1" ht="11.25" thickTop="1" x14ac:dyDescent="0.15">
      <c r="A40" s="54"/>
      <c r="B40" s="54"/>
      <c r="C40" s="138"/>
      <c r="D40" s="52"/>
      <c r="E40" s="53"/>
      <c r="F40" s="632"/>
      <c r="G40" s="156"/>
      <c r="H40" s="507"/>
      <c r="I40" s="507"/>
      <c r="J40" s="228"/>
      <c r="K40" s="228"/>
      <c r="L40" s="228"/>
      <c r="M40" s="228"/>
      <c r="N40" s="228"/>
      <c r="O40" s="228"/>
      <c r="P40" s="228"/>
      <c r="Q40" s="228"/>
      <c r="R40" s="228"/>
      <c r="S40" s="228"/>
      <c r="T40" s="228"/>
      <c r="U40" s="228"/>
      <c r="V40" s="228"/>
      <c r="W40" s="8"/>
    </row>
    <row r="41" spans="1:23" s="56" customFormat="1" x14ac:dyDescent="0.15">
      <c r="A41" s="27" t="s">
        <v>330</v>
      </c>
      <c r="B41" s="28"/>
      <c r="C41" s="29"/>
      <c r="D41" s="30"/>
      <c r="E41" s="30"/>
      <c r="F41" s="627"/>
      <c r="G41" s="101"/>
      <c r="H41" s="224"/>
      <c r="I41" s="224"/>
      <c r="J41" s="224"/>
      <c r="K41" s="224"/>
      <c r="L41" s="224"/>
      <c r="M41" s="224"/>
      <c r="N41" s="224"/>
      <c r="O41" s="224"/>
      <c r="P41" s="224"/>
      <c r="Q41" s="224"/>
      <c r="R41" s="224"/>
      <c r="S41" s="224"/>
      <c r="T41" s="224"/>
      <c r="U41" s="224"/>
      <c r="V41" s="252"/>
      <c r="W41" s="16"/>
    </row>
    <row r="42" spans="1:23" x14ac:dyDescent="0.15">
      <c r="A42" s="143" t="s">
        <v>452</v>
      </c>
      <c r="B42" s="143" t="s">
        <v>546</v>
      </c>
      <c r="C42" s="144" t="s">
        <v>547</v>
      </c>
      <c r="D42" s="48">
        <v>615175</v>
      </c>
      <c r="E42" s="145" t="s">
        <v>205</v>
      </c>
      <c r="F42" s="635" t="s">
        <v>179</v>
      </c>
      <c r="G42" s="165"/>
      <c r="H42" s="559">
        <v>-243.76</v>
      </c>
      <c r="I42" s="226"/>
      <c r="J42" s="226"/>
      <c r="K42" s="226"/>
      <c r="L42" s="226"/>
      <c r="M42" s="226"/>
      <c r="N42" s="226"/>
      <c r="O42" s="226"/>
      <c r="P42" s="226"/>
      <c r="Q42" s="226"/>
      <c r="R42" s="226"/>
      <c r="S42" s="226"/>
      <c r="T42" s="226"/>
      <c r="U42" s="226"/>
      <c r="V42" s="501">
        <f>SUM(H42:T42)</f>
        <v>-243.76</v>
      </c>
    </row>
    <row r="43" spans="1:23" x14ac:dyDescent="0.15">
      <c r="A43" s="143" t="s">
        <v>452</v>
      </c>
      <c r="B43" s="143" t="s">
        <v>472</v>
      </c>
      <c r="C43" s="144" t="s">
        <v>521</v>
      </c>
      <c r="D43" s="48">
        <v>615175</v>
      </c>
      <c r="E43" s="145" t="s">
        <v>205</v>
      </c>
      <c r="F43" s="635" t="s">
        <v>179</v>
      </c>
      <c r="G43" s="165">
        <f>1579/12/3</f>
        <v>43.861111111111114</v>
      </c>
      <c r="H43" s="559"/>
      <c r="I43" s="226">
        <v>43.86</v>
      </c>
      <c r="J43" s="226">
        <v>43.86</v>
      </c>
      <c r="K43" s="226">
        <v>43.86</v>
      </c>
      <c r="L43" s="226">
        <v>43.86</v>
      </c>
      <c r="M43" s="226">
        <v>43.86</v>
      </c>
      <c r="N43" s="226">
        <v>43.86</v>
      </c>
      <c r="O43" s="226">
        <v>43.86</v>
      </c>
      <c r="P43" s="226">
        <v>43.86</v>
      </c>
      <c r="Q43" s="226">
        <v>43.86</v>
      </c>
      <c r="R43" s="226">
        <v>43.86</v>
      </c>
      <c r="S43" s="226">
        <v>43.86</v>
      </c>
      <c r="T43" s="226">
        <v>43.86</v>
      </c>
      <c r="U43" s="226"/>
      <c r="V43" s="501">
        <f>SUM(H43:T43)</f>
        <v>526.32000000000005</v>
      </c>
    </row>
    <row r="44" spans="1:23" x14ac:dyDescent="0.15">
      <c r="A44" s="143" t="s">
        <v>452</v>
      </c>
      <c r="B44" s="143" t="s">
        <v>522</v>
      </c>
      <c r="C44" s="144" t="s">
        <v>521</v>
      </c>
      <c r="D44" s="48">
        <v>615175</v>
      </c>
      <c r="E44" s="145" t="s">
        <v>205</v>
      </c>
      <c r="F44" s="635" t="s">
        <v>179</v>
      </c>
      <c r="G44" s="165">
        <v>6.25</v>
      </c>
      <c r="H44" s="559"/>
      <c r="I44" s="226">
        <v>6.25</v>
      </c>
      <c r="J44" s="226">
        <v>6.25</v>
      </c>
      <c r="K44" s="226">
        <v>6.25</v>
      </c>
      <c r="L44" s="226">
        <v>6.25</v>
      </c>
      <c r="M44" s="226">
        <v>6.25</v>
      </c>
      <c r="N44" s="226">
        <v>6.25</v>
      </c>
      <c r="O44" s="226">
        <v>6.25</v>
      </c>
      <c r="P44" s="226">
        <v>6.25</v>
      </c>
      <c r="Q44" s="226">
        <v>6.25</v>
      </c>
      <c r="R44" s="226">
        <v>6.25</v>
      </c>
      <c r="S44" s="226">
        <v>6.25</v>
      </c>
      <c r="T44" s="226">
        <v>6.25</v>
      </c>
      <c r="U44" s="226"/>
      <c r="V44" s="501">
        <f>SUM(H44:T44)</f>
        <v>75</v>
      </c>
    </row>
    <row r="45" spans="1:23" s="37" customFormat="1" x14ac:dyDescent="0.15">
      <c r="A45" s="143" t="s">
        <v>452</v>
      </c>
      <c r="B45" s="143"/>
      <c r="C45" s="144"/>
      <c r="D45" s="48">
        <v>615175</v>
      </c>
      <c r="E45" s="145" t="s">
        <v>205</v>
      </c>
      <c r="F45" s="635" t="s">
        <v>179</v>
      </c>
      <c r="G45" s="165">
        <v>27.5</v>
      </c>
      <c r="H45" s="559"/>
      <c r="I45" s="226">
        <v>27.5</v>
      </c>
      <c r="J45" s="226">
        <v>27.5</v>
      </c>
      <c r="K45" s="226">
        <v>27.5</v>
      </c>
      <c r="L45" s="226">
        <v>27.5</v>
      </c>
      <c r="M45" s="226">
        <v>27.5</v>
      </c>
      <c r="N45" s="226">
        <v>27.5</v>
      </c>
      <c r="O45" s="226">
        <v>27.5</v>
      </c>
      <c r="P45" s="226">
        <v>27.5</v>
      </c>
      <c r="Q45" s="226">
        <v>27.5</v>
      </c>
      <c r="R45" s="226">
        <v>27.5</v>
      </c>
      <c r="S45" s="226">
        <v>27.5</v>
      </c>
      <c r="T45" s="226">
        <v>27.5</v>
      </c>
      <c r="U45" s="226"/>
      <c r="V45" s="501">
        <f>SUM(H45:T45)</f>
        <v>330</v>
      </c>
      <c r="W45" s="16"/>
    </row>
    <row r="46" spans="1:23" s="56" customFormat="1" x14ac:dyDescent="0.15">
      <c r="A46" s="46" t="s">
        <v>452</v>
      </c>
      <c r="B46" s="46" t="s">
        <v>460</v>
      </c>
      <c r="C46" s="47"/>
      <c r="D46" s="48">
        <v>615175</v>
      </c>
      <c r="E46" s="173" t="s">
        <v>205</v>
      </c>
      <c r="F46" s="635" t="s">
        <v>179</v>
      </c>
      <c r="G46" s="165">
        <v>73.38</v>
      </c>
      <c r="H46" s="559"/>
      <c r="I46" s="226">
        <v>73.400000000000006</v>
      </c>
      <c r="J46" s="226">
        <v>73.400000000000006</v>
      </c>
      <c r="K46" s="226"/>
      <c r="L46" s="226"/>
      <c r="M46" s="226"/>
      <c r="N46" s="226"/>
      <c r="O46" s="226"/>
      <c r="P46" s="226"/>
      <c r="Q46" s="226"/>
      <c r="R46" s="226"/>
      <c r="S46" s="226"/>
      <c r="T46" s="226"/>
      <c r="U46" s="226"/>
      <c r="V46" s="501">
        <f>SUM(H46:T46)</f>
        <v>146.80000000000001</v>
      </c>
      <c r="W46" s="16"/>
    </row>
    <row r="47" spans="1:23" s="56" customFormat="1" ht="11.25" thickBot="1" x14ac:dyDescent="0.2">
      <c r="A47" s="516" t="s">
        <v>11</v>
      </c>
      <c r="B47" s="517"/>
      <c r="C47" s="518"/>
      <c r="D47" s="519"/>
      <c r="E47" s="516"/>
      <c r="F47" s="638"/>
      <c r="G47" s="554"/>
      <c r="H47" s="522">
        <f>SUM(H42:H46)</f>
        <v>-243.76</v>
      </c>
      <c r="I47" s="522">
        <f t="shared" ref="I47:V47" si="8">SUM(I42:I46)</f>
        <v>151.01</v>
      </c>
      <c r="J47" s="522">
        <f t="shared" si="8"/>
        <v>151.01</v>
      </c>
      <c r="K47" s="522">
        <f t="shared" si="8"/>
        <v>77.61</v>
      </c>
      <c r="L47" s="522">
        <f t="shared" si="8"/>
        <v>77.61</v>
      </c>
      <c r="M47" s="522">
        <f t="shared" si="8"/>
        <v>77.61</v>
      </c>
      <c r="N47" s="522">
        <f t="shared" si="8"/>
        <v>77.61</v>
      </c>
      <c r="O47" s="522">
        <f t="shared" si="8"/>
        <v>77.61</v>
      </c>
      <c r="P47" s="522">
        <f t="shared" si="8"/>
        <v>77.61</v>
      </c>
      <c r="Q47" s="522">
        <f t="shared" si="8"/>
        <v>77.61</v>
      </c>
      <c r="R47" s="522">
        <f t="shared" si="8"/>
        <v>77.61</v>
      </c>
      <c r="S47" s="522">
        <f t="shared" si="8"/>
        <v>77.61</v>
      </c>
      <c r="T47" s="522">
        <f t="shared" si="8"/>
        <v>77.61</v>
      </c>
      <c r="U47" s="522">
        <f>SUM(U42:U46)</f>
        <v>0</v>
      </c>
      <c r="V47" s="522">
        <f t="shared" si="8"/>
        <v>834.36000000000013</v>
      </c>
      <c r="W47" s="97" t="str">
        <f>+IF(V47=SUM(H47:T47),"contrôle ok", "erreur")</f>
        <v>contrôle ok</v>
      </c>
    </row>
    <row r="48" spans="1:23" s="56" customFormat="1" ht="11.25" thickTop="1" x14ac:dyDescent="0.15">
      <c r="A48" s="33"/>
      <c r="B48" s="33"/>
      <c r="C48" s="34"/>
      <c r="D48" s="35"/>
      <c r="E48" s="94"/>
      <c r="F48" s="639"/>
      <c r="G48" s="100"/>
      <c r="H48" s="229"/>
      <c r="I48" s="229"/>
      <c r="J48" s="229"/>
      <c r="K48" s="229"/>
      <c r="L48" s="229"/>
      <c r="M48" s="229"/>
      <c r="N48" s="257"/>
      <c r="O48" s="229"/>
      <c r="P48" s="229"/>
      <c r="Q48" s="229"/>
      <c r="R48" s="229"/>
      <c r="S48" s="229"/>
      <c r="T48" s="229"/>
      <c r="U48" s="229"/>
      <c r="V48" s="258"/>
      <c r="W48" s="37"/>
    </row>
    <row r="49" spans="1:23" s="56" customFormat="1" x14ac:dyDescent="0.15">
      <c r="A49" s="27" t="s">
        <v>228</v>
      </c>
      <c r="B49" s="28"/>
      <c r="C49" s="29"/>
      <c r="D49" s="30"/>
      <c r="E49" s="30"/>
      <c r="F49" s="627"/>
      <c r="G49" s="101"/>
      <c r="H49" s="224"/>
      <c r="I49" s="224"/>
      <c r="J49" s="224"/>
      <c r="K49" s="224"/>
      <c r="L49" s="224"/>
      <c r="M49" s="224"/>
      <c r="N49" s="224"/>
      <c r="O49" s="224"/>
      <c r="P49" s="224"/>
      <c r="Q49" s="224"/>
      <c r="R49" s="224"/>
      <c r="S49" s="224"/>
      <c r="T49" s="224"/>
      <c r="U49" s="224"/>
      <c r="V49" s="252"/>
      <c r="W49" s="16"/>
    </row>
    <row r="50" spans="1:23" x14ac:dyDescent="0.15">
      <c r="A50" s="143"/>
      <c r="B50" s="143"/>
      <c r="C50" s="144"/>
      <c r="D50" s="145">
        <v>615176</v>
      </c>
      <c r="E50" s="145" t="s">
        <v>205</v>
      </c>
      <c r="F50" s="635" t="s">
        <v>192</v>
      </c>
      <c r="G50" s="163"/>
      <c r="H50" s="559"/>
      <c r="I50" s="226"/>
      <c r="J50" s="226"/>
      <c r="K50" s="226"/>
      <c r="L50" s="226"/>
      <c r="M50" s="226"/>
      <c r="N50" s="226"/>
      <c r="O50" s="226"/>
      <c r="P50" s="226"/>
      <c r="Q50" s="226"/>
      <c r="R50" s="226"/>
      <c r="S50" s="226"/>
      <c r="T50" s="226"/>
      <c r="U50" s="226"/>
      <c r="V50" s="501">
        <f>SUM(H50:T50)</f>
        <v>0</v>
      </c>
    </row>
    <row r="51" spans="1:23" x14ac:dyDescent="0.15">
      <c r="A51" s="143"/>
      <c r="B51" s="143"/>
      <c r="C51" s="144"/>
      <c r="D51" s="145">
        <v>615176</v>
      </c>
      <c r="E51" s="145" t="s">
        <v>205</v>
      </c>
      <c r="F51" s="635" t="s">
        <v>179</v>
      </c>
      <c r="G51" s="163"/>
      <c r="H51" s="559"/>
      <c r="I51" s="226"/>
      <c r="J51" s="226"/>
      <c r="K51" s="226"/>
      <c r="L51" s="226"/>
      <c r="M51" s="226"/>
      <c r="N51" s="226"/>
      <c r="O51" s="226"/>
      <c r="P51" s="226"/>
      <c r="Q51" s="226"/>
      <c r="R51" s="226"/>
      <c r="S51" s="226"/>
      <c r="T51" s="226"/>
      <c r="U51" s="226"/>
      <c r="V51" s="501">
        <f>SUM(H51:T51)</f>
        <v>0</v>
      </c>
    </row>
    <row r="52" spans="1:23" ht="11.25" thickBot="1" x14ac:dyDescent="0.2">
      <c r="A52" s="516" t="s">
        <v>11</v>
      </c>
      <c r="B52" s="517"/>
      <c r="C52" s="518"/>
      <c r="D52" s="519"/>
      <c r="E52" s="516"/>
      <c r="F52" s="638"/>
      <c r="G52" s="554"/>
      <c r="H52" s="522">
        <f>H50+H51</f>
        <v>0</v>
      </c>
      <c r="I52" s="522">
        <f>I50+I51</f>
        <v>0</v>
      </c>
      <c r="J52" s="522">
        <f t="shared" ref="J52:V52" si="9">J50+J51</f>
        <v>0</v>
      </c>
      <c r="K52" s="522">
        <f t="shared" si="9"/>
        <v>0</v>
      </c>
      <c r="L52" s="522">
        <f t="shared" si="9"/>
        <v>0</v>
      </c>
      <c r="M52" s="522">
        <f t="shared" si="9"/>
        <v>0</v>
      </c>
      <c r="N52" s="522">
        <f t="shared" si="9"/>
        <v>0</v>
      </c>
      <c r="O52" s="522">
        <f t="shared" si="9"/>
        <v>0</v>
      </c>
      <c r="P52" s="522">
        <f t="shared" si="9"/>
        <v>0</v>
      </c>
      <c r="Q52" s="522">
        <f t="shared" si="9"/>
        <v>0</v>
      </c>
      <c r="R52" s="522">
        <f t="shared" si="9"/>
        <v>0</v>
      </c>
      <c r="S52" s="522">
        <f t="shared" si="9"/>
        <v>0</v>
      </c>
      <c r="T52" s="522">
        <f t="shared" si="9"/>
        <v>0</v>
      </c>
      <c r="U52" s="522">
        <f>U50+U51</f>
        <v>0</v>
      </c>
      <c r="V52" s="522">
        <f t="shared" si="9"/>
        <v>0</v>
      </c>
      <c r="W52" s="97" t="str">
        <f>+IF(V52=SUM(H52:T52),"contrôle ok", "erreur")</f>
        <v>contrôle ok</v>
      </c>
    </row>
    <row r="53" spans="1:23" s="37" customFormat="1" ht="11.25" thickTop="1" x14ac:dyDescent="0.15">
      <c r="A53" s="33"/>
      <c r="B53" s="33"/>
      <c r="C53" s="34"/>
      <c r="D53" s="35"/>
      <c r="E53" s="36"/>
      <c r="F53" s="639"/>
      <c r="G53" s="100"/>
      <c r="H53" s="229"/>
      <c r="I53" s="229"/>
      <c r="J53" s="229"/>
      <c r="K53" s="229"/>
      <c r="L53" s="229"/>
      <c r="M53" s="229"/>
      <c r="N53" s="257"/>
      <c r="O53" s="229"/>
      <c r="P53" s="229"/>
      <c r="Q53" s="229"/>
      <c r="R53" s="229"/>
      <c r="S53" s="229"/>
      <c r="T53" s="229"/>
      <c r="U53" s="229"/>
      <c r="V53" s="258"/>
    </row>
    <row r="54" spans="1:23" x14ac:dyDescent="0.15">
      <c r="A54" s="27" t="s">
        <v>127</v>
      </c>
      <c r="B54" s="28"/>
      <c r="C54" s="29"/>
      <c r="D54" s="30"/>
      <c r="E54" s="30"/>
      <c r="F54" s="627"/>
      <c r="G54" s="213"/>
      <c r="H54" s="224"/>
      <c r="I54" s="224"/>
      <c r="J54" s="251"/>
      <c r="K54" s="224"/>
      <c r="L54" s="224"/>
      <c r="M54" s="224"/>
      <c r="N54" s="224"/>
      <c r="O54" s="224"/>
      <c r="P54" s="224"/>
      <c r="Q54" s="224"/>
      <c r="R54" s="224"/>
      <c r="S54" s="224"/>
      <c r="T54" s="224"/>
      <c r="U54" s="224"/>
      <c r="V54" s="252"/>
    </row>
    <row r="55" spans="1:23" x14ac:dyDescent="0.15">
      <c r="A55" s="46"/>
      <c r="B55" s="46"/>
      <c r="C55" s="47"/>
      <c r="D55" s="48">
        <v>615191</v>
      </c>
      <c r="E55" s="49" t="s">
        <v>172</v>
      </c>
      <c r="F55" s="633" t="s">
        <v>192</v>
      </c>
      <c r="G55" s="165"/>
      <c r="H55" s="559"/>
      <c r="I55" s="255"/>
      <c r="J55" s="255"/>
      <c r="K55" s="255"/>
      <c r="L55" s="255"/>
      <c r="M55" s="255"/>
      <c r="N55" s="226"/>
      <c r="O55" s="226">
        <v>1300</v>
      </c>
      <c r="P55" s="255"/>
      <c r="Q55" s="255"/>
      <c r="R55" s="255"/>
      <c r="S55" s="255">
        <v>36</v>
      </c>
      <c r="T55" s="255"/>
      <c r="U55" s="255"/>
      <c r="V55" s="501">
        <f>SUM(H55:T55)</f>
        <v>1336</v>
      </c>
    </row>
    <row r="56" spans="1:23" ht="11.25" thickBot="1" x14ac:dyDescent="0.2">
      <c r="A56" s="516" t="s">
        <v>11</v>
      </c>
      <c r="B56" s="517"/>
      <c r="C56" s="518"/>
      <c r="D56" s="519"/>
      <c r="E56" s="516"/>
      <c r="F56" s="634"/>
      <c r="G56" s="553"/>
      <c r="H56" s="522">
        <f>SUM(H55)</f>
        <v>0</v>
      </c>
      <c r="I56" s="522">
        <f>SUM(I55)</f>
        <v>0</v>
      </c>
      <c r="J56" s="522">
        <f t="shared" ref="J56:V56" si="10">SUM(J55)</f>
        <v>0</v>
      </c>
      <c r="K56" s="522">
        <f t="shared" si="10"/>
        <v>0</v>
      </c>
      <c r="L56" s="522">
        <f t="shared" si="10"/>
        <v>0</v>
      </c>
      <c r="M56" s="522">
        <f t="shared" si="10"/>
        <v>0</v>
      </c>
      <c r="N56" s="522">
        <f t="shared" si="10"/>
        <v>0</v>
      </c>
      <c r="O56" s="522">
        <f t="shared" si="10"/>
        <v>1300</v>
      </c>
      <c r="P56" s="522">
        <f t="shared" si="10"/>
        <v>0</v>
      </c>
      <c r="Q56" s="522">
        <f t="shared" si="10"/>
        <v>0</v>
      </c>
      <c r="R56" s="522">
        <f t="shared" si="10"/>
        <v>0</v>
      </c>
      <c r="S56" s="522">
        <f t="shared" si="10"/>
        <v>36</v>
      </c>
      <c r="T56" s="522">
        <f t="shared" si="10"/>
        <v>0</v>
      </c>
      <c r="U56" s="522">
        <f>SUM(U55)</f>
        <v>0</v>
      </c>
      <c r="V56" s="522">
        <f t="shared" si="10"/>
        <v>1336</v>
      </c>
      <c r="W56" s="97" t="str">
        <f>+IF(V56=SUM(H56:T56),"contrôle ok", "erreur")</f>
        <v>contrôle ok</v>
      </c>
    </row>
    <row r="57" spans="1:23" ht="11.25" thickTop="1" x14ac:dyDescent="0.15">
      <c r="A57" s="152"/>
      <c r="B57" s="51"/>
      <c r="C57" s="52"/>
      <c r="D57" s="53"/>
      <c r="E57" s="54"/>
      <c r="F57" s="632"/>
      <c r="G57" s="215"/>
      <c r="H57" s="228"/>
      <c r="I57" s="228"/>
      <c r="J57" s="228"/>
      <c r="K57" s="228"/>
      <c r="L57" s="228"/>
      <c r="M57" s="228"/>
      <c r="N57" s="228"/>
      <c r="O57" s="228"/>
      <c r="P57" s="228"/>
      <c r="Q57" s="228"/>
      <c r="R57" s="228"/>
      <c r="S57" s="228"/>
      <c r="T57" s="228"/>
      <c r="U57" s="228"/>
      <c r="V57" s="279"/>
      <c r="W57" s="8"/>
    </row>
    <row r="58" spans="1:23" x14ac:dyDescent="0.15">
      <c r="A58" s="27" t="s">
        <v>93</v>
      </c>
      <c r="B58" s="28"/>
      <c r="C58" s="29"/>
      <c r="D58" s="30"/>
      <c r="E58" s="30"/>
      <c r="F58" s="627"/>
      <c r="G58" s="101"/>
      <c r="H58" s="224"/>
      <c r="I58" s="224"/>
      <c r="J58" s="251"/>
      <c r="K58" s="224"/>
      <c r="L58" s="224"/>
      <c r="M58" s="224"/>
      <c r="N58" s="224"/>
      <c r="O58" s="224"/>
      <c r="P58" s="224"/>
      <c r="Q58" s="224"/>
      <c r="R58" s="224"/>
      <c r="S58" s="224"/>
      <c r="T58" s="224"/>
      <c r="U58" s="224"/>
      <c r="V58" s="252"/>
    </row>
    <row r="59" spans="1:23" x14ac:dyDescent="0.15">
      <c r="A59" s="143"/>
      <c r="B59" s="143"/>
      <c r="C59" s="144"/>
      <c r="D59" s="145">
        <v>615193</v>
      </c>
      <c r="E59" s="145" t="s">
        <v>172</v>
      </c>
      <c r="F59" s="635" t="s">
        <v>192</v>
      </c>
      <c r="G59" s="163"/>
      <c r="H59" s="559"/>
      <c r="I59" s="226"/>
      <c r="J59" s="226"/>
      <c r="K59" s="226"/>
      <c r="L59" s="226"/>
      <c r="M59" s="226"/>
      <c r="N59" s="226"/>
      <c r="O59" s="226"/>
      <c r="P59" s="226"/>
      <c r="Q59" s="226"/>
      <c r="R59" s="226"/>
      <c r="S59" s="226"/>
      <c r="T59" s="226"/>
      <c r="U59" s="226"/>
      <c r="V59" s="501">
        <f t="shared" ref="V59:V66" si="11">SUM(H59:T59)</f>
        <v>0</v>
      </c>
    </row>
    <row r="60" spans="1:23" x14ac:dyDescent="0.15">
      <c r="A60" s="143" t="s">
        <v>406</v>
      </c>
      <c r="B60" s="143"/>
      <c r="C60" s="144"/>
      <c r="D60" s="145">
        <v>615193</v>
      </c>
      <c r="E60" s="145" t="s">
        <v>172</v>
      </c>
      <c r="F60" s="635" t="s">
        <v>187</v>
      </c>
      <c r="G60" s="163"/>
      <c r="H60" s="559"/>
      <c r="I60" s="226"/>
      <c r="J60" s="226"/>
      <c r="K60" s="226"/>
      <c r="L60" s="226"/>
      <c r="M60" s="226"/>
      <c r="N60" s="226"/>
      <c r="O60" s="226"/>
      <c r="P60" s="226"/>
      <c r="Q60" s="226"/>
      <c r="R60" s="226"/>
      <c r="S60" s="226"/>
      <c r="T60" s="226"/>
      <c r="U60" s="226"/>
      <c r="V60" s="501">
        <f t="shared" si="11"/>
        <v>0</v>
      </c>
    </row>
    <row r="61" spans="1:23" x14ac:dyDescent="0.15">
      <c r="A61" s="143"/>
      <c r="B61" s="143"/>
      <c r="C61" s="144"/>
      <c r="D61" s="145">
        <v>615193</v>
      </c>
      <c r="E61" s="145" t="s">
        <v>172</v>
      </c>
      <c r="F61" s="635" t="s">
        <v>189</v>
      </c>
      <c r="G61" s="163"/>
      <c r="H61" s="559"/>
      <c r="I61" s="226"/>
      <c r="J61" s="226"/>
      <c r="K61" s="226"/>
      <c r="L61" s="226"/>
      <c r="M61" s="226"/>
      <c r="N61" s="226"/>
      <c r="O61" s="226"/>
      <c r="P61" s="226"/>
      <c r="Q61" s="226"/>
      <c r="R61" s="226"/>
      <c r="S61" s="226"/>
      <c r="T61" s="226"/>
      <c r="U61" s="226"/>
      <c r="V61" s="501">
        <f t="shared" si="11"/>
        <v>0</v>
      </c>
    </row>
    <row r="62" spans="1:23" x14ac:dyDescent="0.15">
      <c r="A62" s="143"/>
      <c r="B62" s="143"/>
      <c r="C62" s="144"/>
      <c r="D62" s="145">
        <v>615193</v>
      </c>
      <c r="E62" s="145" t="s">
        <v>172</v>
      </c>
      <c r="F62" s="635" t="s">
        <v>191</v>
      </c>
      <c r="G62" s="163"/>
      <c r="H62" s="559"/>
      <c r="I62" s="226"/>
      <c r="J62" s="226">
        <v>179.99</v>
      </c>
      <c r="K62" s="226"/>
      <c r="L62" s="226"/>
      <c r="M62" s="226"/>
      <c r="N62" s="226"/>
      <c r="O62" s="226"/>
      <c r="P62" s="226"/>
      <c r="Q62" s="226"/>
      <c r="R62" s="226"/>
      <c r="S62" s="226"/>
      <c r="T62" s="226"/>
      <c r="U62" s="226"/>
      <c r="V62" s="501">
        <f t="shared" si="11"/>
        <v>179.99</v>
      </c>
    </row>
    <row r="63" spans="1:23" x14ac:dyDescent="0.15">
      <c r="A63" s="143"/>
      <c r="B63" s="143">
        <v>724.47</v>
      </c>
      <c r="C63" s="144"/>
      <c r="D63" s="145">
        <v>615193</v>
      </c>
      <c r="E63" s="145" t="s">
        <v>172</v>
      </c>
      <c r="F63" s="635" t="s">
        <v>201</v>
      </c>
      <c r="G63" s="163"/>
      <c r="H63" s="559"/>
      <c r="I63" s="226">
        <v>252</v>
      </c>
      <c r="J63" s="226"/>
      <c r="K63" s="226"/>
      <c r="L63" s="226"/>
      <c r="M63" s="226"/>
      <c r="N63" s="226"/>
      <c r="O63" s="226"/>
      <c r="P63" s="226"/>
      <c r="Q63" s="226"/>
      <c r="R63" s="226"/>
      <c r="S63" s="226"/>
      <c r="T63" s="226"/>
      <c r="U63" s="226"/>
      <c r="V63" s="501">
        <f t="shared" si="11"/>
        <v>252</v>
      </c>
    </row>
    <row r="64" spans="1:23" x14ac:dyDescent="0.15">
      <c r="A64" s="143" t="s">
        <v>190</v>
      </c>
      <c r="B64" s="143"/>
      <c r="C64" s="144"/>
      <c r="D64" s="145">
        <v>615193</v>
      </c>
      <c r="E64" s="145" t="s">
        <v>172</v>
      </c>
      <c r="F64" s="635" t="s">
        <v>184</v>
      </c>
      <c r="G64" s="163"/>
      <c r="H64" s="559"/>
      <c r="I64" s="226">
        <v>252</v>
      </c>
      <c r="J64" s="226"/>
      <c r="K64" s="226"/>
      <c r="L64" s="226"/>
      <c r="M64" s="226"/>
      <c r="N64" s="226"/>
      <c r="O64" s="226"/>
      <c r="P64" s="226"/>
      <c r="Q64" s="226"/>
      <c r="R64" s="226"/>
      <c r="S64" s="226"/>
      <c r="T64" s="226"/>
      <c r="U64" s="226"/>
      <c r="V64" s="501">
        <f t="shared" si="11"/>
        <v>252</v>
      </c>
    </row>
    <row r="65" spans="1:23" x14ac:dyDescent="0.15">
      <c r="A65" s="143"/>
      <c r="B65" s="143"/>
      <c r="C65" s="144"/>
      <c r="D65" s="145">
        <v>615193</v>
      </c>
      <c r="E65" s="145" t="s">
        <v>172</v>
      </c>
      <c r="F65" s="635" t="s">
        <v>179</v>
      </c>
      <c r="G65" s="163"/>
      <c r="H65" s="559"/>
      <c r="I65" s="226"/>
      <c r="J65" s="226"/>
      <c r="K65" s="226"/>
      <c r="L65" s="226"/>
      <c r="M65" s="226"/>
      <c r="N65" s="226"/>
      <c r="O65" s="226"/>
      <c r="P65" s="226"/>
      <c r="Q65" s="226"/>
      <c r="R65" s="226"/>
      <c r="S65" s="226">
        <v>850</v>
      </c>
      <c r="T65" s="226"/>
      <c r="U65" s="226"/>
      <c r="V65" s="501">
        <f t="shared" si="11"/>
        <v>850</v>
      </c>
    </row>
    <row r="66" spans="1:23" x14ac:dyDescent="0.15">
      <c r="A66" s="143" t="s">
        <v>151</v>
      </c>
      <c r="B66" s="143"/>
      <c r="C66" s="144"/>
      <c r="D66" s="145">
        <v>615193</v>
      </c>
      <c r="E66" s="145" t="s">
        <v>172</v>
      </c>
      <c r="F66" s="635" t="s">
        <v>243</v>
      </c>
      <c r="G66" s="163"/>
      <c r="H66" s="559"/>
      <c r="I66" s="226"/>
      <c r="J66" s="226"/>
      <c r="K66" s="226"/>
      <c r="L66" s="226">
        <v>234.85</v>
      </c>
      <c r="M66" s="226"/>
      <c r="N66" s="226"/>
      <c r="O66" s="226"/>
      <c r="P66" s="226"/>
      <c r="Q66" s="226"/>
      <c r="R66" s="226"/>
      <c r="S66" s="226"/>
      <c r="T66" s="226"/>
      <c r="U66" s="226"/>
      <c r="V66" s="501">
        <f t="shared" si="11"/>
        <v>234.85</v>
      </c>
    </row>
    <row r="67" spans="1:23" s="37" customFormat="1" ht="11.25" thickBot="1" x14ac:dyDescent="0.2">
      <c r="A67" s="516" t="s">
        <v>11</v>
      </c>
      <c r="B67" s="517"/>
      <c r="C67" s="518"/>
      <c r="D67" s="519"/>
      <c r="E67" s="516"/>
      <c r="F67" s="638"/>
      <c r="G67" s="521"/>
      <c r="H67" s="522">
        <f>SUM(H59:H66)</f>
        <v>0</v>
      </c>
      <c r="I67" s="522">
        <f>SUM(I59:I66)</f>
        <v>504</v>
      </c>
      <c r="J67" s="522">
        <f t="shared" ref="J67:T67" si="12">SUM(J59:J66)</f>
        <v>179.99</v>
      </c>
      <c r="K67" s="522">
        <f t="shared" si="12"/>
        <v>0</v>
      </c>
      <c r="L67" s="522">
        <f t="shared" si="12"/>
        <v>234.85</v>
      </c>
      <c r="M67" s="522">
        <f t="shared" si="12"/>
        <v>0</v>
      </c>
      <c r="N67" s="522">
        <f t="shared" si="12"/>
        <v>0</v>
      </c>
      <c r="O67" s="522">
        <f t="shared" si="12"/>
        <v>0</v>
      </c>
      <c r="P67" s="522">
        <f t="shared" si="12"/>
        <v>0</v>
      </c>
      <c r="Q67" s="522">
        <f t="shared" si="12"/>
        <v>0</v>
      </c>
      <c r="R67" s="522">
        <f t="shared" si="12"/>
        <v>0</v>
      </c>
      <c r="S67" s="522">
        <f t="shared" si="12"/>
        <v>850</v>
      </c>
      <c r="T67" s="522">
        <f t="shared" si="12"/>
        <v>0</v>
      </c>
      <c r="U67" s="522">
        <f>SUM(U59:U66)</f>
        <v>0</v>
      </c>
      <c r="V67" s="522">
        <f>SUM(V59:V66)</f>
        <v>1768.84</v>
      </c>
      <c r="W67" s="97" t="str">
        <f>+IF(V67=SUM(H67:T67),"contrôle ok", "erreur")</f>
        <v>contrôle ok</v>
      </c>
    </row>
    <row r="68" spans="1:23" s="318" customFormat="1" ht="11.25" thickTop="1" x14ac:dyDescent="0.15">
      <c r="A68" s="311"/>
      <c r="B68" s="312"/>
      <c r="C68" s="313"/>
      <c r="D68" s="314"/>
      <c r="E68" s="315"/>
      <c r="F68" s="640"/>
      <c r="G68" s="316"/>
      <c r="H68" s="508"/>
      <c r="I68" s="508"/>
      <c r="J68" s="508"/>
      <c r="K68" s="508"/>
      <c r="L68" s="508"/>
      <c r="M68" s="508"/>
      <c r="N68" s="508"/>
      <c r="O68" s="508"/>
      <c r="P68" s="508"/>
      <c r="Q68" s="508"/>
      <c r="R68" s="508"/>
      <c r="S68" s="508"/>
      <c r="T68" s="508"/>
      <c r="U68" s="508"/>
      <c r="V68" s="508"/>
      <c r="W68" s="317"/>
    </row>
    <row r="69" spans="1:23" x14ac:dyDescent="0.15">
      <c r="A69" s="27" t="s">
        <v>89</v>
      </c>
      <c r="B69" s="28"/>
      <c r="C69" s="29"/>
      <c r="D69" s="30"/>
      <c r="E69" s="30"/>
      <c r="F69" s="627"/>
      <c r="G69" s="213"/>
      <c r="H69" s="224"/>
      <c r="I69" s="224"/>
      <c r="J69" s="251"/>
      <c r="K69" s="224"/>
      <c r="L69" s="224"/>
      <c r="M69" s="224"/>
      <c r="N69" s="224"/>
      <c r="O69" s="224"/>
      <c r="P69" s="224"/>
      <c r="Q69" s="224"/>
      <c r="R69" s="224"/>
      <c r="S69" s="224"/>
      <c r="T69" s="224"/>
      <c r="U69" s="224"/>
      <c r="V69" s="252"/>
      <c r="W69" s="8"/>
    </row>
    <row r="70" spans="1:23" x14ac:dyDescent="0.15">
      <c r="A70" s="154" t="s">
        <v>164</v>
      </c>
      <c r="B70" s="51"/>
      <c r="C70" s="52"/>
      <c r="D70" s="151">
        <v>615195</v>
      </c>
      <c r="E70" s="153" t="s">
        <v>172</v>
      </c>
      <c r="F70" s="641" t="s">
        <v>192</v>
      </c>
      <c r="G70" s="215"/>
      <c r="H70" s="559">
        <v>-36</v>
      </c>
      <c r="I70" s="226"/>
      <c r="J70" s="226">
        <f>90+244.85</f>
        <v>334.85</v>
      </c>
      <c r="K70" s="226">
        <v>504</v>
      </c>
      <c r="L70" s="226">
        <v>151</v>
      </c>
      <c r="M70" s="226">
        <v>125</v>
      </c>
      <c r="N70" s="226"/>
      <c r="O70" s="226"/>
      <c r="P70" s="226"/>
      <c r="Q70" s="226"/>
      <c r="R70" s="226">
        <v>158.30000000000001</v>
      </c>
      <c r="S70" s="226">
        <f>778+277+859</f>
        <v>1914</v>
      </c>
      <c r="T70" s="226">
        <v>105.2</v>
      </c>
      <c r="U70" s="226"/>
      <c r="V70" s="501">
        <f>SUM(H70:T70)</f>
        <v>3256.3499999999995</v>
      </c>
      <c r="W70" s="8"/>
    </row>
    <row r="71" spans="1:23" s="98" customFormat="1" ht="11.25" thickBot="1" x14ac:dyDescent="0.2">
      <c r="A71" s="516" t="s">
        <v>11</v>
      </c>
      <c r="B71" s="517"/>
      <c r="C71" s="518"/>
      <c r="D71" s="519"/>
      <c r="E71" s="516"/>
      <c r="F71" s="634"/>
      <c r="G71" s="553"/>
      <c r="H71" s="522">
        <f>SUM(H70:H70)</f>
        <v>-36</v>
      </c>
      <c r="I71" s="522">
        <f t="shared" ref="I71:V71" si="13">SUM(I70:I70)</f>
        <v>0</v>
      </c>
      <c r="J71" s="522">
        <f t="shared" si="13"/>
        <v>334.85</v>
      </c>
      <c r="K71" s="522">
        <f t="shared" si="13"/>
        <v>504</v>
      </c>
      <c r="L71" s="522">
        <f t="shared" si="13"/>
        <v>151</v>
      </c>
      <c r="M71" s="522">
        <f t="shared" si="13"/>
        <v>125</v>
      </c>
      <c r="N71" s="522">
        <f t="shared" si="13"/>
        <v>0</v>
      </c>
      <c r="O71" s="522">
        <f t="shared" si="13"/>
        <v>0</v>
      </c>
      <c r="P71" s="522">
        <f t="shared" si="13"/>
        <v>0</v>
      </c>
      <c r="Q71" s="522">
        <f t="shared" si="13"/>
        <v>0</v>
      </c>
      <c r="R71" s="522">
        <f t="shared" si="13"/>
        <v>158.30000000000001</v>
      </c>
      <c r="S71" s="522">
        <f t="shared" si="13"/>
        <v>1914</v>
      </c>
      <c r="T71" s="522">
        <f t="shared" si="13"/>
        <v>105.2</v>
      </c>
      <c r="U71" s="522">
        <f>SUM(U70:U70)</f>
        <v>0</v>
      </c>
      <c r="V71" s="522">
        <f t="shared" si="13"/>
        <v>3256.3499999999995</v>
      </c>
      <c r="W71" s="97" t="str">
        <f>+IF(V71=SUM(H71:T71),"contrôle ok", "erreur")</f>
        <v>contrôle ok</v>
      </c>
    </row>
    <row r="72" spans="1:23" ht="11.25" thickTop="1" x14ac:dyDescent="0.15">
      <c r="A72" s="152"/>
      <c r="B72" s="51"/>
      <c r="C72" s="52"/>
      <c r="D72" s="53"/>
      <c r="E72" s="120"/>
      <c r="F72" s="632"/>
      <c r="G72" s="215"/>
      <c r="H72" s="228"/>
      <c r="I72" s="228"/>
      <c r="J72" s="228"/>
      <c r="K72" s="228"/>
      <c r="L72" s="228"/>
      <c r="M72" s="228"/>
      <c r="N72" s="228"/>
      <c r="O72" s="228"/>
      <c r="P72" s="228"/>
      <c r="Q72" s="228"/>
      <c r="R72" s="228"/>
      <c r="S72" s="228"/>
      <c r="T72" s="228"/>
      <c r="U72" s="228"/>
      <c r="V72" s="279"/>
      <c r="W72" s="8"/>
    </row>
    <row r="73" spans="1:23" x14ac:dyDescent="0.15">
      <c r="A73" s="27" t="s">
        <v>94</v>
      </c>
      <c r="B73" s="28"/>
      <c r="C73" s="29"/>
      <c r="D73" s="30"/>
      <c r="E73" s="30"/>
      <c r="F73" s="627"/>
      <c r="G73" s="213"/>
      <c r="H73" s="224"/>
      <c r="I73" s="224"/>
      <c r="J73" s="251"/>
      <c r="K73" s="224"/>
      <c r="L73" s="224"/>
      <c r="M73" s="224"/>
      <c r="N73" s="224"/>
      <c r="O73" s="224"/>
      <c r="P73" s="224"/>
      <c r="Q73" s="224"/>
      <c r="R73" s="224"/>
      <c r="S73" s="224"/>
      <c r="T73" s="224"/>
      <c r="U73" s="224"/>
      <c r="V73" s="252"/>
    </row>
    <row r="74" spans="1:23" x14ac:dyDescent="0.15">
      <c r="A74" s="46"/>
      <c r="B74" s="46" t="s">
        <v>106</v>
      </c>
      <c r="C74" s="47"/>
      <c r="D74" s="48">
        <v>615196</v>
      </c>
      <c r="E74" s="49" t="s">
        <v>172</v>
      </c>
      <c r="F74" s="637" t="s">
        <v>192</v>
      </c>
      <c r="G74" s="214"/>
      <c r="H74" s="559"/>
      <c r="I74" s="255"/>
      <c r="J74" s="255"/>
      <c r="K74" s="255"/>
      <c r="L74" s="255"/>
      <c r="M74" s="255"/>
      <c r="N74" s="255"/>
      <c r="O74" s="255"/>
      <c r="P74" s="255"/>
      <c r="Q74" s="255"/>
      <c r="R74" s="255"/>
      <c r="S74" s="255"/>
      <c r="T74" s="255"/>
      <c r="U74" s="255"/>
      <c r="V74" s="501">
        <f>SUM(H74:T74)</f>
        <v>0</v>
      </c>
    </row>
    <row r="75" spans="1:23" ht="11.25" thickBot="1" x14ac:dyDescent="0.2">
      <c r="A75" s="516" t="s">
        <v>11</v>
      </c>
      <c r="B75" s="517"/>
      <c r="C75" s="518"/>
      <c r="D75" s="519"/>
      <c r="E75" s="516"/>
      <c r="F75" s="634"/>
      <c r="G75" s="553"/>
      <c r="H75" s="522">
        <f>SUM(H74:H74)</f>
        <v>0</v>
      </c>
      <c r="I75" s="522">
        <f t="shared" ref="I75:V75" si="14">SUM(I74:I74)</f>
        <v>0</v>
      </c>
      <c r="J75" s="522">
        <f t="shared" si="14"/>
        <v>0</v>
      </c>
      <c r="K75" s="522">
        <f t="shared" si="14"/>
        <v>0</v>
      </c>
      <c r="L75" s="522">
        <f t="shared" si="14"/>
        <v>0</v>
      </c>
      <c r="M75" s="522">
        <f t="shared" si="14"/>
        <v>0</v>
      </c>
      <c r="N75" s="522">
        <f t="shared" si="14"/>
        <v>0</v>
      </c>
      <c r="O75" s="522">
        <f t="shared" si="14"/>
        <v>0</v>
      </c>
      <c r="P75" s="522">
        <f t="shared" si="14"/>
        <v>0</v>
      </c>
      <c r="Q75" s="522">
        <f t="shared" si="14"/>
        <v>0</v>
      </c>
      <c r="R75" s="522">
        <f t="shared" si="14"/>
        <v>0</v>
      </c>
      <c r="S75" s="522">
        <f t="shared" si="14"/>
        <v>0</v>
      </c>
      <c r="T75" s="522">
        <f t="shared" si="14"/>
        <v>0</v>
      </c>
      <c r="U75" s="522">
        <f>SUM(U74:U74)</f>
        <v>0</v>
      </c>
      <c r="V75" s="522">
        <f t="shared" si="14"/>
        <v>0</v>
      </c>
      <c r="W75" s="97" t="str">
        <f>+IF(V75=SUM(H75:T75),"contrôle ok", "erreur")</f>
        <v>contrôle ok</v>
      </c>
    </row>
    <row r="76" spans="1:23" ht="11.25" thickTop="1" x14ac:dyDescent="0.15">
      <c r="A76" s="33"/>
      <c r="B76" s="33"/>
      <c r="C76" s="34"/>
      <c r="D76" s="35"/>
      <c r="E76" s="36"/>
      <c r="F76" s="639"/>
      <c r="G76" s="214"/>
      <c r="H76" s="229"/>
      <c r="I76" s="229"/>
      <c r="J76" s="229"/>
      <c r="K76" s="229"/>
      <c r="L76" s="229"/>
      <c r="M76" s="229"/>
      <c r="N76" s="229"/>
      <c r="O76" s="229"/>
      <c r="P76" s="229"/>
      <c r="Q76" s="229"/>
      <c r="R76" s="229"/>
      <c r="S76" s="229"/>
      <c r="T76" s="229"/>
      <c r="U76" s="229"/>
      <c r="V76" s="258"/>
      <c r="W76" s="4"/>
    </row>
    <row r="77" spans="1:23" s="37" customFormat="1" x14ac:dyDescent="0.15">
      <c r="A77" s="27" t="s">
        <v>9</v>
      </c>
      <c r="B77" s="28"/>
      <c r="C77" s="29"/>
      <c r="D77" s="30"/>
      <c r="E77" s="30"/>
      <c r="F77" s="627"/>
      <c r="G77" s="213"/>
      <c r="H77" s="224"/>
      <c r="I77" s="224"/>
      <c r="J77" s="251"/>
      <c r="K77" s="224"/>
      <c r="L77" s="224"/>
      <c r="M77" s="224"/>
      <c r="N77" s="224"/>
      <c r="O77" s="224"/>
      <c r="P77" s="224"/>
      <c r="Q77" s="224"/>
      <c r="R77" s="224"/>
      <c r="S77" s="224"/>
      <c r="T77" s="224"/>
      <c r="U77" s="224"/>
      <c r="V77" s="252"/>
      <c r="W77" s="16"/>
    </row>
    <row r="78" spans="1:23" s="37" customFormat="1" x14ac:dyDescent="0.15">
      <c r="A78" s="198"/>
      <c r="B78" s="199"/>
      <c r="C78" s="200"/>
      <c r="D78" s="209">
        <v>615200</v>
      </c>
      <c r="E78" s="201" t="s">
        <v>309</v>
      </c>
      <c r="F78" s="631" t="s">
        <v>192</v>
      </c>
      <c r="G78" s="165"/>
      <c r="H78" s="566"/>
      <c r="I78" s="324"/>
      <c r="J78" s="324"/>
      <c r="K78" s="324"/>
      <c r="L78" s="324"/>
      <c r="M78" s="324"/>
      <c r="N78" s="325"/>
      <c r="O78" s="325"/>
      <c r="P78" s="324"/>
      <c r="Q78" s="324"/>
      <c r="R78" s="226"/>
      <c r="S78" s="226">
        <f>120+225</f>
        <v>345</v>
      </c>
      <c r="T78" s="226">
        <v>180</v>
      </c>
      <c r="U78" s="226"/>
      <c r="V78" s="501">
        <f>SUM(H78:T78)</f>
        <v>525</v>
      </c>
      <c r="W78" s="16"/>
    </row>
    <row r="79" spans="1:23" s="37" customFormat="1" x14ac:dyDescent="0.15">
      <c r="A79" s="198" t="s">
        <v>346</v>
      </c>
      <c r="B79" s="199"/>
      <c r="C79" s="200"/>
      <c r="D79" s="209">
        <v>615200</v>
      </c>
      <c r="E79" s="201" t="s">
        <v>309</v>
      </c>
      <c r="F79" s="631" t="s">
        <v>179</v>
      </c>
      <c r="G79" s="165">
        <v>745.75</v>
      </c>
      <c r="H79" s="566">
        <f>745.75-745.75</f>
        <v>0</v>
      </c>
      <c r="I79" s="586">
        <v>0</v>
      </c>
      <c r="J79" s="324">
        <v>760.66</v>
      </c>
      <c r="K79" s="324">
        <v>760.66</v>
      </c>
      <c r="L79" s="324">
        <v>760.66</v>
      </c>
      <c r="M79" s="324">
        <v>760.66</v>
      </c>
      <c r="N79" s="324">
        <v>760.66</v>
      </c>
      <c r="O79" s="324">
        <v>760.66</v>
      </c>
      <c r="P79" s="324">
        <v>760.66</v>
      </c>
      <c r="Q79" s="324">
        <v>760.66</v>
      </c>
      <c r="R79" s="324">
        <v>760.66</v>
      </c>
      <c r="S79" s="324">
        <v>760.66</v>
      </c>
      <c r="T79" s="324">
        <v>760.66</v>
      </c>
      <c r="U79" s="324"/>
      <c r="V79" s="501">
        <f>SUM(H79:T79)</f>
        <v>8367.26</v>
      </c>
      <c r="W79" s="16"/>
    </row>
    <row r="80" spans="1:23" ht="11.25" thickBot="1" x14ac:dyDescent="0.2">
      <c r="A80" s="516" t="s">
        <v>11</v>
      </c>
      <c r="B80" s="517"/>
      <c r="C80" s="518"/>
      <c r="D80" s="519"/>
      <c r="E80" s="516"/>
      <c r="F80" s="634"/>
      <c r="G80" s="553"/>
      <c r="H80" s="522">
        <f>SUM(H78:H79)</f>
        <v>0</v>
      </c>
      <c r="I80" s="522">
        <f>SUM(I78:I79)</f>
        <v>0</v>
      </c>
      <c r="J80" s="522">
        <f t="shared" ref="J80:T80" si="15">SUM(J78:J79)</f>
        <v>760.66</v>
      </c>
      <c r="K80" s="522">
        <f t="shared" si="15"/>
        <v>760.66</v>
      </c>
      <c r="L80" s="522">
        <f t="shared" si="15"/>
        <v>760.66</v>
      </c>
      <c r="M80" s="522">
        <f t="shared" si="15"/>
        <v>760.66</v>
      </c>
      <c r="N80" s="522">
        <f t="shared" si="15"/>
        <v>760.66</v>
      </c>
      <c r="O80" s="522">
        <f t="shared" si="15"/>
        <v>760.66</v>
      </c>
      <c r="P80" s="522">
        <f t="shared" si="15"/>
        <v>760.66</v>
      </c>
      <c r="Q80" s="522">
        <f t="shared" si="15"/>
        <v>760.66</v>
      </c>
      <c r="R80" s="522">
        <f t="shared" si="15"/>
        <v>760.66</v>
      </c>
      <c r="S80" s="522">
        <f t="shared" si="15"/>
        <v>1105.6599999999999</v>
      </c>
      <c r="T80" s="522">
        <f t="shared" si="15"/>
        <v>940.66</v>
      </c>
      <c r="U80" s="522">
        <f>SUM(U78:U79)</f>
        <v>0</v>
      </c>
      <c r="V80" s="522">
        <f>+V79+V78</f>
        <v>8892.26</v>
      </c>
      <c r="W80" s="97" t="str">
        <f>+IF(V80=SUM(H80:T80),"contrôle ok", "erreur")</f>
        <v>contrôle ok</v>
      </c>
    </row>
    <row r="81" spans="1:23" s="98" customFormat="1" ht="11.25" thickTop="1" x14ac:dyDescent="0.15">
      <c r="A81" s="54"/>
      <c r="B81" s="51"/>
      <c r="C81" s="52"/>
      <c r="D81" s="53"/>
      <c r="E81" s="120"/>
      <c r="F81" s="632"/>
      <c r="G81" s="215"/>
      <c r="H81" s="228"/>
      <c r="I81" s="228"/>
      <c r="J81" s="228"/>
      <c r="K81" s="228"/>
      <c r="L81" s="228"/>
      <c r="M81" s="228"/>
      <c r="N81" s="228"/>
      <c r="O81" s="228"/>
      <c r="P81" s="228"/>
      <c r="Q81" s="228"/>
      <c r="R81" s="228"/>
      <c r="S81" s="228"/>
      <c r="T81" s="228"/>
      <c r="U81" s="228"/>
      <c r="V81" s="228"/>
      <c r="W81" s="97"/>
    </row>
    <row r="82" spans="1:23" s="37" customFormat="1" x14ac:dyDescent="0.15">
      <c r="A82" s="27" t="s">
        <v>440</v>
      </c>
      <c r="B82" s="28"/>
      <c r="C82" s="29"/>
      <c r="D82" s="30"/>
      <c r="E82" s="30"/>
      <c r="F82" s="627"/>
      <c r="G82" s="213"/>
      <c r="H82" s="224"/>
      <c r="I82" s="224"/>
      <c r="J82" s="251"/>
      <c r="K82" s="224"/>
      <c r="L82" s="224"/>
      <c r="M82" s="224"/>
      <c r="N82" s="224"/>
      <c r="O82" s="224"/>
      <c r="P82" s="224"/>
      <c r="Q82" s="224"/>
      <c r="R82" s="224"/>
      <c r="S82" s="224"/>
      <c r="T82" s="224"/>
      <c r="U82" s="224"/>
      <c r="V82" s="252"/>
      <c r="W82" s="16"/>
    </row>
    <row r="83" spans="1:23" s="37" customFormat="1" x14ac:dyDescent="0.15">
      <c r="A83" s="198" t="s">
        <v>441</v>
      </c>
      <c r="B83" s="199"/>
      <c r="C83" s="200"/>
      <c r="D83" s="209">
        <v>615210</v>
      </c>
      <c r="E83" s="201" t="s">
        <v>442</v>
      </c>
      <c r="F83" s="631" t="s">
        <v>192</v>
      </c>
      <c r="G83" s="165"/>
      <c r="H83" s="566"/>
      <c r="I83" s="324"/>
      <c r="J83" s="324"/>
      <c r="K83" s="324"/>
      <c r="L83" s="324"/>
      <c r="M83" s="324"/>
      <c r="N83" s="324"/>
      <c r="O83" s="325"/>
      <c r="P83" s="324"/>
      <c r="Q83" s="324"/>
      <c r="R83" s="255"/>
      <c r="S83" s="255"/>
      <c r="T83" s="255"/>
      <c r="U83" s="255"/>
      <c r="V83" s="501">
        <f>SUM(H83:T83)</f>
        <v>0</v>
      </c>
      <c r="W83" s="16"/>
    </row>
    <row r="84" spans="1:23" ht="11.25" thickBot="1" x14ac:dyDescent="0.2">
      <c r="A84" s="516" t="s">
        <v>11</v>
      </c>
      <c r="B84" s="517"/>
      <c r="C84" s="518"/>
      <c r="D84" s="519"/>
      <c r="E84" s="516"/>
      <c r="F84" s="634"/>
      <c r="G84" s="553"/>
      <c r="H84" s="522">
        <f>+H83</f>
        <v>0</v>
      </c>
      <c r="I84" s="522">
        <f t="shared" ref="I84:T84" si="16">+I83</f>
        <v>0</v>
      </c>
      <c r="J84" s="522">
        <f t="shared" si="16"/>
        <v>0</v>
      </c>
      <c r="K84" s="522">
        <f t="shared" si="16"/>
        <v>0</v>
      </c>
      <c r="L84" s="522">
        <f t="shared" si="16"/>
        <v>0</v>
      </c>
      <c r="M84" s="522">
        <f t="shared" si="16"/>
        <v>0</v>
      </c>
      <c r="N84" s="522">
        <f t="shared" si="16"/>
        <v>0</v>
      </c>
      <c r="O84" s="522">
        <f t="shared" si="16"/>
        <v>0</v>
      </c>
      <c r="P84" s="522">
        <f t="shared" si="16"/>
        <v>0</v>
      </c>
      <c r="Q84" s="522">
        <f t="shared" si="16"/>
        <v>0</v>
      </c>
      <c r="R84" s="522">
        <f t="shared" si="16"/>
        <v>0</v>
      </c>
      <c r="S84" s="522">
        <f t="shared" si="16"/>
        <v>0</v>
      </c>
      <c r="T84" s="522">
        <f t="shared" si="16"/>
        <v>0</v>
      </c>
      <c r="U84" s="522">
        <f>+U83</f>
        <v>0</v>
      </c>
      <c r="V84" s="522">
        <f>+V83</f>
        <v>0</v>
      </c>
      <c r="W84" s="97" t="str">
        <f>+IF(V84=SUM(H84:T84),"contrôle ok", "erreur")</f>
        <v>contrôle ok</v>
      </c>
    </row>
    <row r="85" spans="1:23" s="98" customFormat="1" ht="11.25" thickTop="1" x14ac:dyDescent="0.15">
      <c r="A85" s="54"/>
      <c r="B85" s="51"/>
      <c r="C85" s="52"/>
      <c r="D85" s="53"/>
      <c r="E85" s="120"/>
      <c r="F85" s="632"/>
      <c r="G85" s="215"/>
      <c r="H85" s="228"/>
      <c r="I85" s="228"/>
      <c r="J85" s="228"/>
      <c r="K85" s="228"/>
      <c r="L85" s="228"/>
      <c r="M85" s="228"/>
      <c r="N85" s="228"/>
      <c r="O85" s="228"/>
      <c r="P85" s="228"/>
      <c r="Q85" s="228"/>
      <c r="R85" s="228"/>
      <c r="S85" s="228"/>
      <c r="T85" s="228"/>
      <c r="U85" s="228"/>
      <c r="V85" s="228"/>
      <c r="W85" s="97"/>
    </row>
    <row r="86" spans="1:23" s="37" customFormat="1" x14ac:dyDescent="0.15">
      <c r="A86" s="27" t="s">
        <v>768</v>
      </c>
      <c r="B86" s="28"/>
      <c r="C86" s="29"/>
      <c r="D86" s="30"/>
      <c r="E86" s="30"/>
      <c r="F86" s="627"/>
      <c r="G86" s="213"/>
      <c r="H86" s="224"/>
      <c r="I86" s="224"/>
      <c r="J86" s="251"/>
      <c r="K86" s="224"/>
      <c r="L86" s="224"/>
      <c r="M86" s="224"/>
      <c r="N86" s="224"/>
      <c r="O86" s="224"/>
      <c r="P86" s="224"/>
      <c r="Q86" s="224"/>
      <c r="R86" s="224"/>
      <c r="S86" s="224"/>
      <c r="T86" s="224"/>
      <c r="U86" s="224"/>
      <c r="V86" s="252"/>
      <c r="W86" s="16"/>
    </row>
    <row r="87" spans="1:23" s="37" customFormat="1" x14ac:dyDescent="0.15">
      <c r="A87" s="198" t="s">
        <v>769</v>
      </c>
      <c r="B87" s="199"/>
      <c r="C87" s="200"/>
      <c r="D87" s="209">
        <v>615215</v>
      </c>
      <c r="E87" s="201" t="s">
        <v>172</v>
      </c>
      <c r="F87" s="631"/>
      <c r="G87" s="165">
        <v>395</v>
      </c>
      <c r="H87" s="566">
        <f>395-395</f>
        <v>0</v>
      </c>
      <c r="I87" s="324">
        <v>395</v>
      </c>
      <c r="J87" s="324">
        <v>395</v>
      </c>
      <c r="K87" s="324">
        <v>395</v>
      </c>
      <c r="L87" s="324">
        <v>395</v>
      </c>
      <c r="M87" s="324">
        <v>395</v>
      </c>
      <c r="N87" s="609">
        <v>395</v>
      </c>
      <c r="O87" s="325">
        <v>395</v>
      </c>
      <c r="P87" s="324">
        <v>395</v>
      </c>
      <c r="Q87" s="324">
        <v>395</v>
      </c>
      <c r="R87" s="226">
        <v>395</v>
      </c>
      <c r="S87" s="226">
        <v>395</v>
      </c>
      <c r="T87" s="255"/>
      <c r="U87" s="255"/>
      <c r="V87" s="501">
        <f>SUM(H87:T87)</f>
        <v>4345</v>
      </c>
      <c r="W87" s="16"/>
    </row>
    <row r="88" spans="1:23" s="37" customFormat="1" x14ac:dyDescent="0.15">
      <c r="A88" s="198" t="s">
        <v>441</v>
      </c>
      <c r="B88" s="199"/>
      <c r="C88" s="200"/>
      <c r="D88" s="209">
        <v>615215</v>
      </c>
      <c r="E88" s="201" t="s">
        <v>172</v>
      </c>
      <c r="F88" s="631"/>
      <c r="G88" s="165"/>
      <c r="H88" s="566">
        <v>-300</v>
      </c>
      <c r="I88" s="324"/>
      <c r="J88" s="324"/>
      <c r="K88" s="324"/>
      <c r="L88" s="324"/>
      <c r="M88" s="324">
        <v>499.48</v>
      </c>
      <c r="N88" s="324"/>
      <c r="O88" s="325">
        <v>232.51</v>
      </c>
      <c r="P88" s="324">
        <v>352.48</v>
      </c>
      <c r="Q88" s="324"/>
      <c r="R88" s="255"/>
      <c r="S88" s="255"/>
      <c r="T88" s="255"/>
      <c r="U88" s="255"/>
      <c r="V88" s="501">
        <f>SUM(H88:T88)</f>
        <v>784.47</v>
      </c>
      <c r="W88" s="16"/>
    </row>
    <row r="89" spans="1:23" s="37" customFormat="1" x14ac:dyDescent="0.15">
      <c r="A89" s="198" t="s">
        <v>743</v>
      </c>
      <c r="B89" s="199"/>
      <c r="C89" s="200"/>
      <c r="D89" s="209">
        <v>615215</v>
      </c>
      <c r="E89" s="201" t="s">
        <v>710</v>
      </c>
      <c r="F89" s="631"/>
      <c r="G89" s="165"/>
      <c r="H89" s="566">
        <v>-250</v>
      </c>
      <c r="I89" s="324">
        <v>100</v>
      </c>
      <c r="J89" s="324">
        <v>100</v>
      </c>
      <c r="K89" s="324">
        <v>0</v>
      </c>
      <c r="L89" s="324">
        <v>0</v>
      </c>
      <c r="M89" s="324">
        <v>0</v>
      </c>
      <c r="N89" s="324">
        <v>100</v>
      </c>
      <c r="O89" s="611">
        <v>50</v>
      </c>
      <c r="P89" s="586">
        <v>50</v>
      </c>
      <c r="Q89" s="586">
        <v>50</v>
      </c>
      <c r="R89" s="582">
        <v>50</v>
      </c>
      <c r="S89" s="582">
        <v>50</v>
      </c>
      <c r="T89" s="255"/>
      <c r="U89" s="255"/>
      <c r="V89" s="501">
        <f>SUM(H89:T89)</f>
        <v>300</v>
      </c>
      <c r="W89" s="16"/>
    </row>
    <row r="90" spans="1:23" s="37" customFormat="1" x14ac:dyDescent="0.15">
      <c r="A90" s="198" t="s">
        <v>441</v>
      </c>
      <c r="B90" s="199"/>
      <c r="C90" s="200"/>
      <c r="D90" s="209">
        <v>615215</v>
      </c>
      <c r="E90" s="201" t="s">
        <v>442</v>
      </c>
      <c r="F90" s="631"/>
      <c r="G90" s="165">
        <v>1400</v>
      </c>
      <c r="H90" s="566">
        <f>1413.04-1600</f>
        <v>-186.96000000000004</v>
      </c>
      <c r="I90" s="324">
        <v>1579.28</v>
      </c>
      <c r="J90" s="324">
        <v>1329.92</v>
      </c>
      <c r="K90" s="324">
        <v>1496.16</v>
      </c>
      <c r="L90" s="324">
        <v>1329.92</v>
      </c>
      <c r="M90" s="324">
        <v>1662.4</v>
      </c>
      <c r="N90" s="324">
        <v>1863.04</v>
      </c>
      <c r="O90" s="325">
        <v>1496.16</v>
      </c>
      <c r="P90" s="324">
        <v>1662.4</v>
      </c>
      <c r="Q90" s="324">
        <v>1662.4</v>
      </c>
      <c r="R90" s="226">
        <v>1911.76</v>
      </c>
      <c r="S90" s="226">
        <f>1828.64+450</f>
        <v>2278.6400000000003</v>
      </c>
      <c r="T90" s="255"/>
      <c r="U90" s="255"/>
      <c r="V90" s="501">
        <f>SUM(H90:T90)</f>
        <v>18085.12</v>
      </c>
      <c r="W90" s="16"/>
    </row>
    <row r="91" spans="1:23" ht="11.25" thickBot="1" x14ac:dyDescent="0.2">
      <c r="A91" s="516" t="s">
        <v>11</v>
      </c>
      <c r="B91" s="517"/>
      <c r="C91" s="518"/>
      <c r="D91" s="519"/>
      <c r="E91" s="516"/>
      <c r="F91" s="634"/>
      <c r="G91" s="553"/>
      <c r="H91" s="522">
        <f>SUM(H87:H90)</f>
        <v>-736.96</v>
      </c>
      <c r="I91" s="522">
        <f t="shared" ref="I91:V91" si="17">SUM(I87:I90)</f>
        <v>2074.2799999999997</v>
      </c>
      <c r="J91" s="522">
        <f t="shared" si="17"/>
        <v>1824.92</v>
      </c>
      <c r="K91" s="522">
        <f t="shared" si="17"/>
        <v>1891.16</v>
      </c>
      <c r="L91" s="522">
        <f t="shared" si="17"/>
        <v>1724.92</v>
      </c>
      <c r="M91" s="522">
        <f t="shared" si="17"/>
        <v>2556.88</v>
      </c>
      <c r="N91" s="522">
        <f t="shared" si="17"/>
        <v>2358.04</v>
      </c>
      <c r="O91" s="522">
        <f t="shared" si="17"/>
        <v>2173.67</v>
      </c>
      <c r="P91" s="522">
        <f t="shared" si="17"/>
        <v>2459.88</v>
      </c>
      <c r="Q91" s="522">
        <f t="shared" si="17"/>
        <v>2107.4</v>
      </c>
      <c r="R91" s="522">
        <f t="shared" si="17"/>
        <v>2356.7600000000002</v>
      </c>
      <c r="S91" s="522">
        <f t="shared" si="17"/>
        <v>2723.6400000000003</v>
      </c>
      <c r="T91" s="522">
        <f t="shared" si="17"/>
        <v>0</v>
      </c>
      <c r="U91" s="522">
        <f>SUM(U87:U90)</f>
        <v>0</v>
      </c>
      <c r="V91" s="522">
        <f t="shared" si="17"/>
        <v>23514.59</v>
      </c>
      <c r="W91" s="97" t="str">
        <f>+IF(V91=SUM(H91:T91),"contrôle ok", "erreur")</f>
        <v>contrôle ok</v>
      </c>
    </row>
    <row r="92" spans="1:23" s="98" customFormat="1" ht="11.25" thickTop="1" x14ac:dyDescent="0.15">
      <c r="A92" s="54"/>
      <c r="B92" s="51"/>
      <c r="C92" s="52"/>
      <c r="D92" s="53"/>
      <c r="E92" s="120"/>
      <c r="F92" s="632"/>
      <c r="G92" s="215"/>
      <c r="H92" s="228"/>
      <c r="I92" s="228"/>
      <c r="J92" s="228"/>
      <c r="K92" s="228"/>
      <c r="L92" s="228"/>
      <c r="M92" s="228"/>
      <c r="N92" s="228"/>
      <c r="O92" s="228"/>
      <c r="P92" s="228"/>
      <c r="Q92" s="228"/>
      <c r="R92" s="228"/>
      <c r="S92" s="228"/>
      <c r="T92" s="228"/>
      <c r="U92" s="228"/>
      <c r="V92" s="228"/>
      <c r="W92" s="97"/>
    </row>
    <row r="93" spans="1:23" x14ac:dyDescent="0.15">
      <c r="A93" s="27" t="s">
        <v>12</v>
      </c>
      <c r="B93" s="28"/>
      <c r="C93" s="29"/>
      <c r="D93" s="30"/>
      <c r="E93" s="30"/>
      <c r="F93" s="627"/>
      <c r="G93" s="213"/>
      <c r="H93" s="224"/>
      <c r="I93" s="224"/>
      <c r="J93" s="251"/>
      <c r="K93" s="224"/>
      <c r="L93" s="224"/>
      <c r="M93" s="224"/>
      <c r="N93" s="224"/>
      <c r="O93" s="224"/>
      <c r="P93" s="224"/>
      <c r="Q93" s="224"/>
      <c r="R93" s="224"/>
      <c r="S93" s="224"/>
      <c r="T93" s="224"/>
      <c r="U93" s="224"/>
      <c r="V93" s="252"/>
    </row>
    <row r="94" spans="1:23" s="37" customFormat="1" x14ac:dyDescent="0.15">
      <c r="A94" s="143" t="s">
        <v>294</v>
      </c>
      <c r="B94" s="143" t="s">
        <v>422</v>
      </c>
      <c r="C94" s="144" t="s">
        <v>515</v>
      </c>
      <c r="D94" s="145">
        <v>615220</v>
      </c>
      <c r="E94" s="145" t="s">
        <v>237</v>
      </c>
      <c r="F94" s="635" t="s">
        <v>179</v>
      </c>
      <c r="G94" s="165">
        <v>138.83000000000001</v>
      </c>
      <c r="H94" s="559"/>
      <c r="I94" s="226">
        <v>138.83000000000001</v>
      </c>
      <c r="J94" s="226">
        <v>138.83000000000001</v>
      </c>
      <c r="K94" s="226">
        <v>138.83000000000001</v>
      </c>
      <c r="L94" s="226">
        <v>138.83000000000001</v>
      </c>
      <c r="M94" s="226">
        <v>138.83000000000001</v>
      </c>
      <c r="N94" s="226">
        <v>138.83000000000001</v>
      </c>
      <c r="O94" s="226">
        <v>138.83000000000001</v>
      </c>
      <c r="P94" s="226">
        <v>138.83000000000001</v>
      </c>
      <c r="Q94" s="226">
        <v>138.83000000000001</v>
      </c>
      <c r="R94" s="226">
        <v>138.83000000000001</v>
      </c>
      <c r="S94" s="226">
        <v>138.83000000000001</v>
      </c>
      <c r="T94" s="226">
        <v>138.83000000000001</v>
      </c>
      <c r="U94" s="226"/>
      <c r="V94" s="501">
        <f t="shared" ref="V94:V104" si="18">SUM(H94:T94)</f>
        <v>1665.9599999999998</v>
      </c>
      <c r="W94" s="16"/>
    </row>
    <row r="95" spans="1:23" s="37" customFormat="1" x14ac:dyDescent="0.15">
      <c r="A95" s="143"/>
      <c r="B95" s="143"/>
      <c r="C95" s="144"/>
      <c r="D95" s="145"/>
      <c r="E95" s="145"/>
      <c r="F95" s="635"/>
      <c r="G95" s="165"/>
      <c r="H95" s="559"/>
      <c r="I95" s="226"/>
      <c r="J95" s="226"/>
      <c r="K95" s="514"/>
      <c r="L95" s="226"/>
      <c r="M95" s="226"/>
      <c r="N95" s="226"/>
      <c r="O95" s="226"/>
      <c r="P95" s="226"/>
      <c r="Q95" s="226"/>
      <c r="R95" s="226"/>
      <c r="S95" s="226"/>
      <c r="T95" s="226"/>
      <c r="U95" s="226"/>
      <c r="V95" s="501">
        <f t="shared" si="18"/>
        <v>0</v>
      </c>
      <c r="W95" s="16"/>
    </row>
    <row r="96" spans="1:23" s="37" customFormat="1" x14ac:dyDescent="0.15">
      <c r="A96" s="143"/>
      <c r="B96" s="143"/>
      <c r="C96" s="144"/>
      <c r="D96" s="145">
        <v>615220</v>
      </c>
      <c r="E96" s="145" t="s">
        <v>237</v>
      </c>
      <c r="F96" s="635" t="s">
        <v>192</v>
      </c>
      <c r="G96" s="165"/>
      <c r="H96" s="559"/>
      <c r="I96" s="226"/>
      <c r="J96" s="226"/>
      <c r="K96" s="514"/>
      <c r="L96" s="226"/>
      <c r="M96" s="226"/>
      <c r="N96" s="226"/>
      <c r="O96" s="226"/>
      <c r="P96" s="226"/>
      <c r="Q96" s="226"/>
      <c r="R96" s="226"/>
      <c r="S96" s="226"/>
      <c r="T96" s="226"/>
      <c r="U96" s="226"/>
      <c r="V96" s="501">
        <f t="shared" si="18"/>
        <v>0</v>
      </c>
      <c r="W96" s="16"/>
    </row>
    <row r="97" spans="1:23" s="37" customFormat="1" x14ac:dyDescent="0.15">
      <c r="A97" s="143"/>
      <c r="B97" s="143"/>
      <c r="C97" s="144"/>
      <c r="D97" s="145"/>
      <c r="E97" s="145"/>
      <c r="F97" s="635"/>
      <c r="G97" s="165"/>
      <c r="H97" s="559"/>
      <c r="I97" s="226"/>
      <c r="J97" s="226"/>
      <c r="K97" s="514"/>
      <c r="L97" s="226"/>
      <c r="M97" s="226"/>
      <c r="N97" s="226"/>
      <c r="O97" s="226"/>
      <c r="P97" s="226"/>
      <c r="Q97" s="226"/>
      <c r="R97" s="226"/>
      <c r="S97" s="226"/>
      <c r="T97" s="226"/>
      <c r="U97" s="226"/>
      <c r="V97" s="501">
        <f t="shared" si="18"/>
        <v>0</v>
      </c>
      <c r="W97" s="16"/>
    </row>
    <row r="98" spans="1:23" s="37" customFormat="1" x14ac:dyDescent="0.15">
      <c r="A98" s="143" t="s">
        <v>622</v>
      </c>
      <c r="B98" s="143" t="s">
        <v>467</v>
      </c>
      <c r="C98" s="144" t="s">
        <v>623</v>
      </c>
      <c r="D98" s="145">
        <v>615220</v>
      </c>
      <c r="E98" s="145" t="s">
        <v>205</v>
      </c>
      <c r="F98" s="635" t="s">
        <v>179</v>
      </c>
      <c r="G98" s="165">
        <v>25.32</v>
      </c>
      <c r="H98" s="559"/>
      <c r="I98" s="226">
        <v>25.32</v>
      </c>
      <c r="J98" s="226">
        <v>25.32</v>
      </c>
      <c r="K98" s="226">
        <v>25.32</v>
      </c>
      <c r="L98" s="226">
        <v>25.32</v>
      </c>
      <c r="M98" s="226">
        <v>25.32</v>
      </c>
      <c r="N98" s="226">
        <v>25.32</v>
      </c>
      <c r="O98" s="226">
        <v>25.32</v>
      </c>
      <c r="P98" s="226">
        <v>25.32</v>
      </c>
      <c r="Q98" s="226">
        <v>25.32</v>
      </c>
      <c r="R98" s="226">
        <v>25.32</v>
      </c>
      <c r="S98" s="226">
        <v>25.32</v>
      </c>
      <c r="T98" s="226">
        <v>25.32</v>
      </c>
      <c r="U98" s="226"/>
      <c r="V98" s="501">
        <f t="shared" si="18"/>
        <v>303.83999999999997</v>
      </c>
      <c r="W98" s="16"/>
    </row>
    <row r="99" spans="1:23" x14ac:dyDescent="0.15">
      <c r="A99" s="143" t="s">
        <v>452</v>
      </c>
      <c r="B99" s="143" t="s">
        <v>453</v>
      </c>
      <c r="C99" s="144">
        <v>2015</v>
      </c>
      <c r="D99" s="145">
        <v>615220</v>
      </c>
      <c r="E99" s="145" t="s">
        <v>205</v>
      </c>
      <c r="F99" s="635" t="s">
        <v>179</v>
      </c>
      <c r="G99" s="165">
        <v>6.73</v>
      </c>
      <c r="H99" s="559">
        <v>-80.760000000000005</v>
      </c>
      <c r="I99" s="582">
        <v>7</v>
      </c>
      <c r="J99" s="582">
        <v>7</v>
      </c>
      <c r="K99" s="582">
        <v>7</v>
      </c>
      <c r="L99" s="582">
        <v>7</v>
      </c>
      <c r="M99" s="582">
        <v>7</v>
      </c>
      <c r="N99" s="582">
        <v>7</v>
      </c>
      <c r="O99" s="226">
        <v>-42</v>
      </c>
      <c r="P99" s="226"/>
      <c r="Q99" s="226"/>
      <c r="R99" s="226"/>
      <c r="S99" s="226"/>
      <c r="T99" s="226"/>
      <c r="U99" s="226"/>
      <c r="V99" s="501">
        <f t="shared" si="18"/>
        <v>-80.760000000000005</v>
      </c>
    </row>
    <row r="100" spans="1:23" x14ac:dyDescent="0.15">
      <c r="A100" s="143" t="s">
        <v>452</v>
      </c>
      <c r="B100" s="143" t="s">
        <v>529</v>
      </c>
      <c r="C100" s="144" t="s">
        <v>528</v>
      </c>
      <c r="D100" s="145">
        <v>615220</v>
      </c>
      <c r="E100" s="145" t="s">
        <v>205</v>
      </c>
      <c r="F100" s="635" t="s">
        <v>179</v>
      </c>
      <c r="G100" s="165">
        <v>19</v>
      </c>
      <c r="H100" s="559"/>
      <c r="I100" s="226">
        <v>19.03</v>
      </c>
      <c r="J100" s="226">
        <v>19.03</v>
      </c>
      <c r="K100" s="226">
        <v>19.03</v>
      </c>
      <c r="L100" s="226">
        <v>19.03</v>
      </c>
      <c r="M100" s="226">
        <v>19.03</v>
      </c>
      <c r="N100" s="226">
        <v>19.03</v>
      </c>
      <c r="O100" s="226">
        <v>19.03</v>
      </c>
      <c r="P100" s="226">
        <v>19.03</v>
      </c>
      <c r="Q100" s="226">
        <v>19.03</v>
      </c>
      <c r="R100" s="226">
        <v>19.03</v>
      </c>
      <c r="S100" s="226">
        <v>19.03</v>
      </c>
      <c r="T100" s="226">
        <v>18.96</v>
      </c>
      <c r="U100" s="226"/>
      <c r="V100" s="501">
        <f t="shared" si="18"/>
        <v>228.29000000000002</v>
      </c>
    </row>
    <row r="101" spans="1:23" x14ac:dyDescent="0.15">
      <c r="A101" s="143" t="s">
        <v>452</v>
      </c>
      <c r="B101" s="143" t="s">
        <v>546</v>
      </c>
      <c r="C101" s="144" t="s">
        <v>859</v>
      </c>
      <c r="D101" s="145">
        <v>615220</v>
      </c>
      <c r="E101" s="145" t="s">
        <v>205</v>
      </c>
      <c r="F101" s="635" t="s">
        <v>179</v>
      </c>
      <c r="G101" s="165"/>
      <c r="H101" s="559"/>
      <c r="I101" s="226"/>
      <c r="J101" s="226"/>
      <c r="K101" s="226"/>
      <c r="L101" s="226"/>
      <c r="M101" s="226"/>
      <c r="N101" s="226"/>
      <c r="O101" s="226"/>
      <c r="P101" s="226"/>
      <c r="Q101" s="226"/>
      <c r="R101" s="226"/>
      <c r="S101" s="226"/>
      <c r="T101" s="226"/>
      <c r="U101" s="226"/>
      <c r="V101" s="501">
        <f t="shared" si="18"/>
        <v>0</v>
      </c>
    </row>
    <row r="102" spans="1:23" x14ac:dyDescent="0.15">
      <c r="A102" s="143"/>
      <c r="B102" s="143"/>
      <c r="C102" s="144"/>
      <c r="D102" s="145"/>
      <c r="E102" s="145"/>
      <c r="F102" s="635"/>
      <c r="G102" s="165"/>
      <c r="H102" s="559"/>
      <c r="I102" s="226"/>
      <c r="J102" s="226"/>
      <c r="K102" s="226"/>
      <c r="L102" s="226"/>
      <c r="M102" s="226"/>
      <c r="N102" s="226"/>
      <c r="O102" s="226"/>
      <c r="P102" s="226"/>
      <c r="Q102" s="226"/>
      <c r="R102" s="226"/>
      <c r="S102" s="226"/>
      <c r="T102" s="226"/>
      <c r="U102" s="226"/>
      <c r="V102" s="501">
        <f t="shared" si="18"/>
        <v>0</v>
      </c>
    </row>
    <row r="103" spans="1:23" x14ac:dyDescent="0.15">
      <c r="A103" s="143"/>
      <c r="B103" s="143"/>
      <c r="C103" s="144"/>
      <c r="D103" s="145"/>
      <c r="E103" s="145"/>
      <c r="F103" s="635"/>
      <c r="G103" s="165"/>
      <c r="H103" s="559"/>
      <c r="I103" s="226"/>
      <c r="J103" s="226"/>
      <c r="K103" s="226"/>
      <c r="L103" s="226"/>
      <c r="M103" s="226"/>
      <c r="N103" s="226"/>
      <c r="O103" s="226"/>
      <c r="P103" s="226"/>
      <c r="Q103" s="226"/>
      <c r="R103" s="226"/>
      <c r="S103" s="226"/>
      <c r="T103" s="226"/>
      <c r="U103" s="226"/>
      <c r="V103" s="501">
        <f t="shared" si="18"/>
        <v>0</v>
      </c>
    </row>
    <row r="104" spans="1:23" x14ac:dyDescent="0.15">
      <c r="A104" s="143" t="s">
        <v>483</v>
      </c>
      <c r="B104" s="143" t="s">
        <v>511</v>
      </c>
      <c r="C104" s="144" t="s">
        <v>530</v>
      </c>
      <c r="D104" s="145">
        <v>615220</v>
      </c>
      <c r="E104" s="145" t="s">
        <v>309</v>
      </c>
      <c r="F104" s="635" t="s">
        <v>179</v>
      </c>
      <c r="G104" s="165">
        <f>1277/3/12</f>
        <v>35.472222222222221</v>
      </c>
      <c r="H104" s="559"/>
      <c r="I104" s="226">
        <v>35.47</v>
      </c>
      <c r="J104" s="226">
        <v>35.47</v>
      </c>
      <c r="K104" s="226">
        <v>35.47</v>
      </c>
      <c r="L104" s="226">
        <v>35.47</v>
      </c>
      <c r="M104" s="226">
        <v>35.47</v>
      </c>
      <c r="N104" s="226">
        <v>35.47</v>
      </c>
      <c r="O104" s="226">
        <v>35.47</v>
      </c>
      <c r="P104" s="226">
        <v>35.47</v>
      </c>
      <c r="Q104" s="226">
        <v>35.47</v>
      </c>
      <c r="R104" s="226">
        <v>35.47</v>
      </c>
      <c r="S104" s="226">
        <v>35.47</v>
      </c>
      <c r="T104" s="226">
        <v>35.47</v>
      </c>
      <c r="U104" s="226"/>
      <c r="V104" s="501">
        <f t="shared" si="18"/>
        <v>425.6400000000001</v>
      </c>
    </row>
    <row r="105" spans="1:23" ht="11.25" thickBot="1" x14ac:dyDescent="0.2">
      <c r="A105" s="516" t="s">
        <v>11</v>
      </c>
      <c r="B105" s="517"/>
      <c r="C105" s="518"/>
      <c r="D105" s="519"/>
      <c r="E105" s="516"/>
      <c r="F105" s="634"/>
      <c r="G105" s="553"/>
      <c r="H105" s="522">
        <f t="shared" ref="H105:V105" si="19">SUM(H94:H104)</f>
        <v>-80.760000000000005</v>
      </c>
      <c r="I105" s="522">
        <f t="shared" si="19"/>
        <v>225.65</v>
      </c>
      <c r="J105" s="522">
        <f t="shared" si="19"/>
        <v>225.65</v>
      </c>
      <c r="K105" s="522">
        <f t="shared" si="19"/>
        <v>225.65</v>
      </c>
      <c r="L105" s="522">
        <f t="shared" si="19"/>
        <v>225.65</v>
      </c>
      <c r="M105" s="522">
        <f t="shared" si="19"/>
        <v>225.65</v>
      </c>
      <c r="N105" s="522">
        <f t="shared" si="19"/>
        <v>225.65</v>
      </c>
      <c r="O105" s="522">
        <f t="shared" si="19"/>
        <v>176.65</v>
      </c>
      <c r="P105" s="522">
        <f t="shared" si="19"/>
        <v>218.65</v>
      </c>
      <c r="Q105" s="522">
        <f t="shared" si="19"/>
        <v>218.65</v>
      </c>
      <c r="R105" s="522">
        <f t="shared" si="19"/>
        <v>218.65</v>
      </c>
      <c r="S105" s="522">
        <f t="shared" si="19"/>
        <v>218.65</v>
      </c>
      <c r="T105" s="522">
        <f t="shared" si="19"/>
        <v>218.58</v>
      </c>
      <c r="U105" s="522">
        <f>SUM(U94:U104)</f>
        <v>0</v>
      </c>
      <c r="V105" s="522">
        <f t="shared" si="19"/>
        <v>2542.9700000000003</v>
      </c>
      <c r="W105" s="97" t="str">
        <f>+IF(V105=SUM(H105:T105),"contrôle ok", "erreur")</f>
        <v>contrôle ok</v>
      </c>
    </row>
    <row r="106" spans="1:23" ht="11.25" thickTop="1" x14ac:dyDescent="0.15">
      <c r="A106" s="33"/>
      <c r="B106" s="33"/>
      <c r="C106" s="34"/>
      <c r="D106" s="35"/>
      <c r="E106" s="36"/>
      <c r="F106" s="639"/>
      <c r="G106" s="214"/>
      <c r="H106" s="229"/>
      <c r="I106" s="229"/>
      <c r="J106" s="229"/>
      <c r="K106" s="229"/>
      <c r="L106" s="229"/>
      <c r="M106" s="229"/>
      <c r="N106" s="229"/>
      <c r="O106" s="229"/>
      <c r="P106" s="229"/>
      <c r="Q106" s="229"/>
      <c r="R106" s="229"/>
      <c r="S106" s="229"/>
      <c r="T106" s="229"/>
      <c r="U106" s="229"/>
      <c r="V106" s="258"/>
      <c r="W106" s="4"/>
    </row>
    <row r="107" spans="1:23" x14ac:dyDescent="0.15">
      <c r="A107" s="27" t="s">
        <v>14</v>
      </c>
      <c r="B107" s="28"/>
      <c r="C107" s="29"/>
      <c r="D107" s="30"/>
      <c r="E107" s="30"/>
      <c r="F107" s="627"/>
      <c r="G107" s="213"/>
      <c r="H107" s="224"/>
      <c r="I107" s="224"/>
      <c r="J107" s="251"/>
      <c r="K107" s="224"/>
      <c r="L107" s="224"/>
      <c r="M107" s="224"/>
      <c r="N107" s="224"/>
      <c r="O107" s="224"/>
      <c r="P107" s="224"/>
      <c r="Q107" s="224"/>
      <c r="R107" s="224"/>
      <c r="S107" s="224"/>
      <c r="T107" s="224"/>
      <c r="U107" s="224"/>
      <c r="V107" s="252"/>
    </row>
    <row r="108" spans="1:23" x14ac:dyDescent="0.15">
      <c r="A108" s="143" t="s">
        <v>295</v>
      </c>
      <c r="B108" s="143" t="s">
        <v>541</v>
      </c>
      <c r="C108" s="144" t="s">
        <v>817</v>
      </c>
      <c r="D108" s="145">
        <v>615230</v>
      </c>
      <c r="E108" s="145" t="s">
        <v>309</v>
      </c>
      <c r="F108" s="642" t="s">
        <v>179</v>
      </c>
      <c r="G108" s="216">
        <v>14.59</v>
      </c>
      <c r="H108" s="559"/>
      <c r="I108" s="226">
        <v>14.59</v>
      </c>
      <c r="J108" s="226">
        <v>14.59</v>
      </c>
      <c r="K108" s="226">
        <v>14.59</v>
      </c>
      <c r="L108" s="226">
        <v>14.59</v>
      </c>
      <c r="M108" s="226">
        <v>14.59</v>
      </c>
      <c r="N108" s="226">
        <v>14.59</v>
      </c>
      <c r="O108" s="479">
        <v>14.59</v>
      </c>
      <c r="P108" s="226">
        <v>14.59</v>
      </c>
      <c r="Q108" s="226">
        <v>14.51</v>
      </c>
      <c r="R108" s="226">
        <v>14.58</v>
      </c>
      <c r="S108" s="226">
        <v>14.59</v>
      </c>
      <c r="T108" s="226">
        <v>14.59</v>
      </c>
      <c r="U108" s="226"/>
      <c r="V108" s="501">
        <f>SUM(H108:T108)</f>
        <v>174.99000000000004</v>
      </c>
    </row>
    <row r="109" spans="1:23" x14ac:dyDescent="0.15">
      <c r="A109" s="143" t="s">
        <v>295</v>
      </c>
      <c r="B109" s="143" t="s">
        <v>405</v>
      </c>
      <c r="C109" s="144"/>
      <c r="D109" s="145">
        <v>615230</v>
      </c>
      <c r="E109" s="145" t="s">
        <v>309</v>
      </c>
      <c r="F109" s="642" t="s">
        <v>179</v>
      </c>
      <c r="G109" s="216"/>
      <c r="H109" s="559"/>
      <c r="I109" s="226"/>
      <c r="J109" s="226"/>
      <c r="K109" s="226"/>
      <c r="L109" s="226"/>
      <c r="M109" s="226"/>
      <c r="N109" s="226"/>
      <c r="O109" s="226"/>
      <c r="P109" s="226"/>
      <c r="Q109" s="226"/>
      <c r="R109" s="226"/>
      <c r="S109" s="226"/>
      <c r="T109" s="226"/>
      <c r="U109" s="226"/>
      <c r="V109" s="501">
        <f>SUM(H109:T109)</f>
        <v>0</v>
      </c>
    </row>
    <row r="110" spans="1:23" x14ac:dyDescent="0.15">
      <c r="A110" s="143" t="s">
        <v>295</v>
      </c>
      <c r="B110" s="143" t="s">
        <v>572</v>
      </c>
      <c r="C110" s="144"/>
      <c r="D110" s="145">
        <v>615230</v>
      </c>
      <c r="E110" s="145" t="s">
        <v>309</v>
      </c>
      <c r="F110" s="642" t="s">
        <v>179</v>
      </c>
      <c r="G110" s="216">
        <v>20</v>
      </c>
      <c r="H110" s="559">
        <f>64.28-40</f>
        <v>24.28</v>
      </c>
      <c r="I110" s="226"/>
      <c r="J110" s="226"/>
      <c r="K110" s="226"/>
      <c r="L110" s="226">
        <v>56.7</v>
      </c>
      <c r="M110" s="226">
        <f>56.4/3</f>
        <v>18.8</v>
      </c>
      <c r="N110" s="226">
        <f>56.4/3</f>
        <v>18.8</v>
      </c>
      <c r="O110" s="479">
        <f>56.4/3</f>
        <v>18.8</v>
      </c>
      <c r="P110" s="326">
        <v>47.27</v>
      </c>
      <c r="Q110" s="326"/>
      <c r="R110" s="326"/>
      <c r="S110" s="226"/>
      <c r="T110" s="226"/>
      <c r="U110" s="226"/>
      <c r="V110" s="501">
        <f>SUM(H110:T110)</f>
        <v>184.65</v>
      </c>
    </row>
    <row r="111" spans="1:23" x14ac:dyDescent="0.15">
      <c r="A111" s="143" t="s">
        <v>384</v>
      </c>
      <c r="B111" s="143"/>
      <c r="C111" s="144"/>
      <c r="D111" s="145">
        <v>615230</v>
      </c>
      <c r="E111" s="145" t="s">
        <v>309</v>
      </c>
      <c r="F111" s="642" t="s">
        <v>192</v>
      </c>
      <c r="G111" s="216"/>
      <c r="H111" s="559"/>
      <c r="I111" s="226"/>
      <c r="J111" s="226"/>
      <c r="K111" s="226"/>
      <c r="L111" s="226"/>
      <c r="M111" s="226"/>
      <c r="N111" s="226"/>
      <c r="O111" s="479"/>
      <c r="P111" s="226"/>
      <c r="Q111" s="226"/>
      <c r="R111" s="226"/>
      <c r="S111" s="226"/>
      <c r="T111" s="226"/>
      <c r="U111" s="226"/>
      <c r="V111" s="501">
        <f>SUM(H111:T111)</f>
        <v>0</v>
      </c>
    </row>
    <row r="112" spans="1:23" ht="11.25" thickBot="1" x14ac:dyDescent="0.2">
      <c r="A112" s="516" t="s">
        <v>11</v>
      </c>
      <c r="B112" s="517"/>
      <c r="C112" s="518"/>
      <c r="D112" s="519"/>
      <c r="E112" s="516"/>
      <c r="F112" s="634"/>
      <c r="G112" s="553"/>
      <c r="H112" s="522">
        <f t="shared" ref="H112:T112" si="20">SUM(H108:H111)</f>
        <v>24.28</v>
      </c>
      <c r="I112" s="522">
        <f t="shared" si="20"/>
        <v>14.59</v>
      </c>
      <c r="J112" s="522">
        <f t="shared" si="20"/>
        <v>14.59</v>
      </c>
      <c r="K112" s="522">
        <f t="shared" si="20"/>
        <v>14.59</v>
      </c>
      <c r="L112" s="522">
        <f t="shared" si="20"/>
        <v>71.290000000000006</v>
      </c>
      <c r="M112" s="522">
        <f t="shared" si="20"/>
        <v>33.39</v>
      </c>
      <c r="N112" s="522">
        <f t="shared" si="20"/>
        <v>33.39</v>
      </c>
      <c r="O112" s="522">
        <f t="shared" si="20"/>
        <v>33.39</v>
      </c>
      <c r="P112" s="522">
        <f t="shared" si="20"/>
        <v>61.86</v>
      </c>
      <c r="Q112" s="522">
        <f t="shared" si="20"/>
        <v>14.51</v>
      </c>
      <c r="R112" s="522">
        <f t="shared" si="20"/>
        <v>14.58</v>
      </c>
      <c r="S112" s="522">
        <f t="shared" si="20"/>
        <v>14.59</v>
      </c>
      <c r="T112" s="522">
        <f t="shared" si="20"/>
        <v>14.59</v>
      </c>
      <c r="U112" s="522">
        <f>SUM(U108:U111)</f>
        <v>0</v>
      </c>
      <c r="V112" s="522">
        <f>SUM(V108:V111)</f>
        <v>359.64000000000004</v>
      </c>
      <c r="W112" s="97" t="str">
        <f>+IF(V112=SUM(H112:T112),"contrôle ok", "erreur")</f>
        <v>contrôle ok</v>
      </c>
    </row>
    <row r="113" spans="1:44" ht="11.25" thickTop="1" x14ac:dyDescent="0.15">
      <c r="A113" s="33"/>
      <c r="B113" s="33"/>
      <c r="C113" s="34"/>
      <c r="D113" s="35"/>
      <c r="E113" s="36"/>
      <c r="F113" s="639"/>
      <c r="G113" s="214"/>
      <c r="H113" s="229"/>
      <c r="I113" s="229"/>
      <c r="J113" s="229"/>
      <c r="K113" s="229"/>
      <c r="L113" s="229"/>
      <c r="M113" s="229"/>
      <c r="N113" s="229"/>
      <c r="O113" s="229"/>
      <c r="P113" s="229"/>
      <c r="Q113" s="229"/>
      <c r="R113" s="229"/>
      <c r="S113" s="229"/>
      <c r="T113" s="229"/>
      <c r="U113" s="229"/>
      <c r="V113" s="258"/>
      <c r="W113" s="4"/>
    </row>
    <row r="114" spans="1:44" x14ac:dyDescent="0.15">
      <c r="A114" s="27" t="s">
        <v>16</v>
      </c>
      <c r="B114" s="28"/>
      <c r="C114" s="29"/>
      <c r="D114" s="30"/>
      <c r="E114" s="30"/>
      <c r="F114" s="627"/>
      <c r="G114" s="213"/>
      <c r="H114" s="224"/>
      <c r="I114" s="224"/>
      <c r="J114" s="251"/>
      <c r="K114" s="224"/>
      <c r="L114" s="224"/>
      <c r="M114" s="224"/>
      <c r="N114" s="224"/>
      <c r="O114" s="224"/>
      <c r="P114" s="224"/>
      <c r="Q114" s="224"/>
      <c r="R114" s="224"/>
      <c r="S114" s="224"/>
      <c r="T114" s="224"/>
      <c r="U114" s="224"/>
      <c r="V114" s="252"/>
    </row>
    <row r="115" spans="1:44" x14ac:dyDescent="0.15">
      <c r="A115" s="46" t="s">
        <v>398</v>
      </c>
      <c r="B115" s="46"/>
      <c r="C115" s="47"/>
      <c r="D115" s="48">
        <v>628500</v>
      </c>
      <c r="E115" s="49" t="s">
        <v>172</v>
      </c>
      <c r="F115" s="637">
        <v>999999</v>
      </c>
      <c r="G115" s="214"/>
      <c r="H115" s="568"/>
      <c r="I115" s="143"/>
      <c r="J115" s="143"/>
      <c r="K115" s="143"/>
      <c r="L115" s="143"/>
      <c r="M115" s="143"/>
      <c r="N115" s="143"/>
      <c r="O115" s="143"/>
      <c r="P115" s="143"/>
      <c r="Q115" s="143"/>
      <c r="R115" s="143"/>
      <c r="S115" s="143"/>
      <c r="T115" s="143"/>
      <c r="U115" s="143"/>
      <c r="V115" s="501">
        <f>SUM(H115:T115)</f>
        <v>0</v>
      </c>
    </row>
    <row r="116" spans="1:44" x14ac:dyDescent="0.15">
      <c r="A116" s="46" t="s">
        <v>446</v>
      </c>
      <c r="B116" s="46"/>
      <c r="C116" s="47"/>
      <c r="D116" s="48">
        <v>628500</v>
      </c>
      <c r="E116" s="49" t="s">
        <v>172</v>
      </c>
      <c r="F116" s="637">
        <v>999999</v>
      </c>
      <c r="G116" s="214">
        <v>20.91</v>
      </c>
      <c r="H116" s="568"/>
      <c r="I116" s="170">
        <v>20.91</v>
      </c>
      <c r="J116" s="170">
        <v>20.91</v>
      </c>
      <c r="K116" s="170">
        <v>20.91</v>
      </c>
      <c r="L116" s="170">
        <v>20.91</v>
      </c>
      <c r="M116" s="170">
        <v>20.91</v>
      </c>
      <c r="N116" s="170">
        <v>20.91</v>
      </c>
      <c r="O116" s="170">
        <v>20.91</v>
      </c>
      <c r="P116" s="170">
        <v>20.91</v>
      </c>
      <c r="Q116" s="170">
        <v>20.91</v>
      </c>
      <c r="R116" s="170">
        <v>20.91</v>
      </c>
      <c r="S116" s="170">
        <v>20.91</v>
      </c>
      <c r="T116" s="170">
        <v>20.91</v>
      </c>
      <c r="U116" s="170"/>
      <c r="V116" s="501">
        <f>SUM(H116:T116)</f>
        <v>250.92</v>
      </c>
      <c r="AG116" s="231"/>
      <c r="AH116" s="231"/>
      <c r="AI116" s="231"/>
      <c r="AJ116" s="231"/>
      <c r="AK116" s="231"/>
      <c r="AL116" s="231"/>
      <c r="AM116" s="231"/>
      <c r="AN116" s="231"/>
      <c r="AO116" s="231"/>
      <c r="AP116" s="231"/>
      <c r="AQ116" s="231"/>
      <c r="AR116" s="231"/>
    </row>
    <row r="117" spans="1:44" x14ac:dyDescent="0.15">
      <c r="A117" s="46" t="s">
        <v>325</v>
      </c>
      <c r="B117" s="46"/>
      <c r="C117" s="47"/>
      <c r="D117" s="48">
        <v>628500</v>
      </c>
      <c r="E117" s="49" t="s">
        <v>172</v>
      </c>
      <c r="F117" s="637">
        <v>999999</v>
      </c>
      <c r="G117" s="214">
        <v>281.12</v>
      </c>
      <c r="H117" s="559">
        <v>-281.12</v>
      </c>
      <c r="I117" s="226"/>
      <c r="J117" s="226"/>
      <c r="K117" s="226"/>
      <c r="L117" s="226"/>
      <c r="M117" s="226"/>
      <c r="N117" s="226"/>
      <c r="O117" s="226"/>
      <c r="P117" s="226"/>
      <c r="Q117" s="226"/>
      <c r="R117" s="226"/>
      <c r="S117" s="226"/>
      <c r="T117" s="226"/>
      <c r="U117" s="226"/>
      <c r="V117" s="501">
        <f>SUM(H117:T117)</f>
        <v>-281.12</v>
      </c>
      <c r="AG117" s="231"/>
      <c r="AH117" s="231"/>
      <c r="AI117" s="231"/>
      <c r="AJ117" s="231"/>
      <c r="AK117" s="231"/>
      <c r="AL117" s="231"/>
      <c r="AM117" s="231"/>
      <c r="AN117" s="231"/>
      <c r="AO117" s="231"/>
      <c r="AP117" s="231"/>
      <c r="AQ117" s="231"/>
      <c r="AR117" s="231"/>
    </row>
    <row r="118" spans="1:44" ht="11.25" thickBot="1" x14ac:dyDescent="0.2">
      <c r="A118" s="516" t="s">
        <v>11</v>
      </c>
      <c r="B118" s="517"/>
      <c r="C118" s="518"/>
      <c r="D118" s="519"/>
      <c r="E118" s="516"/>
      <c r="F118" s="634"/>
      <c r="G118" s="553"/>
      <c r="H118" s="522">
        <f>SUM(H116:H117)</f>
        <v>-281.12</v>
      </c>
      <c r="I118" s="522">
        <f>SUM(I116:I117)</f>
        <v>20.91</v>
      </c>
      <c r="J118" s="522">
        <f t="shared" ref="J118:T118" si="21">SUM(J116:J117)</f>
        <v>20.91</v>
      </c>
      <c r="K118" s="522">
        <f t="shared" si="21"/>
        <v>20.91</v>
      </c>
      <c r="L118" s="522">
        <f t="shared" si="21"/>
        <v>20.91</v>
      </c>
      <c r="M118" s="522">
        <f t="shared" si="21"/>
        <v>20.91</v>
      </c>
      <c r="N118" s="522">
        <f t="shared" si="21"/>
        <v>20.91</v>
      </c>
      <c r="O118" s="522">
        <f t="shared" si="21"/>
        <v>20.91</v>
      </c>
      <c r="P118" s="522">
        <f t="shared" si="21"/>
        <v>20.91</v>
      </c>
      <c r="Q118" s="522">
        <f t="shared" si="21"/>
        <v>20.91</v>
      </c>
      <c r="R118" s="522">
        <f t="shared" si="21"/>
        <v>20.91</v>
      </c>
      <c r="S118" s="522">
        <f t="shared" si="21"/>
        <v>20.91</v>
      </c>
      <c r="T118" s="522">
        <f t="shared" si="21"/>
        <v>20.91</v>
      </c>
      <c r="U118" s="522">
        <f>SUM(U116:U117)</f>
        <v>0</v>
      </c>
      <c r="V118" s="522">
        <f>SUM(V116:V117)</f>
        <v>-30.200000000000017</v>
      </c>
      <c r="W118" s="97" t="str">
        <f>+IF(V118=SUM(H118:T118),"contrôle ok", "erreur")</f>
        <v>contrôle ok</v>
      </c>
    </row>
    <row r="119" spans="1:44" ht="12" thickTop="1" thickBot="1" x14ac:dyDescent="0.2">
      <c r="A119" s="78"/>
      <c r="B119" s="79"/>
      <c r="C119" s="80"/>
      <c r="D119" s="81"/>
      <c r="E119" s="81"/>
      <c r="F119" s="643"/>
      <c r="G119" s="217"/>
      <c r="H119" s="82"/>
      <c r="I119" s="82"/>
      <c r="J119" s="83"/>
      <c r="K119" s="84"/>
      <c r="L119" s="84"/>
      <c r="M119" s="84"/>
      <c r="N119" s="84"/>
      <c r="O119" s="84"/>
      <c r="P119" s="84"/>
      <c r="Q119" s="84"/>
      <c r="R119" s="84"/>
      <c r="S119" s="82"/>
      <c r="T119" s="82"/>
      <c r="U119" s="82"/>
      <c r="V119" s="85"/>
      <c r="W119" s="14"/>
    </row>
    <row r="120" spans="1:44" x14ac:dyDescent="0.15">
      <c r="W120" s="14"/>
    </row>
    <row r="121" spans="1:44" x14ac:dyDescent="0.15">
      <c r="W121" s="14"/>
    </row>
    <row r="122" spans="1:44" x14ac:dyDescent="0.15">
      <c r="W122" s="14"/>
    </row>
    <row r="123" spans="1:44" x14ac:dyDescent="0.15">
      <c r="W123" s="14"/>
    </row>
    <row r="124" spans="1:44" x14ac:dyDescent="0.15">
      <c r="W124" s="14"/>
    </row>
    <row r="125" spans="1:44" x14ac:dyDescent="0.15">
      <c r="W125" s="14"/>
    </row>
    <row r="126" spans="1:44" x14ac:dyDescent="0.15">
      <c r="W126" s="14"/>
    </row>
  </sheetData>
  <customSheetViews>
    <customSheetView guid="{4BA9EA0D-01E7-49D1-8245-80B9A9A68B6F}" scale="115" showPageBreaks="1" printArea="1">
      <selection activeCell="S12" sqref="S12"/>
      <pageMargins left="3.937007874015748E-2" right="3.937007874015748E-2" top="0.15748031496062992" bottom="0.19685039370078741" header="0.15748031496062992" footer="0.23622047244094491"/>
      <pageSetup paperSize="9" scale="60" orientation="landscape" r:id="rId1"/>
      <headerFooter alignWithMargins="0">
        <oddFooter>&amp;R&amp;8Le &amp;D
&amp;T</oddFooter>
      </headerFooter>
    </customSheetView>
    <customSheetView guid="{B5B04B19-0628-445C-9CF3-7F5D4D937774}" scale="115">
      <pane ySplit="4" topLeftCell="A86" activePane="bottomLeft"/>
      <selection pane="bottomLeft" activeCell="S56" sqref="S56"/>
      <pageMargins left="3.937007874015748E-2" right="3.937007874015748E-2" top="0.15748031496062992" bottom="0.19685039370078741" header="0.15748031496062992" footer="0.23622047244094491"/>
      <pageSetup paperSize="9" scale="60" orientation="landscape" r:id="rId2"/>
      <headerFooter alignWithMargins="0">
        <oddFooter>&amp;R&amp;8Le &amp;D
&amp;T</oddFooter>
      </headerFooter>
    </customSheetView>
    <customSheetView guid="{DD021BEF-F767-4779-A362-C9308ACC088B}" scale="115" topLeftCell="C1">
      <pane ySplit="3.8" topLeftCell="A58" activePane="bottomLeft"/>
      <selection pane="bottomLeft" activeCell="O63" sqref="O63"/>
      <pageMargins left="3.937007874015748E-2" right="3.937007874015748E-2" top="0.15748031496062992" bottom="0.19685039370078741" header="0.15748031496062992" footer="0.23622047244094491"/>
      <pageSetup paperSize="9" scale="60" orientation="landscape" r:id="rId3"/>
      <headerFooter alignWithMargins="0">
        <oddFooter>&amp;R&amp;8Le &amp;D
&amp;T</oddFooter>
      </headerFooter>
    </customSheetView>
    <customSheetView guid="{C8B269C8-9E4E-47CC-A407-F213FAC1E35C}" scale="115">
      <pane ySplit="4" topLeftCell="A86" activePane="bottomLeft"/>
      <selection pane="bottomLeft" activeCell="S56" sqref="S56"/>
      <pageMargins left="3.937007874015748E-2" right="3.937007874015748E-2" top="0.15748031496062992" bottom="0.19685039370078741" header="0.15748031496062992" footer="0.23622047244094491"/>
      <pageSetup paperSize="9" scale="60" orientation="landscape" r:id="rId4"/>
      <headerFooter alignWithMargins="0">
        <oddFooter>&amp;R&amp;8Le &amp;D
&amp;T</oddFooter>
      </headerFooter>
    </customSheetView>
  </customSheetViews>
  <mergeCells count="1">
    <mergeCell ref="L1:M1"/>
  </mergeCells>
  <phoneticPr fontId="0" type="noConversion"/>
  <pageMargins left="3.937007874015748E-2" right="3.937007874015748E-2" top="0.15748031496062992" bottom="0.19685039370078741" header="0.15748031496062992" footer="0.23622047244094491"/>
  <pageSetup paperSize="9" scale="60" orientation="landscape" r:id="rId5"/>
  <headerFooter alignWithMargins="0">
    <oddFooter>&amp;R&amp;8Le &amp;D
&amp;T</oddFooter>
  </headerFooter>
  <drawing r:id="rId6"/>
  <legacyDrawing r:id="rId7"/>
  <controls>
    <mc:AlternateContent xmlns:mc="http://schemas.openxmlformats.org/markup-compatibility/2006">
      <mc:Choice Requires="x14">
        <control shapeId="8195" r:id="rId8" name="ComboBox1">
          <controlPr defaultSize="0" autoFill="0" autoLine="0" listFillRange="COMPTE" r:id="rId9">
            <anchor>
              <from>
                <xdr:col>1</xdr:col>
                <xdr:colOff>95250</xdr:colOff>
                <xdr:row>0</xdr:row>
                <xdr:rowOff>28575</xdr:rowOff>
              </from>
              <to>
                <xdr:col>2</xdr:col>
                <xdr:colOff>800100</xdr:colOff>
                <xdr:row>1</xdr:row>
                <xdr:rowOff>104775</xdr:rowOff>
              </to>
            </anchor>
          </controlPr>
        </control>
      </mc:Choice>
      <mc:Fallback>
        <control shapeId="8195" r:id="rId8" name="ComboBox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Z359"/>
  <sheetViews>
    <sheetView zoomScaleNormal="100" workbookViewId="0">
      <pane xSplit="8" ySplit="3" topLeftCell="N4" activePane="bottomRight" state="frozen"/>
      <selection activeCell="T231" sqref="T231:U231"/>
      <selection pane="topRight" activeCell="T231" sqref="T231:U231"/>
      <selection pane="bottomLeft" activeCell="T231" sqref="T231:U231"/>
      <selection pane="bottomRight" activeCell="C167" sqref="C167"/>
    </sheetView>
  </sheetViews>
  <sheetFormatPr baseColWidth="10" defaultRowHeight="10.5" x14ac:dyDescent="0.15"/>
  <cols>
    <col min="1" max="1" width="20.28515625" style="16" customWidth="1"/>
    <col min="2" max="2" width="14.5703125" style="16" customWidth="1"/>
    <col min="3" max="3" width="13.7109375" style="17" bestFit="1" customWidth="1"/>
    <col min="4" max="4" width="7.85546875" style="18" customWidth="1"/>
    <col min="5" max="5" width="7.140625" style="18" customWidth="1"/>
    <col min="6" max="6" width="6.85546875" style="18" customWidth="1"/>
    <col min="7" max="7" width="7.85546875" style="106" bestFit="1" customWidth="1"/>
    <col min="8" max="8" width="10" style="219" bestFit="1" customWidth="1"/>
    <col min="9" max="21" width="9.28515625" style="219" bestFit="1" customWidth="1"/>
    <col min="22" max="22" width="10.28515625" style="219" bestFit="1" customWidth="1"/>
    <col min="23" max="16384" width="11.42578125" style="16"/>
  </cols>
  <sheetData>
    <row r="1" spans="1:23" ht="12.75" x14ac:dyDescent="0.2">
      <c r="A1" s="147" t="s">
        <v>678</v>
      </c>
      <c r="W1" s="14"/>
    </row>
    <row r="2" spans="1:23" ht="11.25" thickBot="1" x14ac:dyDescent="0.2">
      <c r="W2" s="14"/>
    </row>
    <row r="3" spans="1:23" ht="11.25" thickBot="1" x14ac:dyDescent="0.2">
      <c r="A3" s="62" t="s">
        <v>0</v>
      </c>
      <c r="B3" s="62" t="s">
        <v>1</v>
      </c>
      <c r="C3" s="63" t="s">
        <v>2</v>
      </c>
      <c r="D3" s="64"/>
      <c r="E3" s="64"/>
      <c r="F3" s="64"/>
      <c r="G3" s="99" t="s">
        <v>21</v>
      </c>
      <c r="H3" s="408">
        <v>2016</v>
      </c>
      <c r="I3" s="222" t="s">
        <v>55</v>
      </c>
      <c r="J3" s="222" t="s">
        <v>56</v>
      </c>
      <c r="K3" s="222" t="s">
        <v>5</v>
      </c>
      <c r="L3" s="222" t="s">
        <v>6</v>
      </c>
      <c r="M3" s="222" t="s">
        <v>7</v>
      </c>
      <c r="N3" s="222" t="s">
        <v>8</v>
      </c>
      <c r="O3" s="222" t="s">
        <v>65</v>
      </c>
      <c r="P3" s="222" t="s">
        <v>64</v>
      </c>
      <c r="Q3" s="222" t="s">
        <v>49</v>
      </c>
      <c r="R3" s="222" t="s">
        <v>50</v>
      </c>
      <c r="S3" s="222" t="s">
        <v>59</v>
      </c>
      <c r="T3" s="222" t="s">
        <v>51</v>
      </c>
      <c r="U3" s="222" t="s">
        <v>866</v>
      </c>
      <c r="V3" s="249" t="s">
        <v>66</v>
      </c>
      <c r="W3" s="14"/>
    </row>
    <row r="4" spans="1:23" x14ac:dyDescent="0.15">
      <c r="A4" s="87"/>
      <c r="B4" s="87"/>
      <c r="C4" s="88"/>
      <c r="D4" s="89"/>
      <c r="E4" s="89"/>
      <c r="F4" s="90"/>
      <c r="G4" s="121"/>
      <c r="H4" s="223"/>
      <c r="I4" s="223"/>
      <c r="J4" s="223"/>
      <c r="K4" s="223"/>
      <c r="L4" s="223"/>
      <c r="M4" s="223"/>
      <c r="N4" s="223"/>
      <c r="O4" s="223"/>
      <c r="P4" s="223"/>
      <c r="Q4" s="223"/>
      <c r="R4" s="223"/>
      <c r="S4" s="223"/>
      <c r="T4" s="250"/>
      <c r="U4" s="250"/>
      <c r="V4" s="250"/>
      <c r="W4" s="14"/>
    </row>
    <row r="5" spans="1:23" x14ac:dyDescent="0.15">
      <c r="A5" s="27" t="s">
        <v>149</v>
      </c>
      <c r="B5" s="28"/>
      <c r="C5" s="29"/>
      <c r="D5" s="30"/>
      <c r="E5" s="30"/>
      <c r="F5" s="31"/>
      <c r="G5" s="101"/>
      <c r="H5" s="224"/>
      <c r="I5" s="224"/>
      <c r="J5" s="251"/>
      <c r="K5" s="224"/>
      <c r="L5" s="224"/>
      <c r="M5" s="224"/>
      <c r="N5" s="224"/>
      <c r="O5" s="224"/>
      <c r="P5" s="224"/>
      <c r="Q5" s="224"/>
      <c r="R5" s="224"/>
      <c r="S5" s="224"/>
      <c r="T5" s="224"/>
      <c r="U5" s="224"/>
      <c r="V5" s="252"/>
    </row>
    <row r="6" spans="1:23" x14ac:dyDescent="0.15">
      <c r="A6" s="68" t="s">
        <v>161</v>
      </c>
      <c r="B6" s="143"/>
      <c r="C6" s="69"/>
      <c r="D6" s="145">
        <v>606801</v>
      </c>
      <c r="E6" s="172" t="s">
        <v>79</v>
      </c>
      <c r="F6" s="145">
        <v>999999</v>
      </c>
      <c r="G6" s="167"/>
      <c r="H6" s="565">
        <v>12.6</v>
      </c>
      <c r="I6" s="225">
        <f>955.6+36.2</f>
        <v>991.80000000000007</v>
      </c>
      <c r="J6" s="226">
        <f>835.4+22.6</f>
        <v>858</v>
      </c>
      <c r="K6" s="225">
        <f>818+25.8</f>
        <v>843.8</v>
      </c>
      <c r="L6" s="226">
        <f>26.6+707.2</f>
        <v>733.80000000000007</v>
      </c>
      <c r="M6" s="225">
        <f>20.2+831</f>
        <v>851.2</v>
      </c>
      <c r="N6" s="226">
        <f>8.4+739.4</f>
        <v>747.8</v>
      </c>
      <c r="O6" s="226">
        <f>750.12+4.62</f>
        <v>754.74</v>
      </c>
      <c r="P6" s="226">
        <f>832.65+219.24-211.05</f>
        <v>840.83999999999992</v>
      </c>
      <c r="Q6" s="226">
        <f>785.4+11.97</f>
        <v>797.37</v>
      </c>
      <c r="R6" s="226">
        <v>1148.07</v>
      </c>
      <c r="S6" s="226">
        <v>951.72</v>
      </c>
      <c r="T6" s="226"/>
      <c r="U6" s="582"/>
      <c r="V6" s="253">
        <f>SUM(H6:T6)</f>
        <v>9531.74</v>
      </c>
    </row>
    <row r="7" spans="1:23" s="37" customFormat="1" ht="11.25" thickBot="1" x14ac:dyDescent="0.2">
      <c r="A7" s="516" t="s">
        <v>11</v>
      </c>
      <c r="B7" s="527"/>
      <c r="C7" s="518"/>
      <c r="D7" s="534"/>
      <c r="E7" s="516"/>
      <c r="F7" s="529"/>
      <c r="G7" s="535"/>
      <c r="H7" s="522">
        <f>SUM(H6:H6)</f>
        <v>12.6</v>
      </c>
      <c r="I7" s="522">
        <f t="shared" ref="I7:V7" si="0">SUM(I6:I6)</f>
        <v>991.80000000000007</v>
      </c>
      <c r="J7" s="530">
        <f t="shared" si="0"/>
        <v>858</v>
      </c>
      <c r="K7" s="522">
        <f t="shared" si="0"/>
        <v>843.8</v>
      </c>
      <c r="L7" s="530">
        <f t="shared" si="0"/>
        <v>733.80000000000007</v>
      </c>
      <c r="M7" s="522">
        <f t="shared" si="0"/>
        <v>851.2</v>
      </c>
      <c r="N7" s="530">
        <f t="shared" si="0"/>
        <v>747.8</v>
      </c>
      <c r="O7" s="530">
        <f t="shared" si="0"/>
        <v>754.74</v>
      </c>
      <c r="P7" s="530">
        <f t="shared" si="0"/>
        <v>840.83999999999992</v>
      </c>
      <c r="Q7" s="530">
        <f t="shared" si="0"/>
        <v>797.37</v>
      </c>
      <c r="R7" s="530">
        <f t="shared" si="0"/>
        <v>1148.07</v>
      </c>
      <c r="S7" s="530">
        <f t="shared" si="0"/>
        <v>951.72</v>
      </c>
      <c r="T7" s="530">
        <f t="shared" si="0"/>
        <v>0</v>
      </c>
      <c r="U7" s="530">
        <f>SUM(U6:U6)</f>
        <v>0</v>
      </c>
      <c r="V7" s="530">
        <f t="shared" si="0"/>
        <v>9531.74</v>
      </c>
      <c r="W7" s="97" t="str">
        <f>+IF(V7=SUM(H7:T7),"contrôle ok", "erreur")</f>
        <v>contrôle ok</v>
      </c>
    </row>
    <row r="8" spans="1:23" ht="11.25" thickTop="1" x14ac:dyDescent="0.15">
      <c r="A8" s="87"/>
      <c r="B8" s="87"/>
      <c r="C8" s="88"/>
      <c r="D8" s="89"/>
      <c r="E8" s="89"/>
      <c r="F8" s="90"/>
      <c r="G8" s="122"/>
      <c r="H8" s="223"/>
      <c r="I8" s="223"/>
      <c r="J8" s="223"/>
      <c r="K8" s="223"/>
      <c r="L8" s="223"/>
      <c r="M8" s="223"/>
      <c r="N8" s="223"/>
      <c r="O8" s="223"/>
      <c r="P8" s="223"/>
      <c r="Q8" s="223"/>
      <c r="R8" s="223"/>
      <c r="S8" s="223"/>
      <c r="T8" s="250"/>
      <c r="U8" s="250"/>
      <c r="V8" s="254"/>
      <c r="W8" s="14"/>
    </row>
    <row r="9" spans="1:23" x14ac:dyDescent="0.15">
      <c r="A9" s="27" t="s">
        <v>247</v>
      </c>
      <c r="B9" s="28"/>
      <c r="C9" s="29"/>
      <c r="D9" s="30"/>
      <c r="E9" s="30"/>
      <c r="F9" s="31"/>
      <c r="G9" s="101"/>
      <c r="H9" s="224"/>
      <c r="I9" s="224"/>
      <c r="J9" s="251"/>
      <c r="K9" s="224"/>
      <c r="L9" s="224"/>
      <c r="M9" s="224"/>
      <c r="N9" s="224"/>
      <c r="O9" s="224"/>
      <c r="P9" s="224"/>
      <c r="Q9" s="224"/>
      <c r="R9" s="224"/>
      <c r="S9" s="224"/>
      <c r="T9" s="224"/>
      <c r="U9" s="224"/>
      <c r="V9" s="252"/>
    </row>
    <row r="10" spans="1:23" x14ac:dyDescent="0.15">
      <c r="A10" s="143"/>
      <c r="B10" s="143"/>
      <c r="C10" s="144"/>
      <c r="D10" s="145">
        <v>615130</v>
      </c>
      <c r="E10" s="145" t="s">
        <v>79</v>
      </c>
      <c r="F10" s="145" t="s">
        <v>248</v>
      </c>
      <c r="G10" s="167"/>
      <c r="H10" s="226"/>
      <c r="I10" s="226"/>
      <c r="J10" s="226"/>
      <c r="K10" s="226"/>
      <c r="L10" s="226"/>
      <c r="M10" s="226">
        <v>1435</v>
      </c>
      <c r="N10" s="226">
        <v>2440</v>
      </c>
      <c r="O10" s="226"/>
      <c r="P10" s="226"/>
      <c r="Q10" s="226"/>
      <c r="R10" s="226">
        <v>20000</v>
      </c>
      <c r="S10" s="226">
        <v>8310</v>
      </c>
      <c r="T10" s="226">
        <f>2430+3623</f>
        <v>6053</v>
      </c>
      <c r="U10" s="582"/>
      <c r="V10" s="253">
        <f>SUM(H10:T10)</f>
        <v>38238</v>
      </c>
    </row>
    <row r="11" spans="1:23" s="37" customFormat="1" ht="11.25" thickBot="1" x14ac:dyDescent="0.2">
      <c r="A11" s="516" t="s">
        <v>11</v>
      </c>
      <c r="B11" s="517"/>
      <c r="C11" s="518"/>
      <c r="D11" s="519"/>
      <c r="E11" s="516"/>
      <c r="F11" s="520"/>
      <c r="G11" s="521"/>
      <c r="H11" s="522">
        <f>SUM(H10)</f>
        <v>0</v>
      </c>
      <c r="I11" s="522">
        <f>SUM(I10)</f>
        <v>0</v>
      </c>
      <c r="J11" s="522">
        <f t="shared" ref="J11:T11" si="1">SUM(J10)</f>
        <v>0</v>
      </c>
      <c r="K11" s="522">
        <f t="shared" si="1"/>
        <v>0</v>
      </c>
      <c r="L11" s="522">
        <f t="shared" si="1"/>
        <v>0</v>
      </c>
      <c r="M11" s="522">
        <f t="shared" si="1"/>
        <v>1435</v>
      </c>
      <c r="N11" s="522">
        <f t="shared" si="1"/>
        <v>2440</v>
      </c>
      <c r="O11" s="522">
        <f t="shared" si="1"/>
        <v>0</v>
      </c>
      <c r="P11" s="522">
        <f t="shared" si="1"/>
        <v>0</v>
      </c>
      <c r="Q11" s="522">
        <f t="shared" si="1"/>
        <v>0</v>
      </c>
      <c r="R11" s="522">
        <f t="shared" si="1"/>
        <v>20000</v>
      </c>
      <c r="S11" s="522">
        <f t="shared" si="1"/>
        <v>8310</v>
      </c>
      <c r="T11" s="522">
        <f t="shared" si="1"/>
        <v>6053</v>
      </c>
      <c r="U11" s="522">
        <f>SUM(U10)</f>
        <v>0</v>
      </c>
      <c r="V11" s="522">
        <f>SUM(V10)</f>
        <v>38238</v>
      </c>
      <c r="W11" s="97" t="str">
        <f>+IF(V11=SUM(H11:T11),"contrôle ok", "erreur")</f>
        <v>contrôle ok</v>
      </c>
    </row>
    <row r="12" spans="1:23" ht="11.25" thickTop="1" x14ac:dyDescent="0.15">
      <c r="A12" s="87"/>
      <c r="B12" s="87"/>
      <c r="C12" s="88"/>
      <c r="D12" s="89"/>
      <c r="E12" s="89"/>
      <c r="F12" s="90"/>
      <c r="G12" s="121"/>
      <c r="H12" s="223"/>
      <c r="I12" s="223"/>
      <c r="J12" s="223"/>
      <c r="K12" s="223"/>
      <c r="L12" s="223"/>
      <c r="M12" s="223"/>
      <c r="N12" s="223"/>
      <c r="O12" s="223"/>
      <c r="P12" s="223"/>
      <c r="Q12" s="223"/>
      <c r="R12" s="223"/>
      <c r="S12" s="223"/>
      <c r="T12" s="250"/>
      <c r="U12" s="250"/>
      <c r="V12" s="250"/>
      <c r="W12" s="14"/>
    </row>
    <row r="13" spans="1:23" x14ac:dyDescent="0.15">
      <c r="A13" s="27" t="s">
        <v>23</v>
      </c>
      <c r="B13" s="28"/>
      <c r="C13" s="29"/>
      <c r="D13" s="30"/>
      <c r="E13" s="30"/>
      <c r="F13" s="31"/>
      <c r="G13" s="101"/>
      <c r="H13" s="224"/>
      <c r="I13" s="224"/>
      <c r="J13" s="251"/>
      <c r="K13" s="224"/>
      <c r="L13" s="224"/>
      <c r="M13" s="224"/>
      <c r="N13" s="224"/>
      <c r="O13" s="224"/>
      <c r="P13" s="224"/>
      <c r="Q13" s="224"/>
      <c r="R13" s="224"/>
      <c r="S13" s="224"/>
      <c r="T13" s="224"/>
      <c r="U13" s="224"/>
      <c r="V13" s="252"/>
    </row>
    <row r="14" spans="1:23" x14ac:dyDescent="0.15">
      <c r="A14" s="170" t="s">
        <v>538</v>
      </c>
      <c r="B14" s="143" t="s">
        <v>287</v>
      </c>
      <c r="C14" s="144"/>
      <c r="D14" s="145">
        <v>615140</v>
      </c>
      <c r="E14" s="145" t="s">
        <v>79</v>
      </c>
      <c r="F14" s="145" t="s">
        <v>179</v>
      </c>
      <c r="G14" s="167">
        <v>1152.9100000000001</v>
      </c>
      <c r="H14" s="559"/>
      <c r="I14" s="226">
        <v>1552.91</v>
      </c>
      <c r="J14" s="226">
        <v>1552.91</v>
      </c>
      <c r="K14" s="226">
        <v>1552.91</v>
      </c>
      <c r="L14" s="226">
        <v>1552.91</v>
      </c>
      <c r="M14" s="226">
        <v>1552.91</v>
      </c>
      <c r="N14" s="226">
        <v>1552.91</v>
      </c>
      <c r="O14" s="226">
        <v>1552.91</v>
      </c>
      <c r="P14" s="226">
        <v>1552.91</v>
      </c>
      <c r="Q14" s="226">
        <f>-2782+1552.91</f>
        <v>-1229.0899999999999</v>
      </c>
      <c r="R14" s="226">
        <v>1552.91</v>
      </c>
      <c r="S14" s="226">
        <v>1552.91</v>
      </c>
      <c r="T14" s="226">
        <f>-82.41+1552.91-906.51</f>
        <v>563.99</v>
      </c>
      <c r="U14" s="582"/>
      <c r="V14" s="253">
        <f>SUM(H14:T14)</f>
        <v>14864</v>
      </c>
    </row>
    <row r="15" spans="1:23" x14ac:dyDescent="0.15">
      <c r="A15" s="143"/>
      <c r="B15" s="143"/>
      <c r="C15" s="144"/>
      <c r="D15" s="145">
        <v>615140</v>
      </c>
      <c r="E15" s="145" t="s">
        <v>79</v>
      </c>
      <c r="F15" s="145" t="s">
        <v>192</v>
      </c>
      <c r="G15" s="167"/>
      <c r="H15" s="559"/>
      <c r="I15" s="226"/>
      <c r="J15" s="226"/>
      <c r="K15" s="226"/>
      <c r="L15" s="226"/>
      <c r="M15" s="226"/>
      <c r="N15" s="226"/>
      <c r="O15" s="226"/>
      <c r="P15" s="226"/>
      <c r="Q15" s="226"/>
      <c r="R15" s="226"/>
      <c r="S15" s="226"/>
      <c r="T15" s="226"/>
      <c r="U15" s="582"/>
      <c r="V15" s="253">
        <f>SUM(H15:T15)</f>
        <v>0</v>
      </c>
    </row>
    <row r="16" spans="1:23" s="37" customFormat="1" ht="11.25" thickBot="1" x14ac:dyDescent="0.2">
      <c r="A16" s="516" t="s">
        <v>11</v>
      </c>
      <c r="B16" s="517"/>
      <c r="C16" s="518"/>
      <c r="D16" s="519"/>
      <c r="E16" s="516"/>
      <c r="F16" s="520"/>
      <c r="G16" s="521"/>
      <c r="H16" s="522">
        <f t="shared" ref="H16:V16" si="2">SUM(H14:H15)</f>
        <v>0</v>
      </c>
      <c r="I16" s="522">
        <f t="shared" si="2"/>
        <v>1552.91</v>
      </c>
      <c r="J16" s="522">
        <f t="shared" si="2"/>
        <v>1552.91</v>
      </c>
      <c r="K16" s="522">
        <f t="shared" si="2"/>
        <v>1552.91</v>
      </c>
      <c r="L16" s="522">
        <f t="shared" si="2"/>
        <v>1552.91</v>
      </c>
      <c r="M16" s="522">
        <f t="shared" si="2"/>
        <v>1552.91</v>
      </c>
      <c r="N16" s="522">
        <f t="shared" si="2"/>
        <v>1552.91</v>
      </c>
      <c r="O16" s="522">
        <f t="shared" si="2"/>
        <v>1552.91</v>
      </c>
      <c r="P16" s="522">
        <f t="shared" si="2"/>
        <v>1552.91</v>
      </c>
      <c r="Q16" s="522">
        <f t="shared" si="2"/>
        <v>-1229.0899999999999</v>
      </c>
      <c r="R16" s="522">
        <f t="shared" si="2"/>
        <v>1552.91</v>
      </c>
      <c r="S16" s="522">
        <f t="shared" si="2"/>
        <v>1552.91</v>
      </c>
      <c r="T16" s="522">
        <f t="shared" si="2"/>
        <v>563.99</v>
      </c>
      <c r="U16" s="522">
        <f>SUM(U14:U15)</f>
        <v>0</v>
      </c>
      <c r="V16" s="522">
        <f t="shared" si="2"/>
        <v>14864</v>
      </c>
      <c r="W16" s="97" t="str">
        <f>+IF(V16=SUM(H16:T16),"contrôle ok", "erreur")</f>
        <v>contrôle ok</v>
      </c>
    </row>
    <row r="17" spans="1:23" ht="11.25" thickTop="1" x14ac:dyDescent="0.15">
      <c r="A17" s="87"/>
      <c r="B17" s="87"/>
      <c r="C17" s="88"/>
      <c r="D17" s="89"/>
      <c r="E17" s="89"/>
      <c r="F17" s="90"/>
      <c r="G17" s="121"/>
      <c r="H17" s="223"/>
      <c r="I17" s="223"/>
      <c r="J17" s="223"/>
      <c r="K17" s="223"/>
      <c r="L17" s="223"/>
      <c r="M17" s="223"/>
      <c r="N17" s="223"/>
      <c r="O17" s="223"/>
      <c r="P17" s="223"/>
      <c r="Q17" s="223"/>
      <c r="R17" s="223"/>
      <c r="S17" s="223"/>
      <c r="T17" s="250"/>
      <c r="U17" s="250"/>
      <c r="V17" s="250"/>
      <c r="W17" s="14"/>
    </row>
    <row r="18" spans="1:23" x14ac:dyDescent="0.15">
      <c r="A18" s="27" t="s">
        <v>129</v>
      </c>
      <c r="B18" s="28"/>
      <c r="C18" s="29"/>
      <c r="D18" s="30"/>
      <c r="E18" s="30"/>
      <c r="F18" s="31"/>
      <c r="G18" s="101"/>
      <c r="H18" s="224"/>
      <c r="I18" s="224"/>
      <c r="J18" s="251"/>
      <c r="K18" s="224"/>
      <c r="L18" s="224"/>
      <c r="M18" s="224"/>
      <c r="N18" s="224"/>
      <c r="O18" s="224"/>
      <c r="P18" s="224"/>
      <c r="Q18" s="224"/>
      <c r="R18" s="224"/>
      <c r="S18" s="224"/>
      <c r="T18" s="224"/>
      <c r="U18" s="224"/>
      <c r="V18" s="252"/>
    </row>
    <row r="19" spans="1:23" x14ac:dyDescent="0.15">
      <c r="A19" s="143" t="s">
        <v>193</v>
      </c>
      <c r="B19" s="143"/>
      <c r="C19" s="144"/>
      <c r="D19" s="145">
        <v>615145</v>
      </c>
      <c r="E19" s="145" t="s">
        <v>79</v>
      </c>
      <c r="F19" s="145" t="s">
        <v>192</v>
      </c>
      <c r="G19" s="167"/>
      <c r="H19" s="559"/>
      <c r="I19" s="226"/>
      <c r="J19" s="226"/>
      <c r="K19" s="227"/>
      <c r="L19" s="226"/>
      <c r="M19" s="226"/>
      <c r="N19" s="226"/>
      <c r="O19" s="226"/>
      <c r="P19" s="226"/>
      <c r="Q19" s="226"/>
      <c r="R19" s="226">
        <f>2.72*5+12.41</f>
        <v>26.01</v>
      </c>
      <c r="S19" s="226"/>
      <c r="T19" s="226"/>
      <c r="U19" s="582"/>
      <c r="V19" s="253">
        <f>SUM(H19:T19)</f>
        <v>26.01</v>
      </c>
    </row>
    <row r="20" spans="1:23" s="37" customFormat="1" ht="11.25" thickBot="1" x14ac:dyDescent="0.2">
      <c r="A20" s="516" t="s">
        <v>11</v>
      </c>
      <c r="B20" s="517"/>
      <c r="C20" s="518"/>
      <c r="D20" s="519"/>
      <c r="E20" s="516"/>
      <c r="F20" s="520"/>
      <c r="G20" s="521"/>
      <c r="H20" s="522">
        <f>SUM(H19:H19)</f>
        <v>0</v>
      </c>
      <c r="I20" s="522">
        <f t="shared" ref="I20:V20" si="3">SUM(I19:I19)</f>
        <v>0</v>
      </c>
      <c r="J20" s="522">
        <f t="shared" si="3"/>
        <v>0</v>
      </c>
      <c r="K20" s="522">
        <f t="shared" si="3"/>
        <v>0</v>
      </c>
      <c r="L20" s="522">
        <f t="shared" si="3"/>
        <v>0</v>
      </c>
      <c r="M20" s="522">
        <f t="shared" si="3"/>
        <v>0</v>
      </c>
      <c r="N20" s="522">
        <f t="shared" si="3"/>
        <v>0</v>
      </c>
      <c r="O20" s="522">
        <f t="shared" si="3"/>
        <v>0</v>
      </c>
      <c r="P20" s="522">
        <f t="shared" si="3"/>
        <v>0</v>
      </c>
      <c r="Q20" s="522">
        <f t="shared" si="3"/>
        <v>0</v>
      </c>
      <c r="R20" s="522">
        <f t="shared" si="3"/>
        <v>26.01</v>
      </c>
      <c r="S20" s="522">
        <f t="shared" si="3"/>
        <v>0</v>
      </c>
      <c r="T20" s="522">
        <f t="shared" si="3"/>
        <v>0</v>
      </c>
      <c r="U20" s="522">
        <f>SUM(U19:U19)</f>
        <v>0</v>
      </c>
      <c r="V20" s="522">
        <f t="shared" si="3"/>
        <v>26.01</v>
      </c>
      <c r="W20" s="97" t="str">
        <f>+IF(V20=SUM(H20:T20),"contrôle ok", "erreur")</f>
        <v>contrôle ok</v>
      </c>
    </row>
    <row r="21" spans="1:23" ht="11.25" thickTop="1" x14ac:dyDescent="0.15">
      <c r="A21" s="87"/>
      <c r="B21" s="87"/>
      <c r="C21" s="88"/>
      <c r="D21" s="89"/>
      <c r="E21" s="89"/>
      <c r="F21" s="90"/>
      <c r="G21" s="122"/>
      <c r="H21" s="223"/>
      <c r="I21" s="223"/>
      <c r="J21" s="223"/>
      <c r="K21" s="223"/>
      <c r="L21" s="223"/>
      <c r="M21" s="223"/>
      <c r="N21" s="223"/>
      <c r="O21" s="223"/>
      <c r="P21" s="223"/>
      <c r="Q21" s="223"/>
      <c r="R21" s="223"/>
      <c r="S21" s="223"/>
      <c r="T21" s="250"/>
      <c r="U21" s="250"/>
      <c r="V21" s="256"/>
      <c r="W21" s="14"/>
    </row>
    <row r="22" spans="1:23" x14ac:dyDescent="0.15">
      <c r="A22" s="27" t="s">
        <v>169</v>
      </c>
      <c r="B22" s="28"/>
      <c r="C22" s="29"/>
      <c r="D22" s="30"/>
      <c r="E22" s="30"/>
      <c r="F22" s="31"/>
      <c r="G22" s="101"/>
      <c r="H22" s="224"/>
      <c r="I22" s="224"/>
      <c r="J22" s="251"/>
      <c r="K22" s="224"/>
      <c r="L22" s="224"/>
      <c r="M22" s="224"/>
      <c r="N22" s="224"/>
      <c r="O22" s="224"/>
      <c r="P22" s="224"/>
      <c r="Q22" s="224"/>
      <c r="R22" s="224"/>
      <c r="S22" s="224"/>
      <c r="T22" s="224"/>
      <c r="U22" s="224"/>
      <c r="V22" s="252"/>
    </row>
    <row r="23" spans="1:23" x14ac:dyDescent="0.15">
      <c r="A23" s="143"/>
      <c r="B23" s="143"/>
      <c r="C23" s="144"/>
      <c r="D23" s="145">
        <v>615155</v>
      </c>
      <c r="E23" s="145" t="s">
        <v>79</v>
      </c>
      <c r="F23" s="145" t="s">
        <v>192</v>
      </c>
      <c r="G23" s="167"/>
      <c r="H23" s="559"/>
      <c r="I23" s="226"/>
      <c r="J23" s="226"/>
      <c r="K23" s="226"/>
      <c r="L23" s="226"/>
      <c r="M23" s="226"/>
      <c r="N23" s="226"/>
      <c r="O23" s="226"/>
      <c r="P23" s="226"/>
      <c r="Q23" s="226"/>
      <c r="R23" s="226"/>
      <c r="S23" s="226"/>
      <c r="T23" s="226"/>
      <c r="U23" s="582"/>
      <c r="V23" s="253">
        <f>SUM(H23:T23)</f>
        <v>0</v>
      </c>
    </row>
    <row r="24" spans="1:23" s="37" customFormat="1" ht="11.25" thickBot="1" x14ac:dyDescent="0.2">
      <c r="A24" s="516" t="s">
        <v>11</v>
      </c>
      <c r="B24" s="517"/>
      <c r="C24" s="518"/>
      <c r="D24" s="519"/>
      <c r="E24" s="516"/>
      <c r="F24" s="520"/>
      <c r="G24" s="521"/>
      <c r="H24" s="522">
        <f>SUM(H23)</f>
        <v>0</v>
      </c>
      <c r="I24" s="522">
        <f>SUM(I23)</f>
        <v>0</v>
      </c>
      <c r="J24" s="522">
        <f t="shared" ref="J24:V24" si="4">SUM(J23)</f>
        <v>0</v>
      </c>
      <c r="K24" s="522">
        <f t="shared" si="4"/>
        <v>0</v>
      </c>
      <c r="L24" s="522">
        <f t="shared" si="4"/>
        <v>0</v>
      </c>
      <c r="M24" s="522">
        <f t="shared" si="4"/>
        <v>0</v>
      </c>
      <c r="N24" s="522">
        <f t="shared" si="4"/>
        <v>0</v>
      </c>
      <c r="O24" s="522">
        <f t="shared" si="4"/>
        <v>0</v>
      </c>
      <c r="P24" s="522">
        <f t="shared" si="4"/>
        <v>0</v>
      </c>
      <c r="Q24" s="522">
        <f t="shared" si="4"/>
        <v>0</v>
      </c>
      <c r="R24" s="522">
        <f t="shared" si="4"/>
        <v>0</v>
      </c>
      <c r="S24" s="522">
        <f t="shared" si="4"/>
        <v>0</v>
      </c>
      <c r="T24" s="522">
        <f t="shared" si="4"/>
        <v>0</v>
      </c>
      <c r="U24" s="522">
        <f>SUM(U23)</f>
        <v>0</v>
      </c>
      <c r="V24" s="522">
        <f t="shared" si="4"/>
        <v>0</v>
      </c>
      <c r="W24" s="97" t="str">
        <f>+IF(V24=SUM(H24:T24),"contrôle ok", "erreur")</f>
        <v>contrôle ok</v>
      </c>
    </row>
    <row r="25" spans="1:23" ht="11.25" thickTop="1" x14ac:dyDescent="0.15">
      <c r="A25" s="87"/>
      <c r="B25" s="87"/>
      <c r="C25" s="88"/>
      <c r="D25" s="89"/>
      <c r="E25" s="89"/>
      <c r="F25" s="90"/>
      <c r="G25" s="122"/>
      <c r="H25" s="223"/>
      <c r="I25" s="223"/>
      <c r="J25" s="223"/>
      <c r="K25" s="223"/>
      <c r="L25" s="223"/>
      <c r="M25" s="223"/>
      <c r="N25" s="223"/>
      <c r="O25" s="223"/>
      <c r="P25" s="223"/>
      <c r="Q25" s="223"/>
      <c r="R25" s="223"/>
      <c r="S25" s="223"/>
      <c r="T25" s="250"/>
      <c r="U25" s="250"/>
      <c r="V25" s="254"/>
      <c r="W25" s="14"/>
    </row>
    <row r="26" spans="1:23" x14ac:dyDescent="0.15">
      <c r="A26" s="27" t="s">
        <v>524</v>
      </c>
      <c r="B26" s="28"/>
      <c r="C26" s="29"/>
      <c r="D26" s="30"/>
      <c r="E26" s="30"/>
      <c r="F26" s="31"/>
      <c r="G26" s="101"/>
      <c r="H26" s="224"/>
      <c r="I26" s="224"/>
      <c r="J26" s="224"/>
      <c r="K26" s="224"/>
      <c r="L26" s="224"/>
      <c r="M26" s="224"/>
      <c r="N26" s="224"/>
      <c r="O26" s="224"/>
      <c r="P26" s="224"/>
      <c r="Q26" s="224"/>
      <c r="R26" s="224"/>
      <c r="S26" s="224"/>
      <c r="T26" s="224"/>
      <c r="U26" s="224"/>
      <c r="V26" s="252"/>
    </row>
    <row r="27" spans="1:23" ht="10.9" customHeight="1" x14ac:dyDescent="0.15">
      <c r="A27" s="143" t="s">
        <v>452</v>
      </c>
      <c r="B27" s="143" t="s">
        <v>798</v>
      </c>
      <c r="C27" s="144"/>
      <c r="D27" s="145">
        <v>615175</v>
      </c>
      <c r="E27" s="145" t="s">
        <v>79</v>
      </c>
      <c r="F27" s="145" t="s">
        <v>179</v>
      </c>
      <c r="G27" s="163">
        <f>3221.4/12/3</f>
        <v>89.483333333333334</v>
      </c>
      <c r="H27" s="559"/>
      <c r="I27" s="226"/>
      <c r="J27" s="226"/>
      <c r="K27" s="226"/>
      <c r="L27" s="226"/>
      <c r="M27" s="226"/>
      <c r="N27" s="226">
        <v>28</v>
      </c>
      <c r="O27" s="226"/>
      <c r="P27" s="226"/>
      <c r="Q27" s="226"/>
      <c r="R27" s="226"/>
      <c r="S27" s="226"/>
      <c r="T27" s="226"/>
      <c r="U27" s="582"/>
      <c r="V27" s="253">
        <f>SUM(H27:T27)</f>
        <v>28</v>
      </c>
    </row>
    <row r="28" spans="1:23" ht="10.9" customHeight="1" x14ac:dyDescent="0.15">
      <c r="A28" s="143" t="s">
        <v>452</v>
      </c>
      <c r="B28" s="143" t="s">
        <v>522</v>
      </c>
      <c r="C28" s="144"/>
      <c r="D28" s="145">
        <v>615175</v>
      </c>
      <c r="E28" s="145" t="s">
        <v>79</v>
      </c>
      <c r="F28" s="145" t="s">
        <v>179</v>
      </c>
      <c r="G28" s="163">
        <f>43.75/3</f>
        <v>14.583333333333334</v>
      </c>
      <c r="H28" s="559"/>
      <c r="I28" s="226"/>
      <c r="J28" s="226"/>
      <c r="K28" s="226"/>
      <c r="L28" s="226"/>
      <c r="M28" s="226"/>
      <c r="N28" s="226"/>
      <c r="O28" s="226"/>
      <c r="P28" s="226"/>
      <c r="Q28" s="226"/>
      <c r="R28" s="226"/>
      <c r="S28" s="226"/>
      <c r="T28" s="226"/>
      <c r="U28" s="582"/>
      <c r="V28" s="253">
        <f>SUM(H28:T28)</f>
        <v>0</v>
      </c>
    </row>
    <row r="29" spans="1:23" s="37" customFormat="1" ht="11.25" thickBot="1" x14ac:dyDescent="0.2">
      <c r="A29" s="516" t="s">
        <v>11</v>
      </c>
      <c r="B29" s="517"/>
      <c r="C29" s="518"/>
      <c r="D29" s="519"/>
      <c r="E29" s="516"/>
      <c r="F29" s="520"/>
      <c r="G29" s="554"/>
      <c r="H29" s="522">
        <f>H27+H28</f>
        <v>0</v>
      </c>
      <c r="I29" s="522">
        <f>I27+I28</f>
        <v>0</v>
      </c>
      <c r="J29" s="522">
        <f t="shared" ref="J29:V29" si="5">J27+J28</f>
        <v>0</v>
      </c>
      <c r="K29" s="522">
        <f t="shared" si="5"/>
        <v>0</v>
      </c>
      <c r="L29" s="522">
        <f t="shared" si="5"/>
        <v>0</v>
      </c>
      <c r="M29" s="522">
        <f t="shared" si="5"/>
        <v>0</v>
      </c>
      <c r="N29" s="522">
        <f t="shared" si="5"/>
        <v>28</v>
      </c>
      <c r="O29" s="522">
        <f t="shared" si="5"/>
        <v>0</v>
      </c>
      <c r="P29" s="522">
        <f t="shared" si="5"/>
        <v>0</v>
      </c>
      <c r="Q29" s="522">
        <f t="shared" si="5"/>
        <v>0</v>
      </c>
      <c r="R29" s="522">
        <f t="shared" si="5"/>
        <v>0</v>
      </c>
      <c r="S29" s="522">
        <f t="shared" si="5"/>
        <v>0</v>
      </c>
      <c r="T29" s="522">
        <f t="shared" si="5"/>
        <v>0</v>
      </c>
      <c r="U29" s="522">
        <f>U27+U28</f>
        <v>0</v>
      </c>
      <c r="V29" s="522">
        <f t="shared" si="5"/>
        <v>28</v>
      </c>
      <c r="W29" s="97" t="str">
        <f>+IF(V29=SUM(H29:T29),"contrôle ok", "erreur")</f>
        <v>contrôle ok</v>
      </c>
    </row>
    <row r="30" spans="1:23" ht="11.25" thickTop="1" x14ac:dyDescent="0.15">
      <c r="A30" s="143"/>
      <c r="B30" s="143"/>
      <c r="C30" s="144"/>
      <c r="D30" s="145"/>
      <c r="E30" s="145"/>
      <c r="F30" s="145"/>
      <c r="G30" s="163"/>
      <c r="H30" s="226"/>
      <c r="I30" s="226"/>
      <c r="J30" s="226"/>
      <c r="K30" s="226"/>
      <c r="L30" s="226"/>
      <c r="M30" s="226"/>
      <c r="N30" s="226"/>
      <c r="O30" s="226"/>
      <c r="P30" s="226"/>
      <c r="Q30" s="226"/>
      <c r="R30" s="226"/>
      <c r="S30" s="226"/>
      <c r="T30" s="226"/>
      <c r="U30" s="226"/>
      <c r="V30" s="253">
        <f>SUM(H30:T30)</f>
        <v>0</v>
      </c>
    </row>
    <row r="31" spans="1:23" x14ac:dyDescent="0.15">
      <c r="A31" s="27" t="s">
        <v>228</v>
      </c>
      <c r="B31" s="28"/>
      <c r="C31" s="29"/>
      <c r="D31" s="30"/>
      <c r="E31" s="30"/>
      <c r="F31" s="31"/>
      <c r="G31" s="101"/>
      <c r="H31" s="224"/>
      <c r="I31" s="224"/>
      <c r="J31" s="224"/>
      <c r="K31" s="224"/>
      <c r="L31" s="224"/>
      <c r="M31" s="224"/>
      <c r="N31" s="224"/>
      <c r="O31" s="224"/>
      <c r="P31" s="224"/>
      <c r="Q31" s="224"/>
      <c r="R31" s="224"/>
      <c r="S31" s="224"/>
      <c r="T31" s="224"/>
      <c r="U31" s="224"/>
      <c r="V31" s="252"/>
    </row>
    <row r="32" spans="1:23" x14ac:dyDescent="0.15">
      <c r="A32" s="143"/>
      <c r="B32" s="143"/>
      <c r="C32" s="144"/>
      <c r="D32" s="145">
        <v>615176</v>
      </c>
      <c r="E32" s="145" t="s">
        <v>79</v>
      </c>
      <c r="F32" s="145" t="s">
        <v>192</v>
      </c>
      <c r="G32" s="163"/>
      <c r="H32" s="559"/>
      <c r="I32" s="226"/>
      <c r="J32" s="226"/>
      <c r="K32" s="226"/>
      <c r="L32" s="226"/>
      <c r="M32" s="226">
        <v>2845</v>
      </c>
      <c r="N32" s="226"/>
      <c r="O32" s="226"/>
      <c r="P32" s="226"/>
      <c r="Q32" s="226"/>
      <c r="R32" s="226"/>
      <c r="S32" s="226"/>
      <c r="T32" s="226"/>
      <c r="U32" s="582"/>
      <c r="V32" s="253">
        <f>SUM(H32:T32)</f>
        <v>2845</v>
      </c>
    </row>
    <row r="33" spans="1:23" x14ac:dyDescent="0.15">
      <c r="A33" s="143"/>
      <c r="B33" s="143"/>
      <c r="C33" s="144"/>
      <c r="D33" s="145"/>
      <c r="E33" s="145"/>
      <c r="F33" s="145"/>
      <c r="G33" s="163"/>
      <c r="H33" s="559"/>
      <c r="I33" s="226"/>
      <c r="J33" s="226"/>
      <c r="K33" s="226"/>
      <c r="L33" s="226"/>
      <c r="M33" s="226"/>
      <c r="N33" s="226"/>
      <c r="O33" s="226"/>
      <c r="P33" s="226"/>
      <c r="Q33" s="226"/>
      <c r="R33" s="226"/>
      <c r="S33" s="226"/>
      <c r="T33" s="226"/>
      <c r="U33" s="582"/>
      <c r="V33" s="253">
        <f>SUM(H33:T33)</f>
        <v>0</v>
      </c>
    </row>
    <row r="34" spans="1:23" s="37" customFormat="1" ht="11.25" thickBot="1" x14ac:dyDescent="0.2">
      <c r="A34" s="516" t="s">
        <v>11</v>
      </c>
      <c r="B34" s="517"/>
      <c r="C34" s="518"/>
      <c r="D34" s="519"/>
      <c r="E34" s="516"/>
      <c r="F34" s="520"/>
      <c r="G34" s="554"/>
      <c r="H34" s="522">
        <f>H32+H33</f>
        <v>0</v>
      </c>
      <c r="I34" s="522">
        <f>I32+I33</f>
        <v>0</v>
      </c>
      <c r="J34" s="522">
        <f t="shared" ref="J34:V34" si="6">J32+J33</f>
        <v>0</v>
      </c>
      <c r="K34" s="522">
        <f t="shared" si="6"/>
        <v>0</v>
      </c>
      <c r="L34" s="522">
        <f t="shared" si="6"/>
        <v>0</v>
      </c>
      <c r="M34" s="522">
        <f t="shared" si="6"/>
        <v>2845</v>
      </c>
      <c r="N34" s="522">
        <f t="shared" si="6"/>
        <v>0</v>
      </c>
      <c r="O34" s="522">
        <f t="shared" si="6"/>
        <v>0</v>
      </c>
      <c r="P34" s="522">
        <f t="shared" si="6"/>
        <v>0</v>
      </c>
      <c r="Q34" s="522">
        <f t="shared" si="6"/>
        <v>0</v>
      </c>
      <c r="R34" s="522">
        <f t="shared" si="6"/>
        <v>0</v>
      </c>
      <c r="S34" s="522">
        <f t="shared" si="6"/>
        <v>0</v>
      </c>
      <c r="T34" s="522">
        <f t="shared" si="6"/>
        <v>0</v>
      </c>
      <c r="U34" s="522">
        <f>U32+U33</f>
        <v>0</v>
      </c>
      <c r="V34" s="522">
        <f t="shared" si="6"/>
        <v>2845</v>
      </c>
      <c r="W34" s="97" t="str">
        <f>+IF(V34=SUM(H34:T34),"contrôle ok", "erreur")</f>
        <v>contrôle ok</v>
      </c>
    </row>
    <row r="35" spans="1:23" s="56" customFormat="1" ht="11.25" thickTop="1" x14ac:dyDescent="0.15">
      <c r="A35" s="54"/>
      <c r="B35" s="51"/>
      <c r="C35" s="52"/>
      <c r="D35" s="53"/>
      <c r="E35" s="120"/>
      <c r="F35" s="53"/>
      <c r="G35" s="190"/>
      <c r="H35" s="228"/>
      <c r="I35" s="228"/>
      <c r="J35" s="228"/>
      <c r="K35" s="228"/>
      <c r="L35" s="228"/>
      <c r="M35" s="228"/>
      <c r="N35" s="228"/>
      <c r="O35" s="228"/>
      <c r="P35" s="228"/>
      <c r="Q35" s="228"/>
      <c r="R35" s="228"/>
      <c r="S35" s="228"/>
      <c r="T35" s="228"/>
      <c r="U35" s="228"/>
      <c r="V35" s="228"/>
      <c r="W35" s="97"/>
    </row>
    <row r="36" spans="1:23" x14ac:dyDescent="0.15">
      <c r="A36" s="27" t="s">
        <v>131</v>
      </c>
      <c r="B36" s="28"/>
      <c r="C36" s="29"/>
      <c r="D36" s="30"/>
      <c r="E36" s="30"/>
      <c r="F36" s="31"/>
      <c r="G36" s="101"/>
      <c r="H36" s="224"/>
      <c r="I36" s="224"/>
      <c r="J36" s="251"/>
      <c r="K36" s="224"/>
      <c r="L36" s="224"/>
      <c r="M36" s="224"/>
      <c r="N36" s="224"/>
      <c r="O36" s="224"/>
      <c r="P36" s="224"/>
      <c r="Q36" s="224"/>
      <c r="R36" s="224"/>
      <c r="S36" s="224"/>
      <c r="T36" s="224"/>
      <c r="U36" s="224"/>
      <c r="V36" s="252"/>
    </row>
    <row r="37" spans="1:23" s="98" customFormat="1" x14ac:dyDescent="0.15">
      <c r="A37" s="143" t="s">
        <v>854</v>
      </c>
      <c r="B37" s="176"/>
      <c r="C37" s="177" t="s">
        <v>857</v>
      </c>
      <c r="D37" s="145">
        <v>615190</v>
      </c>
      <c r="E37" s="145" t="s">
        <v>79</v>
      </c>
      <c r="F37" s="145" t="s">
        <v>196</v>
      </c>
      <c r="G37" s="163">
        <v>264.66000000000003</v>
      </c>
      <c r="H37" s="559"/>
      <c r="I37" s="226">
        <v>260.67</v>
      </c>
      <c r="J37" s="299">
        <v>260.67</v>
      </c>
      <c r="K37" s="299">
        <v>260.67</v>
      </c>
      <c r="L37" s="226">
        <v>260.67</v>
      </c>
      <c r="M37" s="226">
        <v>260.67</v>
      </c>
      <c r="N37" s="226">
        <v>260.67</v>
      </c>
      <c r="O37" s="226">
        <v>260.67</v>
      </c>
      <c r="P37" s="226">
        <v>260.67</v>
      </c>
      <c r="Q37" s="226">
        <v>260.67</v>
      </c>
      <c r="R37" s="226">
        <v>260.67</v>
      </c>
      <c r="S37" s="226">
        <v>260.63</v>
      </c>
      <c r="T37" s="226">
        <v>264.66000000000003</v>
      </c>
      <c r="U37" s="582"/>
      <c r="V37" s="255">
        <f>SUM(H37:T37)</f>
        <v>3131.9900000000002</v>
      </c>
    </row>
    <row r="38" spans="1:23" x14ac:dyDescent="0.15">
      <c r="A38" s="143" t="s">
        <v>299</v>
      </c>
      <c r="B38" s="143" t="s">
        <v>230</v>
      </c>
      <c r="C38" s="144"/>
      <c r="D38" s="145">
        <v>615190</v>
      </c>
      <c r="E38" s="145" t="s">
        <v>79</v>
      </c>
      <c r="F38" s="145" t="s">
        <v>196</v>
      </c>
      <c r="G38" s="167">
        <v>363.45</v>
      </c>
      <c r="H38" s="559"/>
      <c r="I38" s="582">
        <v>370</v>
      </c>
      <c r="J38" s="582">
        <v>370</v>
      </c>
      <c r="K38" s="582">
        <v>370</v>
      </c>
      <c r="L38" s="582">
        <v>370</v>
      </c>
      <c r="M38" s="226">
        <v>-1480</v>
      </c>
      <c r="N38" s="226"/>
      <c r="O38" s="226"/>
      <c r="P38" s="226"/>
      <c r="Q38" s="226"/>
      <c r="R38" s="226"/>
      <c r="S38" s="226"/>
      <c r="T38" s="226"/>
      <c r="U38" s="582"/>
      <c r="V38" s="255">
        <f>SUM(H38:T38)</f>
        <v>0</v>
      </c>
    </row>
    <row r="39" spans="1:23" x14ac:dyDescent="0.15">
      <c r="A39" s="143" t="s">
        <v>164</v>
      </c>
      <c r="B39" s="143"/>
      <c r="C39" s="144"/>
      <c r="D39" s="145">
        <v>615190</v>
      </c>
      <c r="E39" s="145" t="s">
        <v>79</v>
      </c>
      <c r="F39" s="145" t="s">
        <v>192</v>
      </c>
      <c r="G39" s="167"/>
      <c r="H39" s="559"/>
      <c r="I39" s="226"/>
      <c r="J39" s="226">
        <f>504.06+1155</f>
        <v>1659.06</v>
      </c>
      <c r="K39" s="226"/>
      <c r="L39" s="226"/>
      <c r="M39" s="226">
        <v>506.6</v>
      </c>
      <c r="N39" s="226">
        <v>148.4</v>
      </c>
      <c r="O39" s="226"/>
      <c r="P39" s="226"/>
      <c r="Q39" s="226"/>
      <c r="R39" s="226"/>
      <c r="S39" s="226"/>
      <c r="T39" s="226"/>
      <c r="U39" s="582"/>
      <c r="V39" s="253">
        <f>SUM(H39:T39)</f>
        <v>2314.06</v>
      </c>
    </row>
    <row r="40" spans="1:23" s="37" customFormat="1" ht="11.25" thickBot="1" x14ac:dyDescent="0.2">
      <c r="A40" s="516" t="s">
        <v>11</v>
      </c>
      <c r="B40" s="517"/>
      <c r="C40" s="518"/>
      <c r="D40" s="519"/>
      <c r="E40" s="516"/>
      <c r="F40" s="520"/>
      <c r="G40" s="521"/>
      <c r="H40" s="522">
        <f>SUM(H38:H39)</f>
        <v>0</v>
      </c>
      <c r="I40" s="522">
        <f>SUM(I37:I39)</f>
        <v>630.67000000000007</v>
      </c>
      <c r="J40" s="522">
        <f t="shared" ref="J40:T40" si="7">SUM(J37:J39)</f>
        <v>2289.73</v>
      </c>
      <c r="K40" s="522">
        <f t="shared" si="7"/>
        <v>630.67000000000007</v>
      </c>
      <c r="L40" s="522">
        <f t="shared" si="7"/>
        <v>630.67000000000007</v>
      </c>
      <c r="M40" s="522">
        <f t="shared" si="7"/>
        <v>-712.7299999999999</v>
      </c>
      <c r="N40" s="522">
        <f t="shared" si="7"/>
        <v>409.07000000000005</v>
      </c>
      <c r="O40" s="522">
        <f t="shared" si="7"/>
        <v>260.67</v>
      </c>
      <c r="P40" s="522">
        <f t="shared" si="7"/>
        <v>260.67</v>
      </c>
      <c r="Q40" s="522">
        <f t="shared" si="7"/>
        <v>260.67</v>
      </c>
      <c r="R40" s="522">
        <f t="shared" si="7"/>
        <v>260.67</v>
      </c>
      <c r="S40" s="522">
        <f t="shared" si="7"/>
        <v>260.63</v>
      </c>
      <c r="T40" s="522">
        <f t="shared" si="7"/>
        <v>264.66000000000003</v>
      </c>
      <c r="U40" s="522">
        <f>SUM(U37:U39)</f>
        <v>0</v>
      </c>
      <c r="V40" s="522">
        <f>SUM(V37:V39)</f>
        <v>5446.05</v>
      </c>
      <c r="W40" s="97" t="str">
        <f>+IF(V40=SUM(H40:T40),"contrôle ok", "erreur")</f>
        <v>contrôle ok</v>
      </c>
    </row>
    <row r="41" spans="1:23" s="37" customFormat="1" ht="11.25" thickTop="1" x14ac:dyDescent="0.15">
      <c r="A41" s="33"/>
      <c r="B41" s="33"/>
      <c r="C41" s="34"/>
      <c r="D41" s="35"/>
      <c r="E41" s="36"/>
      <c r="F41" s="35"/>
      <c r="G41" s="100"/>
      <c r="H41" s="229"/>
      <c r="I41" s="229"/>
      <c r="J41" s="229"/>
      <c r="K41" s="229"/>
      <c r="L41" s="229"/>
      <c r="M41" s="229"/>
      <c r="N41" s="257"/>
      <c r="O41" s="229"/>
      <c r="P41" s="229"/>
      <c r="Q41" s="229"/>
      <c r="R41" s="229"/>
      <c r="S41" s="229"/>
      <c r="T41" s="229"/>
      <c r="U41" s="229"/>
      <c r="V41" s="258"/>
    </row>
    <row r="42" spans="1:23" x14ac:dyDescent="0.15">
      <c r="A42" s="27" t="s">
        <v>127</v>
      </c>
      <c r="B42" s="28"/>
      <c r="C42" s="29"/>
      <c r="D42" s="30"/>
      <c r="E42" s="30"/>
      <c r="F42" s="31"/>
      <c r="G42" s="101"/>
      <c r="H42" s="224"/>
      <c r="I42" s="224"/>
      <c r="J42" s="251"/>
      <c r="K42" s="224"/>
      <c r="L42" s="224"/>
      <c r="M42" s="224"/>
      <c r="N42" s="224"/>
      <c r="O42" s="224"/>
      <c r="P42" s="224"/>
      <c r="Q42" s="224"/>
      <c r="R42" s="224"/>
      <c r="S42" s="224"/>
      <c r="T42" s="224"/>
      <c r="U42" s="224"/>
      <c r="V42" s="252"/>
    </row>
    <row r="43" spans="1:23" x14ac:dyDescent="0.15">
      <c r="A43" s="143"/>
      <c r="B43" s="143"/>
      <c r="C43" s="144"/>
      <c r="D43" s="145">
        <v>615191</v>
      </c>
      <c r="E43" s="145" t="s">
        <v>79</v>
      </c>
      <c r="F43" s="145" t="s">
        <v>192</v>
      </c>
      <c r="G43" s="167"/>
      <c r="H43" s="559"/>
      <c r="I43" s="226"/>
      <c r="J43" s="226"/>
      <c r="K43" s="226"/>
      <c r="L43" s="226"/>
      <c r="M43" s="226"/>
      <c r="N43" s="226"/>
      <c r="O43" s="226"/>
      <c r="P43" s="226"/>
      <c r="Q43" s="226"/>
      <c r="R43" s="226">
        <v>2990</v>
      </c>
      <c r="S43" s="226">
        <v>872.19</v>
      </c>
      <c r="T43" s="226">
        <v>1955</v>
      </c>
      <c r="U43" s="582"/>
      <c r="V43" s="253">
        <f>SUM(H43:T43)</f>
        <v>5817.1900000000005</v>
      </c>
    </row>
    <row r="44" spans="1:23" x14ac:dyDescent="0.15">
      <c r="A44" s="68" t="s">
        <v>303</v>
      </c>
      <c r="B44" s="68"/>
      <c r="C44" s="69" t="s">
        <v>777</v>
      </c>
      <c r="D44" s="171">
        <v>615191</v>
      </c>
      <c r="E44" s="172" t="s">
        <v>79</v>
      </c>
      <c r="F44" s="168" t="s">
        <v>179</v>
      </c>
      <c r="G44" s="187">
        <v>308.64</v>
      </c>
      <c r="H44" s="559"/>
      <c r="I44" s="226">
        <v>304.08</v>
      </c>
      <c r="J44" s="226">
        <v>304.08</v>
      </c>
      <c r="K44" s="226">
        <v>304.08</v>
      </c>
      <c r="L44" s="226">
        <v>304.08</v>
      </c>
      <c r="M44" s="226">
        <v>304.08</v>
      </c>
      <c r="N44" s="226">
        <v>308.66000000000003</v>
      </c>
      <c r="O44" s="226">
        <v>308.64</v>
      </c>
      <c r="P44" s="226">
        <v>308.64</v>
      </c>
      <c r="Q44" s="226">
        <v>308.64</v>
      </c>
      <c r="R44" s="226">
        <v>308.64</v>
      </c>
      <c r="S44" s="226">
        <v>308.64</v>
      </c>
      <c r="T44" s="226">
        <v>308.64</v>
      </c>
      <c r="U44" s="582"/>
      <c r="V44" s="253">
        <f>SUM(H44:T44)</f>
        <v>3680.8999999999992</v>
      </c>
    </row>
    <row r="45" spans="1:23" s="37" customFormat="1" ht="11.25" thickBot="1" x14ac:dyDescent="0.2">
      <c r="A45" s="516" t="s">
        <v>11</v>
      </c>
      <c r="B45" s="517"/>
      <c r="C45" s="518"/>
      <c r="D45" s="519"/>
      <c r="E45" s="516"/>
      <c r="F45" s="520"/>
      <c r="G45" s="521"/>
      <c r="H45" s="522">
        <f>SUM(H43:H44)</f>
        <v>0</v>
      </c>
      <c r="I45" s="522">
        <f>SUM(I43:I44)</f>
        <v>304.08</v>
      </c>
      <c r="J45" s="522">
        <f t="shared" ref="J45:T45" si="8">SUM(J43:J44)</f>
        <v>304.08</v>
      </c>
      <c r="K45" s="522">
        <f t="shared" si="8"/>
        <v>304.08</v>
      </c>
      <c r="L45" s="522">
        <f t="shared" si="8"/>
        <v>304.08</v>
      </c>
      <c r="M45" s="522">
        <f t="shared" si="8"/>
        <v>304.08</v>
      </c>
      <c r="N45" s="522">
        <f t="shared" si="8"/>
        <v>308.66000000000003</v>
      </c>
      <c r="O45" s="522">
        <f t="shared" si="8"/>
        <v>308.64</v>
      </c>
      <c r="P45" s="522">
        <f t="shared" si="8"/>
        <v>308.64</v>
      </c>
      <c r="Q45" s="522">
        <f t="shared" si="8"/>
        <v>308.64</v>
      </c>
      <c r="R45" s="522">
        <f t="shared" si="8"/>
        <v>3298.64</v>
      </c>
      <c r="S45" s="522">
        <f t="shared" si="8"/>
        <v>1180.83</v>
      </c>
      <c r="T45" s="522">
        <f t="shared" si="8"/>
        <v>2263.64</v>
      </c>
      <c r="U45" s="522">
        <f>SUM(U43:U44)</f>
        <v>0</v>
      </c>
      <c r="V45" s="522">
        <f>SUM(V43:V44)</f>
        <v>9498.09</v>
      </c>
      <c r="W45" s="97" t="str">
        <f>+IF(V45=SUM(H45:T45),"contrôle ok", "erreur")</f>
        <v>contrôle ok</v>
      </c>
    </row>
    <row r="46" spans="1:23" ht="11.25" thickTop="1" x14ac:dyDescent="0.15">
      <c r="A46" s="33"/>
      <c r="B46" s="33"/>
      <c r="C46" s="34"/>
      <c r="D46" s="35"/>
      <c r="E46" s="36"/>
      <c r="F46" s="44"/>
      <c r="G46" s="100"/>
      <c r="H46" s="230"/>
      <c r="I46" s="230"/>
      <c r="J46" s="230"/>
      <c r="K46" s="230"/>
      <c r="L46" s="230"/>
      <c r="M46" s="230"/>
      <c r="N46" s="230"/>
      <c r="O46" s="230"/>
      <c r="P46" s="230"/>
      <c r="Q46" s="230"/>
      <c r="R46" s="230"/>
      <c r="S46" s="230"/>
      <c r="T46" s="259"/>
      <c r="U46" s="259"/>
      <c r="V46" s="260"/>
      <c r="W46" s="14"/>
    </row>
    <row r="47" spans="1:23" x14ac:dyDescent="0.15">
      <c r="A47" s="27" t="s">
        <v>132</v>
      </c>
      <c r="B47" s="28"/>
      <c r="C47" s="29"/>
      <c r="D47" s="30"/>
      <c r="E47" s="30"/>
      <c r="F47" s="31"/>
      <c r="G47" s="101"/>
      <c r="H47" s="224"/>
      <c r="I47" s="224"/>
      <c r="J47" s="251"/>
      <c r="K47" s="224"/>
      <c r="L47" s="224"/>
      <c r="M47" s="224"/>
      <c r="N47" s="224"/>
      <c r="O47" s="224"/>
      <c r="P47" s="224"/>
      <c r="Q47" s="224"/>
      <c r="R47" s="224"/>
      <c r="S47" s="224"/>
      <c r="T47" s="224"/>
      <c r="U47" s="224"/>
      <c r="V47" s="252"/>
    </row>
    <row r="48" spans="1:23" x14ac:dyDescent="0.15">
      <c r="A48" s="143" t="s">
        <v>99</v>
      </c>
      <c r="B48" s="143"/>
      <c r="C48" s="144"/>
      <c r="D48" s="145">
        <v>615193</v>
      </c>
      <c r="E48" s="145" t="s">
        <v>79</v>
      </c>
      <c r="F48" s="145" t="s">
        <v>191</v>
      </c>
      <c r="G48" s="167"/>
      <c r="H48" s="559"/>
      <c r="I48" s="226"/>
      <c r="J48" s="226">
        <f>651.04+433.2</f>
        <v>1084.24</v>
      </c>
      <c r="K48" s="226"/>
      <c r="L48" s="226"/>
      <c r="M48" s="226"/>
      <c r="N48" s="226"/>
      <c r="O48" s="226"/>
      <c r="P48" s="226"/>
      <c r="Q48" s="226"/>
      <c r="R48" s="226"/>
      <c r="S48" s="226"/>
      <c r="T48" s="226"/>
      <c r="U48" s="582"/>
      <c r="V48" s="253">
        <f>SUM(H48:T48)</f>
        <v>1084.24</v>
      </c>
    </row>
    <row r="49" spans="1:23" x14ac:dyDescent="0.15">
      <c r="A49" s="143"/>
      <c r="B49" s="143"/>
      <c r="C49" s="144"/>
      <c r="D49" s="145">
        <v>615193</v>
      </c>
      <c r="E49" s="145" t="s">
        <v>79</v>
      </c>
      <c r="F49" s="145" t="s">
        <v>192</v>
      </c>
      <c r="G49" s="167"/>
      <c r="H49" s="559"/>
      <c r="I49" s="226"/>
      <c r="J49" s="226"/>
      <c r="K49" s="226"/>
      <c r="L49" s="226"/>
      <c r="M49" s="226"/>
      <c r="N49" s="226"/>
      <c r="O49" s="226"/>
      <c r="P49" s="226"/>
      <c r="Q49" s="226"/>
      <c r="R49" s="226"/>
      <c r="S49" s="226"/>
      <c r="T49" s="226"/>
      <c r="U49" s="582"/>
      <c r="V49" s="253">
        <f>SUM(H49:T49)</f>
        <v>0</v>
      </c>
    </row>
    <row r="50" spans="1:23" s="37" customFormat="1" ht="11.25" thickBot="1" x14ac:dyDescent="0.2">
      <c r="A50" s="516" t="s">
        <v>11</v>
      </c>
      <c r="B50" s="517"/>
      <c r="C50" s="518"/>
      <c r="D50" s="519"/>
      <c r="E50" s="516"/>
      <c r="F50" s="520"/>
      <c r="G50" s="521"/>
      <c r="H50" s="522">
        <f>SUM(H48:H49)</f>
        <v>0</v>
      </c>
      <c r="I50" s="522">
        <f t="shared" ref="I50:V50" si="9">SUM(I48:I49)</f>
        <v>0</v>
      </c>
      <c r="J50" s="522">
        <f t="shared" si="9"/>
        <v>1084.24</v>
      </c>
      <c r="K50" s="522">
        <f t="shared" si="9"/>
        <v>0</v>
      </c>
      <c r="L50" s="522">
        <f t="shared" si="9"/>
        <v>0</v>
      </c>
      <c r="M50" s="522">
        <f t="shared" si="9"/>
        <v>0</v>
      </c>
      <c r="N50" s="522">
        <f t="shared" si="9"/>
        <v>0</v>
      </c>
      <c r="O50" s="522">
        <f t="shared" si="9"/>
        <v>0</v>
      </c>
      <c r="P50" s="522">
        <f t="shared" si="9"/>
        <v>0</v>
      </c>
      <c r="Q50" s="522">
        <f t="shared" si="9"/>
        <v>0</v>
      </c>
      <c r="R50" s="522">
        <f t="shared" si="9"/>
        <v>0</v>
      </c>
      <c r="S50" s="522">
        <f t="shared" si="9"/>
        <v>0</v>
      </c>
      <c r="T50" s="522">
        <f t="shared" si="9"/>
        <v>0</v>
      </c>
      <c r="U50" s="522">
        <f>SUM(U48:U49)</f>
        <v>0</v>
      </c>
      <c r="V50" s="522">
        <f t="shared" si="9"/>
        <v>1084.24</v>
      </c>
      <c r="W50" s="97" t="str">
        <f>+IF(V50=SUM(H50:T50),"contrôle ok", "erreur")</f>
        <v>contrôle ok</v>
      </c>
    </row>
    <row r="51" spans="1:23" ht="11.25" thickTop="1" x14ac:dyDescent="0.15">
      <c r="A51" s="33"/>
      <c r="B51" s="33"/>
      <c r="C51" s="34"/>
      <c r="D51" s="35"/>
      <c r="E51" s="36"/>
      <c r="F51" s="44"/>
      <c r="G51" s="100"/>
      <c r="H51" s="230"/>
      <c r="I51" s="230"/>
      <c r="J51" s="230"/>
      <c r="K51" s="230"/>
      <c r="L51" s="230"/>
      <c r="M51" s="230"/>
      <c r="N51" s="230"/>
      <c r="O51" s="230"/>
      <c r="P51" s="230"/>
      <c r="Q51" s="230"/>
      <c r="R51" s="230"/>
      <c r="S51" s="230"/>
      <c r="T51" s="259"/>
      <c r="U51" s="259"/>
      <c r="V51" s="259"/>
      <c r="W51" s="14"/>
    </row>
    <row r="52" spans="1:23" x14ac:dyDescent="0.15">
      <c r="A52" s="27" t="s">
        <v>89</v>
      </c>
      <c r="B52" s="28"/>
      <c r="C52" s="29"/>
      <c r="D52" s="30"/>
      <c r="E52" s="30"/>
      <c r="F52" s="31"/>
      <c r="G52" s="101"/>
      <c r="H52" s="224"/>
      <c r="I52" s="224"/>
      <c r="J52" s="251"/>
      <c r="K52" s="224"/>
      <c r="L52" s="224"/>
      <c r="M52" s="224"/>
      <c r="N52" s="224"/>
      <c r="O52" s="224"/>
      <c r="P52" s="224"/>
      <c r="Q52" s="224"/>
      <c r="R52" s="224"/>
      <c r="S52" s="224"/>
      <c r="T52" s="224"/>
      <c r="U52" s="224"/>
      <c r="V52" s="252"/>
    </row>
    <row r="53" spans="1:23" x14ac:dyDescent="0.15">
      <c r="A53" s="143"/>
      <c r="B53" s="143"/>
      <c r="C53" s="144"/>
      <c r="D53" s="145">
        <v>615195</v>
      </c>
      <c r="E53" s="145" t="s">
        <v>79</v>
      </c>
      <c r="F53" s="145" t="s">
        <v>192</v>
      </c>
      <c r="G53" s="167"/>
      <c r="H53" s="559"/>
      <c r="I53" s="226"/>
      <c r="J53" s="226"/>
      <c r="K53" s="226"/>
      <c r="L53" s="226"/>
      <c r="M53" s="234">
        <v>500</v>
      </c>
      <c r="N53" s="226"/>
      <c r="O53" s="226"/>
      <c r="P53" s="226"/>
      <c r="Q53" s="226">
        <v>210</v>
      </c>
      <c r="R53" s="226"/>
      <c r="S53" s="226">
        <v>1566.8</v>
      </c>
      <c r="T53" s="226"/>
      <c r="U53" s="582"/>
      <c r="V53" s="253">
        <f>SUM(H53:T53)</f>
        <v>2276.8000000000002</v>
      </c>
    </row>
    <row r="54" spans="1:23" s="37" customFormat="1" ht="11.25" thickBot="1" x14ac:dyDescent="0.2">
      <c r="A54" s="516" t="s">
        <v>11</v>
      </c>
      <c r="B54" s="517"/>
      <c r="C54" s="518"/>
      <c r="D54" s="519"/>
      <c r="E54" s="516"/>
      <c r="F54" s="520"/>
      <c r="G54" s="521"/>
      <c r="H54" s="522">
        <f>SUM(H53)</f>
        <v>0</v>
      </c>
      <c r="I54" s="522">
        <f>SUM(I53)</f>
        <v>0</v>
      </c>
      <c r="J54" s="522">
        <f t="shared" ref="J54:V54" si="10">SUM(J53)</f>
        <v>0</v>
      </c>
      <c r="K54" s="522">
        <f t="shared" si="10"/>
        <v>0</v>
      </c>
      <c r="L54" s="522">
        <f t="shared" si="10"/>
        <v>0</v>
      </c>
      <c r="M54" s="522">
        <f t="shared" si="10"/>
        <v>500</v>
      </c>
      <c r="N54" s="522">
        <f t="shared" si="10"/>
        <v>0</v>
      </c>
      <c r="O54" s="522">
        <f t="shared" si="10"/>
        <v>0</v>
      </c>
      <c r="P54" s="522">
        <f t="shared" si="10"/>
        <v>0</v>
      </c>
      <c r="Q54" s="522">
        <f t="shared" si="10"/>
        <v>210</v>
      </c>
      <c r="R54" s="522">
        <f t="shared" si="10"/>
        <v>0</v>
      </c>
      <c r="S54" s="522">
        <f t="shared" si="10"/>
        <v>1566.8</v>
      </c>
      <c r="T54" s="522">
        <f t="shared" si="10"/>
        <v>0</v>
      </c>
      <c r="U54" s="522">
        <f>SUM(U53)</f>
        <v>0</v>
      </c>
      <c r="V54" s="522">
        <f t="shared" si="10"/>
        <v>2276.8000000000002</v>
      </c>
      <c r="W54" s="97" t="str">
        <f>+IF(V54=SUM(H54:T54),"contrôle ok", "erreur")</f>
        <v>contrôle ok</v>
      </c>
    </row>
    <row r="55" spans="1:23" s="37" customFormat="1" ht="11.25" thickTop="1" x14ac:dyDescent="0.15">
      <c r="A55" s="33"/>
      <c r="B55" s="33"/>
      <c r="C55" s="34"/>
      <c r="D55" s="35"/>
      <c r="E55" s="36"/>
      <c r="F55" s="35"/>
      <c r="G55" s="100"/>
      <c r="H55" s="229"/>
      <c r="I55" s="229"/>
      <c r="J55" s="229"/>
      <c r="K55" s="229"/>
      <c r="L55" s="229"/>
      <c r="M55" s="229"/>
      <c r="N55" s="257"/>
      <c r="O55" s="229"/>
      <c r="P55" s="229"/>
      <c r="Q55" s="229"/>
      <c r="R55" s="229"/>
      <c r="S55" s="229"/>
      <c r="T55" s="229"/>
      <c r="U55" s="229"/>
      <c r="V55" s="258"/>
    </row>
    <row r="56" spans="1:23" ht="11.25" customHeight="1" x14ac:dyDescent="0.15">
      <c r="A56" s="27" t="s">
        <v>150</v>
      </c>
      <c r="B56" s="28"/>
      <c r="C56" s="29"/>
      <c r="D56" s="30"/>
      <c r="E56" s="30"/>
      <c r="F56" s="31"/>
      <c r="G56" s="101"/>
      <c r="H56" s="224"/>
      <c r="I56" s="224"/>
      <c r="J56" s="251"/>
      <c r="K56" s="224"/>
      <c r="L56" s="224"/>
      <c r="M56" s="224"/>
      <c r="N56" s="224"/>
      <c r="O56" s="224"/>
      <c r="P56" s="224"/>
      <c r="Q56" s="224"/>
      <c r="R56" s="224"/>
      <c r="S56" s="224"/>
      <c r="T56" s="224"/>
      <c r="U56" s="224"/>
      <c r="V56" s="252"/>
    </row>
    <row r="57" spans="1:23" x14ac:dyDescent="0.15">
      <c r="A57" s="143"/>
      <c r="B57" s="143"/>
      <c r="C57" s="144"/>
      <c r="D57" s="145">
        <v>615196</v>
      </c>
      <c r="E57" s="145" t="s">
        <v>79</v>
      </c>
      <c r="F57" s="145" t="s">
        <v>183</v>
      </c>
      <c r="G57" s="167"/>
      <c r="H57" s="559"/>
      <c r="I57" s="226"/>
      <c r="J57" s="226"/>
      <c r="K57" s="226"/>
      <c r="L57" s="226"/>
      <c r="M57" s="226"/>
      <c r="N57" s="226"/>
      <c r="O57" s="226"/>
      <c r="P57" s="226"/>
      <c r="Q57" s="226"/>
      <c r="R57" s="226"/>
      <c r="S57" s="226"/>
      <c r="T57" s="226"/>
      <c r="U57" s="582"/>
      <c r="V57" s="253">
        <f>SUM(H57:T57)</f>
        <v>0</v>
      </c>
    </row>
    <row r="58" spans="1:23" x14ac:dyDescent="0.15">
      <c r="A58" s="143" t="s">
        <v>587</v>
      </c>
      <c r="B58" s="143" t="s">
        <v>251</v>
      </c>
      <c r="C58" s="144"/>
      <c r="D58" s="145">
        <v>615196</v>
      </c>
      <c r="E58" s="145" t="s">
        <v>79</v>
      </c>
      <c r="F58" s="145" t="s">
        <v>182</v>
      </c>
      <c r="G58" s="167">
        <v>235.8</v>
      </c>
      <c r="H58" s="559"/>
      <c r="I58" s="226">
        <v>235.8</v>
      </c>
      <c r="J58" s="226">
        <v>235.8</v>
      </c>
      <c r="K58" s="226">
        <v>235.8</v>
      </c>
      <c r="L58" s="226">
        <v>235.8</v>
      </c>
      <c r="M58" s="226">
        <v>235.8</v>
      </c>
      <c r="N58" s="226">
        <v>235.8</v>
      </c>
      <c r="O58" s="226">
        <v>235.8</v>
      </c>
      <c r="P58" s="226">
        <v>235.8</v>
      </c>
      <c r="Q58" s="226">
        <v>235.8</v>
      </c>
      <c r="R58" s="226">
        <v>235.8</v>
      </c>
      <c r="S58" s="226">
        <v>235.8</v>
      </c>
      <c r="T58" s="226">
        <v>235.76</v>
      </c>
      <c r="U58" s="582"/>
      <c r="V58" s="253">
        <f>SUM(H58:T58)</f>
        <v>2829.5600000000004</v>
      </c>
    </row>
    <row r="59" spans="1:23" x14ac:dyDescent="0.15">
      <c r="A59" s="143" t="s">
        <v>587</v>
      </c>
      <c r="B59" s="143"/>
      <c r="C59" s="144"/>
      <c r="D59" s="145">
        <v>615196</v>
      </c>
      <c r="E59" s="145" t="s">
        <v>79</v>
      </c>
      <c r="F59" s="145" t="s">
        <v>192</v>
      </c>
      <c r="G59" s="167"/>
      <c r="H59" s="559"/>
      <c r="I59" s="226"/>
      <c r="J59" s="226"/>
      <c r="K59" s="226"/>
      <c r="L59" s="226"/>
      <c r="M59" s="226"/>
      <c r="N59" s="226"/>
      <c r="O59" s="226"/>
      <c r="P59" s="226"/>
      <c r="Q59" s="226"/>
      <c r="R59" s="226"/>
      <c r="S59" s="226"/>
      <c r="T59" s="226"/>
      <c r="U59" s="582"/>
      <c r="V59" s="253">
        <f>SUM(H59:T59)</f>
        <v>0</v>
      </c>
    </row>
    <row r="60" spans="1:23" s="37" customFormat="1" ht="11.25" thickBot="1" x14ac:dyDescent="0.2">
      <c r="A60" s="516" t="s">
        <v>11</v>
      </c>
      <c r="B60" s="517"/>
      <c r="C60" s="518"/>
      <c r="D60" s="519"/>
      <c r="E60" s="516"/>
      <c r="F60" s="520"/>
      <c r="G60" s="521"/>
      <c r="H60" s="522">
        <f>SUM(H57:H59)</f>
        <v>0</v>
      </c>
      <c r="I60" s="522">
        <f t="shared" ref="I60:V60" si="11">SUM(I57:I59)</f>
        <v>235.8</v>
      </c>
      <c r="J60" s="522">
        <f t="shared" si="11"/>
        <v>235.8</v>
      </c>
      <c r="K60" s="522">
        <f t="shared" si="11"/>
        <v>235.8</v>
      </c>
      <c r="L60" s="522">
        <f t="shared" si="11"/>
        <v>235.8</v>
      </c>
      <c r="M60" s="522">
        <f t="shared" si="11"/>
        <v>235.8</v>
      </c>
      <c r="N60" s="522">
        <f t="shared" si="11"/>
        <v>235.8</v>
      </c>
      <c r="O60" s="522">
        <f t="shared" si="11"/>
        <v>235.8</v>
      </c>
      <c r="P60" s="522">
        <f t="shared" si="11"/>
        <v>235.8</v>
      </c>
      <c r="Q60" s="522">
        <f t="shared" si="11"/>
        <v>235.8</v>
      </c>
      <c r="R60" s="522">
        <f t="shared" si="11"/>
        <v>235.8</v>
      </c>
      <c r="S60" s="522">
        <f t="shared" si="11"/>
        <v>235.8</v>
      </c>
      <c r="T60" s="522">
        <f t="shared" si="11"/>
        <v>235.76</v>
      </c>
      <c r="U60" s="522">
        <f>SUM(U57:U59)</f>
        <v>0</v>
      </c>
      <c r="V60" s="522">
        <f t="shared" si="11"/>
        <v>2829.5600000000004</v>
      </c>
      <c r="W60" s="97" t="str">
        <f>+IF(V60=SUM(H60:T60),"contrôle ok", "erreur")</f>
        <v>contrôle ok</v>
      </c>
    </row>
    <row r="61" spans="1:23" s="37" customFormat="1" ht="11.25" thickTop="1" x14ac:dyDescent="0.15">
      <c r="A61" s="33"/>
      <c r="B61" s="33"/>
      <c r="C61" s="34"/>
      <c r="D61" s="35"/>
      <c r="E61" s="36"/>
      <c r="F61" s="35"/>
      <c r="G61" s="100"/>
      <c r="H61" s="229"/>
      <c r="I61" s="229"/>
      <c r="J61" s="229"/>
      <c r="K61" s="229"/>
      <c r="L61" s="229"/>
      <c r="M61" s="229"/>
      <c r="N61" s="257"/>
      <c r="O61" s="229"/>
      <c r="P61" s="229"/>
      <c r="Q61" s="229"/>
      <c r="R61" s="229"/>
      <c r="S61" s="229"/>
      <c r="T61" s="229"/>
      <c r="U61" s="229"/>
      <c r="V61" s="229"/>
    </row>
    <row r="62" spans="1:23" x14ac:dyDescent="0.15">
      <c r="A62" s="27" t="s">
        <v>9</v>
      </c>
      <c r="B62" s="28"/>
      <c r="C62" s="29"/>
      <c r="D62" s="30"/>
      <c r="E62" s="30"/>
      <c r="F62" s="31"/>
      <c r="G62" s="101"/>
      <c r="H62" s="224"/>
      <c r="I62" s="224"/>
      <c r="J62" s="251"/>
      <c r="K62" s="224"/>
      <c r="L62" s="224"/>
      <c r="M62" s="224"/>
      <c r="N62" s="224"/>
      <c r="O62" s="224"/>
      <c r="P62" s="224"/>
      <c r="Q62" s="224"/>
      <c r="R62" s="224"/>
      <c r="S62" s="224"/>
      <c r="T62" s="224"/>
      <c r="U62" s="224"/>
      <c r="V62" s="252"/>
    </row>
    <row r="63" spans="1:23" x14ac:dyDescent="0.15">
      <c r="A63" s="143" t="s">
        <v>126</v>
      </c>
      <c r="B63" s="143" t="s">
        <v>18</v>
      </c>
      <c r="C63" s="144"/>
      <c r="D63" s="145">
        <v>615200</v>
      </c>
      <c r="E63" s="145" t="s">
        <v>79</v>
      </c>
      <c r="F63" s="145" t="s">
        <v>179</v>
      </c>
      <c r="G63" s="167">
        <v>5033.03</v>
      </c>
      <c r="H63" s="559"/>
      <c r="I63" s="226">
        <v>5254.07</v>
      </c>
      <c r="J63" s="226">
        <v>5128.07</v>
      </c>
      <c r="K63" s="226">
        <v>5128.07</v>
      </c>
      <c r="L63" s="226">
        <v>5254.07</v>
      </c>
      <c r="M63" s="226">
        <v>5001.3500000000004</v>
      </c>
      <c r="N63" s="226">
        <v>5140</v>
      </c>
      <c r="O63" s="226">
        <v>5079.2299999999996</v>
      </c>
      <c r="P63" s="226">
        <v>5001.3500000000004</v>
      </c>
      <c r="Q63" s="226">
        <v>5001.3500000000004</v>
      </c>
      <c r="R63" s="226">
        <v>5127.3500000000004</v>
      </c>
      <c r="S63" s="226">
        <v>5001.3500000000004</v>
      </c>
      <c r="T63" s="226"/>
      <c r="U63" s="582"/>
      <c r="V63" s="253">
        <f>SUM(H63:T63)</f>
        <v>56116.259999999995</v>
      </c>
    </row>
    <row r="64" spans="1:23" x14ac:dyDescent="0.15">
      <c r="A64" s="143" t="s">
        <v>52</v>
      </c>
      <c r="B64" s="143"/>
      <c r="C64" s="144"/>
      <c r="D64" s="145">
        <v>615200</v>
      </c>
      <c r="E64" s="145" t="s">
        <v>79</v>
      </c>
      <c r="F64" s="145" t="s">
        <v>179</v>
      </c>
      <c r="G64" s="167">
        <v>215.78</v>
      </c>
      <c r="H64" s="559"/>
      <c r="I64" s="226">
        <v>219.01</v>
      </c>
      <c r="J64" s="226">
        <v>219.01</v>
      </c>
      <c r="K64" s="226">
        <v>219</v>
      </c>
      <c r="L64" s="226">
        <v>219</v>
      </c>
      <c r="M64" s="226">
        <v>219.01</v>
      </c>
      <c r="N64" s="226">
        <v>219.01</v>
      </c>
      <c r="O64" s="226">
        <v>219</v>
      </c>
      <c r="P64" s="226">
        <v>219.01</v>
      </c>
      <c r="Q64" s="226">
        <v>219.01</v>
      </c>
      <c r="R64" s="226">
        <v>219</v>
      </c>
      <c r="S64" s="226">
        <v>219.01</v>
      </c>
      <c r="T64" s="226">
        <v>219.01</v>
      </c>
      <c r="U64" s="582"/>
      <c r="V64" s="253">
        <f>SUM(H64:T64)</f>
        <v>2628.08</v>
      </c>
    </row>
    <row r="65" spans="1:23" x14ac:dyDescent="0.15">
      <c r="A65" s="143" t="s">
        <v>222</v>
      </c>
      <c r="B65" s="143"/>
      <c r="C65" s="144"/>
      <c r="D65" s="145">
        <v>615200</v>
      </c>
      <c r="E65" s="145" t="s">
        <v>79</v>
      </c>
      <c r="F65" s="145" t="s">
        <v>192</v>
      </c>
      <c r="G65" s="167"/>
      <c r="H65" s="559"/>
      <c r="I65" s="226"/>
      <c r="J65" s="226"/>
      <c r="K65" s="226"/>
      <c r="L65" s="226"/>
      <c r="M65" s="226"/>
      <c r="N65" s="226"/>
      <c r="O65" s="226"/>
      <c r="P65" s="226">
        <v>560</v>
      </c>
      <c r="Q65" s="226"/>
      <c r="R65" s="226"/>
      <c r="S65" s="226"/>
      <c r="T65" s="226"/>
      <c r="U65" s="582"/>
      <c r="V65" s="253">
        <f>SUM(H65:T65)</f>
        <v>560</v>
      </c>
    </row>
    <row r="66" spans="1:23" s="37" customFormat="1" ht="11.25" thickBot="1" x14ac:dyDescent="0.2">
      <c r="A66" s="516" t="s">
        <v>11</v>
      </c>
      <c r="B66" s="517"/>
      <c r="C66" s="518"/>
      <c r="D66" s="519"/>
      <c r="E66" s="516"/>
      <c r="F66" s="520"/>
      <c r="G66" s="521"/>
      <c r="H66" s="522">
        <f>SUM(H63:H65)</f>
        <v>0</v>
      </c>
      <c r="I66" s="522">
        <f t="shared" ref="I66:V66" si="12">SUM(I63:I65)</f>
        <v>5473.08</v>
      </c>
      <c r="J66" s="522">
        <f t="shared" si="12"/>
        <v>5347.08</v>
      </c>
      <c r="K66" s="522">
        <f t="shared" si="12"/>
        <v>5347.07</v>
      </c>
      <c r="L66" s="522">
        <f t="shared" si="12"/>
        <v>5473.07</v>
      </c>
      <c r="M66" s="522">
        <f t="shared" si="12"/>
        <v>5220.3600000000006</v>
      </c>
      <c r="N66" s="522">
        <f t="shared" si="12"/>
        <v>5359.01</v>
      </c>
      <c r="O66" s="522">
        <f t="shared" si="12"/>
        <v>5298.23</v>
      </c>
      <c r="P66" s="522">
        <f t="shared" si="12"/>
        <v>5780.3600000000006</v>
      </c>
      <c r="Q66" s="522">
        <f t="shared" si="12"/>
        <v>5220.3600000000006</v>
      </c>
      <c r="R66" s="522">
        <f t="shared" si="12"/>
        <v>5346.35</v>
      </c>
      <c r="S66" s="522">
        <f t="shared" si="12"/>
        <v>5220.3600000000006</v>
      </c>
      <c r="T66" s="522">
        <f t="shared" si="12"/>
        <v>219.01</v>
      </c>
      <c r="U66" s="522">
        <f>SUM(U63:U65)</f>
        <v>0</v>
      </c>
      <c r="V66" s="522">
        <f t="shared" si="12"/>
        <v>59304.34</v>
      </c>
      <c r="W66" s="97" t="str">
        <f>+IF(V66=SUM(H66:T66),"contrôle ok", "erreur")</f>
        <v>contrôle ok</v>
      </c>
    </row>
    <row r="67" spans="1:23" s="37" customFormat="1" ht="11.25" thickTop="1" x14ac:dyDescent="0.15">
      <c r="A67" s="33"/>
      <c r="B67" s="33"/>
      <c r="C67" s="34"/>
      <c r="D67" s="35"/>
      <c r="E67" s="36"/>
      <c r="F67" s="35"/>
      <c r="G67" s="100"/>
      <c r="H67" s="229"/>
      <c r="I67" s="229"/>
      <c r="J67" s="229"/>
      <c r="K67" s="229"/>
      <c r="L67" s="229"/>
      <c r="M67" s="229"/>
      <c r="N67" s="257"/>
      <c r="O67" s="229"/>
      <c r="P67" s="229"/>
      <c r="Q67" s="229"/>
      <c r="R67" s="229"/>
      <c r="S67" s="229"/>
      <c r="T67" s="229"/>
      <c r="U67" s="229"/>
      <c r="V67" s="229"/>
    </row>
    <row r="68" spans="1:23" x14ac:dyDescent="0.15">
      <c r="A68" s="27" t="s">
        <v>768</v>
      </c>
      <c r="B68" s="28"/>
      <c r="C68" s="29"/>
      <c r="D68" s="30"/>
      <c r="E68" s="30"/>
      <c r="F68" s="31"/>
      <c r="G68" s="101"/>
      <c r="H68" s="224"/>
      <c r="I68" s="224"/>
      <c r="J68" s="251"/>
      <c r="K68" s="224"/>
      <c r="L68" s="224"/>
      <c r="M68" s="224"/>
      <c r="N68" s="224"/>
      <c r="O68" s="224"/>
      <c r="P68" s="224"/>
      <c r="Q68" s="224"/>
      <c r="R68" s="224"/>
      <c r="S68" s="224"/>
      <c r="T68" s="224"/>
      <c r="U68" s="224"/>
      <c r="V68" s="252"/>
    </row>
    <row r="69" spans="1:23" x14ac:dyDescent="0.15">
      <c r="A69" s="143"/>
      <c r="B69" s="143"/>
      <c r="C69" s="144"/>
      <c r="D69" s="145">
        <v>615195</v>
      </c>
      <c r="E69" s="145" t="s">
        <v>79</v>
      </c>
      <c r="F69" s="145"/>
      <c r="G69" s="167"/>
      <c r="H69" s="559"/>
      <c r="I69" s="226"/>
      <c r="J69" s="226"/>
      <c r="K69" s="226"/>
      <c r="L69" s="226"/>
      <c r="M69" s="234"/>
      <c r="N69" s="226"/>
      <c r="O69" s="226"/>
      <c r="P69" s="226"/>
      <c r="Q69" s="226"/>
      <c r="R69" s="226"/>
      <c r="S69" s="226"/>
      <c r="T69" s="226"/>
      <c r="U69" s="582"/>
      <c r="V69" s="253">
        <f>SUM(H69:T69)</f>
        <v>0</v>
      </c>
    </row>
    <row r="70" spans="1:23" s="37" customFormat="1" ht="11.25" thickBot="1" x14ac:dyDescent="0.2">
      <c r="A70" s="516" t="s">
        <v>11</v>
      </c>
      <c r="B70" s="517"/>
      <c r="C70" s="518"/>
      <c r="D70" s="519"/>
      <c r="E70" s="516"/>
      <c r="F70" s="520"/>
      <c r="G70" s="521"/>
      <c r="H70" s="522">
        <f>SUM(H69)</f>
        <v>0</v>
      </c>
      <c r="I70" s="522">
        <f>SUM(I69)</f>
        <v>0</v>
      </c>
      <c r="J70" s="522">
        <f t="shared" ref="J70:V70" si="13">SUM(J69)</f>
        <v>0</v>
      </c>
      <c r="K70" s="522">
        <f t="shared" si="13"/>
        <v>0</v>
      </c>
      <c r="L70" s="522">
        <f t="shared" si="13"/>
        <v>0</v>
      </c>
      <c r="M70" s="522">
        <f t="shared" si="13"/>
        <v>0</v>
      </c>
      <c r="N70" s="522">
        <f t="shared" si="13"/>
        <v>0</v>
      </c>
      <c r="O70" s="522">
        <f t="shared" si="13"/>
        <v>0</v>
      </c>
      <c r="P70" s="522">
        <f t="shared" si="13"/>
        <v>0</v>
      </c>
      <c r="Q70" s="522">
        <f t="shared" si="13"/>
        <v>0</v>
      </c>
      <c r="R70" s="522">
        <f t="shared" si="13"/>
        <v>0</v>
      </c>
      <c r="S70" s="522">
        <f t="shared" si="13"/>
        <v>0</v>
      </c>
      <c r="T70" s="522">
        <f t="shared" si="13"/>
        <v>0</v>
      </c>
      <c r="U70" s="522">
        <f>SUM(U69)</f>
        <v>0</v>
      </c>
      <c r="V70" s="522">
        <f t="shared" si="13"/>
        <v>0</v>
      </c>
      <c r="W70" s="97" t="str">
        <f>+IF(V70=SUM(H70:T70),"contrôle ok", "erreur")</f>
        <v>contrôle ok</v>
      </c>
    </row>
    <row r="71" spans="1:23" s="37" customFormat="1" ht="11.25" thickTop="1" x14ac:dyDescent="0.15">
      <c r="A71" s="33"/>
      <c r="B71" s="33"/>
      <c r="C71" s="34"/>
      <c r="D71" s="35"/>
      <c r="E71" s="36"/>
      <c r="F71" s="35"/>
      <c r="G71" s="100"/>
      <c r="H71" s="229"/>
      <c r="I71" s="229"/>
      <c r="J71" s="229"/>
      <c r="K71" s="229"/>
      <c r="L71" s="229"/>
      <c r="M71" s="229"/>
      <c r="N71" s="257"/>
      <c r="O71" s="229"/>
      <c r="P71" s="229"/>
      <c r="Q71" s="229"/>
      <c r="R71" s="229"/>
      <c r="S71" s="229"/>
      <c r="T71" s="229"/>
      <c r="U71" s="229"/>
      <c r="V71" s="258"/>
    </row>
    <row r="72" spans="1:23" x14ac:dyDescent="0.15">
      <c r="A72" s="27" t="s">
        <v>12</v>
      </c>
      <c r="B72" s="28"/>
      <c r="C72" s="29"/>
      <c r="D72" s="30"/>
      <c r="E72" s="30"/>
      <c r="F72" s="31"/>
      <c r="G72" s="101"/>
      <c r="H72" s="224"/>
      <c r="I72" s="224"/>
      <c r="J72" s="251"/>
      <c r="K72" s="224"/>
      <c r="L72" s="224"/>
      <c r="M72" s="224"/>
      <c r="N72" s="224"/>
      <c r="O72" s="224"/>
      <c r="P72" s="224"/>
      <c r="Q72" s="224"/>
      <c r="R72" s="224"/>
      <c r="S72" s="224"/>
      <c r="T72" s="224"/>
      <c r="U72" s="224"/>
      <c r="V72" s="252"/>
    </row>
    <row r="73" spans="1:23" x14ac:dyDescent="0.15">
      <c r="A73" s="143" t="s">
        <v>175</v>
      </c>
      <c r="B73" s="143" t="s">
        <v>261</v>
      </c>
      <c r="C73" s="144">
        <v>2017</v>
      </c>
      <c r="D73" s="145">
        <v>615220</v>
      </c>
      <c r="E73" s="145" t="s">
        <v>693</v>
      </c>
      <c r="F73" s="145" t="s">
        <v>179</v>
      </c>
      <c r="G73" s="167">
        <v>443.09</v>
      </c>
      <c r="H73" s="559"/>
      <c r="I73" s="226">
        <v>447.55</v>
      </c>
      <c r="J73" s="226">
        <v>447.56</v>
      </c>
      <c r="K73" s="226">
        <v>447.56</v>
      </c>
      <c r="L73" s="226">
        <v>447.56</v>
      </c>
      <c r="M73" s="226">
        <v>447.56</v>
      </c>
      <c r="N73" s="226">
        <v>447.56</v>
      </c>
      <c r="O73" s="226">
        <v>447.56</v>
      </c>
      <c r="P73" s="226">
        <v>447.56</v>
      </c>
      <c r="Q73" s="226">
        <v>447.56</v>
      </c>
      <c r="R73" s="226">
        <v>447.56</v>
      </c>
      <c r="S73" s="226">
        <v>447.56</v>
      </c>
      <c r="T73" s="226">
        <v>447.46</v>
      </c>
      <c r="U73" s="582"/>
      <c r="V73" s="253">
        <f>SUM(H73:T73)</f>
        <v>5370.6100000000006</v>
      </c>
    </row>
    <row r="74" spans="1:23" x14ac:dyDescent="0.15">
      <c r="A74" s="143" t="s">
        <v>393</v>
      </c>
      <c r="B74" s="203" t="s">
        <v>394</v>
      </c>
      <c r="C74" s="144" t="s">
        <v>825</v>
      </c>
      <c r="D74" s="145">
        <v>615220</v>
      </c>
      <c r="E74" s="145" t="s">
        <v>693</v>
      </c>
      <c r="F74" s="145" t="s">
        <v>179</v>
      </c>
      <c r="G74" s="167">
        <v>63.34</v>
      </c>
      <c r="H74" s="559"/>
      <c r="I74" s="226">
        <v>63.34</v>
      </c>
      <c r="J74" s="226">
        <v>63.34</v>
      </c>
      <c r="K74" s="226">
        <v>63.34</v>
      </c>
      <c r="L74" s="226">
        <v>63.34</v>
      </c>
      <c r="M74" s="226">
        <v>63.34</v>
      </c>
      <c r="N74" s="226">
        <v>63.34</v>
      </c>
      <c r="O74" s="226">
        <v>63.26</v>
      </c>
      <c r="P74" s="226">
        <v>63.34</v>
      </c>
      <c r="Q74" s="226">
        <v>63.34</v>
      </c>
      <c r="R74" s="226">
        <v>63.34</v>
      </c>
      <c r="S74" s="226">
        <v>63.34</v>
      </c>
      <c r="T74" s="226">
        <v>63.34</v>
      </c>
      <c r="U74" s="582"/>
      <c r="V74" s="253">
        <f t="shared" ref="V74:V140" si="14">SUM(H74:T74)</f>
        <v>760.00000000000023</v>
      </c>
    </row>
    <row r="75" spans="1:23" x14ac:dyDescent="0.15">
      <c r="A75" s="143" t="s">
        <v>606</v>
      </c>
      <c r="B75" s="143" t="s">
        <v>531</v>
      </c>
      <c r="C75" s="144">
        <v>2016</v>
      </c>
      <c r="D75" s="145">
        <v>615220</v>
      </c>
      <c r="E75" s="145" t="s">
        <v>693</v>
      </c>
      <c r="F75" s="145" t="s">
        <v>179</v>
      </c>
      <c r="G75" s="167">
        <v>33.31</v>
      </c>
      <c r="H75" s="559"/>
      <c r="I75" s="582">
        <v>35</v>
      </c>
      <c r="J75" s="582">
        <v>35</v>
      </c>
      <c r="K75" s="582">
        <v>35</v>
      </c>
      <c r="L75" s="582">
        <v>35</v>
      </c>
      <c r="M75" s="582">
        <v>35</v>
      </c>
      <c r="N75" s="582">
        <v>35</v>
      </c>
      <c r="O75" s="226">
        <v>-210</v>
      </c>
      <c r="P75" s="226"/>
      <c r="Q75" s="226"/>
      <c r="R75" s="226"/>
      <c r="S75" s="226"/>
      <c r="T75" s="226"/>
      <c r="U75" s="582"/>
      <c r="V75" s="253">
        <f t="shared" si="14"/>
        <v>0</v>
      </c>
    </row>
    <row r="76" spans="1:23" x14ac:dyDescent="0.15">
      <c r="A76" s="143" t="s">
        <v>606</v>
      </c>
      <c r="B76" s="143" t="s">
        <v>531</v>
      </c>
      <c r="C76" s="144" t="s">
        <v>793</v>
      </c>
      <c r="D76" s="145">
        <v>615220</v>
      </c>
      <c r="E76" s="145" t="s">
        <v>693</v>
      </c>
      <c r="F76" s="145" t="s">
        <v>179</v>
      </c>
      <c r="G76" s="167">
        <v>7.42</v>
      </c>
      <c r="H76" s="559"/>
      <c r="I76" s="226">
        <v>7</v>
      </c>
      <c r="J76" s="226">
        <v>7</v>
      </c>
      <c r="K76" s="226">
        <v>7</v>
      </c>
      <c r="L76" s="226">
        <v>7</v>
      </c>
      <c r="M76" s="226">
        <v>7</v>
      </c>
      <c r="N76" s="226">
        <v>7.42</v>
      </c>
      <c r="O76" s="226">
        <v>7.42</v>
      </c>
      <c r="P76" s="226">
        <v>7.42</v>
      </c>
      <c r="Q76" s="226">
        <v>7.42</v>
      </c>
      <c r="R76" s="226">
        <v>7.42</v>
      </c>
      <c r="S76" s="226">
        <v>7.42</v>
      </c>
      <c r="T76" s="226">
        <v>7.42</v>
      </c>
      <c r="U76" s="582"/>
      <c r="V76" s="253">
        <f t="shared" si="14"/>
        <v>86.940000000000012</v>
      </c>
    </row>
    <row r="77" spans="1:23" x14ac:dyDescent="0.15">
      <c r="A77" s="143" t="s">
        <v>606</v>
      </c>
      <c r="B77" s="203" t="s">
        <v>607</v>
      </c>
      <c r="C77" s="144">
        <v>2017</v>
      </c>
      <c r="D77" s="145">
        <v>615220</v>
      </c>
      <c r="E77" s="145" t="s">
        <v>693</v>
      </c>
      <c r="F77" s="145" t="s">
        <v>179</v>
      </c>
      <c r="G77" s="167">
        <v>33.340000000000003</v>
      </c>
      <c r="H77" s="559"/>
      <c r="I77" s="226">
        <v>34.42</v>
      </c>
      <c r="J77" s="226">
        <v>34.42</v>
      </c>
      <c r="K77" s="226">
        <v>34.42</v>
      </c>
      <c r="L77" s="226">
        <v>34.42</v>
      </c>
      <c r="M77" s="226">
        <v>34.42</v>
      </c>
      <c r="N77" s="226">
        <v>34.42</v>
      </c>
      <c r="O77" s="226">
        <v>34.42</v>
      </c>
      <c r="P77" s="226">
        <v>34.42</v>
      </c>
      <c r="Q77" s="226">
        <v>34.42</v>
      </c>
      <c r="R77" s="226">
        <v>34.42</v>
      </c>
      <c r="S77" s="226">
        <v>34.42</v>
      </c>
      <c r="T77" s="226">
        <v>34.42</v>
      </c>
      <c r="U77" s="582"/>
      <c r="V77" s="253">
        <f t="shared" si="14"/>
        <v>413.04000000000013</v>
      </c>
    </row>
    <row r="78" spans="1:23" x14ac:dyDescent="0.15">
      <c r="A78" s="143" t="s">
        <v>606</v>
      </c>
      <c r="B78" s="143" t="s">
        <v>531</v>
      </c>
      <c r="C78" s="144" t="s">
        <v>815</v>
      </c>
      <c r="D78" s="145">
        <v>615220</v>
      </c>
      <c r="E78" s="145" t="s">
        <v>693</v>
      </c>
      <c r="F78" s="145" t="s">
        <v>179</v>
      </c>
      <c r="G78" s="167">
        <v>104</v>
      </c>
      <c r="H78" s="559"/>
      <c r="I78" s="226">
        <v>104</v>
      </c>
      <c r="J78" s="226">
        <v>104</v>
      </c>
      <c r="K78" s="226">
        <v>104</v>
      </c>
      <c r="L78" s="226">
        <v>104</v>
      </c>
      <c r="M78" s="226">
        <v>104</v>
      </c>
      <c r="N78" s="226">
        <v>104</v>
      </c>
      <c r="O78" s="226">
        <v>104</v>
      </c>
      <c r="P78" s="226">
        <v>104</v>
      </c>
      <c r="Q78" s="226">
        <v>104</v>
      </c>
      <c r="R78" s="226">
        <v>110.21</v>
      </c>
      <c r="S78" s="226">
        <v>110.21</v>
      </c>
      <c r="T78" s="226">
        <v>110.21</v>
      </c>
      <c r="U78" s="582"/>
      <c r="V78" s="253">
        <f>SUM(H78:T78)</f>
        <v>1266.6300000000001</v>
      </c>
    </row>
    <row r="79" spans="1:23" x14ac:dyDescent="0.15">
      <c r="A79" s="143" t="s">
        <v>606</v>
      </c>
      <c r="B79" s="143" t="s">
        <v>531</v>
      </c>
      <c r="C79" s="619" t="s">
        <v>838</v>
      </c>
      <c r="D79" s="145">
        <v>615220</v>
      </c>
      <c r="E79" s="145" t="s">
        <v>693</v>
      </c>
      <c r="F79" s="145" t="s">
        <v>179</v>
      </c>
      <c r="G79" s="167">
        <f>22+10</f>
        <v>32</v>
      </c>
      <c r="H79" s="559"/>
      <c r="I79" s="226"/>
      <c r="J79" s="226"/>
      <c r="K79" s="226"/>
      <c r="L79" s="226"/>
      <c r="M79" s="226"/>
      <c r="N79" s="226"/>
      <c r="O79" s="226"/>
      <c r="P79" s="226"/>
      <c r="Q79" s="226"/>
      <c r="R79" s="226"/>
      <c r="S79" s="226">
        <f>44+20</f>
        <v>64</v>
      </c>
      <c r="T79" s="226"/>
      <c r="U79" s="582"/>
      <c r="V79" s="253">
        <f t="shared" si="14"/>
        <v>64</v>
      </c>
    </row>
    <row r="80" spans="1:23" x14ac:dyDescent="0.15">
      <c r="A80" s="143" t="s">
        <v>632</v>
      </c>
      <c r="B80" s="203"/>
      <c r="C80" s="144" t="s">
        <v>633</v>
      </c>
      <c r="D80" s="145">
        <v>615220</v>
      </c>
      <c r="E80" s="145" t="s">
        <v>693</v>
      </c>
      <c r="F80" s="145" t="s">
        <v>179</v>
      </c>
      <c r="G80" s="167">
        <v>517.28</v>
      </c>
      <c r="H80" s="559"/>
      <c r="I80" s="226">
        <v>517.28</v>
      </c>
      <c r="J80" s="226">
        <v>517.28</v>
      </c>
      <c r="K80" s="226">
        <v>517.28</v>
      </c>
      <c r="L80" s="226">
        <v>517.28</v>
      </c>
      <c r="M80" s="226">
        <v>517.28</v>
      </c>
      <c r="N80" s="226">
        <v>517.28</v>
      </c>
      <c r="O80" s="226">
        <v>517.28</v>
      </c>
      <c r="P80" s="226">
        <v>468</v>
      </c>
      <c r="Q80" s="226">
        <v>468</v>
      </c>
      <c r="R80" s="226">
        <v>468</v>
      </c>
      <c r="S80" s="226">
        <v>468</v>
      </c>
      <c r="T80" s="226">
        <v>468</v>
      </c>
      <c r="U80" s="582"/>
      <c r="V80" s="253">
        <f t="shared" si="14"/>
        <v>5960.9599999999991</v>
      </c>
    </row>
    <row r="81" spans="1:22" x14ac:dyDescent="0.15">
      <c r="A81" s="143" t="s">
        <v>173</v>
      </c>
      <c r="C81" s="144" t="s">
        <v>660</v>
      </c>
      <c r="D81" s="145">
        <v>615220</v>
      </c>
      <c r="E81" s="145" t="s">
        <v>693</v>
      </c>
      <c r="F81" s="145" t="s">
        <v>179</v>
      </c>
      <c r="G81" s="167">
        <v>94.17</v>
      </c>
      <c r="H81" s="559"/>
      <c r="I81" s="226">
        <v>94.17</v>
      </c>
      <c r="J81" s="226">
        <v>94.17</v>
      </c>
      <c r="K81" s="226">
        <v>94.17</v>
      </c>
      <c r="L81" s="226">
        <v>94.17</v>
      </c>
      <c r="M81" s="226">
        <v>94.17</v>
      </c>
      <c r="N81" s="226">
        <v>94.17</v>
      </c>
      <c r="O81" s="226">
        <v>94.17</v>
      </c>
      <c r="P81" s="226">
        <v>94.17</v>
      </c>
      <c r="Q81" s="226">
        <v>94.17</v>
      </c>
      <c r="R81" s="226">
        <v>94.17</v>
      </c>
      <c r="S81" s="226">
        <v>94.13</v>
      </c>
      <c r="T81" s="226"/>
      <c r="U81" s="582"/>
      <c r="V81" s="253">
        <f t="shared" si="14"/>
        <v>1035.83</v>
      </c>
    </row>
    <row r="82" spans="1:22" x14ac:dyDescent="0.15">
      <c r="A82" s="143" t="s">
        <v>245</v>
      </c>
      <c r="B82" s="143" t="s">
        <v>246</v>
      </c>
      <c r="C82" s="144">
        <v>2017</v>
      </c>
      <c r="D82" s="145">
        <v>615220</v>
      </c>
      <c r="E82" s="145" t="s">
        <v>693</v>
      </c>
      <c r="F82" s="145" t="s">
        <v>179</v>
      </c>
      <c r="G82" s="167"/>
      <c r="H82" s="559"/>
      <c r="I82" s="226">
        <v>786.49</v>
      </c>
      <c r="J82" s="226">
        <v>786.49</v>
      </c>
      <c r="K82" s="226">
        <v>786.49</v>
      </c>
      <c r="L82" s="226">
        <v>786.49</v>
      </c>
      <c r="M82" s="226">
        <v>786.49</v>
      </c>
      <c r="N82" s="226">
        <v>786.49</v>
      </c>
      <c r="O82" s="226">
        <v>786.49</v>
      </c>
      <c r="P82" s="226">
        <v>786.49</v>
      </c>
      <c r="Q82" s="226">
        <v>786.49</v>
      </c>
      <c r="R82" s="226">
        <v>786.49</v>
      </c>
      <c r="S82" s="226">
        <v>786.49</v>
      </c>
      <c r="T82" s="226">
        <v>786.38</v>
      </c>
      <c r="U82" s="582"/>
      <c r="V82" s="253">
        <f t="shared" si="14"/>
        <v>9437.7699999999986</v>
      </c>
    </row>
    <row r="83" spans="1:22" x14ac:dyDescent="0.15">
      <c r="A83" s="143" t="s">
        <v>428</v>
      </c>
      <c r="B83" s="143"/>
      <c r="C83" s="144" t="s">
        <v>835</v>
      </c>
      <c r="D83" s="145">
        <v>615220</v>
      </c>
      <c r="E83" s="145" t="s">
        <v>693</v>
      </c>
      <c r="F83" s="145" t="s">
        <v>179</v>
      </c>
      <c r="G83" s="167">
        <v>154.66999999999999</v>
      </c>
      <c r="H83" s="559"/>
      <c r="I83" s="226">
        <v>161.35</v>
      </c>
      <c r="J83" s="226">
        <v>161.35</v>
      </c>
      <c r="K83" s="226">
        <v>161.35</v>
      </c>
      <c r="L83" s="226">
        <v>161.35</v>
      </c>
      <c r="M83" s="226">
        <v>161.35</v>
      </c>
      <c r="N83" s="226">
        <v>161.35</v>
      </c>
      <c r="O83" s="226">
        <v>161.35</v>
      </c>
      <c r="P83" s="226">
        <v>161.35</v>
      </c>
      <c r="Q83" s="226">
        <v>161.35</v>
      </c>
      <c r="R83" s="226">
        <v>161.33000000000001</v>
      </c>
      <c r="S83" s="226">
        <v>154.66999999999999</v>
      </c>
      <c r="T83" s="226">
        <v>154.66999999999999</v>
      </c>
      <c r="U83" s="582"/>
      <c r="V83" s="253">
        <f t="shared" si="14"/>
        <v>1922.82</v>
      </c>
    </row>
    <row r="84" spans="1:22" x14ac:dyDescent="0.15">
      <c r="A84" s="143" t="s">
        <v>492</v>
      </c>
      <c r="B84" s="143" t="s">
        <v>339</v>
      </c>
      <c r="C84" s="144">
        <v>2017</v>
      </c>
      <c r="D84" s="145">
        <v>615220</v>
      </c>
      <c r="E84" s="145" t="s">
        <v>693</v>
      </c>
      <c r="F84" s="145" t="s">
        <v>179</v>
      </c>
      <c r="G84" s="167">
        <v>144.32</v>
      </c>
      <c r="H84" s="559"/>
      <c r="I84" s="226">
        <v>158.77000000000001</v>
      </c>
      <c r="J84" s="226">
        <v>158.77000000000001</v>
      </c>
      <c r="K84" s="226">
        <v>158.77000000000001</v>
      </c>
      <c r="L84" s="226">
        <v>158.77000000000001</v>
      </c>
      <c r="M84" s="226">
        <v>158.77000000000001</v>
      </c>
      <c r="N84" s="226">
        <v>158.77000000000001</v>
      </c>
      <c r="O84" s="226">
        <v>158.77000000000001</v>
      </c>
      <c r="P84" s="226">
        <v>158.77000000000001</v>
      </c>
      <c r="Q84" s="226">
        <v>158.77000000000001</v>
      </c>
      <c r="R84" s="226">
        <v>158.77000000000001</v>
      </c>
      <c r="S84" s="226">
        <v>158.77000000000001</v>
      </c>
      <c r="T84" s="226">
        <v>158.74</v>
      </c>
      <c r="U84" s="582"/>
      <c r="V84" s="253">
        <f t="shared" si="14"/>
        <v>1905.21</v>
      </c>
    </row>
    <row r="85" spans="1:22" x14ac:dyDescent="0.15">
      <c r="A85" s="480" t="s">
        <v>412</v>
      </c>
      <c r="B85" s="143"/>
      <c r="C85" s="144">
        <v>2017</v>
      </c>
      <c r="D85" s="145">
        <v>615220</v>
      </c>
      <c r="E85" s="145" t="s">
        <v>693</v>
      </c>
      <c r="F85" s="145" t="s">
        <v>179</v>
      </c>
      <c r="G85" s="167">
        <v>950.59</v>
      </c>
      <c r="H85" s="559"/>
      <c r="I85" s="226">
        <v>950.59</v>
      </c>
      <c r="J85" s="226">
        <v>950.59</v>
      </c>
      <c r="K85" s="226">
        <v>950.59</v>
      </c>
      <c r="L85" s="226">
        <v>950.59</v>
      </c>
      <c r="M85" s="226">
        <v>950.59</v>
      </c>
      <c r="N85" s="226">
        <v>950.59</v>
      </c>
      <c r="O85" s="226">
        <v>950.59</v>
      </c>
      <c r="P85" s="226">
        <v>950.59</v>
      </c>
      <c r="Q85" s="226">
        <v>950.59</v>
      </c>
      <c r="R85" s="226">
        <v>950.59</v>
      </c>
      <c r="S85" s="226">
        <v>950.59</v>
      </c>
      <c r="T85" s="226">
        <v>950.43</v>
      </c>
      <c r="U85" s="582"/>
      <c r="V85" s="253">
        <f t="shared" si="14"/>
        <v>11406.92</v>
      </c>
    </row>
    <row r="86" spans="1:22" x14ac:dyDescent="0.15">
      <c r="A86" s="143" t="s">
        <v>412</v>
      </c>
      <c r="B86" s="593" t="s">
        <v>683</v>
      </c>
      <c r="C86" s="111" t="s">
        <v>684</v>
      </c>
      <c r="D86" s="145">
        <v>615220</v>
      </c>
      <c r="E86" s="145" t="s">
        <v>693</v>
      </c>
      <c r="F86" s="145" t="s">
        <v>179</v>
      </c>
      <c r="G86" s="167"/>
      <c r="H86" s="559"/>
      <c r="I86" s="226">
        <v>52.22</v>
      </c>
      <c r="J86" s="226">
        <v>52.22</v>
      </c>
      <c r="K86" s="226">
        <v>52.22</v>
      </c>
      <c r="L86" s="226">
        <v>52.22</v>
      </c>
      <c r="M86" s="226">
        <v>52.22</v>
      </c>
      <c r="N86" s="226">
        <v>52.22</v>
      </c>
      <c r="O86" s="226">
        <v>52.22</v>
      </c>
      <c r="P86" s="226">
        <v>52.22</v>
      </c>
      <c r="Q86" s="226">
        <v>52.22</v>
      </c>
      <c r="R86" s="226">
        <v>52.22</v>
      </c>
      <c r="S86" s="226">
        <v>52.22</v>
      </c>
      <c r="T86" s="226">
        <v>52.22</v>
      </c>
      <c r="U86" s="582"/>
      <c r="V86" s="253">
        <f t="shared" si="14"/>
        <v>626.64000000000021</v>
      </c>
    </row>
    <row r="87" spans="1:22" x14ac:dyDescent="0.15">
      <c r="A87" s="143" t="s">
        <v>139</v>
      </c>
      <c r="B87" s="143" t="s">
        <v>262</v>
      </c>
      <c r="C87" s="144"/>
      <c r="D87" s="145">
        <v>615220</v>
      </c>
      <c r="E87" s="145" t="s">
        <v>693</v>
      </c>
      <c r="F87" s="145" t="s">
        <v>179</v>
      </c>
      <c r="G87" s="167">
        <v>924.01</v>
      </c>
      <c r="H87" s="559"/>
      <c r="I87" s="226">
        <v>979.45</v>
      </c>
      <c r="J87" s="226">
        <v>979.45</v>
      </c>
      <c r="K87" s="226">
        <v>979.43</v>
      </c>
      <c r="L87" s="226">
        <v>979.45</v>
      </c>
      <c r="M87" s="226">
        <v>979.45</v>
      </c>
      <c r="N87" s="226">
        <v>979.43</v>
      </c>
      <c r="O87" s="226">
        <v>979.45</v>
      </c>
      <c r="P87" s="226">
        <v>979.45</v>
      </c>
      <c r="Q87" s="226">
        <v>979.43</v>
      </c>
      <c r="R87" s="226">
        <v>979.45</v>
      </c>
      <c r="S87" s="226">
        <v>979.45</v>
      </c>
      <c r="T87" s="226">
        <v>979.43</v>
      </c>
      <c r="U87" s="582"/>
      <c r="V87" s="253">
        <f t="shared" si="14"/>
        <v>11753.320000000002</v>
      </c>
    </row>
    <row r="88" spans="1:22" x14ac:dyDescent="0.15">
      <c r="A88" s="143" t="s">
        <v>139</v>
      </c>
      <c r="B88" s="143" t="s">
        <v>489</v>
      </c>
      <c r="C88" s="144"/>
      <c r="D88" s="145">
        <v>615220</v>
      </c>
      <c r="E88" s="145" t="s">
        <v>693</v>
      </c>
      <c r="F88" s="145" t="s">
        <v>179</v>
      </c>
      <c r="G88" s="167">
        <v>149.35</v>
      </c>
      <c r="H88" s="559"/>
      <c r="I88" s="226">
        <v>125</v>
      </c>
      <c r="J88" s="226">
        <v>125</v>
      </c>
      <c r="K88" s="226">
        <v>125</v>
      </c>
      <c r="L88" s="226">
        <v>125</v>
      </c>
      <c r="M88" s="226">
        <v>125</v>
      </c>
      <c r="N88" s="226">
        <v>125</v>
      </c>
      <c r="O88" s="226">
        <v>125</v>
      </c>
      <c r="P88" s="226">
        <v>125</v>
      </c>
      <c r="Q88" s="226">
        <v>125</v>
      </c>
      <c r="R88" s="226">
        <v>125</v>
      </c>
      <c r="S88" s="226">
        <v>125</v>
      </c>
      <c r="T88" s="226">
        <v>125</v>
      </c>
      <c r="U88" s="582"/>
      <c r="V88" s="253">
        <f t="shared" si="14"/>
        <v>1500</v>
      </c>
    </row>
    <row r="89" spans="1:22" x14ac:dyDescent="0.15">
      <c r="A89" s="143" t="s">
        <v>274</v>
      </c>
      <c r="B89" s="143" t="s">
        <v>338</v>
      </c>
      <c r="C89" s="144" t="s">
        <v>845</v>
      </c>
      <c r="D89" s="145">
        <v>615220</v>
      </c>
      <c r="E89" s="145" t="s">
        <v>693</v>
      </c>
      <c r="F89" s="145" t="s">
        <v>179</v>
      </c>
      <c r="G89" s="167">
        <v>1458.17</v>
      </c>
      <c r="H89" s="559"/>
      <c r="I89" s="226">
        <v>1380.93</v>
      </c>
      <c r="J89" s="226">
        <v>1380.93</v>
      </c>
      <c r="K89" s="226">
        <v>1380.93</v>
      </c>
      <c r="L89" s="226">
        <v>1380.93</v>
      </c>
      <c r="M89" s="226">
        <v>1380.93</v>
      </c>
      <c r="N89" s="226">
        <v>1380.89</v>
      </c>
      <c r="O89" s="226">
        <v>1458.17</v>
      </c>
      <c r="P89" s="226">
        <v>1458.17</v>
      </c>
      <c r="Q89" s="226">
        <v>1458.17</v>
      </c>
      <c r="R89" s="226">
        <v>1458.17</v>
      </c>
      <c r="S89" s="226">
        <v>1458.17</v>
      </c>
      <c r="T89" s="226">
        <v>1458.17</v>
      </c>
      <c r="U89" s="582"/>
      <c r="V89" s="253">
        <f t="shared" si="14"/>
        <v>17034.560000000001</v>
      </c>
    </row>
    <row r="90" spans="1:22" x14ac:dyDescent="0.15">
      <c r="A90" s="143" t="s">
        <v>274</v>
      </c>
      <c r="B90" s="143" t="s">
        <v>593</v>
      </c>
      <c r="C90" s="144" t="s">
        <v>817</v>
      </c>
      <c r="D90" s="145">
        <v>615220</v>
      </c>
      <c r="E90" s="145" t="s">
        <v>693</v>
      </c>
      <c r="F90" s="145" t="s">
        <v>179</v>
      </c>
      <c r="G90" s="167">
        <v>26.81</v>
      </c>
      <c r="H90" s="559"/>
      <c r="I90" s="226">
        <v>26.82</v>
      </c>
      <c r="J90" s="226">
        <v>26.82</v>
      </c>
      <c r="K90" s="226">
        <v>26.82</v>
      </c>
      <c r="L90" s="226">
        <v>26.82</v>
      </c>
      <c r="M90" s="226">
        <v>26.82</v>
      </c>
      <c r="N90" s="226">
        <v>26.82</v>
      </c>
      <c r="O90" s="226">
        <v>26.82</v>
      </c>
      <c r="P90" s="226">
        <v>26.82</v>
      </c>
      <c r="Q90" s="226">
        <v>26.8</v>
      </c>
      <c r="R90" s="226">
        <v>27.5</v>
      </c>
      <c r="S90" s="226">
        <v>27.5</v>
      </c>
      <c r="T90" s="226">
        <v>27.5</v>
      </c>
      <c r="U90" s="582"/>
      <c r="V90" s="253">
        <f t="shared" si="14"/>
        <v>323.86</v>
      </c>
    </row>
    <row r="91" spans="1:22" x14ac:dyDescent="0.15">
      <c r="A91" s="143" t="s">
        <v>274</v>
      </c>
      <c r="B91" s="48" t="s">
        <v>566</v>
      </c>
      <c r="C91" s="111">
        <v>2016</v>
      </c>
      <c r="D91" s="145">
        <v>615220</v>
      </c>
      <c r="E91" s="145" t="s">
        <v>693</v>
      </c>
      <c r="F91" s="145" t="s">
        <v>179</v>
      </c>
      <c r="G91" s="167">
        <v>103</v>
      </c>
      <c r="H91" s="559"/>
      <c r="I91" s="582">
        <v>110</v>
      </c>
      <c r="J91" s="582">
        <v>110</v>
      </c>
      <c r="K91" s="582">
        <v>110</v>
      </c>
      <c r="L91" s="582">
        <v>110</v>
      </c>
      <c r="M91" s="582">
        <v>110</v>
      </c>
      <c r="N91" s="582">
        <v>110</v>
      </c>
      <c r="O91" s="226">
        <v>-660</v>
      </c>
      <c r="P91" s="226"/>
      <c r="Q91" s="226"/>
      <c r="R91" s="226"/>
      <c r="S91" s="226"/>
      <c r="T91" s="226"/>
      <c r="U91" s="582"/>
      <c r="V91" s="253">
        <f t="shared" si="14"/>
        <v>0</v>
      </c>
    </row>
    <row r="92" spans="1:22" x14ac:dyDescent="0.15">
      <c r="A92" s="143" t="s">
        <v>274</v>
      </c>
      <c r="B92" s="48" t="s">
        <v>847</v>
      </c>
      <c r="C92" s="111" t="s">
        <v>845</v>
      </c>
      <c r="D92" s="145">
        <v>615220</v>
      </c>
      <c r="E92" s="145" t="s">
        <v>693</v>
      </c>
      <c r="F92" s="145" t="s">
        <v>179</v>
      </c>
      <c r="G92" s="167"/>
      <c r="H92" s="559"/>
      <c r="I92" s="226"/>
      <c r="J92" s="226"/>
      <c r="K92" s="226"/>
      <c r="L92" s="226"/>
      <c r="M92" s="226"/>
      <c r="N92" s="226"/>
      <c r="O92" s="226">
        <v>39.380000000000003</v>
      </c>
      <c r="P92" s="226">
        <v>39.380000000000003</v>
      </c>
      <c r="Q92" s="226">
        <v>39.380000000000003</v>
      </c>
      <c r="R92" s="226">
        <v>39.380000000000003</v>
      </c>
      <c r="S92" s="226">
        <v>39.380000000000003</v>
      </c>
      <c r="T92" s="226">
        <v>39.380000000000003</v>
      </c>
      <c r="U92" s="582"/>
      <c r="V92" s="253">
        <f t="shared" si="14"/>
        <v>236.28</v>
      </c>
    </row>
    <row r="93" spans="1:22" x14ac:dyDescent="0.15">
      <c r="A93" s="143" t="s">
        <v>425</v>
      </c>
      <c r="B93" s="143"/>
      <c r="C93" s="144">
        <v>2015</v>
      </c>
      <c r="D93" s="145">
        <v>615220</v>
      </c>
      <c r="E93" s="145" t="s">
        <v>693</v>
      </c>
      <c r="F93" s="145" t="s">
        <v>179</v>
      </c>
      <c r="G93" s="167">
        <v>450</v>
      </c>
      <c r="H93" s="559">
        <v>-300</v>
      </c>
      <c r="I93" s="226"/>
      <c r="J93" s="226"/>
      <c r="K93" s="226"/>
      <c r="L93" s="226"/>
      <c r="M93" s="226"/>
      <c r="N93" s="226"/>
      <c r="O93" s="226"/>
      <c r="P93" s="226"/>
      <c r="Q93" s="226"/>
      <c r="R93" s="226"/>
      <c r="S93" s="226"/>
      <c r="T93" s="226"/>
      <c r="U93" s="582"/>
      <c r="V93" s="253">
        <f t="shared" si="14"/>
        <v>-300</v>
      </c>
    </row>
    <row r="94" spans="1:22" x14ac:dyDescent="0.15">
      <c r="A94" s="143" t="s">
        <v>425</v>
      </c>
      <c r="B94" s="143" t="s">
        <v>478</v>
      </c>
      <c r="C94" s="144" t="s">
        <v>477</v>
      </c>
      <c r="D94" s="145">
        <v>615220</v>
      </c>
      <c r="E94" s="145" t="s">
        <v>693</v>
      </c>
      <c r="F94" s="145" t="s">
        <v>179</v>
      </c>
      <c r="G94" s="167">
        <v>392.42</v>
      </c>
      <c r="H94" s="559"/>
      <c r="I94" s="226">
        <v>392.44</v>
      </c>
      <c r="J94" s="226">
        <v>392.44</v>
      </c>
      <c r="K94" s="226">
        <v>392.44</v>
      </c>
      <c r="L94" s="226">
        <v>392.44</v>
      </c>
      <c r="M94" s="226">
        <v>392.44</v>
      </c>
      <c r="N94" s="226">
        <v>392.44</v>
      </c>
      <c r="O94" s="226">
        <v>392.44</v>
      </c>
      <c r="P94" s="226">
        <v>392.42</v>
      </c>
      <c r="Q94" s="582">
        <v>400</v>
      </c>
      <c r="R94" s="582">
        <v>400</v>
      </c>
      <c r="S94" s="582">
        <v>400</v>
      </c>
      <c r="T94" s="226"/>
      <c r="U94" s="582"/>
      <c r="V94" s="253">
        <f t="shared" si="14"/>
        <v>4339.5</v>
      </c>
    </row>
    <row r="95" spans="1:22" x14ac:dyDescent="0.15">
      <c r="A95" s="143" t="s">
        <v>624</v>
      </c>
      <c r="B95" s="143"/>
      <c r="C95" s="144"/>
      <c r="D95" s="145">
        <v>615220</v>
      </c>
      <c r="E95" s="145" t="s">
        <v>693</v>
      </c>
      <c r="F95" s="145" t="s">
        <v>179</v>
      </c>
      <c r="G95" s="167">
        <v>1203.26</v>
      </c>
      <c r="H95" s="559"/>
      <c r="I95" s="226">
        <v>1203.26</v>
      </c>
      <c r="J95" s="226">
        <v>1203.26</v>
      </c>
      <c r="K95" s="226">
        <v>1203.26</v>
      </c>
      <c r="L95" s="226">
        <v>1203.0899999999999</v>
      </c>
      <c r="M95" s="226">
        <v>1203.0899999999999</v>
      </c>
      <c r="N95" s="226">
        <v>1203.0899999999999</v>
      </c>
      <c r="O95" s="226">
        <v>1203.0899999999999</v>
      </c>
      <c r="P95" s="226">
        <v>1203.0899999999999</v>
      </c>
      <c r="Q95" s="226">
        <v>1203.0899999999999</v>
      </c>
      <c r="R95" s="226">
        <v>1203.0899999999999</v>
      </c>
      <c r="S95" s="226">
        <v>1203.0899999999999</v>
      </c>
      <c r="T95" s="226">
        <v>1203.0899999999999</v>
      </c>
      <c r="U95" s="582"/>
      <c r="V95" s="253">
        <f t="shared" si="14"/>
        <v>14437.59</v>
      </c>
    </row>
    <row r="96" spans="1:22" x14ac:dyDescent="0.15">
      <c r="A96" s="143" t="s">
        <v>551</v>
      </c>
      <c r="B96" s="143"/>
      <c r="C96" s="144" t="s">
        <v>556</v>
      </c>
      <c r="D96" s="145">
        <v>615220</v>
      </c>
      <c r="E96" s="145" t="s">
        <v>693</v>
      </c>
      <c r="F96" s="145" t="s">
        <v>179</v>
      </c>
      <c r="G96" s="167">
        <v>75</v>
      </c>
      <c r="H96" s="559">
        <v>-75</v>
      </c>
      <c r="I96" s="582">
        <v>80</v>
      </c>
      <c r="J96" s="582">
        <v>80</v>
      </c>
      <c r="K96" s="582">
        <v>80</v>
      </c>
      <c r="L96" s="582">
        <v>80</v>
      </c>
      <c r="M96" s="582">
        <v>80</v>
      </c>
      <c r="N96" s="582">
        <v>80</v>
      </c>
      <c r="O96" s="582">
        <v>80</v>
      </c>
      <c r="P96" s="582">
        <v>80</v>
      </c>
      <c r="Q96" s="582">
        <v>80</v>
      </c>
      <c r="R96" s="226">
        <v>-720</v>
      </c>
      <c r="S96" s="226"/>
      <c r="T96" s="226"/>
      <c r="U96" s="582"/>
      <c r="V96" s="253">
        <f t="shared" si="14"/>
        <v>-75</v>
      </c>
    </row>
    <row r="97" spans="1:22" x14ac:dyDescent="0.15">
      <c r="A97" s="143" t="s">
        <v>304</v>
      </c>
      <c r="B97" s="143" t="s">
        <v>594</v>
      </c>
      <c r="C97" s="144">
        <v>2017</v>
      </c>
      <c r="D97" s="145">
        <v>615220</v>
      </c>
      <c r="E97" s="145" t="s">
        <v>693</v>
      </c>
      <c r="F97" s="145" t="s">
        <v>179</v>
      </c>
      <c r="G97" s="167">
        <v>138.43</v>
      </c>
      <c r="H97" s="559"/>
      <c r="I97" s="226">
        <v>138.43</v>
      </c>
      <c r="J97" s="226">
        <v>138.43</v>
      </c>
      <c r="K97" s="226">
        <v>138.43</v>
      </c>
      <c r="L97" s="226">
        <v>138.43</v>
      </c>
      <c r="M97" s="226">
        <v>138.43</v>
      </c>
      <c r="N97" s="226">
        <v>138.43</v>
      </c>
      <c r="O97" s="226">
        <v>138.43</v>
      </c>
      <c r="P97" s="226">
        <v>138.43</v>
      </c>
      <c r="Q97" s="226">
        <v>138.43</v>
      </c>
      <c r="R97" s="226">
        <v>138.43</v>
      </c>
      <c r="S97" s="226">
        <v>138.43</v>
      </c>
      <c r="T97" s="226">
        <v>138.37</v>
      </c>
      <c r="U97" s="582"/>
      <c r="V97" s="253">
        <f t="shared" si="14"/>
        <v>1661.1000000000004</v>
      </c>
    </row>
    <row r="98" spans="1:22" x14ac:dyDescent="0.15">
      <c r="A98" s="143" t="s">
        <v>304</v>
      </c>
      <c r="B98" s="143" t="s">
        <v>400</v>
      </c>
      <c r="C98" s="144" t="s">
        <v>815</v>
      </c>
      <c r="D98" s="145">
        <v>615220</v>
      </c>
      <c r="E98" s="145" t="s">
        <v>693</v>
      </c>
      <c r="F98" s="145" t="s">
        <v>179</v>
      </c>
      <c r="G98" s="167">
        <v>23.89</v>
      </c>
      <c r="H98" s="559"/>
      <c r="I98" s="226">
        <v>23.89</v>
      </c>
      <c r="J98" s="226">
        <v>23.89</v>
      </c>
      <c r="K98" s="226">
        <v>23.89</v>
      </c>
      <c r="L98" s="226">
        <v>23.89</v>
      </c>
      <c r="M98" s="226">
        <v>23.89</v>
      </c>
      <c r="N98" s="226">
        <v>23.89</v>
      </c>
      <c r="O98" s="226">
        <v>23.89</v>
      </c>
      <c r="P98" s="226">
        <v>23.89</v>
      </c>
      <c r="Q98" s="226">
        <v>23.86</v>
      </c>
      <c r="R98" s="226">
        <v>24.58</v>
      </c>
      <c r="S98" s="226">
        <v>24.58</v>
      </c>
      <c r="T98" s="226">
        <v>24.58</v>
      </c>
      <c r="U98" s="582"/>
      <c r="V98" s="253">
        <f t="shared" si="14"/>
        <v>288.71999999999997</v>
      </c>
    </row>
    <row r="99" spans="1:22" x14ac:dyDescent="0.15">
      <c r="A99" s="170" t="s">
        <v>494</v>
      </c>
      <c r="B99" s="143" t="s">
        <v>604</v>
      </c>
      <c r="C99" s="144" t="s">
        <v>775</v>
      </c>
      <c r="D99" s="145">
        <v>615220</v>
      </c>
      <c r="E99" s="145" t="s">
        <v>693</v>
      </c>
      <c r="F99" s="145" t="s">
        <v>179</v>
      </c>
      <c r="G99" s="167">
        <v>220</v>
      </c>
      <c r="H99" s="559"/>
      <c r="I99" s="226">
        <v>220.27</v>
      </c>
      <c r="J99" s="226">
        <f>192+3.94+24.33</f>
        <v>220.26999999999998</v>
      </c>
      <c r="K99" s="226">
        <v>220.18</v>
      </c>
      <c r="L99" s="226">
        <v>220</v>
      </c>
      <c r="M99" s="226">
        <v>220</v>
      </c>
      <c r="N99" s="226">
        <v>220</v>
      </c>
      <c r="O99" s="226">
        <v>220</v>
      </c>
      <c r="P99" s="226">
        <v>220</v>
      </c>
      <c r="Q99" s="226">
        <v>220</v>
      </c>
      <c r="R99" s="226">
        <v>220</v>
      </c>
      <c r="S99" s="226">
        <v>220</v>
      </c>
      <c r="T99" s="226">
        <v>220</v>
      </c>
      <c r="U99" s="582"/>
      <c r="V99" s="253">
        <f t="shared" si="14"/>
        <v>2640.7200000000003</v>
      </c>
    </row>
    <row r="100" spans="1:22" x14ac:dyDescent="0.15">
      <c r="A100" s="143" t="s">
        <v>313</v>
      </c>
      <c r="B100" s="143" t="s">
        <v>410</v>
      </c>
      <c r="C100" s="144" t="s">
        <v>409</v>
      </c>
      <c r="D100" s="145">
        <v>615220</v>
      </c>
      <c r="E100" s="145" t="s">
        <v>693</v>
      </c>
      <c r="F100" s="145" t="s">
        <v>179</v>
      </c>
      <c r="G100" s="167">
        <v>3500</v>
      </c>
      <c r="H100" s="559">
        <v>-3500</v>
      </c>
      <c r="I100" s="226"/>
      <c r="J100" s="226"/>
      <c r="K100" s="226"/>
      <c r="L100" s="226"/>
      <c r="M100" s="226"/>
      <c r="N100" s="226"/>
      <c r="O100" s="226"/>
      <c r="P100" s="226"/>
      <c r="Q100" s="226"/>
      <c r="R100" s="226"/>
      <c r="S100" s="226"/>
      <c r="T100" s="226"/>
      <c r="U100" s="582"/>
      <c r="V100" s="253">
        <f t="shared" si="14"/>
        <v>-3500</v>
      </c>
    </row>
    <row r="101" spans="1:22" x14ac:dyDescent="0.15">
      <c r="A101" s="170" t="s">
        <v>313</v>
      </c>
      <c r="B101" s="143" t="s">
        <v>558</v>
      </c>
      <c r="C101" s="144" t="s">
        <v>471</v>
      </c>
      <c r="D101" s="145">
        <v>615220</v>
      </c>
      <c r="E101" s="145" t="s">
        <v>693</v>
      </c>
      <c r="F101" s="145" t="s">
        <v>179</v>
      </c>
      <c r="G101" s="167">
        <v>2300</v>
      </c>
      <c r="H101" s="559">
        <v>-4600</v>
      </c>
      <c r="I101" s="226"/>
      <c r="J101" s="226"/>
      <c r="K101" s="226"/>
      <c r="L101" s="226"/>
      <c r="M101" s="226"/>
      <c r="N101" s="226"/>
      <c r="O101" s="226"/>
      <c r="P101" s="226"/>
      <c r="Q101" s="226"/>
      <c r="R101" s="226"/>
      <c r="S101" s="226"/>
      <c r="T101" s="226"/>
      <c r="U101" s="582"/>
      <c r="V101" s="253">
        <f t="shared" si="14"/>
        <v>-4600</v>
      </c>
    </row>
    <row r="102" spans="1:22" x14ac:dyDescent="0.15">
      <c r="A102" s="170" t="s">
        <v>313</v>
      </c>
      <c r="B102" s="143" t="s">
        <v>555</v>
      </c>
      <c r="C102" s="144" t="s">
        <v>556</v>
      </c>
      <c r="D102" s="145">
        <v>615220</v>
      </c>
      <c r="E102" s="145" t="s">
        <v>693</v>
      </c>
      <c r="F102" s="145" t="s">
        <v>179</v>
      </c>
      <c r="G102" s="167">
        <v>750</v>
      </c>
      <c r="H102" s="559"/>
      <c r="I102" s="582">
        <v>750</v>
      </c>
      <c r="J102" s="582">
        <v>750</v>
      </c>
      <c r="K102" s="582">
        <v>750</v>
      </c>
      <c r="L102" s="582">
        <v>750</v>
      </c>
      <c r="M102" s="582">
        <v>750</v>
      </c>
      <c r="N102" s="582">
        <v>750</v>
      </c>
      <c r="O102" s="226">
        <v>-4500</v>
      </c>
      <c r="P102" s="226"/>
      <c r="Q102" s="226"/>
      <c r="R102" s="226"/>
      <c r="S102" s="226"/>
      <c r="T102" s="226"/>
      <c r="U102" s="582"/>
      <c r="V102" s="253">
        <f t="shared" si="14"/>
        <v>0</v>
      </c>
    </row>
    <row r="103" spans="1:22" x14ac:dyDescent="0.15">
      <c r="A103" s="170" t="s">
        <v>313</v>
      </c>
      <c r="B103" s="143" t="s">
        <v>557</v>
      </c>
      <c r="C103" s="144" t="s">
        <v>544</v>
      </c>
      <c r="D103" s="145">
        <v>615220</v>
      </c>
      <c r="E103" s="145" t="s">
        <v>693</v>
      </c>
      <c r="F103" s="145" t="s">
        <v>179</v>
      </c>
      <c r="G103" s="167">
        <v>350</v>
      </c>
      <c r="H103" s="559"/>
      <c r="I103" s="582">
        <v>350</v>
      </c>
      <c r="J103" s="582">
        <v>350</v>
      </c>
      <c r="K103" s="582">
        <v>350</v>
      </c>
      <c r="L103" s="582">
        <v>350</v>
      </c>
      <c r="M103" s="582">
        <v>350</v>
      </c>
      <c r="N103" s="582">
        <v>350</v>
      </c>
      <c r="O103" s="226">
        <v>-2100</v>
      </c>
      <c r="P103" s="226"/>
      <c r="Q103" s="226"/>
      <c r="R103" s="226"/>
      <c r="S103" s="226"/>
      <c r="T103" s="226"/>
      <c r="U103" s="582"/>
      <c r="V103" s="253">
        <f t="shared" si="14"/>
        <v>0</v>
      </c>
    </row>
    <row r="104" spans="1:22" x14ac:dyDescent="0.15">
      <c r="A104" s="170" t="s">
        <v>567</v>
      </c>
      <c r="B104" s="143" t="s">
        <v>220</v>
      </c>
      <c r="C104" s="111" t="s">
        <v>845</v>
      </c>
      <c r="D104" s="145">
        <v>615220</v>
      </c>
      <c r="E104" s="145" t="s">
        <v>693</v>
      </c>
      <c r="F104" s="145" t="s">
        <v>179</v>
      </c>
      <c r="G104" s="167">
        <v>505.77</v>
      </c>
      <c r="H104" s="559"/>
      <c r="I104" s="226">
        <v>505.79</v>
      </c>
      <c r="J104" s="226">
        <v>505.79</v>
      </c>
      <c r="K104" s="226">
        <v>505.79</v>
      </c>
      <c r="L104" s="226">
        <v>505.79</v>
      </c>
      <c r="M104" s="226">
        <v>505.79</v>
      </c>
      <c r="N104" s="226">
        <v>505.72</v>
      </c>
      <c r="O104" s="226">
        <v>514.16999999999996</v>
      </c>
      <c r="P104" s="226">
        <v>514.16999999999996</v>
      </c>
      <c r="Q104" s="226">
        <v>514.16999999999996</v>
      </c>
      <c r="R104" s="226">
        <v>514.16999999999996</v>
      </c>
      <c r="S104" s="226">
        <v>514.16999999999996</v>
      </c>
      <c r="T104" s="226">
        <v>514.16999999999996</v>
      </c>
      <c r="U104" s="582"/>
      <c r="V104" s="253">
        <f t="shared" si="14"/>
        <v>6119.6900000000005</v>
      </c>
    </row>
    <row r="105" spans="1:22" x14ac:dyDescent="0.15">
      <c r="A105" s="143" t="s">
        <v>364</v>
      </c>
      <c r="B105" s="143" t="s">
        <v>339</v>
      </c>
      <c r="C105" s="144" t="s">
        <v>633</v>
      </c>
      <c r="D105" s="145">
        <v>615220</v>
      </c>
      <c r="E105" s="145" t="s">
        <v>693</v>
      </c>
      <c r="F105" s="145" t="s">
        <v>179</v>
      </c>
      <c r="G105" s="167">
        <v>107.6</v>
      </c>
      <c r="H105" s="559"/>
      <c r="I105" s="226">
        <v>107.6</v>
      </c>
      <c r="J105" s="226">
        <v>107.6</v>
      </c>
      <c r="K105" s="226">
        <v>107.6</v>
      </c>
      <c r="L105" s="226">
        <v>107.6</v>
      </c>
      <c r="M105" s="226">
        <v>107.6</v>
      </c>
      <c r="N105" s="226">
        <v>107.6</v>
      </c>
      <c r="O105" s="226">
        <v>107.54</v>
      </c>
      <c r="P105" s="582">
        <v>110</v>
      </c>
      <c r="Q105" s="582">
        <v>110</v>
      </c>
      <c r="R105" s="582">
        <v>110</v>
      </c>
      <c r="S105" s="582">
        <v>110</v>
      </c>
      <c r="T105" s="226"/>
      <c r="U105" s="582"/>
      <c r="V105" s="253">
        <f t="shared" si="14"/>
        <v>1193.1399999999999</v>
      </c>
    </row>
    <row r="106" spans="1:22" x14ac:dyDescent="0.15">
      <c r="A106" s="143" t="s">
        <v>452</v>
      </c>
      <c r="B106" s="143" t="s">
        <v>472</v>
      </c>
      <c r="C106" s="144" t="s">
        <v>532</v>
      </c>
      <c r="D106" s="145">
        <v>615220</v>
      </c>
      <c r="E106" s="145" t="s">
        <v>693</v>
      </c>
      <c r="F106" s="145" t="s">
        <v>179</v>
      </c>
      <c r="G106" s="167">
        <v>89.48</v>
      </c>
      <c r="H106" s="559"/>
      <c r="I106" s="226">
        <v>89.48</v>
      </c>
      <c r="J106" s="226">
        <v>89.48</v>
      </c>
      <c r="K106" s="226">
        <v>89.48</v>
      </c>
      <c r="L106" s="226">
        <v>89.48</v>
      </c>
      <c r="M106" s="226">
        <v>89.48</v>
      </c>
      <c r="N106" s="226">
        <v>89.48</v>
      </c>
      <c r="O106" s="226">
        <v>89.48</v>
      </c>
      <c r="P106" s="226">
        <v>89.48</v>
      </c>
      <c r="Q106" s="226">
        <v>89.48</v>
      </c>
      <c r="R106" s="226">
        <v>89.48</v>
      </c>
      <c r="S106" s="226">
        <v>89.48</v>
      </c>
      <c r="T106" s="226">
        <v>89.48</v>
      </c>
      <c r="U106" s="582"/>
      <c r="V106" s="253">
        <f t="shared" si="14"/>
        <v>1073.76</v>
      </c>
    </row>
    <row r="107" spans="1:22" x14ac:dyDescent="0.15">
      <c r="A107" s="143" t="s">
        <v>452</v>
      </c>
      <c r="B107" s="143" t="s">
        <v>522</v>
      </c>
      <c r="C107" s="144" t="s">
        <v>532</v>
      </c>
      <c r="D107" s="145">
        <v>615220</v>
      </c>
      <c r="E107" s="145" t="s">
        <v>693</v>
      </c>
      <c r="F107" s="145" t="s">
        <v>179</v>
      </c>
      <c r="G107" s="167">
        <v>14.58</v>
      </c>
      <c r="H107" s="559"/>
      <c r="I107" s="226">
        <v>14.58</v>
      </c>
      <c r="J107" s="226">
        <v>14.58</v>
      </c>
      <c r="K107" s="226">
        <v>14.58</v>
      </c>
      <c r="L107" s="226">
        <v>14.58</v>
      </c>
      <c r="M107" s="226">
        <v>14.58</v>
      </c>
      <c r="N107" s="226">
        <v>14.58</v>
      </c>
      <c r="O107" s="226">
        <v>14.58</v>
      </c>
      <c r="P107" s="226">
        <v>14.58</v>
      </c>
      <c r="Q107" s="226">
        <v>14.58</v>
      </c>
      <c r="R107" s="226">
        <v>14.58</v>
      </c>
      <c r="S107" s="226">
        <v>14.58</v>
      </c>
      <c r="T107" s="226">
        <v>14.58</v>
      </c>
      <c r="U107" s="582"/>
      <c r="V107" s="253">
        <f t="shared" si="14"/>
        <v>174.96000000000004</v>
      </c>
    </row>
    <row r="108" spans="1:22" x14ac:dyDescent="0.15">
      <c r="A108" s="143" t="s">
        <v>452</v>
      </c>
      <c r="B108" s="143" t="s">
        <v>461</v>
      </c>
      <c r="C108" s="571" t="s">
        <v>667</v>
      </c>
      <c r="D108" s="145">
        <v>615220</v>
      </c>
      <c r="E108" s="145" t="s">
        <v>693</v>
      </c>
      <c r="F108" s="145" t="s">
        <v>179</v>
      </c>
      <c r="G108" s="167">
        <v>143.16</v>
      </c>
      <c r="H108" s="559"/>
      <c r="I108" s="226">
        <v>143.16999999999999</v>
      </c>
      <c r="J108" s="226">
        <v>143.16999999999999</v>
      </c>
      <c r="K108" s="226">
        <v>143.16999999999999</v>
      </c>
      <c r="L108" s="226">
        <v>143.16999999999999</v>
      </c>
      <c r="M108" s="226">
        <v>143.16999999999999</v>
      </c>
      <c r="N108" s="226">
        <v>143.16999999999999</v>
      </c>
      <c r="O108" s="226">
        <v>143.16999999999999</v>
      </c>
      <c r="P108" s="226">
        <v>143.16999999999999</v>
      </c>
      <c r="Q108" s="226">
        <v>143.16999999999999</v>
      </c>
      <c r="R108" s="226">
        <v>143.16999999999999</v>
      </c>
      <c r="S108" s="226">
        <v>143.16999999999999</v>
      </c>
      <c r="T108" s="226">
        <v>143.07</v>
      </c>
      <c r="U108" s="582"/>
      <c r="V108" s="253">
        <f t="shared" si="14"/>
        <v>1717.94</v>
      </c>
    </row>
    <row r="109" spans="1:22" x14ac:dyDescent="0.15">
      <c r="A109" s="170" t="s">
        <v>452</v>
      </c>
      <c r="B109" s="143" t="s">
        <v>453</v>
      </c>
      <c r="C109" s="144" t="s">
        <v>650</v>
      </c>
      <c r="D109" s="145">
        <v>615220</v>
      </c>
      <c r="E109" s="145" t="s">
        <v>693</v>
      </c>
      <c r="F109" s="145" t="s">
        <v>179</v>
      </c>
      <c r="G109" s="165">
        <v>133.87</v>
      </c>
      <c r="H109" s="559"/>
      <c r="I109" s="226">
        <v>133.87</v>
      </c>
      <c r="J109" s="226">
        <v>133.87</v>
      </c>
      <c r="K109" s="226">
        <v>133.87</v>
      </c>
      <c r="L109" s="226">
        <v>133.87</v>
      </c>
      <c r="M109" s="226">
        <v>133.87</v>
      </c>
      <c r="N109" s="226">
        <v>133.87</v>
      </c>
      <c r="O109" s="226">
        <v>133.87</v>
      </c>
      <c r="P109" s="226">
        <v>133.87</v>
      </c>
      <c r="Q109" s="297">
        <v>133.87</v>
      </c>
      <c r="R109" s="226">
        <v>133.87</v>
      </c>
      <c r="S109" s="226">
        <v>133.87</v>
      </c>
      <c r="T109" s="226">
        <v>133.87</v>
      </c>
      <c r="U109" s="582"/>
      <c r="V109" s="253">
        <f t="shared" si="14"/>
        <v>1606.4399999999996</v>
      </c>
    </row>
    <row r="110" spans="1:22" x14ac:dyDescent="0.15">
      <c r="A110" s="143" t="s">
        <v>452</v>
      </c>
      <c r="B110" s="48" t="s">
        <v>596</v>
      </c>
      <c r="C110" s="111" t="s">
        <v>595</v>
      </c>
      <c r="D110" s="145">
        <v>615220</v>
      </c>
      <c r="E110" s="145" t="s">
        <v>693</v>
      </c>
      <c r="F110" s="145" t="s">
        <v>179</v>
      </c>
      <c r="G110" s="167">
        <v>41.25</v>
      </c>
      <c r="H110" s="559"/>
      <c r="I110" s="226">
        <v>41.25</v>
      </c>
      <c r="J110" s="226">
        <v>41.25</v>
      </c>
      <c r="K110" s="226">
        <v>41.25</v>
      </c>
      <c r="L110" s="226">
        <v>41.25</v>
      </c>
      <c r="M110" s="226">
        <v>41.25</v>
      </c>
      <c r="N110" s="226">
        <v>41.25</v>
      </c>
      <c r="O110" s="226">
        <v>41.25</v>
      </c>
      <c r="P110" s="226">
        <v>41.25</v>
      </c>
      <c r="Q110" s="226">
        <v>41.25</v>
      </c>
      <c r="R110" s="226">
        <v>41.25</v>
      </c>
      <c r="S110" s="226">
        <v>41.25</v>
      </c>
      <c r="T110" s="226">
        <v>41.25</v>
      </c>
      <c r="U110" s="582"/>
      <c r="V110" s="253">
        <f t="shared" si="14"/>
        <v>495</v>
      </c>
    </row>
    <row r="111" spans="1:22" x14ac:dyDescent="0.15">
      <c r="A111" s="143" t="s">
        <v>452</v>
      </c>
      <c r="B111" s="48" t="s">
        <v>596</v>
      </c>
      <c r="C111" s="111" t="s">
        <v>664</v>
      </c>
      <c r="D111" s="145">
        <v>615220</v>
      </c>
      <c r="E111" s="145" t="s">
        <v>693</v>
      </c>
      <c r="F111" s="145" t="s">
        <v>179</v>
      </c>
      <c r="G111" s="167">
        <v>96.25</v>
      </c>
      <c r="H111" s="559"/>
      <c r="I111" s="226">
        <v>96.25</v>
      </c>
      <c r="J111" s="226">
        <v>96.25</v>
      </c>
      <c r="K111" s="226">
        <v>96.25</v>
      </c>
      <c r="L111" s="226">
        <v>96.25</v>
      </c>
      <c r="M111" s="226">
        <v>96.25</v>
      </c>
      <c r="N111" s="226">
        <v>96.25</v>
      </c>
      <c r="O111" s="226">
        <v>96.25</v>
      </c>
      <c r="P111" s="226">
        <v>96.25</v>
      </c>
      <c r="Q111" s="226">
        <v>96.25</v>
      </c>
      <c r="R111" s="226">
        <v>96.25</v>
      </c>
      <c r="S111" s="226">
        <v>96.25</v>
      </c>
      <c r="T111" s="226">
        <v>96.25</v>
      </c>
      <c r="U111" s="582"/>
      <c r="V111" s="253">
        <f t="shared" si="14"/>
        <v>1155</v>
      </c>
    </row>
    <row r="112" spans="1:22" x14ac:dyDescent="0.15">
      <c r="A112" s="143" t="s">
        <v>452</v>
      </c>
      <c r="B112" s="48" t="s">
        <v>665</v>
      </c>
      <c r="C112" s="111" t="s">
        <v>664</v>
      </c>
      <c r="D112" s="145">
        <v>615220</v>
      </c>
      <c r="E112" s="145" t="s">
        <v>693</v>
      </c>
      <c r="F112" s="145" t="s">
        <v>179</v>
      </c>
      <c r="G112" s="167">
        <v>10.46</v>
      </c>
      <c r="H112" s="559"/>
      <c r="I112" s="226">
        <v>10.46</v>
      </c>
      <c r="J112" s="226">
        <v>10.46</v>
      </c>
      <c r="K112" s="226">
        <v>10.46</v>
      </c>
      <c r="L112" s="226">
        <v>10.46</v>
      </c>
      <c r="M112" s="226">
        <v>10.46</v>
      </c>
      <c r="N112" s="226">
        <v>10.46</v>
      </c>
      <c r="O112" s="226">
        <v>10.46</v>
      </c>
      <c r="P112" s="226">
        <v>10.46</v>
      </c>
      <c r="Q112" s="226">
        <v>10.46</v>
      </c>
      <c r="R112" s="226">
        <v>10.46</v>
      </c>
      <c r="S112" s="226">
        <v>10.46</v>
      </c>
      <c r="T112" s="226">
        <v>10.46</v>
      </c>
      <c r="U112" s="582"/>
      <c r="V112" s="253">
        <f t="shared" si="14"/>
        <v>125.52000000000004</v>
      </c>
    </row>
    <row r="113" spans="1:22" x14ac:dyDescent="0.15">
      <c r="A113" s="143" t="s">
        <v>452</v>
      </c>
      <c r="B113" s="143" t="s">
        <v>461</v>
      </c>
      <c r="C113" s="571" t="s">
        <v>573</v>
      </c>
      <c r="D113" s="145">
        <v>615220</v>
      </c>
      <c r="E113" s="145" t="s">
        <v>693</v>
      </c>
      <c r="F113" s="145" t="s">
        <v>179</v>
      </c>
      <c r="G113" s="167">
        <v>204.79</v>
      </c>
      <c r="H113" s="559"/>
      <c r="I113" s="226">
        <v>204.79</v>
      </c>
      <c r="J113" s="226">
        <v>204.73</v>
      </c>
      <c r="K113" s="582">
        <v>205</v>
      </c>
      <c r="L113" s="582">
        <v>205</v>
      </c>
      <c r="M113" s="582">
        <v>205</v>
      </c>
      <c r="N113" s="582">
        <v>205</v>
      </c>
      <c r="O113" s="226">
        <v>-820</v>
      </c>
      <c r="P113" s="226"/>
      <c r="Q113" s="226"/>
      <c r="R113" s="226"/>
      <c r="S113" s="226"/>
      <c r="T113" s="226"/>
      <c r="U113" s="582"/>
      <c r="V113" s="253">
        <f t="shared" si="14"/>
        <v>409.52</v>
      </c>
    </row>
    <row r="114" spans="1:22" x14ac:dyDescent="0.15">
      <c r="A114" s="143" t="s">
        <v>452</v>
      </c>
      <c r="B114" s="143" t="s">
        <v>527</v>
      </c>
      <c r="C114" s="144" t="s">
        <v>528</v>
      </c>
      <c r="D114" s="145">
        <v>615220</v>
      </c>
      <c r="E114" s="145" t="s">
        <v>693</v>
      </c>
      <c r="F114" s="145" t="s">
        <v>179</v>
      </c>
      <c r="G114" s="167">
        <v>44.33</v>
      </c>
      <c r="H114" s="559"/>
      <c r="I114" s="226">
        <v>44.34</v>
      </c>
      <c r="J114" s="226">
        <v>44.34</v>
      </c>
      <c r="K114" s="226">
        <v>44.34</v>
      </c>
      <c r="L114" s="226">
        <v>44.34</v>
      </c>
      <c r="M114" s="226">
        <v>44.34</v>
      </c>
      <c r="N114" s="226">
        <v>44.34</v>
      </c>
      <c r="O114" s="226">
        <v>44.34</v>
      </c>
      <c r="P114" s="226">
        <v>44.34</v>
      </c>
      <c r="Q114" s="226">
        <v>44.34</v>
      </c>
      <c r="R114" s="226">
        <v>44.34</v>
      </c>
      <c r="S114" s="226">
        <v>44.34</v>
      </c>
      <c r="T114" s="226">
        <v>44.34</v>
      </c>
      <c r="U114" s="582"/>
      <c r="V114" s="253">
        <f t="shared" si="14"/>
        <v>532.08000000000015</v>
      </c>
    </row>
    <row r="115" spans="1:22" x14ac:dyDescent="0.15">
      <c r="A115" s="143" t="s">
        <v>780</v>
      </c>
      <c r="B115" s="143" t="s">
        <v>258</v>
      </c>
      <c r="C115" s="144">
        <v>2017</v>
      </c>
      <c r="D115" s="145">
        <v>615220</v>
      </c>
      <c r="E115" s="145" t="s">
        <v>693</v>
      </c>
      <c r="F115" s="145" t="s">
        <v>179</v>
      </c>
      <c r="G115" s="167">
        <v>456.08</v>
      </c>
      <c r="H115" s="559"/>
      <c r="I115" s="226">
        <v>456.08</v>
      </c>
      <c r="J115" s="226">
        <v>456.08</v>
      </c>
      <c r="K115" s="226">
        <v>456.08</v>
      </c>
      <c r="L115" s="226">
        <v>456.08</v>
      </c>
      <c r="M115" s="226">
        <v>456.09</v>
      </c>
      <c r="N115" s="226">
        <v>456.09</v>
      </c>
      <c r="O115" s="226">
        <v>456.09</v>
      </c>
      <c r="P115" s="226">
        <v>456.09</v>
      </c>
      <c r="Q115" s="226">
        <v>456.09</v>
      </c>
      <c r="R115" s="226">
        <v>456.09</v>
      </c>
      <c r="S115" s="226">
        <v>456.09</v>
      </c>
      <c r="T115" s="226">
        <v>456.02</v>
      </c>
      <c r="U115" s="582"/>
      <c r="V115" s="253">
        <f t="shared" si="14"/>
        <v>5472.9700000000012</v>
      </c>
    </row>
    <row r="116" spans="1:22" x14ac:dyDescent="0.15">
      <c r="A116" s="143" t="s">
        <v>697</v>
      </c>
      <c r="B116" s="143" t="s">
        <v>100</v>
      </c>
      <c r="C116" s="144">
        <v>2017</v>
      </c>
      <c r="D116" s="145">
        <v>615220</v>
      </c>
      <c r="E116" s="145" t="s">
        <v>693</v>
      </c>
      <c r="F116" s="145" t="s">
        <v>179</v>
      </c>
      <c r="G116" s="167">
        <v>333.34</v>
      </c>
      <c r="H116" s="559"/>
      <c r="I116" s="226">
        <v>333.34</v>
      </c>
      <c r="J116" s="226">
        <v>333.33</v>
      </c>
      <c r="K116" s="226">
        <v>333.33</v>
      </c>
      <c r="L116" s="226">
        <v>333.34</v>
      </c>
      <c r="M116" s="226">
        <v>333.34</v>
      </c>
      <c r="N116" s="226">
        <v>333.34</v>
      </c>
      <c r="O116" s="226">
        <v>333.34</v>
      </c>
      <c r="P116" s="226">
        <v>333.34</v>
      </c>
      <c r="Q116" s="226">
        <v>333.34</v>
      </c>
      <c r="R116" s="226">
        <v>333.34</v>
      </c>
      <c r="S116" s="226">
        <v>333.34</v>
      </c>
      <c r="T116" s="226">
        <v>333.28</v>
      </c>
      <c r="U116" s="582"/>
      <c r="V116" s="253">
        <f t="shared" si="14"/>
        <v>4000</v>
      </c>
    </row>
    <row r="117" spans="1:22" x14ac:dyDescent="0.15">
      <c r="A117" s="143" t="s">
        <v>57</v>
      </c>
      <c r="B117" s="143" t="s">
        <v>322</v>
      </c>
      <c r="C117" s="144">
        <v>2017</v>
      </c>
      <c r="D117" s="145">
        <v>615220</v>
      </c>
      <c r="E117" s="145" t="s">
        <v>693</v>
      </c>
      <c r="F117" s="145" t="s">
        <v>179</v>
      </c>
      <c r="G117" s="167">
        <v>135.78</v>
      </c>
      <c r="H117" s="559"/>
      <c r="I117" s="226">
        <v>135.78</v>
      </c>
      <c r="J117" s="226">
        <v>135.78</v>
      </c>
      <c r="K117" s="226">
        <v>135.78</v>
      </c>
      <c r="L117" s="226">
        <v>135.78</v>
      </c>
      <c r="M117" s="226">
        <v>135.78</v>
      </c>
      <c r="N117" s="226">
        <v>135.78</v>
      </c>
      <c r="O117" s="226">
        <v>135.78</v>
      </c>
      <c r="P117" s="226">
        <v>135.78</v>
      </c>
      <c r="Q117" s="226">
        <v>135.78</v>
      </c>
      <c r="R117" s="226">
        <v>135.78</v>
      </c>
      <c r="S117" s="226">
        <v>135.78</v>
      </c>
      <c r="T117" s="226">
        <v>135.75</v>
      </c>
      <c r="U117" s="582"/>
      <c r="V117" s="253">
        <f t="shared" si="14"/>
        <v>1629.33</v>
      </c>
    </row>
    <row r="118" spans="1:22" x14ac:dyDescent="0.15">
      <c r="A118" s="143" t="s">
        <v>57</v>
      </c>
      <c r="B118" s="143" t="s">
        <v>316</v>
      </c>
      <c r="C118" s="144">
        <v>2017</v>
      </c>
      <c r="D118" s="145">
        <v>615220</v>
      </c>
      <c r="E118" s="145" t="s">
        <v>693</v>
      </c>
      <c r="F118" s="145" t="s">
        <v>179</v>
      </c>
      <c r="G118" s="167">
        <v>1644.54</v>
      </c>
      <c r="H118" s="559"/>
      <c r="I118" s="226">
        <v>2102.1799999999998</v>
      </c>
      <c r="J118" s="226">
        <v>2102.1799999999998</v>
      </c>
      <c r="K118" s="226">
        <v>2102.1799999999998</v>
      </c>
      <c r="L118" s="226">
        <v>2102.1799999999998</v>
      </c>
      <c r="M118" s="226">
        <v>2102.1799999999998</v>
      </c>
      <c r="N118" s="226">
        <v>2102.1799999999998</v>
      </c>
      <c r="O118" s="226">
        <v>2102.1799999999998</v>
      </c>
      <c r="P118" s="226">
        <v>2102.1799999999998</v>
      </c>
      <c r="Q118" s="226">
        <f>14800.86-18919.62+2102.18</f>
        <v>-2016.5799999999986</v>
      </c>
      <c r="R118" s="226">
        <v>1644.54</v>
      </c>
      <c r="S118" s="226">
        <v>1644.54</v>
      </c>
      <c r="T118" s="226">
        <v>1644.54</v>
      </c>
      <c r="U118" s="582"/>
      <c r="V118" s="253">
        <f t="shared" si="14"/>
        <v>19734.480000000003</v>
      </c>
    </row>
    <row r="119" spans="1:22" x14ac:dyDescent="0.15">
      <c r="A119" s="143" t="s">
        <v>57</v>
      </c>
      <c r="B119" s="143" t="s">
        <v>257</v>
      </c>
      <c r="C119" s="144">
        <v>2017</v>
      </c>
      <c r="D119" s="145">
        <v>615220</v>
      </c>
      <c r="E119" s="145" t="s">
        <v>693</v>
      </c>
      <c r="F119" s="145" t="s">
        <v>179</v>
      </c>
      <c r="G119" s="167">
        <v>2159.5</v>
      </c>
      <c r="H119" s="559"/>
      <c r="I119" s="226">
        <v>2159.5</v>
      </c>
      <c r="J119" s="226">
        <v>2159.5</v>
      </c>
      <c r="K119" s="226">
        <v>2159.5</v>
      </c>
      <c r="L119" s="226">
        <v>2159.5</v>
      </c>
      <c r="M119" s="226">
        <v>2159.5</v>
      </c>
      <c r="N119" s="226">
        <v>2159.5</v>
      </c>
      <c r="O119" s="226">
        <v>2159.5</v>
      </c>
      <c r="P119" s="226">
        <v>2159.5</v>
      </c>
      <c r="Q119" s="226">
        <v>2159.5</v>
      </c>
      <c r="R119" s="226">
        <v>2159.5</v>
      </c>
      <c r="S119" s="226">
        <v>2159.5</v>
      </c>
      <c r="T119" s="226">
        <v>2159.46</v>
      </c>
      <c r="U119" s="582"/>
      <c r="V119" s="253">
        <f t="shared" si="14"/>
        <v>25913.96</v>
      </c>
    </row>
    <row r="120" spans="1:22" x14ac:dyDescent="0.15">
      <c r="A120" s="143" t="s">
        <v>57</v>
      </c>
      <c r="B120" s="143" t="s">
        <v>259</v>
      </c>
      <c r="C120" s="144"/>
      <c r="D120" s="145">
        <v>615220</v>
      </c>
      <c r="E120" s="145" t="s">
        <v>693</v>
      </c>
      <c r="F120" s="145" t="s">
        <v>179</v>
      </c>
      <c r="G120" s="167">
        <v>2180</v>
      </c>
      <c r="H120" s="559"/>
      <c r="I120" s="226">
        <v>2180</v>
      </c>
      <c r="J120" s="226">
        <v>2180</v>
      </c>
      <c r="K120" s="226">
        <v>2180</v>
      </c>
      <c r="L120" s="226">
        <v>2180</v>
      </c>
      <c r="M120" s="226">
        <v>2180</v>
      </c>
      <c r="N120" s="226">
        <v>2180</v>
      </c>
      <c r="O120" s="226">
        <v>2180</v>
      </c>
      <c r="P120" s="226">
        <v>2180</v>
      </c>
      <c r="Q120" s="226">
        <v>2180</v>
      </c>
      <c r="R120" s="226">
        <v>2180</v>
      </c>
      <c r="S120" s="226">
        <v>2180</v>
      </c>
      <c r="T120" s="226"/>
      <c r="U120" s="582"/>
      <c r="V120" s="253">
        <f t="shared" si="14"/>
        <v>23980</v>
      </c>
    </row>
    <row r="121" spans="1:22" x14ac:dyDescent="0.15">
      <c r="A121" s="143" t="s">
        <v>57</v>
      </c>
      <c r="B121" s="143" t="s">
        <v>657</v>
      </c>
      <c r="C121" s="144" t="s">
        <v>815</v>
      </c>
      <c r="D121" s="145">
        <v>615220</v>
      </c>
      <c r="E121" s="145" t="s">
        <v>693</v>
      </c>
      <c r="F121" s="145" t="s">
        <v>179</v>
      </c>
      <c r="G121" s="167">
        <v>320.83999999999997</v>
      </c>
      <c r="H121" s="559"/>
      <c r="I121" s="226">
        <v>320.83999999999997</v>
      </c>
      <c r="J121" s="226">
        <v>320.83999999999997</v>
      </c>
      <c r="K121" s="226">
        <v>320.83999999999997</v>
      </c>
      <c r="L121" s="226">
        <v>320.83999999999997</v>
      </c>
      <c r="M121" s="226">
        <v>320.83999999999997</v>
      </c>
      <c r="N121" s="226">
        <v>320.83999999999997</v>
      </c>
      <c r="O121" s="226">
        <v>320.83999999999997</v>
      </c>
      <c r="P121" s="226">
        <v>320.83999999999997</v>
      </c>
      <c r="Q121" s="226">
        <v>320.76</v>
      </c>
      <c r="R121" s="226">
        <v>320.83999999999997</v>
      </c>
      <c r="S121" s="226">
        <v>320.83999999999997</v>
      </c>
      <c r="T121" s="226">
        <v>320.83999999999997</v>
      </c>
      <c r="U121" s="582"/>
      <c r="V121" s="253">
        <f t="shared" si="14"/>
        <v>3850</v>
      </c>
    </row>
    <row r="122" spans="1:22" x14ac:dyDescent="0.15">
      <c r="A122" s="143" t="s">
        <v>45</v>
      </c>
      <c r="B122" s="143" t="s">
        <v>293</v>
      </c>
      <c r="C122" s="144" t="s">
        <v>775</v>
      </c>
      <c r="D122" s="145">
        <v>615220</v>
      </c>
      <c r="E122" s="145" t="s">
        <v>693</v>
      </c>
      <c r="F122" s="145" t="s">
        <v>179</v>
      </c>
      <c r="G122" s="167">
        <v>96</v>
      </c>
      <c r="H122" s="559"/>
      <c r="I122" s="226">
        <v>93.35</v>
      </c>
      <c r="J122" s="226">
        <v>93.35</v>
      </c>
      <c r="K122" s="226">
        <v>93.33</v>
      </c>
      <c r="L122" s="226">
        <v>96</v>
      </c>
      <c r="M122" s="226">
        <v>96</v>
      </c>
      <c r="N122" s="226">
        <v>96</v>
      </c>
      <c r="O122" s="226">
        <v>96</v>
      </c>
      <c r="P122" s="226">
        <v>96</v>
      </c>
      <c r="Q122" s="226">
        <v>96</v>
      </c>
      <c r="R122" s="226">
        <v>96</v>
      </c>
      <c r="S122" s="226">
        <v>96</v>
      </c>
      <c r="T122" s="226">
        <v>96</v>
      </c>
      <c r="U122" s="582"/>
      <c r="V122" s="253">
        <f t="shared" si="14"/>
        <v>1144.03</v>
      </c>
    </row>
    <row r="123" spans="1:22" x14ac:dyDescent="0.15">
      <c r="A123" s="143" t="s">
        <v>324</v>
      </c>
      <c r="B123" s="143" t="s">
        <v>300</v>
      </c>
      <c r="C123" s="144"/>
      <c r="D123" s="145">
        <v>615220</v>
      </c>
      <c r="E123" s="145" t="s">
        <v>693</v>
      </c>
      <c r="F123" s="145" t="s">
        <v>179</v>
      </c>
      <c r="G123" s="167">
        <v>276</v>
      </c>
      <c r="H123" s="559">
        <f>275.87-276</f>
        <v>-0.12999999999999545</v>
      </c>
      <c r="I123" s="226">
        <v>275.87</v>
      </c>
      <c r="J123" s="226">
        <v>275.87</v>
      </c>
      <c r="K123" s="226">
        <v>275.87</v>
      </c>
      <c r="L123" s="226">
        <v>275.87</v>
      </c>
      <c r="M123" s="226">
        <v>275.87</v>
      </c>
      <c r="N123" s="226">
        <v>275.87</v>
      </c>
      <c r="O123" s="226">
        <v>275.87</v>
      </c>
      <c r="P123" s="226">
        <v>275.87</v>
      </c>
      <c r="Q123" s="226">
        <v>275.87</v>
      </c>
      <c r="R123" s="226">
        <v>275.87</v>
      </c>
      <c r="S123" s="583">
        <v>276</v>
      </c>
      <c r="T123" s="226"/>
      <c r="U123" s="582"/>
      <c r="V123" s="253">
        <f t="shared" si="14"/>
        <v>3034.5699999999993</v>
      </c>
    </row>
    <row r="124" spans="1:22" x14ac:dyDescent="0.15">
      <c r="A124" s="480" t="s">
        <v>45</v>
      </c>
      <c r="B124" s="143" t="s">
        <v>470</v>
      </c>
      <c r="C124" s="111" t="s">
        <v>782</v>
      </c>
      <c r="D124" s="145">
        <v>615220</v>
      </c>
      <c r="E124" s="145" t="s">
        <v>693</v>
      </c>
      <c r="F124" s="145" t="s">
        <v>179</v>
      </c>
      <c r="G124" s="167">
        <v>1914.5</v>
      </c>
      <c r="H124" s="559"/>
      <c r="I124" s="226">
        <v>1914.5</v>
      </c>
      <c r="J124" s="226">
        <v>1914.5</v>
      </c>
      <c r="K124" s="226">
        <v>1914.5</v>
      </c>
      <c r="L124" s="583">
        <v>2000</v>
      </c>
      <c r="M124" s="583">
        <v>2000</v>
      </c>
      <c r="N124" s="583">
        <v>2000</v>
      </c>
      <c r="O124" s="583">
        <v>2000</v>
      </c>
      <c r="P124" s="583">
        <v>2000</v>
      </c>
      <c r="Q124" s="583">
        <v>2000</v>
      </c>
      <c r="R124" s="583">
        <v>2000</v>
      </c>
      <c r="S124" s="583">
        <v>2000</v>
      </c>
      <c r="T124" s="226"/>
      <c r="U124" s="582"/>
      <c r="V124" s="253">
        <f t="shared" si="14"/>
        <v>21743.5</v>
      </c>
    </row>
    <row r="125" spans="1:22" x14ac:dyDescent="0.15">
      <c r="A125" s="143" t="s">
        <v>290</v>
      </c>
      <c r="B125" s="143" t="s">
        <v>291</v>
      </c>
      <c r="C125" s="144" t="s">
        <v>857</v>
      </c>
      <c r="D125" s="145">
        <v>615220</v>
      </c>
      <c r="E125" s="145" t="s">
        <v>693</v>
      </c>
      <c r="F125" s="145" t="s">
        <v>179</v>
      </c>
      <c r="G125" s="167">
        <v>1077.7</v>
      </c>
      <c r="H125" s="559"/>
      <c r="I125" s="226">
        <v>1109.72</v>
      </c>
      <c r="J125" s="226">
        <v>1109.72</v>
      </c>
      <c r="K125" s="226">
        <v>1109.72</v>
      </c>
      <c r="L125" s="226">
        <f>1109.72-4438.88+5388.5</f>
        <v>2059.34</v>
      </c>
      <c r="M125" s="226">
        <f>1077.7-1109.72</f>
        <v>-32.019999999999982</v>
      </c>
      <c r="N125" s="226">
        <v>1077.7</v>
      </c>
      <c r="O125" s="226">
        <v>1077.7</v>
      </c>
      <c r="P125" s="226">
        <v>1077.7</v>
      </c>
      <c r="Q125" s="226">
        <v>1077.7</v>
      </c>
      <c r="R125" s="226">
        <v>1077.7</v>
      </c>
      <c r="S125" s="226">
        <v>1077.5999999999999</v>
      </c>
      <c r="T125" s="226">
        <v>1131.58</v>
      </c>
      <c r="U125" s="582"/>
      <c r="V125" s="253">
        <f t="shared" si="14"/>
        <v>12954.160000000002</v>
      </c>
    </row>
    <row r="126" spans="1:22" x14ac:dyDescent="0.15">
      <c r="A126" s="143" t="s">
        <v>167</v>
      </c>
      <c r="B126" s="143" t="s">
        <v>401</v>
      </c>
      <c r="C126" s="144" t="s">
        <v>648</v>
      </c>
      <c r="D126" s="145">
        <v>615220</v>
      </c>
      <c r="E126" s="145" t="s">
        <v>693</v>
      </c>
      <c r="F126" s="145" t="s">
        <v>179</v>
      </c>
      <c r="G126" s="167">
        <v>75</v>
      </c>
      <c r="H126" s="559"/>
      <c r="I126" s="226">
        <v>75</v>
      </c>
      <c r="J126" s="226">
        <v>75</v>
      </c>
      <c r="K126" s="226">
        <v>75</v>
      </c>
      <c r="L126" s="226">
        <v>75</v>
      </c>
      <c r="M126" s="226">
        <v>75</v>
      </c>
      <c r="N126" s="226">
        <v>75</v>
      </c>
      <c r="O126" s="226">
        <v>75</v>
      </c>
      <c r="P126" s="226">
        <v>75</v>
      </c>
      <c r="Q126" s="226">
        <v>75</v>
      </c>
      <c r="R126" s="226">
        <v>75</v>
      </c>
      <c r="S126" s="226">
        <v>75</v>
      </c>
      <c r="T126" s="226">
        <v>75</v>
      </c>
      <c r="U126" s="582"/>
      <c r="V126" s="253">
        <f t="shared" si="14"/>
        <v>900</v>
      </c>
    </row>
    <row r="127" spans="1:22" x14ac:dyDescent="0.15">
      <c r="A127" s="143" t="s">
        <v>167</v>
      </c>
      <c r="B127" s="143" t="s">
        <v>213</v>
      </c>
      <c r="C127" s="144" t="s">
        <v>777</v>
      </c>
      <c r="D127" s="145">
        <v>615220</v>
      </c>
      <c r="E127" s="145" t="s">
        <v>693</v>
      </c>
      <c r="F127" s="145" t="s">
        <v>179</v>
      </c>
      <c r="G127" s="167">
        <v>512.66999999999996</v>
      </c>
      <c r="H127" s="559"/>
      <c r="I127" s="226">
        <v>512.66999999999996</v>
      </c>
      <c r="J127" s="226">
        <v>512.66999999999996</v>
      </c>
      <c r="K127" s="226">
        <v>512.66999999999996</v>
      </c>
      <c r="L127" s="226">
        <v>512.66999999999996</v>
      </c>
      <c r="M127" s="226">
        <v>512.66999999999996</v>
      </c>
      <c r="N127" s="226">
        <v>512.66999999999996</v>
      </c>
      <c r="O127" s="226">
        <v>512.66999999999996</v>
      </c>
      <c r="P127" s="226">
        <v>512.66999999999996</v>
      </c>
      <c r="Q127" s="226">
        <v>512.66999999999996</v>
      </c>
      <c r="R127" s="226">
        <v>512.66999999999996</v>
      </c>
      <c r="S127" s="226">
        <v>512.66999999999996</v>
      </c>
      <c r="T127" s="226">
        <v>512.66999999999996</v>
      </c>
      <c r="U127" s="582"/>
      <c r="V127" s="253">
        <f t="shared" si="14"/>
        <v>6152.04</v>
      </c>
    </row>
    <row r="128" spans="1:22" x14ac:dyDescent="0.15">
      <c r="A128" s="143" t="s">
        <v>47</v>
      </c>
      <c r="B128" s="143" t="s">
        <v>254</v>
      </c>
      <c r="C128" s="144" t="s">
        <v>817</v>
      </c>
      <c r="D128" s="145">
        <v>615220</v>
      </c>
      <c r="E128" s="145" t="s">
        <v>693</v>
      </c>
      <c r="F128" s="145" t="s">
        <v>179</v>
      </c>
      <c r="G128" s="167">
        <v>74.5</v>
      </c>
      <c r="H128" s="559"/>
      <c r="I128" s="226">
        <v>74.5</v>
      </c>
      <c r="J128" s="226">
        <v>74.5</v>
      </c>
      <c r="K128" s="226">
        <v>74.5</v>
      </c>
      <c r="L128" s="226">
        <v>74.5</v>
      </c>
      <c r="M128" s="226">
        <v>74.5</v>
      </c>
      <c r="N128" s="226">
        <v>74.5</v>
      </c>
      <c r="O128" s="226">
        <v>74.5</v>
      </c>
      <c r="P128" s="226">
        <v>74.5</v>
      </c>
      <c r="Q128" s="226">
        <v>74.5</v>
      </c>
      <c r="R128" s="226">
        <v>76.25</v>
      </c>
      <c r="S128" s="226">
        <v>76.25</v>
      </c>
      <c r="T128" s="226">
        <v>76.25</v>
      </c>
      <c r="U128" s="582"/>
      <c r="V128" s="253">
        <f t="shared" si="14"/>
        <v>899.25</v>
      </c>
    </row>
    <row r="129" spans="1:22" x14ac:dyDescent="0.15">
      <c r="A129" s="143" t="s">
        <v>576</v>
      </c>
      <c r="B129" s="143" t="s">
        <v>577</v>
      </c>
      <c r="C129" s="144"/>
      <c r="D129" s="145">
        <v>615220</v>
      </c>
      <c r="E129" s="145" t="s">
        <v>693</v>
      </c>
      <c r="F129" s="145" t="s">
        <v>179</v>
      </c>
      <c r="G129" s="167">
        <v>500</v>
      </c>
      <c r="H129" s="559">
        <f>451.8-500</f>
        <v>-48.199999999999989</v>
      </c>
      <c r="I129" s="226">
        <v>511.79</v>
      </c>
      <c r="J129" s="226">
        <v>482.51</v>
      </c>
      <c r="K129" s="226">
        <v>456.73</v>
      </c>
      <c r="L129" s="226">
        <v>471.52</v>
      </c>
      <c r="M129" s="226">
        <v>472.89</v>
      </c>
      <c r="N129" s="226">
        <v>332.44</v>
      </c>
      <c r="O129" s="226">
        <v>587.89</v>
      </c>
      <c r="P129" s="226">
        <v>381.09</v>
      </c>
      <c r="Q129" s="226">
        <v>458.56</v>
      </c>
      <c r="R129" s="226">
        <v>509.34</v>
      </c>
      <c r="S129" s="226">
        <v>463.59</v>
      </c>
      <c r="T129" s="226"/>
      <c r="U129" s="582"/>
      <c r="V129" s="253">
        <f t="shared" si="14"/>
        <v>5080.1500000000005</v>
      </c>
    </row>
    <row r="130" spans="1:22" x14ac:dyDescent="0.15">
      <c r="A130" s="143" t="s">
        <v>356</v>
      </c>
      <c r="B130" s="143" t="s">
        <v>474</v>
      </c>
      <c r="C130" s="144" t="s">
        <v>475</v>
      </c>
      <c r="D130" s="145">
        <v>615220</v>
      </c>
      <c r="E130" s="145" t="s">
        <v>693</v>
      </c>
      <c r="F130" s="145" t="s">
        <v>179</v>
      </c>
      <c r="G130" s="167">
        <v>90.83</v>
      </c>
      <c r="H130" s="559"/>
      <c r="I130" s="226">
        <v>90.85</v>
      </c>
      <c r="J130" s="226">
        <v>90.85</v>
      </c>
      <c r="K130" s="226">
        <v>90.85</v>
      </c>
      <c r="L130" s="226">
        <v>90.85</v>
      </c>
      <c r="M130" s="226">
        <v>90.85</v>
      </c>
      <c r="N130" s="226">
        <v>90.85</v>
      </c>
      <c r="O130" s="226">
        <v>90.85</v>
      </c>
      <c r="P130" s="226">
        <v>90.85</v>
      </c>
      <c r="Q130" s="226">
        <v>90.79</v>
      </c>
      <c r="R130" s="583">
        <v>100</v>
      </c>
      <c r="S130" s="583">
        <v>100</v>
      </c>
      <c r="T130" s="226"/>
      <c r="U130" s="582"/>
      <c r="V130" s="253">
        <f t="shared" si="14"/>
        <v>1017.59</v>
      </c>
    </row>
    <row r="131" spans="1:22" x14ac:dyDescent="0.15">
      <c r="A131" s="143" t="s">
        <v>356</v>
      </c>
      <c r="B131" s="143" t="s">
        <v>486</v>
      </c>
      <c r="C131" s="144" t="s">
        <v>518</v>
      </c>
      <c r="D131" s="145">
        <v>615220</v>
      </c>
      <c r="E131" s="145" t="s">
        <v>693</v>
      </c>
      <c r="F131" s="145" t="s">
        <v>179</v>
      </c>
      <c r="G131" s="274">
        <v>210.36</v>
      </c>
      <c r="H131" s="559"/>
      <c r="I131" s="226">
        <v>210.37</v>
      </c>
      <c r="J131" s="226">
        <v>210.37</v>
      </c>
      <c r="K131" s="226">
        <v>210.37</v>
      </c>
      <c r="L131" s="226">
        <v>210.37</v>
      </c>
      <c r="M131" s="226">
        <v>210.37</v>
      </c>
      <c r="N131" s="226">
        <v>210.37</v>
      </c>
      <c r="O131" s="226">
        <v>210.37</v>
      </c>
      <c r="P131" s="226">
        <v>210.37</v>
      </c>
      <c r="Q131" s="226">
        <v>210.37</v>
      </c>
      <c r="R131" s="226">
        <v>210.37</v>
      </c>
      <c r="S131" s="226">
        <v>210.37</v>
      </c>
      <c r="T131" s="226">
        <v>210.29</v>
      </c>
      <c r="U131" s="582"/>
      <c r="V131" s="253">
        <f t="shared" si="14"/>
        <v>2524.3599999999992</v>
      </c>
    </row>
    <row r="132" spans="1:22" x14ac:dyDescent="0.15">
      <c r="A132" s="143" t="s">
        <v>356</v>
      </c>
      <c r="B132" s="48" t="s">
        <v>806</v>
      </c>
      <c r="C132" s="111" t="s">
        <v>807</v>
      </c>
      <c r="D132" s="145">
        <v>615220</v>
      </c>
      <c r="E132" s="145" t="s">
        <v>693</v>
      </c>
      <c r="F132" s="145" t="s">
        <v>179</v>
      </c>
      <c r="G132" s="274"/>
      <c r="H132" s="559"/>
      <c r="I132" s="226"/>
      <c r="J132" s="226"/>
      <c r="K132" s="226"/>
      <c r="L132" s="226"/>
      <c r="M132" s="226"/>
      <c r="N132" s="226"/>
      <c r="O132" s="226"/>
      <c r="P132" s="226">
        <v>10.42</v>
      </c>
      <c r="Q132" s="226">
        <v>10.42</v>
      </c>
      <c r="R132" s="226">
        <v>10.42</v>
      </c>
      <c r="S132" s="226">
        <v>10.42</v>
      </c>
      <c r="T132" s="226">
        <v>10.42</v>
      </c>
      <c r="U132" s="582"/>
      <c r="V132" s="253">
        <f t="shared" si="14"/>
        <v>52.1</v>
      </c>
    </row>
    <row r="133" spans="1:22" x14ac:dyDescent="0.15">
      <c r="A133" s="143" t="s">
        <v>375</v>
      </c>
      <c r="B133" s="143"/>
      <c r="C133" s="144" t="s">
        <v>699</v>
      </c>
      <c r="D133" s="145">
        <v>615220</v>
      </c>
      <c r="E133" s="145" t="s">
        <v>693</v>
      </c>
      <c r="F133" s="145" t="s">
        <v>179</v>
      </c>
      <c r="G133" s="167">
        <v>375.28</v>
      </c>
      <c r="H133" s="559"/>
      <c r="I133" s="226">
        <v>375.28</v>
      </c>
      <c r="J133" s="226">
        <v>375.24</v>
      </c>
      <c r="K133" s="226">
        <v>484.19</v>
      </c>
      <c r="L133" s="226">
        <v>484.19</v>
      </c>
      <c r="M133" s="226">
        <v>484.19</v>
      </c>
      <c r="N133" s="226">
        <v>484.19</v>
      </c>
      <c r="O133" s="226">
        <v>484.19</v>
      </c>
      <c r="P133" s="226">
        <v>484.19</v>
      </c>
      <c r="Q133" s="226">
        <v>484.19</v>
      </c>
      <c r="R133" s="226">
        <v>484.19</v>
      </c>
      <c r="S133" s="226">
        <v>484.19</v>
      </c>
      <c r="T133" s="226">
        <v>484.19</v>
      </c>
      <c r="U133" s="582"/>
      <c r="V133" s="253">
        <f t="shared" si="14"/>
        <v>5592.4199999999992</v>
      </c>
    </row>
    <row r="134" spans="1:22" x14ac:dyDescent="0.15">
      <c r="A134" s="143" t="s">
        <v>545</v>
      </c>
      <c r="B134" s="143" t="s">
        <v>597</v>
      </c>
      <c r="C134" s="144" t="s">
        <v>619</v>
      </c>
      <c r="D134" s="145">
        <v>615220</v>
      </c>
      <c r="E134" s="145" t="s">
        <v>693</v>
      </c>
      <c r="F134" s="145" t="s">
        <v>179</v>
      </c>
      <c r="G134" s="274">
        <v>4162.3900000000003</v>
      </c>
      <c r="H134" s="559"/>
      <c r="I134" s="226">
        <v>4162.3900000000003</v>
      </c>
      <c r="J134" s="226">
        <v>4162.3900000000003</v>
      </c>
      <c r="K134" s="226">
        <v>4162.3900000000003</v>
      </c>
      <c r="L134" s="226">
        <v>4162.3900000000003</v>
      </c>
      <c r="M134" s="226">
        <v>4162.3900000000003</v>
      </c>
      <c r="N134" s="226">
        <v>4162.37</v>
      </c>
      <c r="O134" s="582">
        <v>4300</v>
      </c>
      <c r="P134" s="582">
        <v>4300</v>
      </c>
      <c r="Q134" s="582">
        <v>4300</v>
      </c>
      <c r="R134" s="582">
        <v>4300</v>
      </c>
      <c r="S134" s="582">
        <v>4300</v>
      </c>
      <c r="T134" s="226"/>
      <c r="U134" s="582"/>
      <c r="V134" s="253">
        <f t="shared" si="14"/>
        <v>46474.32</v>
      </c>
    </row>
    <row r="135" spans="1:22" x14ac:dyDescent="0.15">
      <c r="A135" s="143" t="s">
        <v>545</v>
      </c>
      <c r="B135" s="143" t="s">
        <v>597</v>
      </c>
      <c r="C135" s="144">
        <v>2016</v>
      </c>
      <c r="D135" s="145">
        <v>615220</v>
      </c>
      <c r="E135" s="145" t="s">
        <v>693</v>
      </c>
      <c r="F135" s="145" t="s">
        <v>179</v>
      </c>
      <c r="G135" s="274">
        <v>936.07</v>
      </c>
      <c r="H135" s="559"/>
      <c r="I135" s="582">
        <v>1000</v>
      </c>
      <c r="J135" s="582">
        <v>1000</v>
      </c>
      <c r="K135" s="582">
        <v>1000</v>
      </c>
      <c r="L135" s="582">
        <v>1000</v>
      </c>
      <c r="M135" s="582">
        <v>1000</v>
      </c>
      <c r="N135" s="582">
        <v>1000</v>
      </c>
      <c r="O135" s="582">
        <v>1000</v>
      </c>
      <c r="P135" s="582">
        <v>1000</v>
      </c>
      <c r="Q135" s="582">
        <v>1000</v>
      </c>
      <c r="R135" s="582">
        <v>1000</v>
      </c>
      <c r="S135" s="582">
        <v>1000</v>
      </c>
      <c r="T135" s="226"/>
      <c r="U135" s="582"/>
      <c r="V135" s="253">
        <f t="shared" si="14"/>
        <v>11000</v>
      </c>
    </row>
    <row r="136" spans="1:22" x14ac:dyDescent="0.15">
      <c r="A136" s="610" t="s">
        <v>803</v>
      </c>
      <c r="B136" s="143" t="s">
        <v>804</v>
      </c>
      <c r="C136" s="144"/>
      <c r="D136" s="145">
        <v>615220</v>
      </c>
      <c r="E136" s="145" t="s">
        <v>693</v>
      </c>
      <c r="F136" s="145" t="s">
        <v>179</v>
      </c>
      <c r="G136" s="274"/>
      <c r="H136" s="559"/>
      <c r="I136" s="582">
        <v>312.5</v>
      </c>
      <c r="J136" s="582">
        <v>312.5</v>
      </c>
      <c r="K136" s="582">
        <v>312.5</v>
      </c>
      <c r="L136" s="582">
        <v>312.5</v>
      </c>
      <c r="M136" s="582">
        <v>312.5</v>
      </c>
      <c r="N136" s="582">
        <v>312.5</v>
      </c>
      <c r="O136" s="582">
        <v>312.5</v>
      </c>
      <c r="P136" s="582">
        <v>312.5</v>
      </c>
      <c r="Q136" s="582">
        <v>312.5</v>
      </c>
      <c r="R136" s="582">
        <v>312.5</v>
      </c>
      <c r="S136" s="582">
        <v>312.5</v>
      </c>
      <c r="T136" s="226"/>
      <c r="U136" s="582"/>
      <c r="V136" s="253">
        <f t="shared" si="14"/>
        <v>3437.5</v>
      </c>
    </row>
    <row r="137" spans="1:22" x14ac:dyDescent="0.15">
      <c r="A137" s="143" t="s">
        <v>495</v>
      </c>
      <c r="B137" s="143" t="s">
        <v>599</v>
      </c>
      <c r="C137" s="144" t="s">
        <v>598</v>
      </c>
      <c r="D137" s="145">
        <v>615220</v>
      </c>
      <c r="E137" s="145" t="s">
        <v>693</v>
      </c>
      <c r="F137" s="145" t="s">
        <v>179</v>
      </c>
      <c r="G137" s="167">
        <v>469.8</v>
      </c>
      <c r="H137" s="559"/>
      <c r="I137" s="226">
        <v>469.8</v>
      </c>
      <c r="J137" s="226">
        <v>469.8</v>
      </c>
      <c r="K137" s="226"/>
      <c r="L137" s="226"/>
      <c r="M137" s="226"/>
      <c r="N137" s="226"/>
      <c r="O137" s="226"/>
      <c r="P137" s="226"/>
      <c r="Q137" s="226"/>
      <c r="R137" s="226"/>
      <c r="S137" s="226"/>
      <c r="T137" s="226"/>
      <c r="U137" s="582"/>
      <c r="V137" s="253">
        <f t="shared" si="14"/>
        <v>939.6</v>
      </c>
    </row>
    <row r="138" spans="1:22" x14ac:dyDescent="0.15">
      <c r="A138" s="170" t="s">
        <v>495</v>
      </c>
      <c r="B138" s="170" t="s">
        <v>599</v>
      </c>
      <c r="C138" s="496" t="s">
        <v>689</v>
      </c>
      <c r="D138" s="145">
        <v>615220</v>
      </c>
      <c r="E138" s="145" t="s">
        <v>693</v>
      </c>
      <c r="F138" s="145" t="s">
        <v>179</v>
      </c>
      <c r="G138" s="167"/>
      <c r="H138" s="559"/>
      <c r="I138" s="226"/>
      <c r="J138" s="226">
        <v>330.04</v>
      </c>
      <c r="K138" s="226"/>
      <c r="L138" s="226"/>
      <c r="M138" s="226"/>
      <c r="N138" s="226"/>
      <c r="O138" s="226"/>
      <c r="P138" s="226"/>
      <c r="Q138" s="226"/>
      <c r="R138" s="226"/>
      <c r="S138" s="226"/>
      <c r="T138" s="226"/>
      <c r="U138" s="582"/>
      <c r="V138" s="253">
        <f t="shared" si="14"/>
        <v>330.04</v>
      </c>
    </row>
    <row r="139" spans="1:22" x14ac:dyDescent="0.15">
      <c r="A139" s="170" t="s">
        <v>495</v>
      </c>
      <c r="B139" s="170" t="s">
        <v>292</v>
      </c>
      <c r="C139" s="496">
        <v>2017</v>
      </c>
      <c r="D139" s="145">
        <v>615220</v>
      </c>
      <c r="E139" s="145" t="s">
        <v>693</v>
      </c>
      <c r="F139" s="145" t="s">
        <v>179</v>
      </c>
      <c r="G139" s="167">
        <v>2107.94</v>
      </c>
      <c r="H139" s="559"/>
      <c r="I139" s="226">
        <v>2107.94</v>
      </c>
      <c r="J139" s="226">
        <v>2107.94</v>
      </c>
      <c r="K139" s="226">
        <v>2107.94</v>
      </c>
      <c r="L139" s="226">
        <v>2107.94</v>
      </c>
      <c r="M139" s="226">
        <v>2107.94</v>
      </c>
      <c r="N139" s="226">
        <v>2107.94</v>
      </c>
      <c r="O139" s="226">
        <v>2107.94</v>
      </c>
      <c r="P139" s="226">
        <v>2107.94</v>
      </c>
      <c r="Q139" s="226">
        <v>2107.94</v>
      </c>
      <c r="R139" s="226">
        <v>2107.94</v>
      </c>
      <c r="S139" s="226">
        <v>2107.94</v>
      </c>
      <c r="T139" s="226">
        <v>2107.94</v>
      </c>
      <c r="U139" s="582"/>
      <c r="V139" s="253">
        <f t="shared" si="14"/>
        <v>25295.279999999995</v>
      </c>
    </row>
    <row r="140" spans="1:22" x14ac:dyDescent="0.15">
      <c r="A140" s="170" t="s">
        <v>495</v>
      </c>
      <c r="B140" s="170" t="s">
        <v>833</v>
      </c>
      <c r="C140" s="496" t="s">
        <v>817</v>
      </c>
      <c r="D140" s="145">
        <v>615220</v>
      </c>
      <c r="E140" s="145" t="s">
        <v>693</v>
      </c>
      <c r="F140" s="145" t="s">
        <v>179</v>
      </c>
      <c r="G140" s="167">
        <v>1075.5999999999999</v>
      </c>
      <c r="H140" s="559"/>
      <c r="I140" s="226"/>
      <c r="J140" s="226"/>
      <c r="K140" s="226"/>
      <c r="L140" s="226"/>
      <c r="M140" s="226"/>
      <c r="N140" s="226"/>
      <c r="O140" s="226"/>
      <c r="P140" s="226"/>
      <c r="Q140" s="226"/>
      <c r="R140" s="226">
        <v>1075.5999999999999</v>
      </c>
      <c r="S140" s="226">
        <v>1075.5999999999999</v>
      </c>
      <c r="T140" s="226">
        <v>1075.5999999999999</v>
      </c>
      <c r="U140" s="582"/>
      <c r="V140" s="253">
        <f t="shared" si="14"/>
        <v>3226.7999999999997</v>
      </c>
    </row>
    <row r="141" spans="1:22" x14ac:dyDescent="0.15">
      <c r="A141" s="143" t="s">
        <v>277</v>
      </c>
      <c r="B141" s="143" t="s">
        <v>278</v>
      </c>
      <c r="C141" s="144"/>
      <c r="D141" s="145">
        <v>615220</v>
      </c>
      <c r="E141" s="145" t="s">
        <v>693</v>
      </c>
      <c r="F141" s="145" t="s">
        <v>179</v>
      </c>
      <c r="G141" s="274">
        <v>170</v>
      </c>
      <c r="H141" s="559"/>
      <c r="I141" s="582">
        <v>170</v>
      </c>
      <c r="J141" s="582">
        <v>170</v>
      </c>
      <c r="K141" s="582">
        <v>170</v>
      </c>
      <c r="L141" s="582">
        <v>170</v>
      </c>
      <c r="M141" s="582">
        <v>170</v>
      </c>
      <c r="N141" s="582">
        <v>170</v>
      </c>
      <c r="O141" s="582">
        <v>170</v>
      </c>
      <c r="P141" s="582">
        <v>170</v>
      </c>
      <c r="Q141" s="582">
        <v>170</v>
      </c>
      <c r="R141" s="582">
        <v>170</v>
      </c>
      <c r="S141" s="582">
        <v>170</v>
      </c>
      <c r="T141" s="226"/>
      <c r="U141" s="582"/>
      <c r="V141" s="253">
        <f t="shared" ref="V141:V166" si="15">SUM(H141:T141)</f>
        <v>1870</v>
      </c>
    </row>
    <row r="142" spans="1:22" x14ac:dyDescent="0.15">
      <c r="A142" s="143" t="s">
        <v>289</v>
      </c>
      <c r="B142" s="143" t="s">
        <v>600</v>
      </c>
      <c r="C142" s="144" t="s">
        <v>698</v>
      </c>
      <c r="D142" s="145">
        <v>615220</v>
      </c>
      <c r="E142" s="145" t="s">
        <v>693</v>
      </c>
      <c r="F142" s="145" t="s">
        <v>179</v>
      </c>
      <c r="G142" s="167">
        <v>1064.9000000000001</v>
      </c>
      <c r="H142" s="559"/>
      <c r="I142" s="226">
        <v>1033.93</v>
      </c>
      <c r="J142" s="226">
        <v>1033.92</v>
      </c>
      <c r="K142" s="226">
        <v>1064.9000000000001</v>
      </c>
      <c r="L142" s="226">
        <v>1064.9000000000001</v>
      </c>
      <c r="M142" s="226">
        <v>1064.9000000000001</v>
      </c>
      <c r="N142" s="226">
        <v>1064.9000000000001</v>
      </c>
      <c r="O142" s="226">
        <v>1064.9000000000001</v>
      </c>
      <c r="P142" s="226">
        <v>1064.9000000000001</v>
      </c>
      <c r="Q142" s="226">
        <v>1064.9000000000001</v>
      </c>
      <c r="R142" s="226">
        <v>1064.9000000000001</v>
      </c>
      <c r="S142" s="226">
        <v>1064.9000000000001</v>
      </c>
      <c r="T142" s="226">
        <v>1064.9000000000001</v>
      </c>
      <c r="U142" s="582"/>
      <c r="V142" s="253">
        <f t="shared" si="15"/>
        <v>12716.849999999999</v>
      </c>
    </row>
    <row r="143" spans="1:22" x14ac:dyDescent="0.15">
      <c r="A143" s="579" t="s">
        <v>668</v>
      </c>
      <c r="B143" s="143"/>
      <c r="C143" s="144"/>
      <c r="D143" s="145">
        <v>615220</v>
      </c>
      <c r="E143" s="145" t="s">
        <v>693</v>
      </c>
      <c r="F143" s="145" t="s">
        <v>179</v>
      </c>
      <c r="G143" s="167">
        <v>236.37</v>
      </c>
      <c r="H143" s="559">
        <f>236.37-236.37</f>
        <v>0</v>
      </c>
      <c r="I143" s="226">
        <v>236.37</v>
      </c>
      <c r="J143" s="226">
        <v>236.37</v>
      </c>
      <c r="K143" s="226">
        <v>236.37</v>
      </c>
      <c r="L143" s="226">
        <v>236.38</v>
      </c>
      <c r="M143" s="226">
        <v>236.38</v>
      </c>
      <c r="N143" s="226">
        <v>236.38</v>
      </c>
      <c r="O143" s="226">
        <v>236.38</v>
      </c>
      <c r="P143" s="226">
        <v>236.38</v>
      </c>
      <c r="Q143" s="226">
        <v>236.38</v>
      </c>
      <c r="R143" s="226">
        <v>236.38</v>
      </c>
      <c r="S143" s="226">
        <v>236.31</v>
      </c>
      <c r="T143" s="226"/>
      <c r="U143" s="582"/>
      <c r="V143" s="253">
        <f>SUM(H143:T143)</f>
        <v>2600.0800000000004</v>
      </c>
    </row>
    <row r="144" spans="1:22" x14ac:dyDescent="0.15">
      <c r="A144" s="143" t="s">
        <v>387</v>
      </c>
      <c r="B144" s="143" t="s">
        <v>601</v>
      </c>
      <c r="C144" s="144" t="s">
        <v>586</v>
      </c>
      <c r="D144" s="145">
        <v>615220</v>
      </c>
      <c r="E144" s="145" t="s">
        <v>693</v>
      </c>
      <c r="F144" s="145" t="s">
        <v>179</v>
      </c>
      <c r="G144" s="167">
        <v>20</v>
      </c>
      <c r="H144" s="559"/>
      <c r="I144" s="226">
        <v>20</v>
      </c>
      <c r="J144" s="226">
        <v>20</v>
      </c>
      <c r="K144" s="226">
        <v>20</v>
      </c>
      <c r="L144" s="226">
        <v>20</v>
      </c>
      <c r="M144" s="226">
        <v>20</v>
      </c>
      <c r="N144" s="226">
        <v>20</v>
      </c>
      <c r="O144" s="226">
        <v>20</v>
      </c>
      <c r="P144" s="226">
        <v>20</v>
      </c>
      <c r="Q144" s="226">
        <v>20</v>
      </c>
      <c r="R144" s="226">
        <v>20</v>
      </c>
      <c r="S144" s="226">
        <v>20</v>
      </c>
      <c r="T144" s="226">
        <v>20</v>
      </c>
      <c r="U144" s="582"/>
      <c r="V144" s="253">
        <f t="shared" si="15"/>
        <v>240</v>
      </c>
    </row>
    <row r="145" spans="1:22" x14ac:dyDescent="0.15">
      <c r="A145" s="143" t="s">
        <v>267</v>
      </c>
      <c r="B145" s="143" t="s">
        <v>288</v>
      </c>
      <c r="C145" s="144" t="s">
        <v>699</v>
      </c>
      <c r="D145" s="145">
        <v>615220</v>
      </c>
      <c r="E145" s="145" t="s">
        <v>693</v>
      </c>
      <c r="F145" s="145" t="s">
        <v>179</v>
      </c>
      <c r="G145" s="167">
        <v>2254.83</v>
      </c>
      <c r="H145" s="559"/>
      <c r="I145" s="226">
        <v>2254.85</v>
      </c>
      <c r="J145" s="226">
        <v>2254.85</v>
      </c>
      <c r="K145" s="226">
        <v>3981.67</v>
      </c>
      <c r="L145" s="226">
        <v>3981.67</v>
      </c>
      <c r="M145" s="226">
        <v>3981.67</v>
      </c>
      <c r="N145" s="226">
        <v>3981.67</v>
      </c>
      <c r="O145" s="226">
        <f>3981.67+500</f>
        <v>4481.67</v>
      </c>
      <c r="P145" s="226">
        <f>3981.67-500</f>
        <v>3481.67</v>
      </c>
      <c r="Q145" s="226">
        <v>3981.67</v>
      </c>
      <c r="R145" s="226">
        <v>3981.67</v>
      </c>
      <c r="S145" s="226">
        <v>3981.67</v>
      </c>
      <c r="T145" s="226">
        <v>3981.67</v>
      </c>
      <c r="U145" s="582"/>
      <c r="V145" s="253">
        <f t="shared" si="15"/>
        <v>44326.399999999987</v>
      </c>
    </row>
    <row r="146" spans="1:22" x14ac:dyDescent="0.15">
      <c r="A146" s="143" t="s">
        <v>267</v>
      </c>
      <c r="B146" s="143" t="s">
        <v>602</v>
      </c>
      <c r="C146" s="144" t="s">
        <v>573</v>
      </c>
      <c r="D146" s="145">
        <v>615220</v>
      </c>
      <c r="E146" s="145" t="s">
        <v>693</v>
      </c>
      <c r="F146" s="145" t="s">
        <v>179</v>
      </c>
      <c r="G146" s="167">
        <v>568.83000000000004</v>
      </c>
      <c r="H146" s="559"/>
      <c r="I146" s="226">
        <v>568.85</v>
      </c>
      <c r="J146" s="226">
        <v>568.85</v>
      </c>
      <c r="K146" s="589"/>
      <c r="L146" s="589"/>
      <c r="M146" s="589"/>
      <c r="N146" s="589"/>
      <c r="O146" s="589"/>
      <c r="P146" s="589"/>
      <c r="Q146" s="589"/>
      <c r="R146" s="589"/>
      <c r="S146" s="589"/>
      <c r="T146" s="589"/>
      <c r="U146" s="582"/>
      <c r="V146" s="253">
        <f t="shared" si="15"/>
        <v>1137.7</v>
      </c>
    </row>
    <row r="147" spans="1:22" x14ac:dyDescent="0.15">
      <c r="A147" s="143" t="s">
        <v>267</v>
      </c>
      <c r="B147" s="143"/>
      <c r="C147" s="144" t="s">
        <v>814</v>
      </c>
      <c r="D147" s="145">
        <v>615220</v>
      </c>
      <c r="E147" s="145" t="s">
        <v>693</v>
      </c>
      <c r="F147" s="145" t="s">
        <v>179</v>
      </c>
      <c r="G147" s="167">
        <v>2763.75</v>
      </c>
      <c r="H147" s="559"/>
      <c r="I147" s="226"/>
      <c r="J147" s="226"/>
      <c r="K147" s="226"/>
      <c r="L147" s="226"/>
      <c r="M147" s="226"/>
      <c r="N147" s="226"/>
      <c r="O147" s="226"/>
      <c r="P147" s="226"/>
      <c r="Q147" s="226"/>
      <c r="R147" s="226">
        <v>2763.75</v>
      </c>
      <c r="S147" s="226">
        <v>2763.75</v>
      </c>
      <c r="T147" s="226">
        <v>2763.75</v>
      </c>
      <c r="U147" s="582"/>
      <c r="V147" s="253">
        <f t="shared" si="15"/>
        <v>8291.25</v>
      </c>
    </row>
    <row r="148" spans="1:22" x14ac:dyDescent="0.15">
      <c r="A148" s="143" t="s">
        <v>267</v>
      </c>
      <c r="B148" s="143"/>
      <c r="C148" s="144" t="s">
        <v>814</v>
      </c>
      <c r="D148" s="145">
        <v>615220</v>
      </c>
      <c r="E148" s="145" t="s">
        <v>693</v>
      </c>
      <c r="F148" s="145" t="s">
        <v>179</v>
      </c>
      <c r="G148" s="167"/>
      <c r="H148" s="559"/>
      <c r="I148" s="226"/>
      <c r="J148" s="226"/>
      <c r="K148" s="226"/>
      <c r="L148" s="226"/>
      <c r="M148" s="226"/>
      <c r="N148" s="226"/>
      <c r="O148" s="226"/>
      <c r="P148" s="226"/>
      <c r="Q148" s="226"/>
      <c r="R148" s="226">
        <v>921.25</v>
      </c>
      <c r="S148" s="226">
        <v>921.25</v>
      </c>
      <c r="T148" s="226">
        <v>921.25</v>
      </c>
      <c r="U148" s="582"/>
      <c r="V148" s="253">
        <f t="shared" si="15"/>
        <v>2763.75</v>
      </c>
    </row>
    <row r="149" spans="1:22" x14ac:dyDescent="0.15">
      <c r="A149" s="143" t="s">
        <v>336</v>
      </c>
      <c r="B149" s="143" t="s">
        <v>337</v>
      </c>
      <c r="C149" s="144" t="s">
        <v>646</v>
      </c>
      <c r="D149" s="145">
        <v>615220</v>
      </c>
      <c r="E149" s="145" t="s">
        <v>693</v>
      </c>
      <c r="F149" s="145" t="s">
        <v>179</v>
      </c>
      <c r="G149" s="167">
        <v>24.43</v>
      </c>
      <c r="H149" s="559"/>
      <c r="I149" s="226">
        <v>24.43</v>
      </c>
      <c r="J149" s="226">
        <v>24.43</v>
      </c>
      <c r="K149" s="226">
        <v>24.43</v>
      </c>
      <c r="L149" s="226">
        <v>24.43</v>
      </c>
      <c r="M149" s="226">
        <v>24.43</v>
      </c>
      <c r="N149" s="226">
        <v>24.43</v>
      </c>
      <c r="O149" s="226">
        <v>24.43</v>
      </c>
      <c r="P149" s="226">
        <v>24.38</v>
      </c>
      <c r="Q149" s="226">
        <v>30.03</v>
      </c>
      <c r="R149" s="226">
        <v>30.03</v>
      </c>
      <c r="S149" s="226">
        <v>30.03</v>
      </c>
      <c r="T149" s="226">
        <v>30.03</v>
      </c>
      <c r="U149" s="582"/>
      <c r="V149" s="253">
        <f t="shared" si="15"/>
        <v>315.51</v>
      </c>
    </row>
    <row r="150" spans="1:22" x14ac:dyDescent="0.15">
      <c r="A150" s="170" t="s">
        <v>294</v>
      </c>
      <c r="B150" s="143" t="s">
        <v>497</v>
      </c>
      <c r="C150" s="144">
        <v>2017</v>
      </c>
      <c r="D150" s="145">
        <v>615220</v>
      </c>
      <c r="E150" s="145" t="s">
        <v>693</v>
      </c>
      <c r="F150" s="145" t="s">
        <v>179</v>
      </c>
      <c r="G150" s="167">
        <v>1157.95</v>
      </c>
      <c r="H150" s="559"/>
      <c r="I150" s="226">
        <v>1179.1300000000001</v>
      </c>
      <c r="J150" s="226">
        <v>1179.1300000000001</v>
      </c>
      <c r="K150" s="226">
        <v>1179.1300000000001</v>
      </c>
      <c r="L150" s="226">
        <v>1179.1300000000001</v>
      </c>
      <c r="M150" s="226">
        <v>1179.1300000000001</v>
      </c>
      <c r="N150" s="226">
        <v>1179.1300000000001</v>
      </c>
      <c r="O150" s="226">
        <v>1179.1300000000001</v>
      </c>
      <c r="P150" s="226">
        <v>1179.1300000000001</v>
      </c>
      <c r="Q150" s="226">
        <v>1179.1300000000001</v>
      </c>
      <c r="R150" s="226">
        <v>1179.1300000000001</v>
      </c>
      <c r="S150" s="226">
        <v>1179.1300000000001</v>
      </c>
      <c r="T150" s="226">
        <v>1179.03</v>
      </c>
      <c r="U150" s="582"/>
      <c r="V150" s="253">
        <f t="shared" si="15"/>
        <v>14149.460000000005</v>
      </c>
    </row>
    <row r="151" spans="1:22" x14ac:dyDescent="0.15">
      <c r="A151" s="170" t="s">
        <v>294</v>
      </c>
      <c r="B151" s="143" t="s">
        <v>498</v>
      </c>
      <c r="C151" s="144">
        <v>2017</v>
      </c>
      <c r="D151" s="145">
        <v>615220</v>
      </c>
      <c r="E151" s="145" t="s">
        <v>693</v>
      </c>
      <c r="F151" s="145" t="s">
        <v>179</v>
      </c>
      <c r="G151" s="167">
        <v>1.9</v>
      </c>
      <c r="H151" s="559"/>
      <c r="I151" s="226">
        <v>438.82</v>
      </c>
      <c r="J151" s="226">
        <v>438.82</v>
      </c>
      <c r="K151" s="226">
        <v>438.82</v>
      </c>
      <c r="L151" s="226">
        <v>438.82</v>
      </c>
      <c r="M151" s="226">
        <v>438.82</v>
      </c>
      <c r="N151" s="226">
        <v>438.82</v>
      </c>
      <c r="O151" s="226">
        <v>438.82</v>
      </c>
      <c r="P151" s="226">
        <v>438.82</v>
      </c>
      <c r="Q151" s="226">
        <v>438.82</v>
      </c>
      <c r="R151" s="226">
        <v>438.82</v>
      </c>
      <c r="S151" s="226">
        <v>438.82</v>
      </c>
      <c r="T151" s="226">
        <v>438.75</v>
      </c>
      <c r="U151" s="582"/>
      <c r="V151" s="253">
        <f t="shared" si="15"/>
        <v>5265.77</v>
      </c>
    </row>
    <row r="152" spans="1:22" x14ac:dyDescent="0.15">
      <c r="A152" s="143" t="s">
        <v>19</v>
      </c>
      <c r="B152" s="143" t="s">
        <v>603</v>
      </c>
      <c r="C152" s="144" t="s">
        <v>646</v>
      </c>
      <c r="D152" s="145">
        <v>615220</v>
      </c>
      <c r="E152" s="145" t="s">
        <v>693</v>
      </c>
      <c r="F152" s="145" t="s">
        <v>179</v>
      </c>
      <c r="G152" s="167">
        <v>135.75</v>
      </c>
      <c r="H152" s="559"/>
      <c r="I152" s="226">
        <v>135.75</v>
      </c>
      <c r="J152" s="226">
        <v>135.75</v>
      </c>
      <c r="K152" s="226">
        <v>135.75</v>
      </c>
      <c r="L152" s="226">
        <v>135.75</v>
      </c>
      <c r="M152" s="226">
        <v>135.75</v>
      </c>
      <c r="N152" s="226">
        <v>135.75</v>
      </c>
      <c r="O152" s="226">
        <v>135.75</v>
      </c>
      <c r="P152" s="226">
        <v>135.75</v>
      </c>
      <c r="Q152" s="226">
        <v>135.69</v>
      </c>
      <c r="R152" s="226">
        <v>139.55000000000001</v>
      </c>
      <c r="S152" s="226">
        <v>139.55000000000001</v>
      </c>
      <c r="T152" s="226">
        <v>139.55000000000001</v>
      </c>
      <c r="U152" s="582"/>
      <c r="V152" s="253">
        <f t="shared" si="15"/>
        <v>1640.34</v>
      </c>
    </row>
    <row r="153" spans="1:22" x14ac:dyDescent="0.15">
      <c r="A153" s="143" t="s">
        <v>241</v>
      </c>
      <c r="B153" s="143" t="s">
        <v>302</v>
      </c>
      <c r="C153" s="144" t="s">
        <v>614</v>
      </c>
      <c r="D153" s="145">
        <v>615220</v>
      </c>
      <c r="E153" s="145" t="s">
        <v>693</v>
      </c>
      <c r="F153" s="145" t="s">
        <v>179</v>
      </c>
      <c r="G153" s="167">
        <v>6559.98</v>
      </c>
      <c r="H153" s="559"/>
      <c r="I153" s="226">
        <f>6647.98-88</f>
        <v>6559.98</v>
      </c>
      <c r="J153" s="226">
        <f>6647.98-88</f>
        <v>6559.98</v>
      </c>
      <c r="K153" s="226">
        <f>6647.98-88</f>
        <v>6559.98</v>
      </c>
      <c r="L153" s="226">
        <f>6647.98-88</f>
        <v>6559.98</v>
      </c>
      <c r="M153" s="607">
        <f>6647.98-88</f>
        <v>6559.98</v>
      </c>
      <c r="N153" s="589"/>
      <c r="O153" s="589"/>
      <c r="P153" s="589"/>
      <c r="Q153" s="589"/>
      <c r="R153" s="589"/>
      <c r="S153" s="589"/>
      <c r="T153" s="589"/>
      <c r="U153" s="582"/>
      <c r="V153" s="253">
        <f t="shared" si="15"/>
        <v>32799.899999999994</v>
      </c>
    </row>
    <row r="154" spans="1:22" x14ac:dyDescent="0.15">
      <c r="A154" s="143" t="s">
        <v>241</v>
      </c>
      <c r="B154" s="143" t="s">
        <v>302</v>
      </c>
      <c r="C154" s="144" t="s">
        <v>647</v>
      </c>
      <c r="D154" s="145">
        <v>615220</v>
      </c>
      <c r="E154" s="145" t="s">
        <v>693</v>
      </c>
      <c r="F154" s="145" t="s">
        <v>179</v>
      </c>
      <c r="G154" s="167">
        <v>213.87</v>
      </c>
      <c r="H154" s="559"/>
      <c r="I154" s="226">
        <v>213.87</v>
      </c>
      <c r="J154" s="226">
        <v>213.87</v>
      </c>
      <c r="K154" s="226">
        <v>213.87</v>
      </c>
      <c r="L154" s="226">
        <v>213.87</v>
      </c>
      <c r="M154" s="607">
        <v>213.84</v>
      </c>
      <c r="N154" s="589"/>
      <c r="O154" s="589"/>
      <c r="P154" s="589"/>
      <c r="Q154" s="589"/>
      <c r="R154" s="589"/>
      <c r="S154" s="589"/>
      <c r="T154" s="589"/>
      <c r="U154" s="582"/>
      <c r="V154" s="253">
        <f t="shared" si="15"/>
        <v>1069.32</v>
      </c>
    </row>
    <row r="155" spans="1:22" x14ac:dyDescent="0.15">
      <c r="A155" s="143" t="s">
        <v>241</v>
      </c>
      <c r="B155" s="143" t="s">
        <v>687</v>
      </c>
      <c r="C155" s="144" t="s">
        <v>688</v>
      </c>
      <c r="D155" s="145">
        <v>615220</v>
      </c>
      <c r="E155" s="145" t="s">
        <v>693</v>
      </c>
      <c r="F155" s="145" t="s">
        <v>179</v>
      </c>
      <c r="G155" s="167"/>
      <c r="H155" s="559"/>
      <c r="I155" s="226"/>
      <c r="J155" s="226">
        <v>390.38</v>
      </c>
      <c r="K155" s="226">
        <v>390.83</v>
      </c>
      <c r="L155" s="226">
        <v>390.83</v>
      </c>
      <c r="M155" s="607">
        <v>389.46</v>
      </c>
      <c r="N155" s="589"/>
      <c r="O155" s="589"/>
      <c r="P155" s="589"/>
      <c r="Q155" s="589"/>
      <c r="R155" s="589"/>
      <c r="S155" s="589"/>
      <c r="T155" s="589"/>
      <c r="U155" s="582"/>
      <c r="V155" s="253">
        <f t="shared" si="15"/>
        <v>1561.5</v>
      </c>
    </row>
    <row r="156" spans="1:22" x14ac:dyDescent="0.15">
      <c r="A156" s="143" t="s">
        <v>241</v>
      </c>
      <c r="B156" s="143" t="s">
        <v>776</v>
      </c>
      <c r="C156" s="144" t="s">
        <v>777</v>
      </c>
      <c r="D156" s="145">
        <v>615220</v>
      </c>
      <c r="E156" s="145" t="s">
        <v>693</v>
      </c>
      <c r="F156" s="145" t="s">
        <v>179</v>
      </c>
      <c r="G156" s="167"/>
      <c r="H156" s="559"/>
      <c r="I156" s="226"/>
      <c r="J156" s="226"/>
      <c r="K156" s="226"/>
      <c r="L156" s="226"/>
      <c r="M156" s="226">
        <f>7317.33-7317.33</f>
        <v>0</v>
      </c>
      <c r="N156" s="226">
        <f t="shared" ref="N156:S156" si="16">7317.33-88</f>
        <v>7229.33</v>
      </c>
      <c r="O156" s="226">
        <f t="shared" si="16"/>
        <v>7229.33</v>
      </c>
      <c r="P156" s="226">
        <f t="shared" si="16"/>
        <v>7229.33</v>
      </c>
      <c r="Q156" s="226">
        <f t="shared" si="16"/>
        <v>7229.33</v>
      </c>
      <c r="R156" s="226">
        <f t="shared" si="16"/>
        <v>7229.33</v>
      </c>
      <c r="S156" s="226">
        <f t="shared" si="16"/>
        <v>7229.33</v>
      </c>
      <c r="T156" s="226">
        <v>7317.33</v>
      </c>
      <c r="U156" s="582"/>
      <c r="V156" s="253">
        <f t="shared" si="15"/>
        <v>50693.310000000005</v>
      </c>
    </row>
    <row r="157" spans="1:22" x14ac:dyDescent="0.15">
      <c r="A157" s="143" t="s">
        <v>241</v>
      </c>
      <c r="B157" s="143" t="s">
        <v>864</v>
      </c>
      <c r="C157" s="144" t="s">
        <v>865</v>
      </c>
      <c r="D157" s="145">
        <v>615220</v>
      </c>
      <c r="E157" s="145" t="s">
        <v>693</v>
      </c>
      <c r="F157" s="145" t="s">
        <v>179</v>
      </c>
      <c r="G157" s="167"/>
      <c r="H157" s="559"/>
      <c r="I157" s="226"/>
      <c r="J157" s="226"/>
      <c r="K157" s="226"/>
      <c r="L157" s="226"/>
      <c r="M157" s="226"/>
      <c r="N157" s="226"/>
      <c r="O157" s="226"/>
      <c r="P157" s="226"/>
      <c r="Q157" s="226"/>
      <c r="R157" s="226"/>
      <c r="S157" s="226"/>
      <c r="T157" s="226">
        <v>547.55999999999995</v>
      </c>
      <c r="U157" s="582"/>
      <c r="V157" s="253">
        <f t="shared" si="15"/>
        <v>547.55999999999995</v>
      </c>
    </row>
    <row r="158" spans="1:22" x14ac:dyDescent="0.15">
      <c r="A158" s="143" t="s">
        <v>661</v>
      </c>
      <c r="B158" s="143" t="s">
        <v>662</v>
      </c>
      <c r="C158" s="144" t="s">
        <v>857</v>
      </c>
      <c r="D158" s="145">
        <v>615220</v>
      </c>
      <c r="E158" s="145" t="s">
        <v>693</v>
      </c>
      <c r="F158" s="145" t="s">
        <v>179</v>
      </c>
      <c r="G158" s="167">
        <v>410.4</v>
      </c>
      <c r="H158" s="559"/>
      <c r="I158" s="226">
        <v>410.4</v>
      </c>
      <c r="J158" s="226">
        <v>410.4</v>
      </c>
      <c r="K158" s="226">
        <v>410.4</v>
      </c>
      <c r="L158" s="226">
        <v>410.4</v>
      </c>
      <c r="M158" s="226">
        <v>410.4</v>
      </c>
      <c r="N158" s="226">
        <v>410.4</v>
      </c>
      <c r="O158" s="226">
        <v>410.4</v>
      </c>
      <c r="P158" s="226">
        <v>410.4</v>
      </c>
      <c r="Q158" s="226">
        <v>410.4</v>
      </c>
      <c r="R158" s="226">
        <v>410.4</v>
      </c>
      <c r="S158" s="226">
        <v>410.31</v>
      </c>
      <c r="T158" s="226">
        <v>322.83999999999997</v>
      </c>
      <c r="U158" s="582"/>
      <c r="V158" s="253">
        <f t="shared" si="15"/>
        <v>4837.1500000000005</v>
      </c>
    </row>
    <row r="159" spans="1:22" x14ac:dyDescent="0.15">
      <c r="A159" s="143" t="s">
        <v>661</v>
      </c>
      <c r="B159" s="143" t="s">
        <v>663</v>
      </c>
      <c r="C159" s="144" t="s">
        <v>857</v>
      </c>
      <c r="D159" s="145">
        <v>615220</v>
      </c>
      <c r="E159" s="145" t="s">
        <v>693</v>
      </c>
      <c r="F159" s="145" t="s">
        <v>179</v>
      </c>
      <c r="G159" s="167">
        <v>531.25</v>
      </c>
      <c r="H159" s="559"/>
      <c r="I159" s="226">
        <v>503.13</v>
      </c>
      <c r="J159" s="226">
        <v>503.13</v>
      </c>
      <c r="K159" s="226">
        <v>503.13</v>
      </c>
      <c r="L159" s="226">
        <v>503.13</v>
      </c>
      <c r="M159" s="226">
        <v>503.13</v>
      </c>
      <c r="N159" s="226">
        <v>503.13</v>
      </c>
      <c r="O159" s="226">
        <v>503.13</v>
      </c>
      <c r="P159" s="226">
        <v>503.13</v>
      </c>
      <c r="Q159" s="226">
        <v>503.13</v>
      </c>
      <c r="R159" s="226">
        <v>503.13</v>
      </c>
      <c r="S159" s="226">
        <v>503.07</v>
      </c>
      <c r="T159" s="226">
        <v>531.25</v>
      </c>
      <c r="U159" s="582"/>
      <c r="V159" s="253">
        <f t="shared" si="15"/>
        <v>6065.62</v>
      </c>
    </row>
    <row r="160" spans="1:22" x14ac:dyDescent="0.15">
      <c r="A160" s="170" t="s">
        <v>669</v>
      </c>
      <c r="B160" s="143"/>
      <c r="C160" s="144"/>
      <c r="D160" s="145">
        <v>615220</v>
      </c>
      <c r="E160" s="145" t="s">
        <v>693</v>
      </c>
      <c r="F160" s="145" t="s">
        <v>179</v>
      </c>
      <c r="G160" s="167">
        <v>175.6</v>
      </c>
      <c r="H160" s="559">
        <f>888.68-175.6-148.12-142.12-6</f>
        <v>416.83999999999992</v>
      </c>
      <c r="I160" s="226">
        <v>148.12</v>
      </c>
      <c r="J160" s="226">
        <v>148.12</v>
      </c>
      <c r="K160" s="226">
        <v>148.12</v>
      </c>
      <c r="L160" s="226">
        <v>148.12</v>
      </c>
      <c r="M160" s="226">
        <v>148.12</v>
      </c>
      <c r="N160" s="226">
        <v>148.12</v>
      </c>
      <c r="O160" s="226">
        <v>148.12</v>
      </c>
      <c r="P160" s="226">
        <v>148.08000000000001</v>
      </c>
      <c r="Q160" s="226">
        <v>28.47</v>
      </c>
      <c r="R160" s="226">
        <v>28.47</v>
      </c>
      <c r="S160" s="226">
        <v>28.47</v>
      </c>
      <c r="T160" s="226">
        <v>28.47</v>
      </c>
      <c r="U160" s="582"/>
      <c r="V160" s="253">
        <f t="shared" si="15"/>
        <v>1715.6399999999999</v>
      </c>
    </row>
    <row r="161" spans="1:25" x14ac:dyDescent="0.15">
      <c r="A161" s="143" t="s">
        <v>622</v>
      </c>
      <c r="B161" s="143" t="s">
        <v>473</v>
      </c>
      <c r="C161" s="144" t="s">
        <v>623</v>
      </c>
      <c r="D161" s="145">
        <v>615220</v>
      </c>
      <c r="E161" s="145" t="s">
        <v>693</v>
      </c>
      <c r="F161" s="145" t="s">
        <v>179</v>
      </c>
      <c r="G161" s="167">
        <v>59.07</v>
      </c>
      <c r="H161" s="559"/>
      <c r="I161" s="226">
        <v>59.07</v>
      </c>
      <c r="J161" s="226">
        <v>59.07</v>
      </c>
      <c r="K161" s="226">
        <v>59.07</v>
      </c>
      <c r="L161" s="226">
        <v>59.07</v>
      </c>
      <c r="M161" s="226">
        <v>59.07</v>
      </c>
      <c r="N161" s="226">
        <v>59.07</v>
      </c>
      <c r="O161" s="226">
        <v>59.07</v>
      </c>
      <c r="P161" s="226">
        <v>59.07</v>
      </c>
      <c r="Q161" s="226">
        <v>59.07</v>
      </c>
      <c r="R161" s="226">
        <v>59.07</v>
      </c>
      <c r="S161" s="226">
        <v>59.07</v>
      </c>
      <c r="T161" s="226">
        <v>59.07</v>
      </c>
      <c r="U161" s="582"/>
      <c r="V161" s="253">
        <f t="shared" si="15"/>
        <v>708.84000000000015</v>
      </c>
    </row>
    <row r="162" spans="1:25" x14ac:dyDescent="0.15">
      <c r="A162" s="143" t="s">
        <v>622</v>
      </c>
      <c r="B162" s="143" t="s">
        <v>473</v>
      </c>
      <c r="C162" s="144" t="s">
        <v>649</v>
      </c>
      <c r="D162" s="145">
        <v>615220</v>
      </c>
      <c r="E162" s="145" t="s">
        <v>693</v>
      </c>
      <c r="F162" s="145" t="s">
        <v>179</v>
      </c>
      <c r="G162" s="167">
        <v>15.11</v>
      </c>
      <c r="H162" s="559"/>
      <c r="I162" s="226">
        <v>15.11</v>
      </c>
      <c r="J162" s="226">
        <v>15.11</v>
      </c>
      <c r="K162" s="226">
        <v>15.11</v>
      </c>
      <c r="L162" s="226">
        <v>15.11</v>
      </c>
      <c r="M162" s="226">
        <v>15.11</v>
      </c>
      <c r="N162" s="226">
        <v>15.11</v>
      </c>
      <c r="O162" s="226">
        <v>15.11</v>
      </c>
      <c r="P162" s="226">
        <v>15.11</v>
      </c>
      <c r="Q162" s="226">
        <v>15.11</v>
      </c>
      <c r="R162" s="226">
        <v>15.11</v>
      </c>
      <c r="S162" s="226">
        <v>15.11</v>
      </c>
      <c r="T162" s="226">
        <v>15.11</v>
      </c>
      <c r="U162" s="582"/>
      <c r="V162" s="253">
        <f t="shared" si="15"/>
        <v>181.32000000000005</v>
      </c>
    </row>
    <row r="163" spans="1:25" x14ac:dyDescent="0.15">
      <c r="A163" s="143" t="s">
        <v>622</v>
      </c>
      <c r="B163" s="143" t="s">
        <v>653</v>
      </c>
      <c r="C163" s="144" t="s">
        <v>649</v>
      </c>
      <c r="D163" s="145">
        <v>615220</v>
      </c>
      <c r="E163" s="145" t="s">
        <v>693</v>
      </c>
      <c r="F163" s="145" t="s">
        <v>179</v>
      </c>
      <c r="G163" s="167">
        <v>23.83</v>
      </c>
      <c r="H163" s="559"/>
      <c r="I163" s="226">
        <v>23.83</v>
      </c>
      <c r="J163" s="226">
        <v>23.83</v>
      </c>
      <c r="K163" s="226">
        <v>23.83</v>
      </c>
      <c r="L163" s="226">
        <v>23.83</v>
      </c>
      <c r="M163" s="226">
        <v>23.83</v>
      </c>
      <c r="N163" s="226">
        <v>23.83</v>
      </c>
      <c r="O163" s="226">
        <v>23.83</v>
      </c>
      <c r="P163" s="226">
        <v>23.83</v>
      </c>
      <c r="Q163" s="226">
        <v>23.83</v>
      </c>
      <c r="R163" s="226">
        <v>23.83</v>
      </c>
      <c r="S163" s="226">
        <v>23.83</v>
      </c>
      <c r="T163" s="226">
        <v>23.83</v>
      </c>
      <c r="U163" s="582"/>
      <c r="V163" s="253">
        <f t="shared" si="15"/>
        <v>285.95999999999992</v>
      </c>
    </row>
    <row r="164" spans="1:25" x14ac:dyDescent="0.15">
      <c r="A164" s="480" t="s">
        <v>622</v>
      </c>
      <c r="B164" s="143"/>
      <c r="C164" s="144"/>
      <c r="D164" s="145">
        <v>615220</v>
      </c>
      <c r="E164" s="145" t="s">
        <v>693</v>
      </c>
      <c r="F164" s="145" t="s">
        <v>179</v>
      </c>
      <c r="G164" s="167"/>
      <c r="H164" s="559"/>
      <c r="I164" s="226">
        <v>200</v>
      </c>
      <c r="J164" s="226">
        <v>200</v>
      </c>
      <c r="K164" s="226">
        <v>200</v>
      </c>
      <c r="L164" s="226">
        <v>200</v>
      </c>
      <c r="M164" s="226">
        <v>200</v>
      </c>
      <c r="N164" s="226">
        <v>200</v>
      </c>
      <c r="O164" s="226">
        <v>200</v>
      </c>
      <c r="P164" s="226">
        <v>200</v>
      </c>
      <c r="Q164" s="226">
        <v>200</v>
      </c>
      <c r="R164" s="226">
        <v>200</v>
      </c>
      <c r="S164" s="226">
        <v>200</v>
      </c>
      <c r="T164" s="226">
        <v>200</v>
      </c>
      <c r="U164" s="582"/>
      <c r="V164" s="253">
        <f t="shared" si="15"/>
        <v>2400</v>
      </c>
    </row>
    <row r="165" spans="1:25" x14ac:dyDescent="0.15">
      <c r="A165" s="143" t="s">
        <v>493</v>
      </c>
      <c r="B165" s="143"/>
      <c r="C165" s="144"/>
      <c r="D165" s="145">
        <v>615220</v>
      </c>
      <c r="E165" s="145" t="s">
        <v>693</v>
      </c>
      <c r="F165" s="145" t="s">
        <v>179</v>
      </c>
      <c r="G165" s="167"/>
      <c r="H165" s="559"/>
      <c r="I165" s="588">
        <v>-2026</v>
      </c>
      <c r="J165" s="226">
        <v>-2026</v>
      </c>
      <c r="K165" s="226">
        <v>-2026</v>
      </c>
      <c r="L165" s="226">
        <v>-2026</v>
      </c>
      <c r="M165" s="226">
        <v>-2026</v>
      </c>
      <c r="N165" s="226">
        <v>-2026</v>
      </c>
      <c r="O165" s="226">
        <v>-2026</v>
      </c>
      <c r="P165" s="226">
        <v>-2026</v>
      </c>
      <c r="Q165" s="226">
        <v>-2026</v>
      </c>
      <c r="R165" s="226">
        <v>-2026</v>
      </c>
      <c r="S165" s="226">
        <v>-2026</v>
      </c>
      <c r="T165" s="226"/>
      <c r="U165" s="582"/>
      <c r="V165" s="253">
        <f t="shared" si="15"/>
        <v>-22286</v>
      </c>
    </row>
    <row r="166" spans="1:25" x14ac:dyDescent="0.15">
      <c r="A166" s="143" t="s">
        <v>773</v>
      </c>
      <c r="B166" s="143"/>
      <c r="C166" s="144"/>
      <c r="D166" s="145">
        <v>615221</v>
      </c>
      <c r="E166" s="145" t="s">
        <v>693</v>
      </c>
      <c r="F166" s="145" t="s">
        <v>179</v>
      </c>
      <c r="G166" s="167"/>
      <c r="H166" s="559">
        <v>-2100</v>
      </c>
      <c r="I166" s="226"/>
      <c r="J166" s="226"/>
      <c r="K166" s="226"/>
      <c r="L166" s="226"/>
      <c r="M166" s="226"/>
      <c r="N166" s="226">
        <v>471.52</v>
      </c>
      <c r="O166" s="226">
        <v>-471.52</v>
      </c>
      <c r="P166" s="226"/>
      <c r="Q166" s="226"/>
      <c r="R166" s="226"/>
      <c r="S166" s="226"/>
      <c r="T166" s="226"/>
      <c r="U166" s="582"/>
      <c r="V166" s="253">
        <f t="shared" si="15"/>
        <v>-2100</v>
      </c>
    </row>
    <row r="167" spans="1:25" s="37" customFormat="1" x14ac:dyDescent="0.15">
      <c r="A167" s="127" t="s">
        <v>66</v>
      </c>
      <c r="B167" s="127"/>
      <c r="C167" s="492"/>
      <c r="D167" s="128"/>
      <c r="E167" s="129" t="s">
        <v>693</v>
      </c>
      <c r="F167" s="128"/>
      <c r="G167" s="515"/>
      <c r="H167" s="262">
        <f t="shared" ref="H167:U167" si="17">SUM(H73:H166)</f>
        <v>-10206.49</v>
      </c>
      <c r="I167" s="262">
        <f t="shared" si="17"/>
        <v>43738.139999999992</v>
      </c>
      <c r="J167" s="262">
        <f t="shared" si="17"/>
        <v>44429.17</v>
      </c>
      <c r="K167" s="262">
        <f t="shared" si="17"/>
        <v>44902.04</v>
      </c>
      <c r="L167" s="262">
        <f t="shared" si="17"/>
        <v>45954.30999999999</v>
      </c>
      <c r="M167" s="262">
        <f t="shared" si="17"/>
        <v>43862.93</v>
      </c>
      <c r="N167" s="262">
        <f t="shared" si="17"/>
        <v>45370.039999999994</v>
      </c>
      <c r="O167" s="262">
        <f t="shared" si="17"/>
        <v>35705.070000000007</v>
      </c>
      <c r="P167" s="262">
        <f t="shared" si="17"/>
        <v>43223.359999999993</v>
      </c>
      <c r="Q167" s="262">
        <f t="shared" si="17"/>
        <v>39575.420000000013</v>
      </c>
      <c r="R167" s="262">
        <f t="shared" si="17"/>
        <v>47270.45</v>
      </c>
      <c r="S167" s="262">
        <f t="shared" si="17"/>
        <v>48001.81</v>
      </c>
      <c r="T167" s="262">
        <f t="shared" si="17"/>
        <v>38950.499999999993</v>
      </c>
      <c r="U167" s="262">
        <f t="shared" si="17"/>
        <v>0</v>
      </c>
      <c r="V167" s="262">
        <f>SUM(V73:V166)</f>
        <v>510776.75</v>
      </c>
      <c r="W167" s="97" t="str">
        <f>+IF(V167=SUM(H167:T167),"contrôle ok", "erreur")</f>
        <v>contrôle ok</v>
      </c>
      <c r="X167" s="600"/>
      <c r="Y167" s="126"/>
    </row>
    <row r="168" spans="1:25" x14ac:dyDescent="0.15">
      <c r="A168" s="579" t="s">
        <v>668</v>
      </c>
      <c r="B168" s="143"/>
      <c r="C168" s="144"/>
      <c r="D168" s="145">
        <v>615220</v>
      </c>
      <c r="E168" s="145" t="s">
        <v>79</v>
      </c>
      <c r="F168" s="145" t="s">
        <v>179</v>
      </c>
      <c r="G168" s="167">
        <v>236.37</v>
      </c>
      <c r="H168" s="559"/>
      <c r="I168" s="582">
        <v>-236.37</v>
      </c>
      <c r="J168" s="582"/>
      <c r="M168" s="226"/>
      <c r="N168" s="226"/>
      <c r="O168" s="226"/>
      <c r="P168" s="226"/>
      <c r="Q168" s="226"/>
      <c r="R168" s="226"/>
      <c r="S168" s="226"/>
      <c r="T168" s="226"/>
      <c r="U168" s="226"/>
      <c r="V168" s="253">
        <f t="shared" ref="V168:V173" si="18">SUM(H168:T168)</f>
        <v>-236.37</v>
      </c>
    </row>
    <row r="169" spans="1:25" x14ac:dyDescent="0.15">
      <c r="A169" s="579" t="s">
        <v>669</v>
      </c>
      <c r="B169" s="143"/>
      <c r="C169" s="144"/>
      <c r="D169" s="145">
        <v>615220</v>
      </c>
      <c r="E169" s="145" t="s">
        <v>79</v>
      </c>
      <c r="F169" s="145" t="s">
        <v>179</v>
      </c>
      <c r="G169" s="167">
        <v>175.6</v>
      </c>
      <c r="H169" s="559">
        <v>-6</v>
      </c>
      <c r="I169" s="226">
        <f>148.12-I160</f>
        <v>0</v>
      </c>
      <c r="J169" s="226">
        <f>148.12-J160</f>
        <v>0</v>
      </c>
      <c r="K169" s="226"/>
      <c r="L169" s="226"/>
      <c r="M169" s="226"/>
      <c r="N169" s="226"/>
      <c r="O169" s="226"/>
      <c r="P169" s="226"/>
      <c r="Q169" s="226"/>
      <c r="R169" s="226"/>
      <c r="S169" s="226"/>
      <c r="T169" s="226"/>
      <c r="U169" s="226"/>
      <c r="V169" s="253">
        <f t="shared" si="18"/>
        <v>-6</v>
      </c>
    </row>
    <row r="170" spans="1:25" x14ac:dyDescent="0.15">
      <c r="A170" s="143" t="s">
        <v>57</v>
      </c>
      <c r="B170" s="143" t="s">
        <v>257</v>
      </c>
      <c r="C170" s="144">
        <v>2017</v>
      </c>
      <c r="D170" s="145">
        <v>615220</v>
      </c>
      <c r="E170" s="145" t="s">
        <v>79</v>
      </c>
      <c r="F170" s="145" t="s">
        <v>179</v>
      </c>
      <c r="G170" s="167">
        <v>2159.5</v>
      </c>
      <c r="H170" s="559"/>
      <c r="I170" s="226">
        <f>2159.5-I119</f>
        <v>0</v>
      </c>
      <c r="J170" s="226">
        <v>900</v>
      </c>
      <c r="K170" s="588"/>
      <c r="L170" s="226"/>
      <c r="M170" s="226"/>
      <c r="N170" s="226"/>
      <c r="O170" s="226"/>
      <c r="P170" s="226"/>
      <c r="Q170" s="226"/>
      <c r="R170" s="226"/>
      <c r="S170" s="226"/>
      <c r="T170" s="226"/>
      <c r="U170" s="226"/>
      <c r="V170" s="253">
        <f t="shared" si="18"/>
        <v>900</v>
      </c>
    </row>
    <row r="171" spans="1:25" x14ac:dyDescent="0.15">
      <c r="A171" s="480" t="s">
        <v>45</v>
      </c>
      <c r="B171" s="143" t="s">
        <v>470</v>
      </c>
      <c r="C171" s="144" t="s">
        <v>648</v>
      </c>
      <c r="D171" s="145">
        <v>615220</v>
      </c>
      <c r="E171" s="145" t="s">
        <v>79</v>
      </c>
      <c r="F171" s="145" t="s">
        <v>179</v>
      </c>
      <c r="G171" s="167">
        <v>1914.5</v>
      </c>
      <c r="H171" s="559"/>
      <c r="I171" s="226">
        <f>1914.5-I124</f>
        <v>0</v>
      </c>
      <c r="J171" s="226">
        <v>-3</v>
      </c>
      <c r="K171" s="226"/>
      <c r="L171" s="226"/>
      <c r="M171" s="226">
        <v>275.87</v>
      </c>
      <c r="N171" s="226"/>
      <c r="O171" s="226">
        <v>-275.87</v>
      </c>
      <c r="P171" s="226"/>
      <c r="Q171" s="226"/>
      <c r="R171" s="226"/>
      <c r="S171" s="226"/>
      <c r="T171" s="226"/>
      <c r="U171" s="226"/>
      <c r="V171" s="253">
        <f t="shared" si="18"/>
        <v>-3</v>
      </c>
    </row>
    <row r="172" spans="1:25" x14ac:dyDescent="0.15">
      <c r="A172" s="170" t="s">
        <v>294</v>
      </c>
      <c r="B172" s="143" t="s">
        <v>497</v>
      </c>
      <c r="C172" s="144">
        <v>2017</v>
      </c>
      <c r="D172" s="145">
        <v>615220</v>
      </c>
      <c r="E172" s="145" t="s">
        <v>79</v>
      </c>
      <c r="F172" s="145" t="s">
        <v>179</v>
      </c>
      <c r="G172" s="167">
        <v>1157.95</v>
      </c>
      <c r="H172" s="559"/>
      <c r="I172" s="226">
        <f>1179.13-I150</f>
        <v>0</v>
      </c>
      <c r="J172" s="226">
        <v>2</v>
      </c>
      <c r="K172" s="588"/>
      <c r="L172" s="226"/>
      <c r="M172" s="226"/>
      <c r="N172" s="226"/>
      <c r="O172" s="226"/>
      <c r="P172" s="226"/>
      <c r="Q172" s="226"/>
      <c r="R172" s="226"/>
      <c r="S172" s="226"/>
      <c r="T172" s="226"/>
      <c r="U172" s="226"/>
      <c r="V172" s="253">
        <f t="shared" si="18"/>
        <v>2</v>
      </c>
    </row>
    <row r="173" spans="1:25" x14ac:dyDescent="0.15">
      <c r="A173" s="143" t="s">
        <v>773</v>
      </c>
      <c r="B173" s="143"/>
      <c r="C173" s="144"/>
      <c r="D173" s="145">
        <v>615221</v>
      </c>
      <c r="E173" s="145" t="s">
        <v>79</v>
      </c>
      <c r="F173" s="145" t="s">
        <v>179</v>
      </c>
      <c r="G173" s="167"/>
      <c r="H173" s="559"/>
      <c r="I173" s="226"/>
      <c r="J173" s="226"/>
      <c r="K173" s="226">
        <f>-9420+8763.37</f>
        <v>-656.6299999999992</v>
      </c>
      <c r="L173" s="226"/>
      <c r="M173" s="226"/>
      <c r="N173" s="226">
        <f>151.5+472.89-151.5+512.67</f>
        <v>985.56</v>
      </c>
      <c r="O173" s="226">
        <f>-472.89-512.67</f>
        <v>-985.56</v>
      </c>
      <c r="P173" s="226"/>
      <c r="Q173" s="226">
        <v>602.54</v>
      </c>
      <c r="R173" s="226">
        <v>-602.54</v>
      </c>
      <c r="S173" s="226"/>
      <c r="T173" s="226"/>
      <c r="U173" s="226"/>
      <c r="V173" s="253">
        <f t="shared" si="18"/>
        <v>-656.6299999999992</v>
      </c>
    </row>
    <row r="174" spans="1:25" s="37" customFormat="1" x14ac:dyDescent="0.15">
      <c r="A174" s="127" t="s">
        <v>66</v>
      </c>
      <c r="B174" s="127"/>
      <c r="C174" s="492"/>
      <c r="D174" s="128"/>
      <c r="E174" s="129" t="s">
        <v>79</v>
      </c>
      <c r="F174" s="128"/>
      <c r="G174" s="515"/>
      <c r="H174" s="232">
        <f t="shared" ref="H174:U174" si="19">SUM(H168:H173)</f>
        <v>-6</v>
      </c>
      <c r="I174" s="232">
        <f t="shared" si="19"/>
        <v>-236.37</v>
      </c>
      <c r="J174" s="232">
        <f t="shared" si="19"/>
        <v>899</v>
      </c>
      <c r="K174" s="232">
        <f t="shared" si="19"/>
        <v>-656.6299999999992</v>
      </c>
      <c r="L174" s="232">
        <f t="shared" si="19"/>
        <v>0</v>
      </c>
      <c r="M174" s="232">
        <f t="shared" si="19"/>
        <v>275.87</v>
      </c>
      <c r="N174" s="232">
        <f t="shared" si="19"/>
        <v>985.56</v>
      </c>
      <c r="O174" s="232">
        <f t="shared" si="19"/>
        <v>-1261.4299999999998</v>
      </c>
      <c r="P174" s="232">
        <f t="shared" si="19"/>
        <v>0</v>
      </c>
      <c r="Q174" s="232">
        <f t="shared" si="19"/>
        <v>602.54</v>
      </c>
      <c r="R174" s="232">
        <f t="shared" si="19"/>
        <v>-602.54</v>
      </c>
      <c r="S174" s="232">
        <f t="shared" si="19"/>
        <v>0</v>
      </c>
      <c r="T174" s="232">
        <f t="shared" si="19"/>
        <v>0</v>
      </c>
      <c r="U174" s="232">
        <f t="shared" si="19"/>
        <v>0</v>
      </c>
      <c r="V174" s="232">
        <f>SUM(V168:V173)</f>
        <v>0</v>
      </c>
      <c r="W174" s="97" t="str">
        <f>+IF(V174=SUM(H174:U174),"contrôle ok", "erreur")</f>
        <v>erreur</v>
      </c>
      <c r="X174" s="601" t="s">
        <v>774</v>
      </c>
      <c r="Y174" s="126"/>
    </row>
    <row r="175" spans="1:25" s="56" customFormat="1" x14ac:dyDescent="0.15">
      <c r="A175" s="46" t="s">
        <v>437</v>
      </c>
      <c r="B175" s="51"/>
      <c r="C175" s="52"/>
      <c r="D175" s="145">
        <v>615220</v>
      </c>
      <c r="E175" s="145" t="s">
        <v>319</v>
      </c>
      <c r="F175" s="145" t="s">
        <v>179</v>
      </c>
      <c r="G175" s="108">
        <v>88</v>
      </c>
      <c r="H175" s="559"/>
      <c r="I175" s="226">
        <v>88</v>
      </c>
      <c r="J175" s="226">
        <v>88</v>
      </c>
      <c r="K175" s="226">
        <v>88</v>
      </c>
      <c r="L175" s="226">
        <v>88</v>
      </c>
      <c r="M175" s="226">
        <v>88</v>
      </c>
      <c r="N175" s="226">
        <v>88</v>
      </c>
      <c r="O175" s="226">
        <v>88</v>
      </c>
      <c r="P175" s="226">
        <v>88</v>
      </c>
      <c r="Q175" s="226">
        <v>88</v>
      </c>
      <c r="R175" s="226">
        <v>88</v>
      </c>
      <c r="S175" s="226">
        <v>88</v>
      </c>
      <c r="T175" s="226"/>
      <c r="U175" s="226"/>
      <c r="V175" s="253">
        <f>SUM(H175:T175)</f>
        <v>968</v>
      </c>
      <c r="W175" s="97"/>
      <c r="X175" s="158"/>
      <c r="Y175" s="330"/>
    </row>
    <row r="176" spans="1:25" x14ac:dyDescent="0.15">
      <c r="A176" s="143" t="s">
        <v>493</v>
      </c>
      <c r="B176" s="46"/>
      <c r="C176" s="47"/>
      <c r="D176" s="188">
        <v>615220</v>
      </c>
      <c r="E176" s="145" t="s">
        <v>319</v>
      </c>
      <c r="F176" s="145" t="s">
        <v>179</v>
      </c>
      <c r="G176" s="167">
        <v>2026</v>
      </c>
      <c r="H176" s="559"/>
      <c r="I176" s="226">
        <v>2026</v>
      </c>
      <c r="J176" s="226">
        <v>2026</v>
      </c>
      <c r="K176" s="226">
        <v>2026</v>
      </c>
      <c r="L176" s="226">
        <v>2026</v>
      </c>
      <c r="M176" s="226">
        <v>2026</v>
      </c>
      <c r="N176" s="226">
        <v>2026</v>
      </c>
      <c r="O176" s="226">
        <v>2026</v>
      </c>
      <c r="P176" s="226">
        <v>2026</v>
      </c>
      <c r="Q176" s="226">
        <v>2026</v>
      </c>
      <c r="R176" s="226">
        <v>2026</v>
      </c>
      <c r="S176" s="226">
        <v>2026</v>
      </c>
      <c r="T176" s="226"/>
      <c r="U176" s="226"/>
      <c r="V176" s="253">
        <f>SUM(H176:T176)</f>
        <v>22286</v>
      </c>
    </row>
    <row r="177" spans="1:26" x14ac:dyDescent="0.15">
      <c r="A177" s="46" t="s">
        <v>332</v>
      </c>
      <c r="B177" s="46"/>
      <c r="C177" s="47"/>
      <c r="D177" s="145">
        <v>615220</v>
      </c>
      <c r="E177" s="145" t="s">
        <v>319</v>
      </c>
      <c r="F177" s="145" t="s">
        <v>192</v>
      </c>
      <c r="G177" s="189"/>
      <c r="H177" s="559"/>
      <c r="I177" s="226"/>
      <c r="J177" s="226"/>
      <c r="K177" s="226"/>
      <c r="L177" s="226"/>
      <c r="M177" s="226"/>
      <c r="N177" s="226"/>
      <c r="O177" s="226"/>
      <c r="P177" s="226"/>
      <c r="Q177" s="226"/>
      <c r="R177" s="226"/>
      <c r="S177" s="226"/>
      <c r="T177" s="226"/>
      <c r="U177" s="226"/>
      <c r="V177" s="253">
        <f>SUM(H177:T177)</f>
        <v>0</v>
      </c>
    </row>
    <row r="178" spans="1:26" s="37" customFormat="1" x14ac:dyDescent="0.15">
      <c r="A178" s="127" t="s">
        <v>66</v>
      </c>
      <c r="B178" s="127"/>
      <c r="C178" s="492"/>
      <c r="D178" s="133"/>
      <c r="E178" s="128" t="s">
        <v>319</v>
      </c>
      <c r="F178" s="128"/>
      <c r="G178" s="130">
        <v>0</v>
      </c>
      <c r="H178" s="232">
        <f t="shared" ref="H178:V178" si="20">SUM(H175:H177)</f>
        <v>0</v>
      </c>
      <c r="I178" s="232">
        <f t="shared" si="20"/>
        <v>2114</v>
      </c>
      <c r="J178" s="232">
        <f t="shared" si="20"/>
        <v>2114</v>
      </c>
      <c r="K178" s="232">
        <f t="shared" si="20"/>
        <v>2114</v>
      </c>
      <c r="L178" s="232">
        <f t="shared" si="20"/>
        <v>2114</v>
      </c>
      <c r="M178" s="232">
        <f t="shared" si="20"/>
        <v>2114</v>
      </c>
      <c r="N178" s="232">
        <f t="shared" si="20"/>
        <v>2114</v>
      </c>
      <c r="O178" s="232">
        <f t="shared" si="20"/>
        <v>2114</v>
      </c>
      <c r="P178" s="232">
        <f t="shared" si="20"/>
        <v>2114</v>
      </c>
      <c r="Q178" s="232">
        <f t="shared" si="20"/>
        <v>2114</v>
      </c>
      <c r="R178" s="232">
        <f t="shared" si="20"/>
        <v>2114</v>
      </c>
      <c r="S178" s="232">
        <f t="shared" si="20"/>
        <v>2114</v>
      </c>
      <c r="T178" s="232">
        <f>SUM(T175:T177)</f>
        <v>0</v>
      </c>
      <c r="U178" s="232">
        <f>SUM(U175:U177)</f>
        <v>0</v>
      </c>
      <c r="V178" s="262">
        <f t="shared" si="20"/>
        <v>23254</v>
      </c>
      <c r="W178" s="97" t="str">
        <f>+IF(V178=SUM(H178:T178),"contrôle ok", "erreur")</f>
        <v>contrôle ok</v>
      </c>
    </row>
    <row r="179" spans="1:26" s="37" customFormat="1" ht="11.25" thickBot="1" x14ac:dyDescent="0.2">
      <c r="A179" s="516" t="s">
        <v>11</v>
      </c>
      <c r="B179" s="517"/>
      <c r="C179" s="518"/>
      <c r="D179" s="519"/>
      <c r="E179" s="516"/>
      <c r="F179" s="520"/>
      <c r="G179" s="521"/>
      <c r="H179" s="522">
        <f t="shared" ref="H179:U179" si="21">+H174+H178+H167</f>
        <v>-10212.49</v>
      </c>
      <c r="I179" s="522">
        <f t="shared" si="21"/>
        <v>45615.76999999999</v>
      </c>
      <c r="J179" s="522">
        <f t="shared" si="21"/>
        <v>47442.17</v>
      </c>
      <c r="K179" s="522">
        <f t="shared" si="21"/>
        <v>46359.41</v>
      </c>
      <c r="L179" s="522">
        <f t="shared" si="21"/>
        <v>48068.30999999999</v>
      </c>
      <c r="M179" s="522">
        <f t="shared" si="21"/>
        <v>46252.800000000003</v>
      </c>
      <c r="N179" s="522">
        <f t="shared" si="21"/>
        <v>48469.599999999991</v>
      </c>
      <c r="O179" s="522">
        <f t="shared" si="21"/>
        <v>36557.640000000007</v>
      </c>
      <c r="P179" s="522">
        <f t="shared" si="21"/>
        <v>45337.359999999993</v>
      </c>
      <c r="Q179" s="522">
        <f t="shared" si="21"/>
        <v>42291.960000000014</v>
      </c>
      <c r="R179" s="522">
        <f t="shared" si="21"/>
        <v>48781.909999999996</v>
      </c>
      <c r="S179" s="522">
        <f t="shared" si="21"/>
        <v>50115.81</v>
      </c>
      <c r="T179" s="522">
        <f t="shared" si="21"/>
        <v>38950.499999999993</v>
      </c>
      <c r="U179" s="522">
        <f t="shared" si="21"/>
        <v>0</v>
      </c>
      <c r="V179" s="522">
        <f>+V174+V178+V167</f>
        <v>534030.75</v>
      </c>
      <c r="W179" s="97" t="str">
        <f>+IF(V179=SUM(H179:T179),"contrôle ok", "erreur")</f>
        <v>contrôle ok</v>
      </c>
    </row>
    <row r="180" spans="1:26" s="37" customFormat="1" ht="11.25" thickTop="1" x14ac:dyDescent="0.15">
      <c r="A180" s="33"/>
      <c r="B180" s="33"/>
      <c r="C180" s="34"/>
      <c r="D180" s="35"/>
      <c r="E180" s="36"/>
      <c r="F180" s="35"/>
      <c r="G180" s="100"/>
      <c r="H180" s="229"/>
      <c r="I180" s="229"/>
      <c r="J180" s="229"/>
      <c r="K180" s="229"/>
      <c r="L180" s="229"/>
      <c r="M180" s="229"/>
      <c r="N180" s="257"/>
      <c r="O180" s="229"/>
      <c r="P180" s="229"/>
      <c r="Q180" s="229"/>
      <c r="R180" s="229"/>
      <c r="S180" s="229"/>
      <c r="T180" s="229"/>
      <c r="U180" s="229"/>
      <c r="V180" s="263"/>
    </row>
    <row r="181" spans="1:26" x14ac:dyDescent="0.15">
      <c r="A181" s="27" t="s">
        <v>20</v>
      </c>
      <c r="B181" s="28"/>
      <c r="C181" s="29"/>
      <c r="D181" s="30"/>
      <c r="E181" s="30"/>
      <c r="F181" s="31"/>
      <c r="G181" s="101"/>
      <c r="H181" s="224"/>
      <c r="I181" s="224"/>
      <c r="J181" s="251"/>
      <c r="K181" s="224"/>
      <c r="L181" s="224"/>
      <c r="M181" s="224"/>
      <c r="N181" s="224"/>
      <c r="O181" s="224"/>
      <c r="P181" s="224"/>
      <c r="Q181" s="224"/>
      <c r="R181" s="224"/>
      <c r="S181" s="224"/>
      <c r="T181" s="224"/>
      <c r="U181" s="224"/>
      <c r="V181" s="252"/>
    </row>
    <row r="182" spans="1:26" x14ac:dyDescent="0.15">
      <c r="A182" s="143" t="s">
        <v>15</v>
      </c>
      <c r="B182" s="143" t="s">
        <v>559</v>
      </c>
      <c r="C182" s="144">
        <v>2016</v>
      </c>
      <c r="D182" s="145">
        <v>615230</v>
      </c>
      <c r="E182" s="145" t="s">
        <v>79</v>
      </c>
      <c r="F182" s="145" t="s">
        <v>179</v>
      </c>
      <c r="G182" s="167">
        <v>196.48</v>
      </c>
      <c r="H182" s="559"/>
      <c r="I182" s="582">
        <v>200</v>
      </c>
      <c r="J182" s="582">
        <v>200</v>
      </c>
      <c r="K182" s="582">
        <v>200</v>
      </c>
      <c r="L182" s="582">
        <v>200</v>
      </c>
      <c r="M182" s="582">
        <v>200</v>
      </c>
      <c r="N182" s="582">
        <v>200</v>
      </c>
      <c r="O182" s="226">
        <v>-1200</v>
      </c>
      <c r="P182" s="226"/>
      <c r="Q182" s="226"/>
      <c r="R182" s="226"/>
      <c r="S182" s="226"/>
      <c r="T182" s="226"/>
      <c r="U182" s="226"/>
      <c r="V182" s="253">
        <f t="shared" ref="V182:V198" si="22">SUM(H182:T182)</f>
        <v>0</v>
      </c>
    </row>
    <row r="183" spans="1:26" x14ac:dyDescent="0.15">
      <c r="A183" s="143" t="s">
        <v>15</v>
      </c>
      <c r="B183" s="377" t="s">
        <v>97</v>
      </c>
      <c r="C183" s="144" t="s">
        <v>784</v>
      </c>
      <c r="D183" s="145">
        <v>615230</v>
      </c>
      <c r="E183" s="145" t="s">
        <v>79</v>
      </c>
      <c r="F183" s="145" t="s">
        <v>179</v>
      </c>
      <c r="G183" s="167">
        <v>1282.49</v>
      </c>
      <c r="H183" s="559"/>
      <c r="I183" s="580">
        <v>1282.49</v>
      </c>
      <c r="J183" s="580">
        <f>1226.49+56</f>
        <v>1282.49</v>
      </c>
      <c r="K183" s="580">
        <f>1226.49+56</f>
        <v>1282.49</v>
      </c>
      <c r="L183" s="226">
        <v>1279.3399999999999</v>
      </c>
      <c r="M183" s="226">
        <v>1303.55</v>
      </c>
      <c r="N183" s="226">
        <v>1303.55</v>
      </c>
      <c r="O183" s="226">
        <v>1303.55</v>
      </c>
      <c r="P183" s="226">
        <v>1303.55</v>
      </c>
      <c r="Q183" s="226">
        <v>1303.55</v>
      </c>
      <c r="R183" s="226">
        <v>1303.55</v>
      </c>
      <c r="S183" s="226">
        <f>305+1303.55+567</f>
        <v>2175.5500000000002</v>
      </c>
      <c r="T183" s="226">
        <v>1303.55</v>
      </c>
      <c r="U183" s="582"/>
      <c r="V183" s="253">
        <f t="shared" si="22"/>
        <v>16427.21</v>
      </c>
    </row>
    <row r="184" spans="1:26" x14ac:dyDescent="0.15">
      <c r="A184" s="143" t="s">
        <v>15</v>
      </c>
      <c r="B184" s="143" t="s">
        <v>505</v>
      </c>
      <c r="C184" s="144" t="s">
        <v>784</v>
      </c>
      <c r="D184" s="145">
        <v>615230</v>
      </c>
      <c r="E184" s="145" t="s">
        <v>79</v>
      </c>
      <c r="F184" s="145" t="s">
        <v>179</v>
      </c>
      <c r="G184" s="167">
        <v>48.55</v>
      </c>
      <c r="H184" s="559"/>
      <c r="I184" s="580">
        <v>48.55</v>
      </c>
      <c r="J184" s="580">
        <v>48.55</v>
      </c>
      <c r="K184" s="580">
        <v>48.55</v>
      </c>
      <c r="L184" s="580">
        <v>48.52</v>
      </c>
      <c r="M184" s="226">
        <v>49.38</v>
      </c>
      <c r="N184" s="226">
        <v>49.38</v>
      </c>
      <c r="O184" s="226">
        <v>49.38</v>
      </c>
      <c r="P184" s="226">
        <v>49.38</v>
      </c>
      <c r="Q184" s="226">
        <v>49.38</v>
      </c>
      <c r="R184" s="226">
        <v>49.38</v>
      </c>
      <c r="S184" s="226">
        <v>49.38</v>
      </c>
      <c r="T184" s="226">
        <v>49.38</v>
      </c>
      <c r="U184" s="582"/>
      <c r="V184" s="253">
        <f t="shared" si="22"/>
        <v>589.21</v>
      </c>
    </row>
    <row r="185" spans="1:26" x14ac:dyDescent="0.15">
      <c r="A185" s="143" t="s">
        <v>15</v>
      </c>
      <c r="B185" s="143" t="s">
        <v>681</v>
      </c>
      <c r="C185" s="144">
        <v>2017</v>
      </c>
      <c r="D185" s="145">
        <v>615230</v>
      </c>
      <c r="E185" s="145" t="s">
        <v>79</v>
      </c>
      <c r="F185" s="145" t="s">
        <v>179</v>
      </c>
      <c r="G185" s="167"/>
      <c r="H185" s="559"/>
      <c r="I185" s="580">
        <v>199.71</v>
      </c>
      <c r="J185" s="580">
        <v>199.71</v>
      </c>
      <c r="K185" s="580">
        <v>199.71</v>
      </c>
      <c r="L185" s="580">
        <v>199.71</v>
      </c>
      <c r="M185" s="226">
        <v>199.71</v>
      </c>
      <c r="N185" s="226">
        <v>199.71</v>
      </c>
      <c r="O185" s="226">
        <v>199.71</v>
      </c>
      <c r="P185" s="226">
        <v>199.71</v>
      </c>
      <c r="Q185" s="226">
        <v>199.71</v>
      </c>
      <c r="R185" s="226">
        <v>199.71</v>
      </c>
      <c r="S185" s="226">
        <v>199.71</v>
      </c>
      <c r="T185" s="226">
        <v>199.65</v>
      </c>
      <c r="U185" s="582"/>
      <c r="V185" s="253">
        <f t="shared" si="22"/>
        <v>2396.46</v>
      </c>
    </row>
    <row r="186" spans="1:26" x14ac:dyDescent="0.15">
      <c r="A186" s="143" t="s">
        <v>295</v>
      </c>
      <c r="B186" s="143" t="s">
        <v>616</v>
      </c>
      <c r="C186" s="144" t="s">
        <v>777</v>
      </c>
      <c r="D186" s="145">
        <v>615230</v>
      </c>
      <c r="E186" s="145" t="s">
        <v>79</v>
      </c>
      <c r="F186" s="145" t="s">
        <v>179</v>
      </c>
      <c r="G186" s="167">
        <v>14.67</v>
      </c>
      <c r="H186" s="559"/>
      <c r="I186" s="226">
        <v>14.67</v>
      </c>
      <c r="J186" s="226">
        <v>14.67</v>
      </c>
      <c r="K186" s="226">
        <v>14.67</v>
      </c>
      <c r="L186" s="226">
        <v>14.67</v>
      </c>
      <c r="M186" s="226">
        <v>14.63</v>
      </c>
      <c r="N186" s="226">
        <v>14.67</v>
      </c>
      <c r="O186" s="226">
        <v>14.67</v>
      </c>
      <c r="P186" s="226">
        <v>14.67</v>
      </c>
      <c r="Q186" s="226">
        <v>14.67</v>
      </c>
      <c r="R186" s="226">
        <v>14.67</v>
      </c>
      <c r="S186" s="226">
        <v>14.67</v>
      </c>
      <c r="T186" s="226">
        <v>14.67</v>
      </c>
      <c r="U186" s="582"/>
      <c r="V186" s="253">
        <f t="shared" si="22"/>
        <v>175.99999999999997</v>
      </c>
    </row>
    <row r="187" spans="1:26" x14ac:dyDescent="0.15">
      <c r="A187" s="143" t="s">
        <v>295</v>
      </c>
      <c r="B187" s="143" t="s">
        <v>659</v>
      </c>
      <c r="C187" s="144" t="s">
        <v>835</v>
      </c>
      <c r="D187" s="145">
        <v>615230</v>
      </c>
      <c r="E187" s="145" t="s">
        <v>79</v>
      </c>
      <c r="F187" s="145" t="s">
        <v>179</v>
      </c>
      <c r="G187" s="167">
        <v>14.59</v>
      </c>
      <c r="H187" s="559"/>
      <c r="I187" s="226">
        <v>14.59</v>
      </c>
      <c r="J187" s="226">
        <v>14.59</v>
      </c>
      <c r="K187" s="226">
        <v>14.59</v>
      </c>
      <c r="L187" s="226">
        <v>14.59</v>
      </c>
      <c r="M187" s="226">
        <v>14.59</v>
      </c>
      <c r="N187" s="226">
        <v>14.59</v>
      </c>
      <c r="O187" s="226">
        <v>14.59</v>
      </c>
      <c r="P187" s="226">
        <v>14.59</v>
      </c>
      <c r="Q187" s="226">
        <v>14.59</v>
      </c>
      <c r="R187" s="226">
        <v>14.51</v>
      </c>
      <c r="S187" s="226">
        <v>14.59</v>
      </c>
      <c r="T187" s="226">
        <v>14.59</v>
      </c>
      <c r="U187" s="582"/>
      <c r="V187" s="253">
        <f t="shared" si="22"/>
        <v>175</v>
      </c>
      <c r="Z187" s="16">
        <f>+X187-Y187</f>
        <v>0</v>
      </c>
    </row>
    <row r="188" spans="1:26" x14ac:dyDescent="0.15">
      <c r="A188" s="143" t="s">
        <v>584</v>
      </c>
      <c r="B188" s="143" t="s">
        <v>296</v>
      </c>
      <c r="C188" s="144" t="s">
        <v>781</v>
      </c>
      <c r="D188" s="145">
        <v>615230</v>
      </c>
      <c r="E188" s="145" t="s">
        <v>79</v>
      </c>
      <c r="F188" s="145" t="s">
        <v>179</v>
      </c>
      <c r="G188" s="167">
        <v>14.58</v>
      </c>
      <c r="H188" s="559"/>
      <c r="I188" s="226">
        <v>14.59</v>
      </c>
      <c r="J188" s="226">
        <v>14.59</v>
      </c>
      <c r="K188" s="226">
        <v>14.59</v>
      </c>
      <c r="L188" s="226">
        <v>14.59</v>
      </c>
      <c r="M188" s="226">
        <v>16.05</v>
      </c>
      <c r="N188" s="226">
        <v>16.05</v>
      </c>
      <c r="O188" s="226">
        <v>16.05</v>
      </c>
      <c r="P188" s="226">
        <v>16.05</v>
      </c>
      <c r="Q188" s="226">
        <v>16.05</v>
      </c>
      <c r="R188" s="226">
        <v>16.05</v>
      </c>
      <c r="S188" s="226">
        <v>16.05</v>
      </c>
      <c r="T188" s="226">
        <v>16.05</v>
      </c>
      <c r="U188" s="582"/>
      <c r="V188" s="253">
        <f t="shared" si="22"/>
        <v>186.76000000000002</v>
      </c>
    </row>
    <row r="189" spans="1:26" x14ac:dyDescent="0.15">
      <c r="A189" s="143" t="s">
        <v>295</v>
      </c>
      <c r="B189" s="143" t="s">
        <v>537</v>
      </c>
      <c r="C189" s="144" t="s">
        <v>263</v>
      </c>
      <c r="D189" s="145">
        <v>615230</v>
      </c>
      <c r="E189" s="145" t="s">
        <v>79</v>
      </c>
      <c r="F189" s="145" t="s">
        <v>179</v>
      </c>
      <c r="G189" s="167"/>
      <c r="H189" s="559">
        <f>204.99-90-130</f>
        <v>-15.009999999999991</v>
      </c>
      <c r="I189" s="585">
        <v>25</v>
      </c>
      <c r="J189" s="585">
        <v>25</v>
      </c>
      <c r="K189" s="585">
        <v>25</v>
      </c>
      <c r="L189" s="585">
        <v>25</v>
      </c>
      <c r="M189" s="585">
        <v>25</v>
      </c>
      <c r="N189" s="585">
        <v>25</v>
      </c>
      <c r="O189" s="582">
        <v>25</v>
      </c>
      <c r="P189" s="226">
        <v>-175</v>
      </c>
      <c r="Q189" s="226"/>
      <c r="R189" s="226"/>
      <c r="S189" s="226"/>
      <c r="T189" s="226"/>
      <c r="U189" s="582"/>
      <c r="V189" s="253">
        <f t="shared" si="22"/>
        <v>-15.009999999999991</v>
      </c>
      <c r="W189" s="6"/>
      <c r="Y189" s="6"/>
    </row>
    <row r="190" spans="1:26" x14ac:dyDescent="0.15">
      <c r="A190" s="143" t="s">
        <v>295</v>
      </c>
      <c r="B190" s="143" t="s">
        <v>516</v>
      </c>
      <c r="C190" s="144" t="s">
        <v>263</v>
      </c>
      <c r="D190" s="145">
        <v>615230</v>
      </c>
      <c r="E190" s="145" t="s">
        <v>79</v>
      </c>
      <c r="F190" s="145" t="s">
        <v>179</v>
      </c>
      <c r="G190" s="167"/>
      <c r="H190" s="559"/>
      <c r="I190" s="226">
        <f>83.36-90</f>
        <v>-6.6400000000000006</v>
      </c>
      <c r="J190" s="680">
        <v>81.2</v>
      </c>
      <c r="K190" s="683"/>
      <c r="L190" s="681"/>
      <c r="M190" s="680">
        <v>75.150000000000006</v>
      </c>
      <c r="N190" s="683"/>
      <c r="O190" s="681"/>
      <c r="P190" s="680">
        <v>79.56</v>
      </c>
      <c r="Q190" s="683"/>
      <c r="R190" s="681"/>
      <c r="S190" s="583">
        <v>25</v>
      </c>
      <c r="T190" s="226"/>
      <c r="U190" s="582"/>
      <c r="V190" s="253">
        <f t="shared" si="22"/>
        <v>254.27</v>
      </c>
      <c r="W190" s="6"/>
      <c r="Y190" s="6"/>
    </row>
    <row r="191" spans="1:26" x14ac:dyDescent="0.15">
      <c r="A191" s="143" t="s">
        <v>295</v>
      </c>
      <c r="B191" s="143" t="s">
        <v>554</v>
      </c>
      <c r="C191" s="144" t="s">
        <v>263</v>
      </c>
      <c r="D191" s="145">
        <v>615230</v>
      </c>
      <c r="E191" s="145" t="s">
        <v>79</v>
      </c>
      <c r="F191" s="145" t="s">
        <v>179</v>
      </c>
      <c r="G191" s="167"/>
      <c r="H191" s="559">
        <v>-50</v>
      </c>
      <c r="I191" s="680">
        <v>153.58000000000001</v>
      </c>
      <c r="J191" s="683"/>
      <c r="K191" s="681"/>
      <c r="L191" s="680">
        <v>109.04</v>
      </c>
      <c r="M191" s="683"/>
      <c r="N191" s="681"/>
      <c r="O191" s="680">
        <f>155.04+186.21</f>
        <v>341.25</v>
      </c>
      <c r="P191" s="683"/>
      <c r="Q191" s="681"/>
      <c r="R191" s="297"/>
      <c r="S191" s="585">
        <v>25</v>
      </c>
      <c r="T191" s="226"/>
      <c r="U191" s="582"/>
      <c r="V191" s="253">
        <f t="shared" si="22"/>
        <v>578.87</v>
      </c>
      <c r="W191" s="6"/>
      <c r="Y191" s="6"/>
    </row>
    <row r="192" spans="1:26" ht="12.75" customHeight="1" x14ac:dyDescent="0.15">
      <c r="A192" s="143" t="s">
        <v>295</v>
      </c>
      <c r="B192" s="143" t="s">
        <v>630</v>
      </c>
      <c r="C192" s="144" t="s">
        <v>263</v>
      </c>
      <c r="D192" s="145">
        <v>615230</v>
      </c>
      <c r="E192" s="145" t="s">
        <v>79</v>
      </c>
      <c r="F192" s="145" t="s">
        <v>179</v>
      </c>
      <c r="G192" s="167"/>
      <c r="H192" s="559"/>
      <c r="I192" s="680">
        <v>153.18</v>
      </c>
      <c r="J192" s="683"/>
      <c r="K192" s="681"/>
      <c r="L192" s="680">
        <v>182.39</v>
      </c>
      <c r="M192" s="683"/>
      <c r="N192" s="681"/>
      <c r="O192" s="582">
        <v>25</v>
      </c>
      <c r="P192" s="582">
        <v>25</v>
      </c>
      <c r="Q192" s="582">
        <v>25</v>
      </c>
      <c r="R192" s="582">
        <v>25</v>
      </c>
      <c r="S192" s="582">
        <v>25</v>
      </c>
      <c r="T192" s="226"/>
      <c r="U192" s="582"/>
      <c r="V192" s="253">
        <f t="shared" si="22"/>
        <v>460.57</v>
      </c>
      <c r="W192" s="6"/>
      <c r="Y192" s="6"/>
    </row>
    <row r="193" spans="1:25" x14ac:dyDescent="0.15">
      <c r="A193" s="143" t="s">
        <v>384</v>
      </c>
      <c r="B193" s="143"/>
      <c r="C193" s="144"/>
      <c r="D193" s="145">
        <v>615230</v>
      </c>
      <c r="E193" s="145" t="s">
        <v>79</v>
      </c>
      <c r="F193" s="145" t="s">
        <v>179</v>
      </c>
      <c r="G193" s="167"/>
      <c r="H193" s="559"/>
      <c r="I193" s="226"/>
      <c r="J193" s="226"/>
      <c r="K193" s="226"/>
      <c r="L193" s="226"/>
      <c r="M193" s="226"/>
      <c r="N193" s="226"/>
      <c r="O193" s="226"/>
      <c r="P193" s="226"/>
      <c r="Q193" s="226"/>
      <c r="R193" s="226"/>
      <c r="S193" s="226"/>
      <c r="T193" s="226"/>
      <c r="U193" s="582"/>
      <c r="V193" s="253">
        <f t="shared" si="22"/>
        <v>0</v>
      </c>
      <c r="W193" s="6"/>
      <c r="Y193" s="6"/>
    </row>
    <row r="194" spans="1:25" x14ac:dyDescent="0.15">
      <c r="A194" s="143" t="s">
        <v>483</v>
      </c>
      <c r="B194" s="143" t="s">
        <v>634</v>
      </c>
      <c r="C194" s="144"/>
      <c r="D194" s="145">
        <v>615230</v>
      </c>
      <c r="E194" s="145" t="s">
        <v>79</v>
      </c>
      <c r="F194" s="145" t="s">
        <v>179</v>
      </c>
      <c r="G194" s="167">
        <v>41.62</v>
      </c>
      <c r="H194" s="559"/>
      <c r="I194" s="226">
        <v>41.62</v>
      </c>
      <c r="J194" s="226">
        <v>41.62</v>
      </c>
      <c r="K194" s="226">
        <v>41.62</v>
      </c>
      <c r="L194" s="226">
        <v>41.62</v>
      </c>
      <c r="M194" s="226">
        <v>41.62</v>
      </c>
      <c r="N194" s="226">
        <v>41.62</v>
      </c>
      <c r="O194" s="226">
        <v>41.58</v>
      </c>
      <c r="P194" s="582">
        <v>45</v>
      </c>
      <c r="Q194" s="226">
        <v>45</v>
      </c>
      <c r="R194" s="226">
        <v>45</v>
      </c>
      <c r="S194" s="226">
        <v>45</v>
      </c>
      <c r="T194" s="226"/>
      <c r="U194" s="582"/>
      <c r="V194" s="253">
        <f t="shared" si="22"/>
        <v>471.3</v>
      </c>
      <c r="W194" s="6"/>
      <c r="Y194" s="6"/>
    </row>
    <row r="195" spans="1:25" x14ac:dyDescent="0.15">
      <c r="A195" s="143" t="s">
        <v>483</v>
      </c>
      <c r="B195" s="143" t="s">
        <v>635</v>
      </c>
      <c r="C195" s="144"/>
      <c r="D195" s="145">
        <v>615230</v>
      </c>
      <c r="E195" s="145" t="s">
        <v>79</v>
      </c>
      <c r="F195" s="145" t="s">
        <v>179</v>
      </c>
      <c r="G195" s="167">
        <v>41.62</v>
      </c>
      <c r="H195" s="559"/>
      <c r="I195" s="226">
        <v>41.62</v>
      </c>
      <c r="J195" s="226">
        <v>41.62</v>
      </c>
      <c r="K195" s="226">
        <v>41.62</v>
      </c>
      <c r="L195" s="226">
        <v>41.62</v>
      </c>
      <c r="M195" s="226">
        <v>41.62</v>
      </c>
      <c r="N195" s="226">
        <v>41.62</v>
      </c>
      <c r="O195" s="226">
        <v>41.58</v>
      </c>
      <c r="P195" s="582">
        <v>45</v>
      </c>
      <c r="Q195" s="582">
        <v>45</v>
      </c>
      <c r="R195" s="226">
        <v>45</v>
      </c>
      <c r="S195" s="226">
        <v>45</v>
      </c>
      <c r="T195" s="226"/>
      <c r="U195" s="582"/>
      <c r="V195" s="253">
        <f t="shared" si="22"/>
        <v>471.3</v>
      </c>
      <c r="W195" s="6"/>
      <c r="Y195" s="6"/>
    </row>
    <row r="196" spans="1:25" x14ac:dyDescent="0.15">
      <c r="A196" s="143" t="s">
        <v>362</v>
      </c>
      <c r="B196" s="143" t="s">
        <v>320</v>
      </c>
      <c r="C196" s="144"/>
      <c r="D196" s="145">
        <v>615230</v>
      </c>
      <c r="E196" s="145" t="s">
        <v>79</v>
      </c>
      <c r="F196" s="145" t="s">
        <v>179</v>
      </c>
      <c r="G196" s="167">
        <v>100</v>
      </c>
      <c r="H196" s="559">
        <v>-415.15</v>
      </c>
      <c r="I196" s="297">
        <f>8.37+645.45+198.67</f>
        <v>852.49</v>
      </c>
      <c r="J196" s="680">
        <f>1101.16+35.24</f>
        <v>1136.4000000000001</v>
      </c>
      <c r="K196" s="683"/>
      <c r="L196" s="683"/>
      <c r="M196" s="681"/>
      <c r="N196" s="680">
        <f>602.54</f>
        <v>602.54</v>
      </c>
      <c r="O196" s="683"/>
      <c r="P196" s="681"/>
      <c r="Q196" s="585">
        <v>100</v>
      </c>
      <c r="R196" s="297">
        <v>42.44</v>
      </c>
      <c r="S196" s="583">
        <v>25</v>
      </c>
      <c r="T196" s="226"/>
      <c r="U196" s="582"/>
      <c r="V196" s="253">
        <f t="shared" si="22"/>
        <v>2343.7200000000003</v>
      </c>
    </row>
    <row r="197" spans="1:25" x14ac:dyDescent="0.15">
      <c r="A197" s="143" t="s">
        <v>15</v>
      </c>
      <c r="B197" s="143"/>
      <c r="C197" s="144"/>
      <c r="D197" s="145">
        <v>615230</v>
      </c>
      <c r="E197" s="145" t="s">
        <v>79</v>
      </c>
      <c r="F197" s="145" t="s">
        <v>192</v>
      </c>
      <c r="G197" s="167"/>
      <c r="H197" s="559"/>
      <c r="I197" s="226"/>
      <c r="J197" s="226"/>
      <c r="K197" s="226"/>
      <c r="L197" s="226"/>
      <c r="M197" s="226">
        <v>220</v>
      </c>
      <c r="N197" s="226"/>
      <c r="O197" s="226"/>
      <c r="P197" s="226"/>
      <c r="Q197" s="226"/>
      <c r="R197" s="226"/>
      <c r="S197" s="226">
        <v>1380</v>
      </c>
      <c r="T197" s="226"/>
      <c r="U197" s="582"/>
      <c r="V197" s="253">
        <f t="shared" si="22"/>
        <v>1600</v>
      </c>
    </row>
    <row r="198" spans="1:25" x14ac:dyDescent="0.15">
      <c r="A198" s="143" t="s">
        <v>164</v>
      </c>
      <c r="B198" s="143" t="s">
        <v>217</v>
      </c>
      <c r="C198" s="144"/>
      <c r="D198" s="145">
        <v>615230</v>
      </c>
      <c r="E198" s="145" t="s">
        <v>79</v>
      </c>
      <c r="F198" s="145" t="s">
        <v>192</v>
      </c>
      <c r="G198" s="167"/>
      <c r="H198" s="559"/>
      <c r="I198" s="226"/>
      <c r="J198" s="226"/>
      <c r="K198" s="226"/>
      <c r="L198" s="226"/>
      <c r="M198" s="226"/>
      <c r="N198" s="226"/>
      <c r="O198" s="226"/>
      <c r="P198" s="226"/>
      <c r="Q198" s="226"/>
      <c r="R198" s="226"/>
      <c r="S198" s="226"/>
      <c r="T198" s="226"/>
      <c r="U198" s="226"/>
      <c r="V198" s="253">
        <f t="shared" si="22"/>
        <v>0</v>
      </c>
    </row>
    <row r="199" spans="1:25" s="37" customFormat="1" ht="11.25" thickBot="1" x14ac:dyDescent="0.2">
      <c r="A199" s="516" t="s">
        <v>11</v>
      </c>
      <c r="B199" s="517"/>
      <c r="C199" s="518"/>
      <c r="D199" s="519"/>
      <c r="E199" s="516"/>
      <c r="F199" s="520"/>
      <c r="G199" s="521"/>
      <c r="H199" s="522">
        <f t="shared" ref="H199:V199" si="23">SUM(H182:H198)</f>
        <v>-480.15999999999997</v>
      </c>
      <c r="I199" s="522">
        <f t="shared" si="23"/>
        <v>3035.45</v>
      </c>
      <c r="J199" s="522">
        <f t="shared" si="23"/>
        <v>3100.4399999999996</v>
      </c>
      <c r="K199" s="522">
        <f t="shared" si="23"/>
        <v>1882.8399999999997</v>
      </c>
      <c r="L199" s="522">
        <f t="shared" si="23"/>
        <v>2171.0899999999997</v>
      </c>
      <c r="M199" s="522">
        <f t="shared" si="23"/>
        <v>2201.3000000000002</v>
      </c>
      <c r="N199" s="522">
        <f t="shared" si="23"/>
        <v>2508.7299999999996</v>
      </c>
      <c r="O199" s="522">
        <f t="shared" si="23"/>
        <v>872.36000000000013</v>
      </c>
      <c r="P199" s="522">
        <f t="shared" si="23"/>
        <v>1617.51</v>
      </c>
      <c r="Q199" s="522">
        <f t="shared" si="23"/>
        <v>1812.95</v>
      </c>
      <c r="R199" s="522">
        <f t="shared" si="23"/>
        <v>1755.3100000000002</v>
      </c>
      <c r="S199" s="522">
        <f t="shared" si="23"/>
        <v>4039.9500000000007</v>
      </c>
      <c r="T199" s="522">
        <f t="shared" si="23"/>
        <v>1597.89</v>
      </c>
      <c r="U199" s="522">
        <f>SUM(U182:U198)</f>
        <v>0</v>
      </c>
      <c r="V199" s="522">
        <f t="shared" si="23"/>
        <v>26115.659999999996</v>
      </c>
      <c r="W199" s="97" t="str">
        <f>+IF(V199=SUM(H199:T199),"contrôle ok", "erreur")</f>
        <v>contrôle ok</v>
      </c>
      <c r="X199" s="126"/>
      <c r="Y199" s="126"/>
    </row>
    <row r="200" spans="1:25" s="37" customFormat="1" ht="11.25" thickTop="1" x14ac:dyDescent="0.15">
      <c r="A200" s="33"/>
      <c r="B200" s="33"/>
      <c r="C200" s="34"/>
      <c r="D200" s="35"/>
      <c r="E200" s="36"/>
      <c r="F200" s="35"/>
      <c r="G200" s="100"/>
      <c r="H200" s="229"/>
      <c r="I200" s="229"/>
      <c r="J200" s="229"/>
      <c r="K200" s="229"/>
      <c r="L200" s="229"/>
      <c r="M200" s="229"/>
      <c r="N200" s="229"/>
      <c r="O200" s="229"/>
      <c r="P200" s="229"/>
      <c r="Q200" s="229"/>
      <c r="R200" s="229"/>
      <c r="S200" s="229"/>
      <c r="T200" s="229"/>
      <c r="U200" s="229"/>
      <c r="V200" s="229"/>
    </row>
    <row r="201" spans="1:25" x14ac:dyDescent="0.15">
      <c r="A201" s="27" t="s">
        <v>34</v>
      </c>
      <c r="B201" s="28"/>
      <c r="C201" s="29"/>
      <c r="D201" s="30"/>
      <c r="E201" s="30"/>
      <c r="F201" s="31"/>
      <c r="G201" s="101"/>
      <c r="H201" s="224"/>
      <c r="I201" s="224"/>
      <c r="J201" s="251"/>
      <c r="K201" s="224"/>
      <c r="L201" s="224"/>
      <c r="M201" s="224"/>
      <c r="N201" s="224"/>
      <c r="O201" s="224"/>
      <c r="P201" s="224"/>
      <c r="Q201" s="224"/>
      <c r="R201" s="224"/>
      <c r="S201" s="224"/>
      <c r="T201" s="224"/>
      <c r="U201" s="224"/>
      <c r="V201" s="252"/>
      <c r="X201" s="6"/>
    </row>
    <row r="202" spans="1:25" x14ac:dyDescent="0.15">
      <c r="A202" s="143" t="s">
        <v>35</v>
      </c>
      <c r="B202" s="143" t="s">
        <v>36</v>
      </c>
      <c r="C202" s="144" t="s">
        <v>22</v>
      </c>
      <c r="D202" s="145">
        <v>626300</v>
      </c>
      <c r="E202" s="145" t="s">
        <v>79</v>
      </c>
      <c r="F202" s="145"/>
      <c r="G202" s="167">
        <v>202.92</v>
      </c>
      <c r="H202" s="559"/>
      <c r="I202" s="226">
        <v>202.92</v>
      </c>
      <c r="J202" s="226">
        <v>202.92</v>
      </c>
      <c r="K202" s="226">
        <v>202.92</v>
      </c>
      <c r="L202" s="226">
        <v>202.92</v>
      </c>
      <c r="M202" s="226">
        <v>202.92</v>
      </c>
      <c r="N202" s="226">
        <v>202.92</v>
      </c>
      <c r="O202" s="226">
        <v>202.92</v>
      </c>
      <c r="P202" s="226">
        <v>202.92</v>
      </c>
      <c r="Q202" s="226">
        <v>202.92</v>
      </c>
      <c r="R202" s="226">
        <v>202.92</v>
      </c>
      <c r="S202" s="226">
        <v>202.91</v>
      </c>
      <c r="T202" s="226">
        <v>202.88</v>
      </c>
      <c r="U202" s="226">
        <v>202.88</v>
      </c>
      <c r="V202" s="253">
        <f>SUM(H202:T202)</f>
        <v>2434.9900000000002</v>
      </c>
    </row>
    <row r="203" spans="1:25" s="37" customFormat="1" ht="11.25" thickBot="1" x14ac:dyDescent="0.2">
      <c r="A203" s="516" t="s">
        <v>11</v>
      </c>
      <c r="B203" s="517"/>
      <c r="C203" s="518"/>
      <c r="D203" s="519"/>
      <c r="E203" s="516"/>
      <c r="F203" s="520"/>
      <c r="G203" s="521"/>
      <c r="H203" s="522">
        <f t="shared" ref="H203:Q203" si="24">SUM(H202)</f>
        <v>0</v>
      </c>
      <c r="I203" s="522">
        <f t="shared" si="24"/>
        <v>202.92</v>
      </c>
      <c r="J203" s="522">
        <f t="shared" si="24"/>
        <v>202.92</v>
      </c>
      <c r="K203" s="522">
        <f t="shared" si="24"/>
        <v>202.92</v>
      </c>
      <c r="L203" s="522">
        <f t="shared" si="24"/>
        <v>202.92</v>
      </c>
      <c r="M203" s="522">
        <f t="shared" si="24"/>
        <v>202.92</v>
      </c>
      <c r="N203" s="522">
        <f t="shared" si="24"/>
        <v>202.92</v>
      </c>
      <c r="O203" s="522">
        <f t="shared" si="24"/>
        <v>202.92</v>
      </c>
      <c r="P203" s="522">
        <f t="shared" si="24"/>
        <v>202.92</v>
      </c>
      <c r="Q203" s="522">
        <f t="shared" si="24"/>
        <v>202.92</v>
      </c>
      <c r="R203" s="522">
        <f>SUM(R202:R202)</f>
        <v>202.92</v>
      </c>
      <c r="S203" s="522">
        <f>SUM(S202:S202)</f>
        <v>202.91</v>
      </c>
      <c r="T203" s="522">
        <f>SUM(T202:T202)</f>
        <v>202.88</v>
      </c>
      <c r="U203" s="522">
        <f>SUM(U202:U202)</f>
        <v>202.88</v>
      </c>
      <c r="V203" s="522">
        <f>SUM(V202:V202)</f>
        <v>2434.9900000000002</v>
      </c>
      <c r="W203" s="97" t="str">
        <f>+IF(V203=SUM(H203:T203),"contrôle ok", "erreur")</f>
        <v>contrôle ok</v>
      </c>
    </row>
    <row r="204" spans="1:25" s="37" customFormat="1" ht="11.25" thickTop="1" x14ac:dyDescent="0.15">
      <c r="A204" s="33"/>
      <c r="B204" s="33"/>
      <c r="C204" s="34"/>
      <c r="D204" s="35"/>
      <c r="E204" s="36"/>
      <c r="F204" s="35"/>
      <c r="G204" s="100"/>
      <c r="H204" s="229"/>
      <c r="I204" s="229"/>
      <c r="J204" s="229"/>
      <c r="K204" s="229"/>
      <c r="L204" s="229"/>
      <c r="M204" s="229"/>
      <c r="N204" s="229"/>
      <c r="O204" s="229"/>
      <c r="P204" s="229"/>
      <c r="Q204" s="229"/>
      <c r="R204" s="229"/>
      <c r="S204" s="229"/>
      <c r="T204" s="229"/>
      <c r="U204" s="229"/>
      <c r="V204" s="229"/>
    </row>
    <row r="205" spans="1:25" x14ac:dyDescent="0.15">
      <c r="A205" s="27" t="s">
        <v>16</v>
      </c>
      <c r="B205" s="28"/>
      <c r="C205" s="29"/>
      <c r="D205" s="30"/>
      <c r="E205" s="30"/>
      <c r="F205" s="31"/>
      <c r="G205" s="101"/>
      <c r="H205" s="224"/>
      <c r="I205" s="224"/>
      <c r="J205" s="251"/>
      <c r="K205" s="224"/>
      <c r="L205" s="224"/>
      <c r="M205" s="224"/>
      <c r="N205" s="224"/>
      <c r="O205" s="224"/>
      <c r="P205" s="224"/>
      <c r="Q205" s="224"/>
      <c r="R205" s="224"/>
      <c r="S205" s="224"/>
      <c r="T205" s="224"/>
      <c r="U205" s="224"/>
      <c r="V205" s="252"/>
    </row>
    <row r="206" spans="1:25" x14ac:dyDescent="0.15">
      <c r="A206" s="143" t="s">
        <v>46</v>
      </c>
      <c r="B206" s="143" t="s">
        <v>297</v>
      </c>
      <c r="C206" s="144"/>
      <c r="D206" s="145">
        <v>628500</v>
      </c>
      <c r="E206" s="145" t="s">
        <v>79</v>
      </c>
      <c r="F206" s="145">
        <v>999999</v>
      </c>
      <c r="G206" s="167"/>
      <c r="H206" s="559">
        <f>964.84-965</f>
        <v>-0.15999999999996817</v>
      </c>
      <c r="I206" s="226">
        <v>874.46</v>
      </c>
      <c r="J206" s="226"/>
      <c r="K206" s="226"/>
      <c r="L206" s="226"/>
      <c r="M206" s="226"/>
      <c r="N206" s="226"/>
      <c r="O206" s="226"/>
      <c r="P206" s="226"/>
      <c r="Q206" s="226"/>
      <c r="R206" s="226"/>
      <c r="S206" s="226"/>
      <c r="T206" s="226"/>
      <c r="U206" s="226"/>
      <c r="V206" s="253">
        <f t="shared" ref="V206:V212" si="25">SUM(H206:T206)</f>
        <v>874.30000000000007</v>
      </c>
    </row>
    <row r="207" spans="1:25" x14ac:dyDescent="0.15">
      <c r="A207" s="143" t="s">
        <v>46</v>
      </c>
      <c r="B207" s="143" t="s">
        <v>318</v>
      </c>
      <c r="C207" s="144"/>
      <c r="D207" s="145">
        <v>628500</v>
      </c>
      <c r="E207" s="145" t="s">
        <v>79</v>
      </c>
      <c r="F207" s="145">
        <v>999999</v>
      </c>
      <c r="G207" s="167">
        <v>64.239999999999995</v>
      </c>
      <c r="H207" s="559"/>
      <c r="I207" s="226">
        <v>63.98</v>
      </c>
      <c r="J207" s="226">
        <v>64.290000000000006</v>
      </c>
      <c r="K207" s="226">
        <v>64.290000000000006</v>
      </c>
      <c r="L207" s="226">
        <v>64.290000000000006</v>
      </c>
      <c r="M207" s="226">
        <v>64.290000000000006</v>
      </c>
      <c r="N207" s="226">
        <v>64.290000000000006</v>
      </c>
      <c r="O207" s="226">
        <v>63.98</v>
      </c>
      <c r="P207" s="226">
        <v>64.290000000000006</v>
      </c>
      <c r="Q207" s="226">
        <v>64.290000000000006</v>
      </c>
      <c r="R207" s="226">
        <v>64.290000000000006</v>
      </c>
      <c r="S207" s="226">
        <v>64.290000000000006</v>
      </c>
      <c r="T207" s="226">
        <v>64.290000000000006</v>
      </c>
      <c r="U207" s="582"/>
      <c r="V207" s="253">
        <f t="shared" si="25"/>
        <v>770.8599999999999</v>
      </c>
    </row>
    <row r="208" spans="1:25" x14ac:dyDescent="0.15">
      <c r="A208" s="143" t="s">
        <v>17</v>
      </c>
      <c r="B208" s="143" t="s">
        <v>60</v>
      </c>
      <c r="C208" s="144"/>
      <c r="D208" s="145">
        <v>628500</v>
      </c>
      <c r="E208" s="145" t="s">
        <v>79</v>
      </c>
      <c r="F208" s="145">
        <v>999999</v>
      </c>
      <c r="G208" s="167">
        <v>1431.54</v>
      </c>
      <c r="H208" s="559"/>
      <c r="I208" s="226">
        <v>1431.54</v>
      </c>
      <c r="J208" s="226">
        <v>1431.54</v>
      </c>
      <c r="K208" s="226">
        <v>1431.54</v>
      </c>
      <c r="L208" s="226">
        <v>1431.54</v>
      </c>
      <c r="M208" s="226">
        <v>1431.54</v>
      </c>
      <c r="N208" s="226">
        <v>1431.54</v>
      </c>
      <c r="O208" s="226">
        <v>1431.54</v>
      </c>
      <c r="P208" s="226">
        <v>1431.54</v>
      </c>
      <c r="Q208" s="226">
        <v>1431.54</v>
      </c>
      <c r="R208" s="226">
        <v>1431.54</v>
      </c>
      <c r="S208" s="226">
        <v>1431.54</v>
      </c>
      <c r="T208" s="226"/>
      <c r="U208" s="582"/>
      <c r="V208" s="253">
        <f t="shared" si="25"/>
        <v>15746.940000000002</v>
      </c>
    </row>
    <row r="209" spans="1:24" x14ac:dyDescent="0.15">
      <c r="A209" s="143" t="s">
        <v>411</v>
      </c>
      <c r="B209" s="143"/>
      <c r="C209" s="144"/>
      <c r="D209" s="145">
        <v>628500</v>
      </c>
      <c r="E209" s="145" t="s">
        <v>79</v>
      </c>
      <c r="F209" s="145">
        <v>999999</v>
      </c>
      <c r="G209" s="167">
        <v>964.84</v>
      </c>
      <c r="H209" s="559"/>
      <c r="I209" s="226">
        <v>964.84</v>
      </c>
      <c r="J209" s="226">
        <v>964.84</v>
      </c>
      <c r="K209" s="226">
        <v>964.84</v>
      </c>
      <c r="L209" s="226">
        <v>964.84</v>
      </c>
      <c r="M209" s="226">
        <v>964.84</v>
      </c>
      <c r="N209" s="226">
        <v>964.84</v>
      </c>
      <c r="O209" s="226">
        <v>964.84</v>
      </c>
      <c r="P209" s="226">
        <v>964.84</v>
      </c>
      <c r="Q209" s="226">
        <v>964.84</v>
      </c>
      <c r="R209" s="226">
        <v>964.84</v>
      </c>
      <c r="S209" s="583">
        <v>965</v>
      </c>
      <c r="T209" s="226"/>
      <c r="U209" s="582"/>
      <c r="V209" s="253">
        <f t="shared" si="25"/>
        <v>10613.4</v>
      </c>
    </row>
    <row r="210" spans="1:24" x14ac:dyDescent="0.15">
      <c r="A210" s="143" t="s">
        <v>174</v>
      </c>
      <c r="B210" s="143" t="s">
        <v>229</v>
      </c>
      <c r="C210" s="144"/>
      <c r="D210" s="145">
        <v>628500</v>
      </c>
      <c r="E210" s="145" t="s">
        <v>79</v>
      </c>
      <c r="F210" s="145">
        <v>999999</v>
      </c>
      <c r="G210" s="167">
        <v>75.87</v>
      </c>
      <c r="H210" s="559"/>
      <c r="I210" s="226">
        <v>76.959999999999994</v>
      </c>
      <c r="J210" s="226">
        <v>76.959999999999994</v>
      </c>
      <c r="K210" s="226">
        <v>76.959999999999994</v>
      </c>
      <c r="L210" s="226">
        <v>76.959999999999994</v>
      </c>
      <c r="M210" s="226">
        <v>76.959999999999994</v>
      </c>
      <c r="N210" s="226">
        <v>76.959999999999994</v>
      </c>
      <c r="O210" s="226">
        <v>76.959999999999994</v>
      </c>
      <c r="P210" s="226">
        <v>76.959999999999994</v>
      </c>
      <c r="Q210" s="226">
        <v>76.959999999999994</v>
      </c>
      <c r="R210" s="226">
        <v>76.959999999999994</v>
      </c>
      <c r="S210" s="226">
        <v>76.959999999999994</v>
      </c>
      <c r="T210" s="226">
        <v>76.959999999999994</v>
      </c>
      <c r="U210" s="582"/>
      <c r="V210" s="253">
        <f t="shared" si="25"/>
        <v>923.5200000000001</v>
      </c>
    </row>
    <row r="211" spans="1:24" x14ac:dyDescent="0.15">
      <c r="A211" s="143" t="s">
        <v>174</v>
      </c>
      <c r="B211" s="143" t="s">
        <v>284</v>
      </c>
      <c r="C211" s="144"/>
      <c r="D211" s="145">
        <v>628500</v>
      </c>
      <c r="E211" s="145" t="s">
        <v>79</v>
      </c>
      <c r="F211" s="145">
        <v>999999</v>
      </c>
      <c r="G211" s="167">
        <v>65.27</v>
      </c>
      <c r="H211" s="559"/>
      <c r="I211" s="226">
        <v>66.209999999999994</v>
      </c>
      <c r="J211" s="226">
        <v>66.239999999999995</v>
      </c>
      <c r="K211" s="226">
        <v>66.239999999999995</v>
      </c>
      <c r="L211" s="226">
        <v>66.239999999999995</v>
      </c>
      <c r="M211" s="226">
        <v>66.239999999999995</v>
      </c>
      <c r="N211" s="226">
        <v>66.239999999999995</v>
      </c>
      <c r="O211" s="226">
        <v>66.239999999999995</v>
      </c>
      <c r="P211" s="226">
        <v>66.239999999999995</v>
      </c>
      <c r="Q211" s="226">
        <v>66.239999999999995</v>
      </c>
      <c r="R211" s="226">
        <v>66.239999999999995</v>
      </c>
      <c r="S211" s="226">
        <v>66.239999999999995</v>
      </c>
      <c r="T211" s="226">
        <v>66.239999999999995</v>
      </c>
      <c r="U211" s="582"/>
      <c r="V211" s="253">
        <f t="shared" si="25"/>
        <v>794.85</v>
      </c>
    </row>
    <row r="212" spans="1:24" x14ac:dyDescent="0.15">
      <c r="A212" s="143"/>
      <c r="B212" s="143"/>
      <c r="C212" s="144"/>
      <c r="D212" s="145"/>
      <c r="E212" s="145" t="s">
        <v>463</v>
      </c>
      <c r="F212" s="145">
        <v>999999</v>
      </c>
      <c r="G212" s="167"/>
      <c r="H212" s="559"/>
      <c r="I212" s="226"/>
      <c r="J212" s="226"/>
      <c r="K212" s="226"/>
      <c r="L212" s="226"/>
      <c r="M212" s="226"/>
      <c r="N212" s="226">
        <v>-180</v>
      </c>
      <c r="O212" s="226">
        <v>180</v>
      </c>
      <c r="P212" s="226"/>
      <c r="Q212" s="226"/>
      <c r="R212" s="226"/>
      <c r="S212" s="226"/>
      <c r="T212" s="226"/>
      <c r="U212" s="226"/>
      <c r="V212" s="253">
        <f t="shared" si="25"/>
        <v>0</v>
      </c>
    </row>
    <row r="213" spans="1:24" s="37" customFormat="1" ht="11.25" thickBot="1" x14ac:dyDescent="0.2">
      <c r="A213" s="516" t="s">
        <v>11</v>
      </c>
      <c r="B213" s="517"/>
      <c r="C213" s="518"/>
      <c r="D213" s="519"/>
      <c r="E213" s="516"/>
      <c r="F213" s="520"/>
      <c r="G213" s="521"/>
      <c r="H213" s="532">
        <f>SUM(H206:H212)</f>
        <v>-0.15999999999996817</v>
      </c>
      <c r="I213" s="532">
        <f t="shared" ref="I213:T213" si="26">SUM(I206:I212)</f>
        <v>3477.9900000000002</v>
      </c>
      <c r="J213" s="532">
        <f t="shared" si="26"/>
        <v>2603.87</v>
      </c>
      <c r="K213" s="532">
        <f t="shared" si="26"/>
        <v>2603.87</v>
      </c>
      <c r="L213" s="532">
        <f t="shared" si="26"/>
        <v>2603.87</v>
      </c>
      <c r="M213" s="532">
        <f t="shared" si="26"/>
        <v>2603.87</v>
      </c>
      <c r="N213" s="532">
        <f>SUM(N206:N212)</f>
        <v>2423.87</v>
      </c>
      <c r="O213" s="532">
        <f t="shared" si="26"/>
        <v>2783.56</v>
      </c>
      <c r="P213" s="532">
        <f t="shared" si="26"/>
        <v>2603.87</v>
      </c>
      <c r="Q213" s="532">
        <f t="shared" si="26"/>
        <v>2603.87</v>
      </c>
      <c r="R213" s="532">
        <f t="shared" si="26"/>
        <v>2603.87</v>
      </c>
      <c r="S213" s="532">
        <f t="shared" si="26"/>
        <v>2604.0299999999997</v>
      </c>
      <c r="T213" s="532">
        <f t="shared" si="26"/>
        <v>207.49</v>
      </c>
      <c r="U213" s="532">
        <f>SUM(U206:U212)</f>
        <v>0</v>
      </c>
      <c r="V213" s="532">
        <f>+SUM(V206:V212)</f>
        <v>29723.87</v>
      </c>
      <c r="W213" s="97" t="str">
        <f>+IF(V213=SUM(H213:T213),"contrôle ok", "erreur")</f>
        <v>contrôle ok</v>
      </c>
    </row>
    <row r="214" spans="1:24" ht="12" thickTop="1" thickBot="1" x14ac:dyDescent="0.2">
      <c r="A214" s="78"/>
      <c r="B214" s="79"/>
      <c r="C214" s="80"/>
      <c r="D214" s="118"/>
      <c r="E214" s="118"/>
      <c r="F214" s="131"/>
      <c r="G214" s="105"/>
      <c r="H214" s="233"/>
      <c r="I214" s="233"/>
      <c r="J214" s="264"/>
      <c r="K214" s="233"/>
      <c r="L214" s="233"/>
      <c r="M214" s="233"/>
      <c r="N214" s="233"/>
      <c r="O214" s="233"/>
      <c r="P214" s="233"/>
      <c r="Q214" s="233"/>
      <c r="R214" s="233"/>
      <c r="S214" s="233"/>
      <c r="T214" s="265"/>
      <c r="U214" s="265"/>
      <c r="V214" s="265"/>
      <c r="W214" s="4"/>
    </row>
    <row r="215" spans="1:24" x14ac:dyDescent="0.15">
      <c r="W215" s="4"/>
      <c r="X215" s="141"/>
    </row>
    <row r="216" spans="1:24" x14ac:dyDescent="0.15">
      <c r="W216" s="4"/>
    </row>
    <row r="217" spans="1:24" x14ac:dyDescent="0.15">
      <c r="W217" s="4"/>
    </row>
    <row r="218" spans="1:24" x14ac:dyDescent="0.15">
      <c r="W218" s="4"/>
    </row>
    <row r="219" spans="1:24" x14ac:dyDescent="0.15">
      <c r="W219" s="4"/>
    </row>
    <row r="220" spans="1:24" x14ac:dyDescent="0.15">
      <c r="W220" s="14"/>
    </row>
    <row r="231" spans="23:23" x14ac:dyDescent="0.15">
      <c r="W231" s="14"/>
    </row>
    <row r="232" spans="23:23" x14ac:dyDescent="0.15">
      <c r="W232" s="14"/>
    </row>
    <row r="233" spans="23:23" x14ac:dyDescent="0.15">
      <c r="W233" s="14"/>
    </row>
    <row r="234" spans="23:23" x14ac:dyDescent="0.15">
      <c r="W234" s="14"/>
    </row>
    <row r="235" spans="23:23" x14ac:dyDescent="0.15">
      <c r="W235" s="14"/>
    </row>
    <row r="236" spans="23:23" x14ac:dyDescent="0.15">
      <c r="W236" s="14"/>
    </row>
    <row r="237" spans="23:23" x14ac:dyDescent="0.15">
      <c r="W237" s="14"/>
    </row>
    <row r="238" spans="23:23" x14ac:dyDescent="0.15">
      <c r="W238" s="14"/>
    </row>
    <row r="239" spans="23:23" x14ac:dyDescent="0.15">
      <c r="W239" s="14"/>
    </row>
    <row r="240" spans="23:23" ht="10.9" customHeight="1" x14ac:dyDescent="0.15">
      <c r="W240" s="14"/>
    </row>
    <row r="241" spans="23:23" ht="10.9" customHeight="1" x14ac:dyDescent="0.15">
      <c r="W241" s="14"/>
    </row>
    <row r="242" spans="23:23" x14ac:dyDescent="0.15">
      <c r="W242" s="14"/>
    </row>
    <row r="243" spans="23:23" x14ac:dyDescent="0.15">
      <c r="W243" s="14"/>
    </row>
    <row r="244" spans="23:23" x14ac:dyDescent="0.15">
      <c r="W244" s="14"/>
    </row>
    <row r="245" spans="23:23" x14ac:dyDescent="0.15">
      <c r="W245" s="14"/>
    </row>
    <row r="246" spans="23:23" x14ac:dyDescent="0.15">
      <c r="W246" s="14"/>
    </row>
    <row r="247" spans="23:23" x14ac:dyDescent="0.15">
      <c r="W247" s="14"/>
    </row>
    <row r="248" spans="23:23" x14ac:dyDescent="0.15">
      <c r="W248" s="14"/>
    </row>
    <row r="249" spans="23:23" ht="16.5" customHeight="1" x14ac:dyDescent="0.15">
      <c r="W249" s="14"/>
    </row>
    <row r="250" spans="23:23" ht="16.5" customHeight="1" x14ac:dyDescent="0.15">
      <c r="W250" s="14"/>
    </row>
    <row r="251" spans="23:23" ht="16.5" customHeight="1" x14ac:dyDescent="0.15">
      <c r="W251" s="14"/>
    </row>
    <row r="252" spans="23:23" ht="16.5" customHeight="1" x14ac:dyDescent="0.15">
      <c r="W252" s="14"/>
    </row>
    <row r="253" spans="23:23" ht="16.5" customHeight="1" x14ac:dyDescent="0.15">
      <c r="W253" s="14"/>
    </row>
    <row r="254" spans="23:23" ht="16.5" customHeight="1" x14ac:dyDescent="0.15">
      <c r="W254" s="14"/>
    </row>
    <row r="255" spans="23:23" ht="16.5" customHeight="1" x14ac:dyDescent="0.15">
      <c r="W255" s="14"/>
    </row>
    <row r="256" spans="23:23" x14ac:dyDescent="0.15">
      <c r="W256" s="14"/>
    </row>
    <row r="257" spans="23:23" x14ac:dyDescent="0.15">
      <c r="W257" s="14"/>
    </row>
    <row r="258" spans="23:23" x14ac:dyDescent="0.15">
      <c r="W258" s="14"/>
    </row>
    <row r="259" spans="23:23" x14ac:dyDescent="0.15">
      <c r="W259" s="14"/>
    </row>
    <row r="260" spans="23:23" x14ac:dyDescent="0.15">
      <c r="W260" s="14"/>
    </row>
    <row r="261" spans="23:23" x14ac:dyDescent="0.15">
      <c r="W261" s="14"/>
    </row>
    <row r="262" spans="23:23" x14ac:dyDescent="0.15">
      <c r="W262" s="14"/>
    </row>
    <row r="263" spans="23:23" x14ac:dyDescent="0.15">
      <c r="W263" s="14"/>
    </row>
    <row r="264" spans="23:23" ht="13.15" customHeight="1" x14ac:dyDescent="0.15">
      <c r="W264" s="14"/>
    </row>
    <row r="265" spans="23:23" x14ac:dyDescent="0.15">
      <c r="W265" s="14"/>
    </row>
    <row r="266" spans="23:23" ht="13.5" customHeight="1" x14ac:dyDescent="0.15">
      <c r="W266" s="14"/>
    </row>
    <row r="267" spans="23:23" x14ac:dyDescent="0.15">
      <c r="W267" s="14"/>
    </row>
    <row r="268" spans="23:23" x14ac:dyDescent="0.15">
      <c r="W268" s="14"/>
    </row>
    <row r="269" spans="23:23" x14ac:dyDescent="0.15">
      <c r="W269" s="14"/>
    </row>
    <row r="270" spans="23:23" ht="13.5" customHeight="1" x14ac:dyDescent="0.15">
      <c r="W270" s="14"/>
    </row>
    <row r="271" spans="23:23" x14ac:dyDescent="0.15">
      <c r="W271" s="14"/>
    </row>
    <row r="272" spans="23:23" x14ac:dyDescent="0.15">
      <c r="W272" s="14"/>
    </row>
    <row r="273" spans="23:23" x14ac:dyDescent="0.15">
      <c r="W273" s="14"/>
    </row>
    <row r="274" spans="23:23" x14ac:dyDescent="0.15">
      <c r="W274" s="14"/>
    </row>
    <row r="275" spans="23:23" x14ac:dyDescent="0.15">
      <c r="W275" s="14"/>
    </row>
    <row r="276" spans="23:23" x14ac:dyDescent="0.15">
      <c r="W276" s="14"/>
    </row>
    <row r="277" spans="23:23" x14ac:dyDescent="0.15">
      <c r="W277" s="14"/>
    </row>
    <row r="278" spans="23:23" ht="6.6" customHeight="1" x14ac:dyDescent="0.15">
      <c r="W278" s="14"/>
    </row>
    <row r="279" spans="23:23" x14ac:dyDescent="0.15">
      <c r="W279" s="4"/>
    </row>
    <row r="280" spans="23:23" x14ac:dyDescent="0.15">
      <c r="W280" s="4"/>
    </row>
    <row r="281" spans="23:23" x14ac:dyDescent="0.15">
      <c r="W281" s="4"/>
    </row>
    <row r="282" spans="23:23" x14ac:dyDescent="0.15">
      <c r="W282" s="4"/>
    </row>
    <row r="283" spans="23:23" x14ac:dyDescent="0.15">
      <c r="W283" s="4"/>
    </row>
    <row r="284" spans="23:23" x14ac:dyDescent="0.15">
      <c r="W284" s="4"/>
    </row>
    <row r="285" spans="23:23" x14ac:dyDescent="0.15">
      <c r="W285" s="14"/>
    </row>
    <row r="286" spans="23:23" x14ac:dyDescent="0.15">
      <c r="W286" s="14"/>
    </row>
    <row r="287" spans="23:23" x14ac:dyDescent="0.15">
      <c r="W287" s="14"/>
    </row>
    <row r="288" spans="23:23" x14ac:dyDescent="0.15">
      <c r="W288" s="14"/>
    </row>
    <row r="289" spans="23:23" x14ac:dyDescent="0.15">
      <c r="W289" s="14"/>
    </row>
    <row r="290" spans="23:23" x14ac:dyDescent="0.15">
      <c r="W290" s="14"/>
    </row>
    <row r="291" spans="23:23" x14ac:dyDescent="0.15">
      <c r="W291" s="4"/>
    </row>
    <row r="292" spans="23:23" x14ac:dyDescent="0.15">
      <c r="W292" s="4"/>
    </row>
    <row r="293" spans="23:23" x14ac:dyDescent="0.15">
      <c r="W293" s="4"/>
    </row>
    <row r="294" spans="23:23" x14ac:dyDescent="0.15">
      <c r="W294" s="4"/>
    </row>
    <row r="295" spans="23:23" x14ac:dyDescent="0.15">
      <c r="W295" s="4"/>
    </row>
    <row r="296" spans="23:23" x14ac:dyDescent="0.15">
      <c r="W296" s="4"/>
    </row>
    <row r="297" spans="23:23" x14ac:dyDescent="0.15">
      <c r="W297" s="4"/>
    </row>
    <row r="298" spans="23:23" x14ac:dyDescent="0.15">
      <c r="W298" s="14"/>
    </row>
    <row r="312" ht="10.9" customHeight="1" x14ac:dyDescent="0.15"/>
    <row r="313" ht="10.9" customHeight="1" x14ac:dyDescent="0.15"/>
    <row r="323" ht="16.5" customHeight="1" x14ac:dyDescent="0.15"/>
    <row r="324" ht="16.5" customHeight="1" x14ac:dyDescent="0.15"/>
    <row r="325" ht="16.5" customHeight="1" x14ac:dyDescent="0.15"/>
    <row r="326" ht="16.5" customHeight="1" x14ac:dyDescent="0.15"/>
    <row r="327" ht="16.5" customHeight="1" x14ac:dyDescent="0.15"/>
    <row r="341" ht="13.15" customHeight="1" x14ac:dyDescent="0.15"/>
    <row r="345" ht="13.5" customHeight="1" x14ac:dyDescent="0.15"/>
    <row r="346" ht="13.5" customHeight="1" x14ac:dyDescent="0.15"/>
    <row r="350" ht="13.5" customHeight="1" x14ac:dyDescent="0.15"/>
    <row r="351" ht="13.5" customHeight="1" x14ac:dyDescent="0.15"/>
    <row r="359" ht="6.6" customHeight="1" x14ac:dyDescent="0.15"/>
  </sheetData>
  <customSheetViews>
    <customSheetView guid="{4BA9EA0D-01E7-49D1-8245-80B9A9A68B6F}" scale="115" showPageBreaks="1" fitToPage="1">
      <pane xSplit="8" ySplit="5" topLeftCell="I159" activePane="bottomRight" state="frozen"/>
      <selection pane="bottomRight" activeCell="S158" sqref="S158"/>
      <rowBreaks count="4" manualBreakCount="4">
        <brk id="73" max="20" man="1"/>
        <brk id="93" max="16383" man="1"/>
        <brk id="179" max="20" man="1"/>
        <brk id="184" max="16383" man="1"/>
      </rowBreaks>
      <pageMargins left="3.937007874015748E-2" right="3.937007874015748E-2" top="0.15748031496062992" bottom="0.19685039370078741" header="0.15748031496062992" footer="0.23622047244094491"/>
      <pageSetup paperSize="9" scale="58" fitToHeight="3" orientation="landscape" r:id="rId1"/>
      <headerFooter alignWithMargins="0">
        <oddFooter>&amp;R&amp;8Le &amp;D
&amp;T</oddFooter>
      </headerFooter>
    </customSheetView>
    <customSheetView guid="{B5B04B19-0628-445C-9CF3-7F5D4D937774}" scale="115" fitToPage="1">
      <pane xSplit="8" ySplit="5" topLeftCell="I156" activePane="bottomRight" state="frozen"/>
      <selection pane="bottomRight" activeCell="S158" sqref="S158"/>
      <rowBreaks count="2" manualBreakCount="2">
        <brk id="73" max="20" man="1"/>
        <brk id="179" max="20" man="1"/>
      </rowBreaks>
      <pageMargins left="3.937007874015748E-2" right="3.937007874015748E-2" top="0.15748031496062992" bottom="0.19685039370078741" header="0.15748031496062992" footer="0.23622047244094491"/>
      <pageSetup paperSize="9" scale="59" fitToHeight="3" orientation="landscape" r:id="rId2"/>
      <headerFooter alignWithMargins="0">
        <oddFooter>&amp;R&amp;8Le &amp;D
&amp;T</oddFooter>
      </headerFooter>
    </customSheetView>
    <customSheetView guid="{DD021BEF-F767-4779-A362-C9308ACC088B}" scale="115" fitToPage="1">
      <pane xSplit="8" ySplit="5" topLeftCell="I156" activePane="bottomRight" state="frozen"/>
      <selection pane="bottomRight" activeCell="S158" sqref="S158"/>
      <rowBreaks count="2" manualBreakCount="2">
        <brk id="73" max="20" man="1"/>
        <brk id="179" max="20" man="1"/>
      </rowBreaks>
      <pageMargins left="3.937007874015748E-2" right="3.937007874015748E-2" top="0.15748031496062992" bottom="0.19685039370078741" header="0.15748031496062992" footer="0.23622047244094491"/>
      <pageSetup paperSize="9" scale="58" fitToHeight="3" orientation="landscape" r:id="rId3"/>
      <headerFooter alignWithMargins="0">
        <oddFooter>&amp;R&amp;8Le &amp;D
&amp;T</oddFooter>
      </headerFooter>
    </customSheetView>
    <customSheetView guid="{C8B269C8-9E4E-47CC-A407-F213FAC1E35C}" scale="115" fitToPage="1">
      <pane xSplit="8" ySplit="5" topLeftCell="I156" activePane="bottomRight" state="frozen"/>
      <selection pane="bottomRight" activeCell="S158" sqref="S158"/>
      <rowBreaks count="2" manualBreakCount="2">
        <brk id="73" max="20" man="1"/>
        <brk id="179" max="20" man="1"/>
      </rowBreaks>
      <pageMargins left="3.937007874015748E-2" right="3.937007874015748E-2" top="0.15748031496062992" bottom="0.19685039370078741" header="0.15748031496062992" footer="0.23622047244094491"/>
      <pageSetup paperSize="9" scale="58" fitToHeight="3" orientation="landscape" r:id="rId4"/>
      <headerFooter alignWithMargins="0">
        <oddFooter>&amp;R&amp;8Le &amp;D
&amp;T</oddFooter>
      </headerFooter>
    </customSheetView>
  </customSheetViews>
  <mergeCells count="10">
    <mergeCell ref="J196:M196"/>
    <mergeCell ref="L191:N191"/>
    <mergeCell ref="L192:N192"/>
    <mergeCell ref="M190:O190"/>
    <mergeCell ref="N196:P196"/>
    <mergeCell ref="O191:Q191"/>
    <mergeCell ref="P190:R190"/>
    <mergeCell ref="I191:K191"/>
    <mergeCell ref="I192:K192"/>
    <mergeCell ref="J190:L190"/>
  </mergeCells>
  <phoneticPr fontId="0" type="noConversion"/>
  <pageMargins left="3.937007874015748E-2" right="3.937007874015748E-2" top="0.15748031496062992" bottom="0.19685039370078741" header="0.15748031496062992" footer="0.23622047244094491"/>
  <pageSetup paperSize="9" scale="58" fitToHeight="3" orientation="landscape" r:id="rId5"/>
  <headerFooter alignWithMargins="0">
    <oddFooter>&amp;R&amp;8Le &amp;D
&amp;T</oddFooter>
  </headerFooter>
  <rowBreaks count="2" manualBreakCount="2">
    <brk id="71" max="20" man="1"/>
    <brk id="179" max="20" man="1"/>
  </rowBreaks>
  <drawing r:id="rId6"/>
  <legacyDrawing r:id="rId7"/>
  <controls>
    <mc:AlternateContent xmlns:mc="http://schemas.openxmlformats.org/markup-compatibility/2006">
      <mc:Choice Requires="x14">
        <control shapeId="6161" r:id="rId8" name="ComboBox1">
          <controlPr defaultSize="0" autoFill="0" autoLine="0" listFillRange="COMPTE" r:id="rId9">
            <anchor>
              <from>
                <xdr:col>1</xdr:col>
                <xdr:colOff>152400</xdr:colOff>
                <xdr:row>0</xdr:row>
                <xdr:rowOff>38100</xdr:rowOff>
              </from>
              <to>
                <xdr:col>2</xdr:col>
                <xdr:colOff>790575</xdr:colOff>
                <xdr:row>1</xdr:row>
                <xdr:rowOff>114300</xdr:rowOff>
              </to>
            </anchor>
          </controlPr>
        </control>
      </mc:Choice>
      <mc:Fallback>
        <control shapeId="6161" r:id="rId8" name="ComboBox1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IW1000"/>
  <sheetViews>
    <sheetView showZeros="0" zoomScale="85" zoomScaleNormal="85" zoomScaleSheetLayoutView="85" workbookViewId="0">
      <pane xSplit="4" ySplit="3" topLeftCell="E4" activePane="bottomRight" state="frozen"/>
      <selection activeCell="T231" sqref="T231:U231"/>
      <selection pane="topRight" activeCell="T231" sqref="T231:U231"/>
      <selection pane="bottomLeft" activeCell="T231" sqref="T231:U231"/>
      <selection pane="bottomRight" activeCell="S14" sqref="S14"/>
    </sheetView>
  </sheetViews>
  <sheetFormatPr baseColWidth="10" defaultRowHeight="12.75" x14ac:dyDescent="0.2"/>
  <cols>
    <col min="1" max="1" width="8.7109375" style="15" bestFit="1" customWidth="1"/>
    <col min="2" max="2" width="24.85546875" style="3" customWidth="1"/>
    <col min="3" max="3" width="8.7109375" style="1" customWidth="1"/>
    <col min="4" max="4" width="9.7109375" style="1" customWidth="1"/>
    <col min="5" max="5" width="12" style="236" bestFit="1" customWidth="1"/>
    <col min="6" max="6" width="13.28515625" style="236" customWidth="1"/>
    <col min="7" max="7" width="12.42578125" style="236" bestFit="1" customWidth="1"/>
    <col min="8" max="10" width="11.28515625" style="236" bestFit="1" customWidth="1"/>
    <col min="11" max="11" width="12" style="236" bestFit="1" customWidth="1"/>
    <col min="12" max="13" width="11.28515625" style="236" bestFit="1" customWidth="1"/>
    <col min="14" max="16" width="12.42578125" style="236" bestFit="1" customWidth="1"/>
    <col min="17" max="18" width="12.42578125" style="237" bestFit="1" customWidth="1"/>
    <col min="19" max="19" width="13.28515625" style="238" bestFit="1" customWidth="1"/>
    <col min="20" max="20" width="10.42578125" bestFit="1" customWidth="1"/>
    <col min="21" max="21" width="12.140625" style="184" bestFit="1" customWidth="1"/>
    <col min="22" max="22" width="15.28515625" style="332" bestFit="1" customWidth="1"/>
    <col min="23" max="23" width="13.5703125" bestFit="1" customWidth="1"/>
    <col min="24" max="24" width="13.7109375" style="184" bestFit="1" customWidth="1"/>
    <col min="25" max="25" width="11.42578125" style="184"/>
    <col min="26" max="26" width="8.7109375" style="15" bestFit="1" customWidth="1"/>
    <col min="27" max="16384" width="11.42578125" style="184"/>
  </cols>
  <sheetData>
    <row r="1" spans="1:26" x14ac:dyDescent="0.2">
      <c r="A1" s="162">
        <v>2017</v>
      </c>
      <c r="Z1" s="162"/>
    </row>
    <row r="3" spans="1:26" s="174" customFormat="1" ht="25.5" customHeight="1" x14ac:dyDescent="0.2">
      <c r="A3" s="161" t="s">
        <v>3</v>
      </c>
      <c r="B3" s="161" t="s">
        <v>209</v>
      </c>
      <c r="C3" s="161" t="s">
        <v>210</v>
      </c>
      <c r="D3" s="161" t="s">
        <v>211</v>
      </c>
      <c r="E3" s="555">
        <v>2016</v>
      </c>
      <c r="F3" s="239" t="s">
        <v>55</v>
      </c>
      <c r="G3" s="239" t="s">
        <v>56</v>
      </c>
      <c r="H3" s="239" t="s">
        <v>5</v>
      </c>
      <c r="I3" s="239" t="s">
        <v>6</v>
      </c>
      <c r="J3" s="239" t="s">
        <v>7</v>
      </c>
      <c r="K3" s="239" t="s">
        <v>8</v>
      </c>
      <c r="L3" s="239" t="s">
        <v>65</v>
      </c>
      <c r="M3" s="239" t="s">
        <v>64</v>
      </c>
      <c r="N3" s="239" t="s">
        <v>49</v>
      </c>
      <c r="O3" s="239" t="s">
        <v>50</v>
      </c>
      <c r="P3" s="239" t="s">
        <v>59</v>
      </c>
      <c r="Q3" s="239" t="s">
        <v>51</v>
      </c>
      <c r="R3" s="239" t="s">
        <v>866</v>
      </c>
      <c r="S3" s="239" t="s">
        <v>66</v>
      </c>
      <c r="T3"/>
      <c r="V3" s="333"/>
    </row>
    <row r="4" spans="1:26" x14ac:dyDescent="0.2">
      <c r="A4" s="159">
        <v>615111</v>
      </c>
      <c r="B4" s="160" t="s">
        <v>110</v>
      </c>
      <c r="C4" s="148" t="s">
        <v>77</v>
      </c>
      <c r="D4" s="148" t="s">
        <v>179</v>
      </c>
      <c r="E4" s="240">
        <v>-819.2</v>
      </c>
      <c r="F4" s="240">
        <v>2537.4</v>
      </c>
      <c r="G4" s="240">
        <v>3981</v>
      </c>
      <c r="H4" s="240">
        <v>3553.9</v>
      </c>
      <c r="I4" s="240">
        <v>3098.45</v>
      </c>
      <c r="J4" s="240">
        <v>3825.1</v>
      </c>
      <c r="K4" s="240">
        <v>3243.85</v>
      </c>
      <c r="L4" s="240">
        <v>3555.55</v>
      </c>
      <c r="M4" s="240">
        <v>4032.3999999999996</v>
      </c>
      <c r="N4" s="240">
        <v>3774.3</v>
      </c>
      <c r="O4" s="240">
        <v>4268.8999999999996</v>
      </c>
      <c r="P4" s="240">
        <v>4001.95</v>
      </c>
      <c r="Q4" s="240">
        <v>0</v>
      </c>
      <c r="R4" s="240">
        <v>0</v>
      </c>
      <c r="S4" s="245">
        <f>SUM(E4:Q4)</f>
        <v>39053.599999999991</v>
      </c>
      <c r="W4" s="483"/>
    </row>
    <row r="5" spans="1:26" x14ac:dyDescent="0.2">
      <c r="A5" s="159">
        <v>615111</v>
      </c>
      <c r="B5" s="160" t="s">
        <v>110</v>
      </c>
      <c r="C5" s="148" t="s">
        <v>77</v>
      </c>
      <c r="D5" s="148" t="s">
        <v>192</v>
      </c>
      <c r="E5" s="240">
        <v>0</v>
      </c>
      <c r="F5" s="240">
        <v>0</v>
      </c>
      <c r="G5" s="240">
        <v>0</v>
      </c>
      <c r="H5" s="240">
        <v>0</v>
      </c>
      <c r="I5" s="240">
        <v>0</v>
      </c>
      <c r="J5" s="240">
        <v>0</v>
      </c>
      <c r="K5" s="240">
        <v>0</v>
      </c>
      <c r="L5" s="240">
        <v>0</v>
      </c>
      <c r="M5" s="240">
        <v>0</v>
      </c>
      <c r="N5" s="240">
        <v>0</v>
      </c>
      <c r="O5" s="240">
        <v>0</v>
      </c>
      <c r="P5" s="240">
        <v>0</v>
      </c>
      <c r="Q5" s="240">
        <v>0</v>
      </c>
      <c r="R5" s="240">
        <v>0</v>
      </c>
      <c r="S5" s="245">
        <f>SUM(E5:Q5)</f>
        <v>0</v>
      </c>
    </row>
    <row r="6" spans="1:26" x14ac:dyDescent="0.2">
      <c r="A6" s="159"/>
      <c r="B6" s="160"/>
      <c r="C6" s="148"/>
      <c r="D6" s="148"/>
      <c r="E6" s="240"/>
      <c r="F6" s="240"/>
      <c r="G6" s="240"/>
      <c r="H6" s="240"/>
      <c r="I6" s="240"/>
      <c r="J6" s="240"/>
      <c r="K6" s="240"/>
      <c r="L6" s="240"/>
      <c r="M6" s="240"/>
      <c r="N6" s="240"/>
      <c r="O6" s="240"/>
      <c r="P6" s="240"/>
      <c r="Q6" s="240"/>
      <c r="R6" s="240"/>
      <c r="S6" s="245"/>
    </row>
    <row r="7" spans="1:26" x14ac:dyDescent="0.2">
      <c r="A7" s="159">
        <v>615111</v>
      </c>
      <c r="B7" s="160" t="s">
        <v>110</v>
      </c>
      <c r="C7" s="148" t="s">
        <v>70</v>
      </c>
      <c r="D7" s="148" t="s">
        <v>179</v>
      </c>
      <c r="E7" s="240">
        <v>0</v>
      </c>
      <c r="F7" s="240">
        <v>1886.78</v>
      </c>
      <c r="G7" s="240">
        <v>1886.78</v>
      </c>
      <c r="H7" s="240">
        <v>1886.78</v>
      </c>
      <c r="I7" s="240">
        <v>1886.78</v>
      </c>
      <c r="J7" s="240">
        <v>1886.78</v>
      </c>
      <c r="K7" s="240">
        <v>1886.78</v>
      </c>
      <c r="L7" s="240">
        <v>1886.78</v>
      </c>
      <c r="M7" s="240">
        <v>1886.78</v>
      </c>
      <c r="N7" s="240">
        <v>1886.78</v>
      </c>
      <c r="O7" s="240">
        <v>1886.78</v>
      </c>
      <c r="P7" s="240">
        <v>1886.78</v>
      </c>
      <c r="Q7" s="240">
        <v>0</v>
      </c>
      <c r="R7" s="240">
        <v>0</v>
      </c>
      <c r="S7" s="245">
        <f>SUM(E7:Q7)</f>
        <v>20754.579999999998</v>
      </c>
      <c r="U7" s="273"/>
      <c r="W7" s="483"/>
    </row>
    <row r="8" spans="1:26" x14ac:dyDescent="0.2">
      <c r="A8" s="159">
        <v>615111</v>
      </c>
      <c r="B8" s="160" t="s">
        <v>110</v>
      </c>
      <c r="C8" s="148" t="s">
        <v>108</v>
      </c>
      <c r="D8" s="148" t="s">
        <v>179</v>
      </c>
      <c r="E8" s="240">
        <v>0</v>
      </c>
      <c r="F8" s="240">
        <v>8550.65</v>
      </c>
      <c r="G8" s="240">
        <v>8550.65</v>
      </c>
      <c r="H8" s="240">
        <v>8550.65</v>
      </c>
      <c r="I8" s="240">
        <v>8550.65</v>
      </c>
      <c r="J8" s="240">
        <v>8550.65</v>
      </c>
      <c r="K8" s="240">
        <v>8550.65</v>
      </c>
      <c r="L8" s="240">
        <v>8550.65</v>
      </c>
      <c r="M8" s="240">
        <v>8550.65</v>
      </c>
      <c r="N8" s="240">
        <v>8550.65</v>
      </c>
      <c r="O8" s="240">
        <v>8550.65</v>
      </c>
      <c r="P8" s="240">
        <v>8550.65</v>
      </c>
      <c r="Q8" s="240">
        <v>0</v>
      </c>
      <c r="R8" s="240">
        <v>0</v>
      </c>
      <c r="S8" s="245">
        <f>SUM(E8:Q8)</f>
        <v>94057.14999999998</v>
      </c>
      <c r="W8" s="483"/>
    </row>
    <row r="9" spans="1:26" x14ac:dyDescent="0.2">
      <c r="A9" s="159">
        <v>615111</v>
      </c>
      <c r="B9" s="160" t="s">
        <v>110</v>
      </c>
      <c r="C9" s="148" t="s">
        <v>108</v>
      </c>
      <c r="D9" s="148" t="s">
        <v>192</v>
      </c>
      <c r="E9" s="240">
        <v>0</v>
      </c>
      <c r="F9" s="240">
        <v>0</v>
      </c>
      <c r="G9" s="240">
        <v>0</v>
      </c>
      <c r="H9" s="240">
        <v>0</v>
      </c>
      <c r="I9" s="240">
        <v>0</v>
      </c>
      <c r="J9" s="240">
        <v>0</v>
      </c>
      <c r="K9" s="240">
        <v>0</v>
      </c>
      <c r="L9" s="240">
        <v>0</v>
      </c>
      <c r="M9" s="240">
        <v>0</v>
      </c>
      <c r="N9" s="240">
        <v>1470</v>
      </c>
      <c r="O9" s="240">
        <v>0</v>
      </c>
      <c r="P9" s="240">
        <v>3340</v>
      </c>
      <c r="Q9" s="240">
        <v>0</v>
      </c>
      <c r="R9" s="240">
        <v>0</v>
      </c>
      <c r="S9" s="245">
        <f>SUM(E9:Q9)</f>
        <v>4810</v>
      </c>
      <c r="U9" s="273"/>
      <c r="W9" s="483"/>
    </row>
    <row r="10" spans="1:26" x14ac:dyDescent="0.2">
      <c r="A10" s="159"/>
      <c r="B10" s="160"/>
      <c r="C10" s="148"/>
      <c r="D10" s="148"/>
      <c r="E10" s="240"/>
      <c r="F10" s="240"/>
      <c r="G10" s="240"/>
      <c r="H10" s="240"/>
      <c r="I10" s="240"/>
      <c r="J10" s="240"/>
      <c r="K10" s="240"/>
      <c r="L10" s="240"/>
      <c r="M10" s="240"/>
      <c r="N10" s="240"/>
      <c r="O10" s="240"/>
      <c r="P10" s="240"/>
      <c r="Q10" s="240"/>
      <c r="R10" s="240"/>
      <c r="S10" s="245"/>
    </row>
    <row r="11" spans="1:26" x14ac:dyDescent="0.2">
      <c r="A11" s="159">
        <v>615111</v>
      </c>
      <c r="B11" s="160" t="s">
        <v>110</v>
      </c>
      <c r="C11" s="148" t="s">
        <v>75</v>
      </c>
      <c r="D11" s="148" t="s">
        <v>179</v>
      </c>
      <c r="E11" s="240">
        <v>224.96000000000004</v>
      </c>
      <c r="F11" s="240">
        <v>2264.96</v>
      </c>
      <c r="G11" s="240">
        <v>2003.6</v>
      </c>
      <c r="H11" s="240">
        <v>-369.36000000000013</v>
      </c>
      <c r="I11" s="240">
        <v>469</v>
      </c>
      <c r="J11" s="240">
        <v>2800</v>
      </c>
      <c r="K11" s="240">
        <v>2800</v>
      </c>
      <c r="L11" s="240">
        <v>-152</v>
      </c>
      <c r="M11" s="240">
        <v>2832</v>
      </c>
      <c r="N11" s="240">
        <v>2832</v>
      </c>
      <c r="O11" s="240">
        <v>-686</v>
      </c>
      <c r="P11" s="240">
        <v>2832</v>
      </c>
      <c r="Q11" s="240">
        <v>0</v>
      </c>
      <c r="R11" s="240">
        <v>0</v>
      </c>
      <c r="S11" s="245">
        <f>SUM(E11:Q11)</f>
        <v>17851.16</v>
      </c>
      <c r="W11" s="483"/>
    </row>
    <row r="12" spans="1:26" x14ac:dyDescent="0.2">
      <c r="A12" s="159">
        <v>615111</v>
      </c>
      <c r="B12" s="160" t="s">
        <v>110</v>
      </c>
      <c r="C12" s="148" t="s">
        <v>163</v>
      </c>
      <c r="D12" s="148" t="s">
        <v>179</v>
      </c>
      <c r="E12" s="240">
        <v>0</v>
      </c>
      <c r="F12" s="240">
        <v>7734.88</v>
      </c>
      <c r="G12" s="240">
        <v>7734.88</v>
      </c>
      <c r="H12" s="240">
        <v>7734.88</v>
      </c>
      <c r="I12" s="240">
        <v>13815</v>
      </c>
      <c r="J12" s="240">
        <v>9550</v>
      </c>
      <c r="K12" s="240">
        <v>8950</v>
      </c>
      <c r="L12" s="240">
        <v>8950</v>
      </c>
      <c r="M12" s="240">
        <v>8494</v>
      </c>
      <c r="N12" s="240">
        <v>8494</v>
      </c>
      <c r="O12" s="240">
        <v>8494</v>
      </c>
      <c r="P12" s="240">
        <v>12319</v>
      </c>
      <c r="Q12" s="240">
        <v>0</v>
      </c>
      <c r="R12" s="240">
        <v>0</v>
      </c>
      <c r="S12" s="245">
        <f>SUM(E12:Q12)</f>
        <v>102270.64</v>
      </c>
      <c r="W12" s="483"/>
    </row>
    <row r="13" spans="1:26" x14ac:dyDescent="0.2">
      <c r="A13" s="159"/>
      <c r="B13" s="160"/>
      <c r="C13" s="148"/>
      <c r="D13" s="148"/>
      <c r="E13" s="240"/>
      <c r="F13" s="240"/>
      <c r="G13" s="240"/>
      <c r="H13" s="240"/>
      <c r="I13" s="240"/>
      <c r="J13" s="240"/>
      <c r="K13" s="240"/>
      <c r="L13" s="240"/>
      <c r="M13" s="240"/>
      <c r="N13" s="240"/>
      <c r="O13" s="240"/>
      <c r="P13" s="240"/>
      <c r="Q13" s="240"/>
      <c r="R13" s="240"/>
      <c r="S13" s="245"/>
    </row>
    <row r="14" spans="1:26" x14ac:dyDescent="0.2">
      <c r="A14" s="159">
        <v>615111</v>
      </c>
      <c r="B14" s="160" t="s">
        <v>110</v>
      </c>
      <c r="C14" s="148" t="s">
        <v>234</v>
      </c>
      <c r="D14" s="148" t="s">
        <v>179</v>
      </c>
      <c r="E14" s="240">
        <v>0</v>
      </c>
      <c r="F14" s="240">
        <v>360</v>
      </c>
      <c r="G14" s="240">
        <v>400</v>
      </c>
      <c r="H14" s="240">
        <v>400</v>
      </c>
      <c r="I14" s="240">
        <v>540</v>
      </c>
      <c r="J14" s="240">
        <v>320</v>
      </c>
      <c r="K14" s="240">
        <v>400</v>
      </c>
      <c r="L14" s="240">
        <v>520</v>
      </c>
      <c r="M14" s="240">
        <v>480</v>
      </c>
      <c r="N14" s="240">
        <v>520</v>
      </c>
      <c r="O14" s="240">
        <v>360</v>
      </c>
      <c r="P14" s="240">
        <v>360</v>
      </c>
      <c r="Q14" s="240">
        <v>0</v>
      </c>
      <c r="R14" s="240">
        <v>0</v>
      </c>
      <c r="S14" s="245">
        <f>SUM(F14:Q14)</f>
        <v>4660</v>
      </c>
      <c r="U14" s="273"/>
      <c r="W14" s="483"/>
    </row>
    <row r="15" spans="1:26" x14ac:dyDescent="0.2">
      <c r="A15" s="159">
        <v>615111</v>
      </c>
      <c r="B15" s="160" t="s">
        <v>110</v>
      </c>
      <c r="C15" s="148" t="s">
        <v>234</v>
      </c>
      <c r="D15" s="148" t="s">
        <v>192</v>
      </c>
      <c r="E15" s="240">
        <v>0</v>
      </c>
      <c r="F15" s="240">
        <v>0</v>
      </c>
      <c r="G15" s="240">
        <v>0</v>
      </c>
      <c r="H15" s="240">
        <v>0</v>
      </c>
      <c r="I15" s="240">
        <v>0</v>
      </c>
      <c r="J15" s="240">
        <v>0</v>
      </c>
      <c r="K15" s="240">
        <v>0</v>
      </c>
      <c r="L15" s="240">
        <v>0</v>
      </c>
      <c r="M15" s="240">
        <v>0</v>
      </c>
      <c r="N15" s="240">
        <v>0</v>
      </c>
      <c r="O15" s="240">
        <v>0</v>
      </c>
      <c r="P15" s="240">
        <v>0</v>
      </c>
      <c r="Q15" s="240">
        <v>0</v>
      </c>
      <c r="R15" s="240">
        <v>0</v>
      </c>
      <c r="S15" s="245">
        <f>SUM(E15:Q15)</f>
        <v>0</v>
      </c>
      <c r="W15" s="483"/>
    </row>
    <row r="16" spans="1:26" x14ac:dyDescent="0.2">
      <c r="A16" s="159">
        <v>615111</v>
      </c>
      <c r="B16" s="160" t="s">
        <v>110</v>
      </c>
      <c r="C16" s="148" t="s">
        <v>130</v>
      </c>
      <c r="D16" s="148" t="s">
        <v>192</v>
      </c>
      <c r="E16" s="240">
        <v>0</v>
      </c>
      <c r="F16" s="240">
        <v>0</v>
      </c>
      <c r="G16" s="240">
        <v>0</v>
      </c>
      <c r="H16" s="240">
        <v>0</v>
      </c>
      <c r="I16" s="240">
        <v>0</v>
      </c>
      <c r="J16" s="240">
        <v>0</v>
      </c>
      <c r="K16" s="240">
        <v>0</v>
      </c>
      <c r="L16" s="240">
        <v>0</v>
      </c>
      <c r="M16" s="240">
        <v>0</v>
      </c>
      <c r="N16" s="240">
        <v>0</v>
      </c>
      <c r="O16" s="240">
        <v>0</v>
      </c>
      <c r="P16" s="240">
        <v>0</v>
      </c>
      <c r="Q16" s="240">
        <v>0</v>
      </c>
      <c r="R16" s="240">
        <v>0</v>
      </c>
      <c r="S16" s="245">
        <f>SUM(E16:Q16)</f>
        <v>0</v>
      </c>
      <c r="W16" s="483"/>
    </row>
    <row r="17" spans="1:23" x14ac:dyDescent="0.2">
      <c r="A17" s="159">
        <v>615111</v>
      </c>
      <c r="B17" s="160" t="s">
        <v>110</v>
      </c>
      <c r="C17" s="148" t="s">
        <v>130</v>
      </c>
      <c r="D17" s="148" t="s">
        <v>179</v>
      </c>
      <c r="E17" s="240">
        <v>0</v>
      </c>
      <c r="F17" s="240">
        <v>7243</v>
      </c>
      <c r="G17" s="240">
        <v>7243</v>
      </c>
      <c r="H17" s="240">
        <v>7243</v>
      </c>
      <c r="I17" s="240">
        <v>7243</v>
      </c>
      <c r="J17" s="240">
        <v>7243</v>
      </c>
      <c r="K17" s="240">
        <v>7243</v>
      </c>
      <c r="L17" s="240">
        <v>7243</v>
      </c>
      <c r="M17" s="240">
        <v>7243</v>
      </c>
      <c r="N17" s="240">
        <v>7243</v>
      </c>
      <c r="O17" s="240">
        <v>7243</v>
      </c>
      <c r="P17" s="240">
        <v>7243</v>
      </c>
      <c r="Q17" s="240">
        <v>7243</v>
      </c>
      <c r="R17" s="240">
        <v>0</v>
      </c>
      <c r="S17" s="245">
        <f>SUM(E17:Q17)</f>
        <v>86916</v>
      </c>
      <c r="W17" s="483"/>
    </row>
    <row r="18" spans="1:23" x14ac:dyDescent="0.2">
      <c r="A18" s="159"/>
      <c r="B18" s="160"/>
      <c r="C18" s="148"/>
      <c r="D18" s="148"/>
      <c r="E18" s="240"/>
      <c r="F18" s="240"/>
      <c r="G18" s="240"/>
      <c r="H18" s="240"/>
      <c r="I18" s="240"/>
      <c r="J18" s="240"/>
      <c r="K18" s="240"/>
      <c r="L18" s="240"/>
      <c r="M18" s="240"/>
      <c r="N18" s="240"/>
      <c r="O18" s="240"/>
      <c r="P18" s="240"/>
      <c r="Q18" s="240"/>
      <c r="R18" s="240"/>
      <c r="S18" s="245"/>
    </row>
    <row r="19" spans="1:23" x14ac:dyDescent="0.2">
      <c r="A19" s="159">
        <v>615111</v>
      </c>
      <c r="B19" s="160" t="s">
        <v>110</v>
      </c>
      <c r="C19" s="148" t="s">
        <v>194</v>
      </c>
      <c r="D19" s="148" t="s">
        <v>179</v>
      </c>
      <c r="E19" s="240">
        <v>0.14999999999997726</v>
      </c>
      <c r="F19" s="240">
        <v>325.39999999999998</v>
      </c>
      <c r="G19" s="240">
        <v>325.39999999999998</v>
      </c>
      <c r="H19" s="240">
        <v>325.39999999999998</v>
      </c>
      <c r="I19" s="240">
        <v>325.39999999999998</v>
      </c>
      <c r="J19" s="240">
        <v>325.39999999999998</v>
      </c>
      <c r="K19" s="240">
        <v>325.39999999999998</v>
      </c>
      <c r="L19" s="240">
        <v>400.55</v>
      </c>
      <c r="M19" s="240">
        <v>325.39999999999998</v>
      </c>
      <c r="N19" s="240">
        <v>325.39999999999998</v>
      </c>
      <c r="O19" s="240">
        <v>325.39999999999998</v>
      </c>
      <c r="P19" s="240">
        <v>325.39999999999998</v>
      </c>
      <c r="Q19" s="240">
        <v>0</v>
      </c>
      <c r="R19" s="240">
        <v>0</v>
      </c>
      <c r="S19" s="245">
        <f>SUM(E19:Q19)</f>
        <v>3654.7000000000007</v>
      </c>
      <c r="W19" s="483"/>
    </row>
    <row r="20" spans="1:23" x14ac:dyDescent="0.2">
      <c r="A20" s="159"/>
      <c r="B20" s="160"/>
      <c r="C20" s="148"/>
      <c r="D20" s="148"/>
      <c r="E20" s="240"/>
      <c r="F20" s="240"/>
      <c r="G20" s="240"/>
      <c r="H20" s="240"/>
      <c r="I20" s="240"/>
      <c r="J20" s="240"/>
      <c r="K20" s="240"/>
      <c r="L20" s="240"/>
      <c r="M20" s="240"/>
      <c r="N20" s="240"/>
      <c r="O20" s="240"/>
      <c r="P20" s="240"/>
      <c r="Q20" s="240"/>
      <c r="R20" s="240"/>
      <c r="S20" s="245"/>
      <c r="W20" s="483"/>
    </row>
    <row r="21" spans="1:23" x14ac:dyDescent="0.2">
      <c r="A21" s="159">
        <v>615111</v>
      </c>
      <c r="B21" s="160" t="s">
        <v>110</v>
      </c>
      <c r="C21" s="148" t="s">
        <v>235</v>
      </c>
      <c r="D21" s="148" t="s">
        <v>179</v>
      </c>
      <c r="E21" s="240">
        <v>0</v>
      </c>
      <c r="F21" s="240">
        <v>478.95</v>
      </c>
      <c r="G21" s="240">
        <v>638.6</v>
      </c>
      <c r="H21" s="240">
        <v>762.2</v>
      </c>
      <c r="I21" s="240">
        <v>566.5</v>
      </c>
      <c r="J21" s="240">
        <v>623.15</v>
      </c>
      <c r="K21" s="240">
        <v>798.25</v>
      </c>
      <c r="L21" s="240">
        <v>602.54999999999995</v>
      </c>
      <c r="M21" s="240">
        <v>602.55000000000007</v>
      </c>
      <c r="N21" s="240">
        <v>798.25</v>
      </c>
      <c r="O21" s="240">
        <v>623.15</v>
      </c>
      <c r="P21" s="240">
        <v>478.95000000000005</v>
      </c>
      <c r="Q21" s="240">
        <v>159.65</v>
      </c>
      <c r="R21" s="240">
        <v>0</v>
      </c>
      <c r="S21" s="245">
        <f>SUM(E21:Q21)</f>
        <v>7132.7499999999991</v>
      </c>
      <c r="W21" s="483"/>
    </row>
    <row r="22" spans="1:23" x14ac:dyDescent="0.2">
      <c r="A22" s="159">
        <v>615111</v>
      </c>
      <c r="B22" s="160" t="s">
        <v>110</v>
      </c>
      <c r="C22" s="148" t="s">
        <v>143</v>
      </c>
      <c r="D22" s="148" t="s">
        <v>192</v>
      </c>
      <c r="E22" s="240">
        <v>0</v>
      </c>
      <c r="F22" s="240">
        <v>0</v>
      </c>
      <c r="G22" s="240">
        <v>0</v>
      </c>
      <c r="H22" s="240">
        <v>0</v>
      </c>
      <c r="I22" s="240">
        <v>0</v>
      </c>
      <c r="J22" s="240">
        <v>0</v>
      </c>
      <c r="K22" s="240">
        <v>0</v>
      </c>
      <c r="L22" s="240">
        <v>0</v>
      </c>
      <c r="M22" s="240">
        <v>0</v>
      </c>
      <c r="N22" s="240">
        <v>0</v>
      </c>
      <c r="O22" s="240">
        <v>0</v>
      </c>
      <c r="P22" s="240">
        <v>0</v>
      </c>
      <c r="Q22" s="240">
        <v>0</v>
      </c>
      <c r="R22" s="240">
        <v>0</v>
      </c>
      <c r="S22" s="242">
        <f>SUM(E22:Q22)</f>
        <v>0</v>
      </c>
      <c r="W22" s="483"/>
    </row>
    <row r="23" spans="1:23" x14ac:dyDescent="0.2">
      <c r="A23" s="159"/>
      <c r="B23" s="160"/>
      <c r="C23" s="148"/>
      <c r="D23" s="148"/>
      <c r="E23" s="240"/>
      <c r="F23" s="240"/>
      <c r="G23" s="240"/>
      <c r="H23" s="240"/>
      <c r="I23" s="240"/>
      <c r="J23" s="240"/>
      <c r="K23" s="240"/>
      <c r="L23" s="240"/>
      <c r="M23" s="240"/>
      <c r="N23" s="240"/>
      <c r="O23" s="240"/>
      <c r="P23" s="240"/>
      <c r="Q23" s="240"/>
      <c r="R23" s="240"/>
      <c r="S23" s="245">
        <f t="shared" ref="S23:S28" si="0">SUM(E23:Q23)</f>
        <v>0</v>
      </c>
    </row>
    <row r="24" spans="1:23" x14ac:dyDescent="0.2">
      <c r="A24" s="159">
        <v>615111</v>
      </c>
      <c r="B24" s="160" t="s">
        <v>110</v>
      </c>
      <c r="C24" s="148" t="s">
        <v>236</v>
      </c>
      <c r="D24" s="148" t="s">
        <v>192</v>
      </c>
      <c r="E24" s="240">
        <v>0</v>
      </c>
      <c r="F24" s="240">
        <v>0</v>
      </c>
      <c r="G24" s="240">
        <v>0</v>
      </c>
      <c r="H24" s="240">
        <v>0</v>
      </c>
      <c r="I24" s="240">
        <v>0</v>
      </c>
      <c r="J24" s="240">
        <v>0</v>
      </c>
      <c r="K24" s="240">
        <v>0</v>
      </c>
      <c r="L24" s="240">
        <v>0</v>
      </c>
      <c r="M24" s="240">
        <v>0</v>
      </c>
      <c r="N24" s="240">
        <v>0</v>
      </c>
      <c r="O24" s="240">
        <v>0</v>
      </c>
      <c r="P24" s="240">
        <v>0</v>
      </c>
      <c r="Q24" s="240">
        <v>0</v>
      </c>
      <c r="R24" s="241">
        <v>0</v>
      </c>
      <c r="S24" s="245">
        <f t="shared" si="0"/>
        <v>0</v>
      </c>
      <c r="W24" s="483"/>
    </row>
    <row r="25" spans="1:23" x14ac:dyDescent="0.2">
      <c r="A25" s="159">
        <v>615111</v>
      </c>
      <c r="B25" s="160" t="s">
        <v>110</v>
      </c>
      <c r="C25" s="148" t="s">
        <v>236</v>
      </c>
      <c r="D25" s="148" t="s">
        <v>179</v>
      </c>
      <c r="E25" s="240">
        <v>-238</v>
      </c>
      <c r="F25" s="240">
        <v>612</v>
      </c>
      <c r="G25" s="240">
        <v>544</v>
      </c>
      <c r="H25" s="240">
        <v>544</v>
      </c>
      <c r="I25" s="240">
        <v>578</v>
      </c>
      <c r="J25" s="240">
        <v>578</v>
      </c>
      <c r="K25" s="240">
        <v>544</v>
      </c>
      <c r="L25" s="240">
        <v>714</v>
      </c>
      <c r="M25" s="240">
        <v>340</v>
      </c>
      <c r="N25" s="240">
        <v>578</v>
      </c>
      <c r="O25" s="240">
        <v>612</v>
      </c>
      <c r="P25" s="240">
        <v>646</v>
      </c>
      <c r="Q25" s="240">
        <v>0</v>
      </c>
      <c r="R25" s="241">
        <v>0</v>
      </c>
      <c r="S25" s="245">
        <f t="shared" si="0"/>
        <v>6052</v>
      </c>
      <c r="W25" s="483"/>
    </row>
    <row r="26" spans="1:23" x14ac:dyDescent="0.2">
      <c r="A26" s="159"/>
      <c r="B26" s="160"/>
      <c r="C26" s="148"/>
      <c r="D26" s="148"/>
      <c r="E26" s="240"/>
      <c r="F26" s="240"/>
      <c r="G26" s="240"/>
      <c r="H26" s="240"/>
      <c r="I26" s="240"/>
      <c r="J26" s="240"/>
      <c r="K26" s="240"/>
      <c r="L26" s="240"/>
      <c r="M26" s="240"/>
      <c r="N26" s="240"/>
      <c r="O26" s="240"/>
      <c r="P26" s="240"/>
      <c r="Q26" s="240"/>
      <c r="R26" s="240"/>
      <c r="S26" s="245">
        <f t="shared" si="0"/>
        <v>0</v>
      </c>
    </row>
    <row r="27" spans="1:23" x14ac:dyDescent="0.2">
      <c r="A27" s="159">
        <v>615111</v>
      </c>
      <c r="B27" s="160" t="s">
        <v>110</v>
      </c>
      <c r="C27" s="148" t="s">
        <v>237</v>
      </c>
      <c r="D27" s="148" t="s">
        <v>179</v>
      </c>
      <c r="E27" s="240">
        <v>2.32000000000005</v>
      </c>
      <c r="F27" s="240">
        <v>560.88</v>
      </c>
      <c r="G27" s="240">
        <v>717.84</v>
      </c>
      <c r="H27" s="240">
        <v>747.84</v>
      </c>
      <c r="I27" s="240">
        <v>747.84</v>
      </c>
      <c r="J27" s="240">
        <v>997.12</v>
      </c>
      <c r="K27" s="240">
        <v>623.20000000000005</v>
      </c>
      <c r="L27" s="240">
        <v>655.52</v>
      </c>
      <c r="M27" s="240">
        <v>623.20000000000005</v>
      </c>
      <c r="N27" s="240">
        <v>747.84</v>
      </c>
      <c r="O27" s="240">
        <v>658.38</v>
      </c>
      <c r="P27" s="240">
        <v>671.24</v>
      </c>
      <c r="Q27" s="240">
        <v>0</v>
      </c>
      <c r="R27" s="240">
        <v>0</v>
      </c>
      <c r="S27" s="245">
        <f t="shared" si="0"/>
        <v>7753.2199999999993</v>
      </c>
      <c r="W27" s="483"/>
    </row>
    <row r="28" spans="1:23" x14ac:dyDescent="0.2">
      <c r="A28" s="159">
        <v>615111</v>
      </c>
      <c r="B28" s="160" t="s">
        <v>110</v>
      </c>
      <c r="C28" s="148" t="s">
        <v>205</v>
      </c>
      <c r="D28" s="148" t="s">
        <v>192</v>
      </c>
      <c r="E28" s="240">
        <v>0</v>
      </c>
      <c r="F28" s="240">
        <v>0</v>
      </c>
      <c r="G28" s="240">
        <v>0</v>
      </c>
      <c r="H28" s="240">
        <v>0</v>
      </c>
      <c r="I28" s="240">
        <v>0</v>
      </c>
      <c r="J28" s="240">
        <v>0</v>
      </c>
      <c r="K28" s="240">
        <v>0</v>
      </c>
      <c r="L28" s="240">
        <v>0</v>
      </c>
      <c r="M28" s="240">
        <v>0</v>
      </c>
      <c r="N28" s="240">
        <v>0</v>
      </c>
      <c r="O28" s="240">
        <v>0</v>
      </c>
      <c r="P28" s="240">
        <v>0</v>
      </c>
      <c r="Q28" s="240">
        <v>0</v>
      </c>
      <c r="R28" s="240">
        <v>0</v>
      </c>
      <c r="S28" s="245">
        <f t="shared" si="0"/>
        <v>0</v>
      </c>
    </row>
    <row r="29" spans="1:23" x14ac:dyDescent="0.2">
      <c r="A29" s="159"/>
      <c r="B29" s="160"/>
      <c r="C29" s="148"/>
      <c r="D29" s="148"/>
      <c r="E29" s="240"/>
      <c r="F29" s="240"/>
      <c r="G29" s="240"/>
      <c r="H29" s="240"/>
      <c r="I29" s="240"/>
      <c r="J29" s="240"/>
      <c r="K29" s="240"/>
      <c r="L29" s="240"/>
      <c r="M29" s="240"/>
      <c r="N29" s="240"/>
      <c r="O29" s="240"/>
      <c r="P29" s="240"/>
      <c r="Q29" s="240"/>
      <c r="R29" s="240"/>
      <c r="S29" s="245"/>
    </row>
    <row r="30" spans="1:23" x14ac:dyDescent="0.2">
      <c r="A30" s="159">
        <v>615111</v>
      </c>
      <c r="B30" s="160" t="s">
        <v>110</v>
      </c>
      <c r="C30" s="148" t="s">
        <v>365</v>
      </c>
      <c r="D30" s="148"/>
      <c r="E30" s="240"/>
      <c r="F30" s="240">
        <v>-1445.64</v>
      </c>
      <c r="G30" s="240">
        <f>1445.64+18.04</f>
        <v>1463.68</v>
      </c>
      <c r="H30" s="240">
        <f>-18.04+788.04</f>
        <v>770</v>
      </c>
      <c r="I30" s="240">
        <f>-788.04+2766.12</f>
        <v>1978.08</v>
      </c>
      <c r="J30" s="240">
        <f>-2766.12+8.96</f>
        <v>-2757.16</v>
      </c>
      <c r="K30" s="240">
        <f>-8.96-796.41</f>
        <v>-805.37</v>
      </c>
      <c r="L30" s="240">
        <f>796.41-2386.76</f>
        <v>-1590.3500000000004</v>
      </c>
      <c r="M30" s="240">
        <f>2386.76-1089.21</f>
        <v>1297.5500000000002</v>
      </c>
      <c r="N30" s="240">
        <f>1089.21+704.59</f>
        <v>1793.8000000000002</v>
      </c>
      <c r="O30" s="240">
        <f>-704.59+323.87</f>
        <v>-380.72</v>
      </c>
      <c r="P30" s="240">
        <f>-323.87+1.09</f>
        <v>-322.78000000000003</v>
      </c>
      <c r="Q30" s="240"/>
      <c r="R30" s="240"/>
      <c r="S30" s="242">
        <f>SUM(E30:Q30)</f>
        <v>1.0900000000000887</v>
      </c>
    </row>
    <row r="31" spans="1:23" x14ac:dyDescent="0.2">
      <c r="A31" s="159">
        <v>615111</v>
      </c>
      <c r="B31" s="160" t="s">
        <v>110</v>
      </c>
      <c r="C31" s="148" t="s">
        <v>366</v>
      </c>
      <c r="D31" s="148"/>
      <c r="E31" s="240"/>
      <c r="F31" s="240">
        <v>571.29</v>
      </c>
      <c r="G31" s="240">
        <f>+-571.29+1014.94</f>
        <v>443.65000000000009</v>
      </c>
      <c r="H31" s="240">
        <f>-1014.94+1521.41</f>
        <v>506.47</v>
      </c>
      <c r="I31" s="240">
        <f>-1521.41-4090.24</f>
        <v>-5611.65</v>
      </c>
      <c r="J31" s="240">
        <f>4090.24-5566.89</f>
        <v>-1476.6500000000005</v>
      </c>
      <c r="K31" s="240">
        <f>5566.89-2280.54</f>
        <v>3286.3500000000004</v>
      </c>
      <c r="L31" s="240">
        <f>2280.54-392.19</f>
        <v>1888.35</v>
      </c>
      <c r="M31" s="240">
        <f>392.19+1424.16</f>
        <v>1816.3500000000001</v>
      </c>
      <c r="N31" s="240">
        <f>-1424.16+152.51</f>
        <v>-1271.6500000000001</v>
      </c>
      <c r="O31" s="240">
        <f>-152.51-2239.14</f>
        <v>-2391.6499999999996</v>
      </c>
      <c r="P31" s="240">
        <f>2239.14+3.21</f>
        <v>2242.35</v>
      </c>
      <c r="Q31" s="240"/>
      <c r="R31" s="240"/>
      <c r="S31" s="242">
        <f>SUM(E31:Q31)</f>
        <v>3.2100000000004911</v>
      </c>
      <c r="U31" s="273"/>
    </row>
    <row r="32" spans="1:23" s="185" customFormat="1" ht="23.25" customHeight="1" x14ac:dyDescent="0.2">
      <c r="A32" s="267"/>
      <c r="B32" s="268"/>
      <c r="C32" s="267" t="s">
        <v>66</v>
      </c>
      <c r="D32" s="267"/>
      <c r="E32" s="269">
        <f t="shared" ref="E32:R32" si="1">SUM(E4:E31)</f>
        <v>-829.77</v>
      </c>
      <c r="F32" s="269">
        <f t="shared" si="1"/>
        <v>31680.550000000007</v>
      </c>
      <c r="G32" s="269">
        <f t="shared" si="1"/>
        <v>35933.08</v>
      </c>
      <c r="H32" s="269">
        <f t="shared" si="1"/>
        <v>32655.760000000002</v>
      </c>
      <c r="I32" s="269">
        <f t="shared" si="1"/>
        <v>34187.049999999996</v>
      </c>
      <c r="J32" s="269">
        <f t="shared" si="1"/>
        <v>32465.390000000007</v>
      </c>
      <c r="K32" s="269">
        <f t="shared" si="1"/>
        <v>37846.109999999993</v>
      </c>
      <c r="L32" s="269">
        <f t="shared" si="1"/>
        <v>33224.6</v>
      </c>
      <c r="M32" s="269">
        <f t="shared" si="1"/>
        <v>38523.880000000005</v>
      </c>
      <c r="N32" s="269">
        <f t="shared" si="1"/>
        <v>37742.369999999995</v>
      </c>
      <c r="O32" s="269">
        <f t="shared" si="1"/>
        <v>29563.89</v>
      </c>
      <c r="P32" s="269">
        <f t="shared" si="1"/>
        <v>44574.539999999994</v>
      </c>
      <c r="Q32" s="269">
        <f t="shared" si="1"/>
        <v>7402.65</v>
      </c>
      <c r="R32" s="646">
        <f t="shared" si="1"/>
        <v>0</v>
      </c>
      <c r="S32" s="269">
        <f>SUM(S4:S31)</f>
        <v>394970.1</v>
      </c>
      <c r="T32" s="689" t="str">
        <f>IF(Ctrl($A31)+S31+S30=S32,"Ok","Erreur somme")</f>
        <v>Ok</v>
      </c>
      <c r="U32" s="212">
        <v>383729</v>
      </c>
      <c r="V32" s="334">
        <f>S32-U32</f>
        <v>11241.099999999977</v>
      </c>
      <c r="W32" s="185" t="s">
        <v>853</v>
      </c>
    </row>
    <row r="33" spans="1:26" x14ac:dyDescent="0.2">
      <c r="A33" s="159">
        <v>615113</v>
      </c>
      <c r="B33" s="160" t="s">
        <v>520</v>
      </c>
      <c r="C33" s="148" t="s">
        <v>145</v>
      </c>
      <c r="D33" s="148" t="s">
        <v>192</v>
      </c>
      <c r="E33" s="240">
        <v>0</v>
      </c>
      <c r="F33" s="240">
        <v>0</v>
      </c>
      <c r="G33" s="240">
        <v>0</v>
      </c>
      <c r="H33" s="240">
        <v>0</v>
      </c>
      <c r="I33" s="240">
        <v>0</v>
      </c>
      <c r="J33" s="240">
        <v>0</v>
      </c>
      <c r="K33" s="240">
        <v>0</v>
      </c>
      <c r="L33" s="240">
        <v>0</v>
      </c>
      <c r="M33" s="240">
        <v>0</v>
      </c>
      <c r="N33" s="240">
        <v>1200</v>
      </c>
      <c r="O33" s="240">
        <v>0</v>
      </c>
      <c r="P33" s="240">
        <v>0</v>
      </c>
      <c r="Q33" s="240">
        <v>0</v>
      </c>
      <c r="R33" s="240">
        <v>0</v>
      </c>
      <c r="S33" s="242">
        <f>+SUM(E33:Q33)</f>
        <v>1200</v>
      </c>
      <c r="Z33"/>
    </row>
    <row r="34" spans="1:26" s="185" customFormat="1" ht="12.75" customHeight="1" x14ac:dyDescent="0.2">
      <c r="A34" s="181">
        <v>615113</v>
      </c>
      <c r="B34" s="182" t="s">
        <v>520</v>
      </c>
      <c r="C34" s="148" t="s">
        <v>145</v>
      </c>
      <c r="D34" s="183" t="s">
        <v>269</v>
      </c>
      <c r="E34" s="240">
        <v>-89.779999999999973</v>
      </c>
      <c r="F34" s="240">
        <v>3078.6899999999996</v>
      </c>
      <c r="G34" s="240">
        <v>3092.13</v>
      </c>
      <c r="H34" s="240">
        <v>4457.46</v>
      </c>
      <c r="I34" s="240">
        <v>3310.64</v>
      </c>
      <c r="J34" s="240">
        <v>3444.8599999999997</v>
      </c>
      <c r="K34" s="240">
        <v>4045.4900000000002</v>
      </c>
      <c r="L34" s="240">
        <v>2313.27</v>
      </c>
      <c r="M34" s="240">
        <v>2802.72</v>
      </c>
      <c r="N34" s="240">
        <v>2503.1099999999997</v>
      </c>
      <c r="O34" s="240">
        <v>2823.29</v>
      </c>
      <c r="P34" s="240">
        <v>2510.88</v>
      </c>
      <c r="Q34" s="240">
        <v>0</v>
      </c>
      <c r="R34" s="244">
        <v>0</v>
      </c>
      <c r="S34" s="242">
        <f>+SUM(E34:Q34)</f>
        <v>34292.76</v>
      </c>
      <c r="T34"/>
      <c r="V34" s="334"/>
      <c r="W34" s="500"/>
      <c r="Z34"/>
    </row>
    <row r="35" spans="1:26" s="185" customFormat="1" ht="12.75" customHeight="1" x14ac:dyDescent="0.2">
      <c r="A35" s="181"/>
      <c r="B35" s="182"/>
      <c r="C35" s="148"/>
      <c r="D35" s="183"/>
      <c r="E35" s="240"/>
      <c r="F35" s="240"/>
      <c r="G35" s="240"/>
      <c r="H35" s="240"/>
      <c r="I35" s="240"/>
      <c r="J35" s="240"/>
      <c r="K35" s="240"/>
      <c r="L35" s="240"/>
      <c r="M35" s="240"/>
      <c r="N35" s="240"/>
      <c r="O35" s="240"/>
      <c r="P35" s="240"/>
      <c r="Q35" s="240"/>
      <c r="R35" s="244"/>
      <c r="S35" s="242"/>
      <c r="T35"/>
      <c r="V35" s="334"/>
      <c r="Z35"/>
    </row>
    <row r="36" spans="1:26" x14ac:dyDescent="0.2">
      <c r="A36" s="159">
        <v>615113</v>
      </c>
      <c r="B36" s="160" t="s">
        <v>520</v>
      </c>
      <c r="C36" s="148" t="s">
        <v>108</v>
      </c>
      <c r="D36" s="148" t="s">
        <v>269</v>
      </c>
      <c r="E36" s="240">
        <v>-1000</v>
      </c>
      <c r="F36" s="240">
        <v>0</v>
      </c>
      <c r="G36" s="240">
        <v>1168.1600000000001</v>
      </c>
      <c r="H36" s="240">
        <v>1001.28</v>
      </c>
      <c r="I36" s="240">
        <v>0</v>
      </c>
      <c r="J36" s="240">
        <v>0</v>
      </c>
      <c r="K36" s="240">
        <v>0</v>
      </c>
      <c r="L36" s="240">
        <v>0</v>
      </c>
      <c r="M36" s="240">
        <v>0</v>
      </c>
      <c r="N36" s="240">
        <v>0</v>
      </c>
      <c r="O36" s="240">
        <v>0</v>
      </c>
      <c r="P36" s="240">
        <v>0</v>
      </c>
      <c r="Q36" s="240">
        <v>0</v>
      </c>
      <c r="R36" s="240">
        <v>0</v>
      </c>
      <c r="S36" s="242">
        <f>+SUM(E36:Q36)</f>
        <v>1169.44</v>
      </c>
      <c r="Z36"/>
    </row>
    <row r="37" spans="1:26" s="185" customFormat="1" ht="12.75" customHeight="1" x14ac:dyDescent="0.2">
      <c r="A37" s="181"/>
      <c r="B37" s="182"/>
      <c r="C37" s="183"/>
      <c r="D37" s="183"/>
      <c r="E37" s="240"/>
      <c r="F37" s="240"/>
      <c r="G37" s="240"/>
      <c r="H37" s="240"/>
      <c r="I37" s="240"/>
      <c r="J37" s="240"/>
      <c r="K37" s="240"/>
      <c r="L37" s="240"/>
      <c r="M37" s="240"/>
      <c r="N37" s="240"/>
      <c r="O37" s="240"/>
      <c r="P37" s="240"/>
      <c r="Q37" s="240"/>
      <c r="R37" s="244"/>
      <c r="S37" s="242">
        <f t="shared" ref="S37:S53" si="2">+SUM(E37:Q37)</f>
        <v>0</v>
      </c>
      <c r="T37"/>
      <c r="V37" s="334"/>
      <c r="Z37"/>
    </row>
    <row r="38" spans="1:26" x14ac:dyDescent="0.2">
      <c r="A38" s="159">
        <v>615113</v>
      </c>
      <c r="B38" s="160" t="s">
        <v>520</v>
      </c>
      <c r="C38" s="148" t="s">
        <v>163</v>
      </c>
      <c r="D38" s="148" t="s">
        <v>192</v>
      </c>
      <c r="E38" s="240">
        <v>0</v>
      </c>
      <c r="F38" s="240">
        <v>0</v>
      </c>
      <c r="G38" s="240">
        <v>0</v>
      </c>
      <c r="H38" s="240">
        <v>0</v>
      </c>
      <c r="I38" s="240">
        <v>0</v>
      </c>
      <c r="J38" s="240">
        <v>0</v>
      </c>
      <c r="K38" s="240">
        <v>0</v>
      </c>
      <c r="L38" s="240">
        <v>0</v>
      </c>
      <c r="M38" s="240">
        <v>0</v>
      </c>
      <c r="N38" s="240">
        <v>0</v>
      </c>
      <c r="O38" s="240">
        <v>0</v>
      </c>
      <c r="P38" s="240">
        <v>0</v>
      </c>
      <c r="Q38" s="240">
        <v>0</v>
      </c>
      <c r="R38" s="240">
        <v>0</v>
      </c>
      <c r="S38" s="242">
        <f t="shared" si="2"/>
        <v>0</v>
      </c>
      <c r="Z38"/>
    </row>
    <row r="39" spans="1:26" s="185" customFormat="1" ht="12.75" customHeight="1" x14ac:dyDescent="0.2">
      <c r="A39" s="181"/>
      <c r="B39" s="182"/>
      <c r="C39" s="183"/>
      <c r="D39" s="183"/>
      <c r="E39" s="240"/>
      <c r="F39" s="240"/>
      <c r="G39" s="240"/>
      <c r="H39" s="240"/>
      <c r="I39" s="240"/>
      <c r="J39" s="240"/>
      <c r="K39" s="240"/>
      <c r="L39" s="240"/>
      <c r="M39" s="240"/>
      <c r="N39" s="240"/>
      <c r="O39" s="240"/>
      <c r="P39" s="240"/>
      <c r="Q39" s="240"/>
      <c r="R39" s="244"/>
      <c r="S39" s="242"/>
      <c r="T39"/>
      <c r="V39" s="334"/>
      <c r="Z39"/>
    </row>
    <row r="40" spans="1:26" s="185" customFormat="1" ht="12.75" customHeight="1" x14ac:dyDescent="0.2">
      <c r="A40" s="181">
        <v>615113</v>
      </c>
      <c r="B40" s="160" t="s">
        <v>520</v>
      </c>
      <c r="C40" s="183" t="s">
        <v>163</v>
      </c>
      <c r="D40" s="183" t="s">
        <v>269</v>
      </c>
      <c r="E40" s="240">
        <v>0</v>
      </c>
      <c r="F40" s="240">
        <v>0</v>
      </c>
      <c r="G40" s="240">
        <v>0</v>
      </c>
      <c r="H40" s="240">
        <v>0</v>
      </c>
      <c r="I40" s="240">
        <v>0</v>
      </c>
      <c r="J40" s="240">
        <v>0</v>
      </c>
      <c r="K40" s="240">
        <v>0</v>
      </c>
      <c r="L40" s="240">
        <v>0</v>
      </c>
      <c r="M40" s="240">
        <v>0</v>
      </c>
      <c r="N40" s="240">
        <v>0</v>
      </c>
      <c r="O40" s="240">
        <v>0</v>
      </c>
      <c r="P40" s="240">
        <v>0</v>
      </c>
      <c r="Q40" s="240">
        <v>0</v>
      </c>
      <c r="R40" s="244">
        <v>0</v>
      </c>
      <c r="S40" s="242">
        <f t="shared" si="2"/>
        <v>0</v>
      </c>
      <c r="T40"/>
      <c r="V40" s="334"/>
      <c r="Z40"/>
    </row>
    <row r="41" spans="1:26" s="185" customFormat="1" ht="12.75" customHeight="1" x14ac:dyDescent="0.2">
      <c r="A41" s="181"/>
      <c r="B41" s="182"/>
      <c r="C41" s="183"/>
      <c r="D41" s="183"/>
      <c r="E41" s="240"/>
      <c r="F41" s="240"/>
      <c r="G41" s="240"/>
      <c r="H41" s="240"/>
      <c r="I41" s="240"/>
      <c r="J41" s="240"/>
      <c r="K41" s="240"/>
      <c r="L41" s="240"/>
      <c r="M41" s="240"/>
      <c r="N41" s="240"/>
      <c r="O41" s="240"/>
      <c r="P41" s="240"/>
      <c r="Q41" s="240"/>
      <c r="R41" s="244"/>
      <c r="S41" s="242">
        <f t="shared" si="2"/>
        <v>0</v>
      </c>
      <c r="T41"/>
      <c r="V41" s="334"/>
      <c r="Z41"/>
    </row>
    <row r="42" spans="1:26" x14ac:dyDescent="0.2">
      <c r="A42" s="159">
        <v>615113</v>
      </c>
      <c r="B42" s="160" t="s">
        <v>520</v>
      </c>
      <c r="C42" s="148" t="s">
        <v>130</v>
      </c>
      <c r="D42" s="148" t="s">
        <v>192</v>
      </c>
      <c r="E42" s="240">
        <v>0</v>
      </c>
      <c r="F42" s="240">
        <v>0</v>
      </c>
      <c r="G42" s="240">
        <v>0</v>
      </c>
      <c r="H42" s="240">
        <v>0</v>
      </c>
      <c r="I42" s="240">
        <v>0</v>
      </c>
      <c r="J42" s="240">
        <v>0</v>
      </c>
      <c r="K42" s="240">
        <v>0</v>
      </c>
      <c r="L42" s="240">
        <v>0</v>
      </c>
      <c r="M42" s="240">
        <v>0</v>
      </c>
      <c r="N42" s="240">
        <v>0</v>
      </c>
      <c r="O42" s="240">
        <v>0</v>
      </c>
      <c r="P42" s="240">
        <v>0</v>
      </c>
      <c r="Q42" s="240">
        <v>0</v>
      </c>
      <c r="R42" s="240">
        <v>0</v>
      </c>
      <c r="S42" s="242">
        <f t="shared" si="2"/>
        <v>0</v>
      </c>
      <c r="Z42"/>
    </row>
    <row r="43" spans="1:26" s="185" customFormat="1" ht="12.75" customHeight="1" x14ac:dyDescent="0.2">
      <c r="A43" s="181"/>
      <c r="B43" s="182"/>
      <c r="C43" s="183"/>
      <c r="D43" s="183"/>
      <c r="E43" s="240"/>
      <c r="F43" s="240"/>
      <c r="G43" s="240"/>
      <c r="H43" s="240"/>
      <c r="I43" s="240"/>
      <c r="J43" s="240"/>
      <c r="K43" s="240"/>
      <c r="L43" s="240"/>
      <c r="M43" s="240"/>
      <c r="N43" s="240"/>
      <c r="O43" s="240"/>
      <c r="P43" s="240"/>
      <c r="Q43" s="240"/>
      <c r="R43" s="244"/>
      <c r="S43" s="242">
        <f t="shared" si="2"/>
        <v>0</v>
      </c>
      <c r="T43"/>
      <c r="V43" s="334"/>
      <c r="Z43"/>
    </row>
    <row r="44" spans="1:26" x14ac:dyDescent="0.2">
      <c r="A44" s="159">
        <v>615113</v>
      </c>
      <c r="B44" s="160" t="s">
        <v>520</v>
      </c>
      <c r="C44" s="148" t="s">
        <v>153</v>
      </c>
      <c r="D44" s="148" t="s">
        <v>269</v>
      </c>
      <c r="E44" s="240">
        <v>0</v>
      </c>
      <c r="F44" s="240">
        <v>0</v>
      </c>
      <c r="G44" s="240">
        <v>0</v>
      </c>
      <c r="H44" s="240">
        <v>0</v>
      </c>
      <c r="I44" s="240">
        <v>0</v>
      </c>
      <c r="J44" s="240">
        <v>0</v>
      </c>
      <c r="K44" s="240">
        <v>0</v>
      </c>
      <c r="L44" s="240">
        <v>0</v>
      </c>
      <c r="M44" s="240">
        <v>0</v>
      </c>
      <c r="N44" s="240">
        <v>0</v>
      </c>
      <c r="O44" s="240">
        <v>0</v>
      </c>
      <c r="P44" s="240">
        <v>0</v>
      </c>
      <c r="Q44" s="240">
        <v>0</v>
      </c>
      <c r="R44" s="240">
        <v>0</v>
      </c>
      <c r="S44" s="242">
        <f t="shared" si="2"/>
        <v>0</v>
      </c>
      <c r="Z44"/>
    </row>
    <row r="45" spans="1:26" s="185" customFormat="1" ht="12.75" customHeight="1" x14ac:dyDescent="0.2">
      <c r="A45" s="181"/>
      <c r="B45" s="182"/>
      <c r="C45" s="183"/>
      <c r="D45" s="183"/>
      <c r="E45" s="240"/>
      <c r="F45" s="240"/>
      <c r="G45" s="240"/>
      <c r="H45" s="240"/>
      <c r="I45" s="240"/>
      <c r="J45" s="240"/>
      <c r="K45" s="240"/>
      <c r="L45" s="240"/>
      <c r="M45" s="240"/>
      <c r="N45" s="240"/>
      <c r="O45" s="240"/>
      <c r="P45" s="240"/>
      <c r="Q45" s="240"/>
      <c r="R45" s="244"/>
      <c r="S45" s="242">
        <f t="shared" si="2"/>
        <v>0</v>
      </c>
      <c r="T45"/>
      <c r="V45" s="334"/>
      <c r="Z45"/>
    </row>
    <row r="46" spans="1:26" x14ac:dyDescent="0.2">
      <c r="A46" s="159">
        <v>615113</v>
      </c>
      <c r="B46" s="160" t="s">
        <v>520</v>
      </c>
      <c r="C46" s="148" t="s">
        <v>143</v>
      </c>
      <c r="D46" s="148" t="s">
        <v>192</v>
      </c>
      <c r="E46" s="240">
        <v>0</v>
      </c>
      <c r="F46" s="240">
        <v>340</v>
      </c>
      <c r="G46" s="240">
        <v>0</v>
      </c>
      <c r="H46" s="240">
        <v>0</v>
      </c>
      <c r="I46" s="240">
        <v>0</v>
      </c>
      <c r="J46" s="240">
        <v>780</v>
      </c>
      <c r="K46" s="240">
        <v>0</v>
      </c>
      <c r="L46" s="240">
        <v>0</v>
      </c>
      <c r="M46" s="240">
        <v>0</v>
      </c>
      <c r="N46" s="240">
        <v>874.15</v>
      </c>
      <c r="O46" s="240">
        <v>884.62</v>
      </c>
      <c r="P46" s="240">
        <v>887.21</v>
      </c>
      <c r="Q46" s="240">
        <v>0</v>
      </c>
      <c r="R46" s="240">
        <v>0</v>
      </c>
      <c r="S46" s="242">
        <f t="shared" si="2"/>
        <v>3765.98</v>
      </c>
      <c r="Z46"/>
    </row>
    <row r="47" spans="1:26" s="185" customFormat="1" ht="12.75" customHeight="1" x14ac:dyDescent="0.2">
      <c r="A47" s="181"/>
      <c r="B47" s="182"/>
      <c r="C47" s="183"/>
      <c r="D47" s="183"/>
      <c r="E47" s="240"/>
      <c r="F47" s="240"/>
      <c r="G47" s="240"/>
      <c r="H47" s="240"/>
      <c r="I47" s="240"/>
      <c r="J47" s="240"/>
      <c r="K47" s="240"/>
      <c r="L47" s="240"/>
      <c r="M47" s="240"/>
      <c r="N47" s="240"/>
      <c r="O47" s="240"/>
      <c r="P47" s="240"/>
      <c r="Q47" s="240"/>
      <c r="R47" s="244"/>
      <c r="S47" s="242">
        <f t="shared" si="2"/>
        <v>0</v>
      </c>
      <c r="T47"/>
      <c r="V47" s="334"/>
      <c r="Z47"/>
    </row>
    <row r="48" spans="1:26" x14ac:dyDescent="0.2">
      <c r="A48" s="159">
        <v>615113</v>
      </c>
      <c r="B48" s="160" t="s">
        <v>520</v>
      </c>
      <c r="C48" s="148" t="s">
        <v>157</v>
      </c>
      <c r="D48" s="148" t="s">
        <v>805</v>
      </c>
      <c r="E48" s="240">
        <v>0</v>
      </c>
      <c r="F48" s="240">
        <v>0</v>
      </c>
      <c r="G48" s="240">
        <v>0</v>
      </c>
      <c r="H48" s="240">
        <v>0</v>
      </c>
      <c r="I48" s="240">
        <v>0</v>
      </c>
      <c r="J48" s="240">
        <v>0</v>
      </c>
      <c r="K48" s="240">
        <v>0</v>
      </c>
      <c r="L48" s="240">
        <v>360</v>
      </c>
      <c r="M48" s="240">
        <v>0</v>
      </c>
      <c r="N48" s="240">
        <v>0</v>
      </c>
      <c r="O48" s="240">
        <v>0</v>
      </c>
      <c r="P48" s="240">
        <v>0</v>
      </c>
      <c r="Q48" s="240">
        <v>0</v>
      </c>
      <c r="R48" s="240">
        <v>0</v>
      </c>
      <c r="S48" s="242">
        <f t="shared" si="2"/>
        <v>360</v>
      </c>
      <c r="Z48"/>
    </row>
    <row r="49" spans="1:26" s="185" customFormat="1" ht="12.75" customHeight="1" x14ac:dyDescent="0.2">
      <c r="A49" s="181"/>
      <c r="B49" s="182"/>
      <c r="C49" s="183"/>
      <c r="D49" s="183"/>
      <c r="E49" s="240"/>
      <c r="F49" s="240"/>
      <c r="G49" s="240"/>
      <c r="H49" s="240"/>
      <c r="I49" s="240"/>
      <c r="J49" s="240"/>
      <c r="K49" s="240"/>
      <c r="L49" s="240"/>
      <c r="M49" s="240"/>
      <c r="N49" s="240"/>
      <c r="O49" s="240"/>
      <c r="P49" s="240"/>
      <c r="Q49" s="240"/>
      <c r="R49" s="244"/>
      <c r="S49" s="242">
        <f t="shared" si="2"/>
        <v>0</v>
      </c>
      <c r="T49"/>
      <c r="V49" s="334"/>
      <c r="Z49"/>
    </row>
    <row r="50" spans="1:26" x14ac:dyDescent="0.2">
      <c r="A50" s="159">
        <v>615113</v>
      </c>
      <c r="B50" s="160" t="s">
        <v>520</v>
      </c>
      <c r="C50" s="148" t="s">
        <v>205</v>
      </c>
      <c r="D50" s="148"/>
      <c r="E50" s="240">
        <v>0</v>
      </c>
      <c r="F50" s="240">
        <v>0</v>
      </c>
      <c r="G50" s="240">
        <v>0</v>
      </c>
      <c r="H50" s="240">
        <v>0</v>
      </c>
      <c r="I50" s="240">
        <v>0</v>
      </c>
      <c r="J50" s="240">
        <v>0</v>
      </c>
      <c r="K50" s="240">
        <v>0</v>
      </c>
      <c r="L50" s="240">
        <v>0</v>
      </c>
      <c r="M50" s="240">
        <v>0</v>
      </c>
      <c r="N50" s="240">
        <v>0</v>
      </c>
      <c r="O50" s="240">
        <v>0</v>
      </c>
      <c r="P50" s="240">
        <v>0</v>
      </c>
      <c r="Q50" s="240">
        <v>0</v>
      </c>
      <c r="R50" s="240">
        <v>0</v>
      </c>
      <c r="S50" s="242">
        <f t="shared" si="2"/>
        <v>0</v>
      </c>
      <c r="Z50"/>
    </row>
    <row r="51" spans="1:26" x14ac:dyDescent="0.2">
      <c r="A51" s="159"/>
      <c r="B51" s="160"/>
      <c r="C51" s="148"/>
      <c r="D51" s="148"/>
      <c r="E51" s="240"/>
      <c r="F51" s="240"/>
      <c r="G51" s="240"/>
      <c r="H51" s="240"/>
      <c r="I51" s="240"/>
      <c r="J51" s="240"/>
      <c r="K51" s="240"/>
      <c r="L51" s="240"/>
      <c r="M51" s="240"/>
      <c r="N51" s="240"/>
      <c r="O51" s="240"/>
      <c r="P51" s="240"/>
      <c r="Q51" s="240"/>
      <c r="R51" s="240"/>
      <c r="S51" s="242">
        <f t="shared" si="2"/>
        <v>0</v>
      </c>
      <c r="Z51"/>
    </row>
    <row r="52" spans="1:26" x14ac:dyDescent="0.2">
      <c r="A52" s="159">
        <v>615113</v>
      </c>
      <c r="B52" s="160" t="s">
        <v>520</v>
      </c>
      <c r="C52" s="148" t="s">
        <v>366</v>
      </c>
      <c r="D52" s="148"/>
      <c r="E52" s="240"/>
      <c r="F52" s="240">
        <v>7145.78</v>
      </c>
      <c r="G52" s="240">
        <f>-7145.78+14163.09</f>
        <v>7017.31</v>
      </c>
      <c r="H52" s="240">
        <f>-14163.09+13652.52</f>
        <v>-510.56999999999971</v>
      </c>
      <c r="I52" s="240">
        <f>-13652.52+20584.92</f>
        <v>6932.3999999999978</v>
      </c>
      <c r="J52" s="240">
        <f>-20584.92+27656.42</f>
        <v>7071.5</v>
      </c>
      <c r="K52" s="240">
        <f>-27656.42+37346.56</f>
        <v>9690.14</v>
      </c>
      <c r="L52" s="240">
        <f>-37346.56+44135.42</f>
        <v>6788.8600000000006</v>
      </c>
      <c r="M52" s="240">
        <f>-44135.42+53919.8</f>
        <v>9784.3800000000047</v>
      </c>
      <c r="N52" s="240">
        <f>-53919.8+61333.81</f>
        <v>7414.0099999999948</v>
      </c>
      <c r="O52" s="240">
        <f>-61333.81+69541.32</f>
        <v>8207.5100000000093</v>
      </c>
      <c r="P52" s="240">
        <f>-69541.32+38172.19</f>
        <v>-31369.130000000005</v>
      </c>
      <c r="Q52" s="240"/>
      <c r="R52" s="240"/>
      <c r="S52" s="242">
        <f>+SUM(E52:Q52)</f>
        <v>38172.19</v>
      </c>
      <c r="Z52"/>
    </row>
    <row r="53" spans="1:26" x14ac:dyDescent="0.2">
      <c r="A53" s="159"/>
      <c r="B53" s="160"/>
      <c r="C53" s="148"/>
      <c r="D53" s="148"/>
      <c r="E53" s="240"/>
      <c r="F53" s="240"/>
      <c r="G53" s="240"/>
      <c r="H53" s="240"/>
      <c r="I53" s="240"/>
      <c r="J53" s="240"/>
      <c r="K53" s="240"/>
      <c r="L53" s="240"/>
      <c r="M53" s="240"/>
      <c r="N53" s="240"/>
      <c r="O53" s="240"/>
      <c r="P53" s="240"/>
      <c r="Q53" s="240"/>
      <c r="R53" s="240"/>
      <c r="S53" s="242">
        <f t="shared" si="2"/>
        <v>0</v>
      </c>
      <c r="U53" s="659"/>
      <c r="Z53"/>
    </row>
    <row r="54" spans="1:26" s="185" customFormat="1" ht="23.25" customHeight="1" x14ac:dyDescent="0.2">
      <c r="A54" s="267"/>
      <c r="B54" s="268"/>
      <c r="C54" s="267" t="s">
        <v>66</v>
      </c>
      <c r="D54" s="267"/>
      <c r="E54" s="269">
        <f>SUM(E33:E53)</f>
        <v>-1089.78</v>
      </c>
      <c r="F54" s="269">
        <f t="shared" ref="F54:Q54" si="3">SUM(F33:F53)</f>
        <v>10564.47</v>
      </c>
      <c r="G54" s="269">
        <f t="shared" si="3"/>
        <v>11277.6</v>
      </c>
      <c r="H54" s="269">
        <f t="shared" si="3"/>
        <v>4948.17</v>
      </c>
      <c r="I54" s="269">
        <f t="shared" si="3"/>
        <v>10243.039999999997</v>
      </c>
      <c r="J54" s="269">
        <f t="shared" si="3"/>
        <v>11296.36</v>
      </c>
      <c r="K54" s="269">
        <f t="shared" si="3"/>
        <v>13735.63</v>
      </c>
      <c r="L54" s="269">
        <f t="shared" si="3"/>
        <v>9462.130000000001</v>
      </c>
      <c r="M54" s="269">
        <f t="shared" si="3"/>
        <v>12587.100000000004</v>
      </c>
      <c r="N54" s="269">
        <f t="shared" si="3"/>
        <v>11991.269999999993</v>
      </c>
      <c r="O54" s="269">
        <f t="shared" si="3"/>
        <v>11915.420000000009</v>
      </c>
      <c r="P54" s="269">
        <f t="shared" si="3"/>
        <v>-27971.040000000005</v>
      </c>
      <c r="Q54" s="269">
        <f t="shared" si="3"/>
        <v>0</v>
      </c>
      <c r="R54" s="269">
        <f>SUM(R33:R53)</f>
        <v>0</v>
      </c>
      <c r="S54" s="269">
        <f>SUM(S33:S53)</f>
        <v>78960.37000000001</v>
      </c>
      <c r="T54" s="689" t="e">
        <f>IF(Ctrl($A52)+S53+S52=S54,"Ok","Erreur somme")</f>
        <v>#VALUE!</v>
      </c>
      <c r="U54" s="212">
        <v>78815</v>
      </c>
      <c r="V54" s="334">
        <f>U54-S54</f>
        <v>-145.3700000000099</v>
      </c>
      <c r="W54" s="185" t="s">
        <v>853</v>
      </c>
      <c r="Z54"/>
    </row>
    <row r="55" spans="1:26" s="185" customFormat="1" ht="12" customHeight="1" x14ac:dyDescent="0.2">
      <c r="A55" s="181">
        <v>615114</v>
      </c>
      <c r="B55" s="182" t="s">
        <v>535</v>
      </c>
      <c r="C55" s="183" t="s">
        <v>77</v>
      </c>
      <c r="D55" s="183" t="s">
        <v>192</v>
      </c>
      <c r="E55" s="240">
        <v>-320</v>
      </c>
      <c r="F55" s="240">
        <v>320</v>
      </c>
      <c r="G55" s="240">
        <v>0</v>
      </c>
      <c r="H55" s="240">
        <v>-160</v>
      </c>
      <c r="I55" s="240">
        <v>480</v>
      </c>
      <c r="J55" s="240">
        <v>0</v>
      </c>
      <c r="K55" s="240">
        <v>160</v>
      </c>
      <c r="L55" s="240">
        <v>480</v>
      </c>
      <c r="M55" s="240">
        <v>0</v>
      </c>
      <c r="N55" s="240">
        <v>320</v>
      </c>
      <c r="O55" s="240">
        <v>480</v>
      </c>
      <c r="P55" s="240">
        <v>480</v>
      </c>
      <c r="Q55" s="240">
        <v>0</v>
      </c>
      <c r="R55" s="244">
        <v>0</v>
      </c>
      <c r="S55" s="243">
        <f>SUM(E55:Q55)</f>
        <v>2240</v>
      </c>
      <c r="T55"/>
      <c r="U55" s="212"/>
      <c r="V55" s="334"/>
      <c r="W55" s="500"/>
      <c r="Z55"/>
    </row>
    <row r="56" spans="1:26" s="185" customFormat="1" ht="12" customHeight="1" x14ac:dyDescent="0.2">
      <c r="A56" s="181"/>
      <c r="B56" s="182"/>
      <c r="C56" s="183"/>
      <c r="D56" s="183"/>
      <c r="E56" s="240"/>
      <c r="F56" s="240"/>
      <c r="G56" s="240"/>
      <c r="H56" s="240"/>
      <c r="I56" s="240"/>
      <c r="J56" s="240"/>
      <c r="K56" s="240"/>
      <c r="L56" s="240"/>
      <c r="M56" s="240"/>
      <c r="N56" s="240"/>
      <c r="O56" s="240"/>
      <c r="P56" s="240"/>
      <c r="Q56" s="240"/>
      <c r="R56" s="244"/>
      <c r="S56" s="243"/>
      <c r="T56"/>
      <c r="U56" s="212"/>
      <c r="V56" s="334"/>
      <c r="W56" s="500"/>
      <c r="Z56"/>
    </row>
    <row r="57" spans="1:26" s="185" customFormat="1" ht="12" customHeight="1" x14ac:dyDescent="0.2">
      <c r="A57" s="181">
        <v>615114</v>
      </c>
      <c r="B57" s="182" t="s">
        <v>535</v>
      </c>
      <c r="C57" s="183" t="s">
        <v>70</v>
      </c>
      <c r="D57" s="183" t="s">
        <v>192</v>
      </c>
      <c r="E57" s="240">
        <v>-320</v>
      </c>
      <c r="F57" s="240">
        <v>160</v>
      </c>
      <c r="G57" s="240">
        <v>320</v>
      </c>
      <c r="H57" s="240">
        <v>160</v>
      </c>
      <c r="I57" s="240">
        <v>0</v>
      </c>
      <c r="J57" s="240">
        <v>0</v>
      </c>
      <c r="K57" s="240">
        <v>0</v>
      </c>
      <c r="L57" s="240">
        <v>160</v>
      </c>
      <c r="M57" s="240">
        <v>0</v>
      </c>
      <c r="N57" s="240">
        <v>0</v>
      </c>
      <c r="O57" s="240">
        <v>320</v>
      </c>
      <c r="P57" s="240">
        <v>-160</v>
      </c>
      <c r="Q57" s="240">
        <v>0</v>
      </c>
      <c r="R57" s="244">
        <v>0</v>
      </c>
      <c r="S57" s="243">
        <f>SUM(E57:Q57)</f>
        <v>640</v>
      </c>
      <c r="T57"/>
      <c r="U57" s="212"/>
      <c r="V57" s="334"/>
      <c r="W57" s="500"/>
      <c r="Z57"/>
    </row>
    <row r="58" spans="1:26" s="185" customFormat="1" ht="12" customHeight="1" x14ac:dyDescent="0.2">
      <c r="A58" s="181"/>
      <c r="B58" s="182"/>
      <c r="C58" s="183"/>
      <c r="D58" s="183"/>
      <c r="E58" s="240"/>
      <c r="F58" s="240"/>
      <c r="G58" s="240"/>
      <c r="H58" s="240"/>
      <c r="I58" s="240"/>
      <c r="J58" s="240"/>
      <c r="K58" s="240"/>
      <c r="L58" s="240"/>
      <c r="M58" s="240"/>
      <c r="N58" s="240"/>
      <c r="O58" s="240"/>
      <c r="P58" s="240"/>
      <c r="Q58" s="240"/>
      <c r="R58" s="244"/>
      <c r="S58" s="243"/>
      <c r="T58"/>
      <c r="U58" s="212"/>
      <c r="V58" s="334"/>
      <c r="W58" s="500"/>
      <c r="Z58"/>
    </row>
    <row r="59" spans="1:26" s="185" customFormat="1" ht="12" customHeight="1" x14ac:dyDescent="0.2">
      <c r="A59" s="181">
        <v>615114</v>
      </c>
      <c r="B59" s="182" t="s">
        <v>535</v>
      </c>
      <c r="C59" s="183" t="s">
        <v>75</v>
      </c>
      <c r="D59" s="183" t="s">
        <v>192</v>
      </c>
      <c r="E59" s="240">
        <v>160</v>
      </c>
      <c r="F59" s="240">
        <v>160</v>
      </c>
      <c r="G59" s="240">
        <v>320</v>
      </c>
      <c r="H59" s="240">
        <v>0</v>
      </c>
      <c r="I59" s="240">
        <v>640</v>
      </c>
      <c r="J59" s="240">
        <v>160</v>
      </c>
      <c r="K59" s="240">
        <v>160</v>
      </c>
      <c r="L59" s="240">
        <v>1120</v>
      </c>
      <c r="M59" s="240">
        <v>640</v>
      </c>
      <c r="N59" s="240">
        <v>480</v>
      </c>
      <c r="O59" s="240">
        <v>320</v>
      </c>
      <c r="P59" s="240">
        <v>640</v>
      </c>
      <c r="Q59" s="240">
        <v>0</v>
      </c>
      <c r="R59" s="244">
        <v>0</v>
      </c>
      <c r="S59" s="243">
        <f>SUM(E59:Q59)</f>
        <v>4800</v>
      </c>
      <c r="T59"/>
      <c r="U59" s="212"/>
      <c r="V59" s="334"/>
      <c r="W59" s="500"/>
      <c r="Z59"/>
    </row>
    <row r="60" spans="1:26" s="185" customFormat="1" ht="12" customHeight="1" x14ac:dyDescent="0.2">
      <c r="A60" s="181"/>
      <c r="B60" s="182"/>
      <c r="C60" s="183"/>
      <c r="D60" s="183"/>
      <c r="E60" s="240"/>
      <c r="F60" s="240"/>
      <c r="G60" s="240"/>
      <c r="H60" s="240"/>
      <c r="I60" s="240"/>
      <c r="J60" s="240"/>
      <c r="K60" s="240"/>
      <c r="L60" s="240"/>
      <c r="M60" s="240"/>
      <c r="N60" s="240"/>
      <c r="O60" s="240"/>
      <c r="P60" s="240"/>
      <c r="Q60" s="240"/>
      <c r="R60" s="244"/>
      <c r="S60" s="243"/>
      <c r="T60"/>
      <c r="U60" s="212"/>
      <c r="V60" s="334"/>
      <c r="W60" s="500"/>
      <c r="Z60"/>
    </row>
    <row r="61" spans="1:26" s="185" customFormat="1" ht="12" customHeight="1" x14ac:dyDescent="0.2">
      <c r="A61" s="181">
        <v>615114</v>
      </c>
      <c r="B61" s="182" t="s">
        <v>535</v>
      </c>
      <c r="C61" s="183" t="s">
        <v>234</v>
      </c>
      <c r="D61" s="183" t="s">
        <v>192</v>
      </c>
      <c r="E61" s="240">
        <v>0</v>
      </c>
      <c r="F61" s="240">
        <v>0</v>
      </c>
      <c r="G61" s="240">
        <v>0</v>
      </c>
      <c r="H61" s="240">
        <v>0</v>
      </c>
      <c r="I61" s="240">
        <v>0</v>
      </c>
      <c r="J61" s="240">
        <v>0</v>
      </c>
      <c r="K61" s="240">
        <v>160</v>
      </c>
      <c r="L61" s="240">
        <v>320</v>
      </c>
      <c r="M61" s="240">
        <v>320</v>
      </c>
      <c r="N61" s="240">
        <v>0</v>
      </c>
      <c r="O61" s="240">
        <v>640</v>
      </c>
      <c r="P61" s="240">
        <v>480</v>
      </c>
      <c r="Q61" s="240">
        <v>0</v>
      </c>
      <c r="R61" s="244">
        <v>0</v>
      </c>
      <c r="S61" s="243">
        <f>SUM(E61:Q61)</f>
        <v>1920</v>
      </c>
      <c r="T61"/>
      <c r="U61" s="212"/>
      <c r="V61" s="334"/>
      <c r="W61" s="500"/>
      <c r="Z61"/>
    </row>
    <row r="62" spans="1:26" s="185" customFormat="1" ht="12" customHeight="1" x14ac:dyDescent="0.2">
      <c r="A62" s="181"/>
      <c r="B62" s="182"/>
      <c r="C62" s="183"/>
      <c r="D62" s="183"/>
      <c r="E62" s="240"/>
      <c r="F62" s="240"/>
      <c r="G62" s="240"/>
      <c r="H62" s="240"/>
      <c r="I62" s="240"/>
      <c r="J62" s="240"/>
      <c r="K62" s="240"/>
      <c r="L62" s="240"/>
      <c r="M62" s="240"/>
      <c r="N62" s="240"/>
      <c r="O62" s="240"/>
      <c r="P62" s="240"/>
      <c r="Q62" s="240"/>
      <c r="R62" s="244"/>
      <c r="S62" s="243"/>
      <c r="T62"/>
      <c r="U62" s="212"/>
      <c r="V62" s="334"/>
      <c r="W62" s="500"/>
      <c r="Z62"/>
    </row>
    <row r="63" spans="1:26" s="185" customFormat="1" ht="12" customHeight="1" x14ac:dyDescent="0.2">
      <c r="A63" s="181">
        <v>615114</v>
      </c>
      <c r="B63" s="182" t="s">
        <v>535</v>
      </c>
      <c r="C63" s="183" t="s">
        <v>194</v>
      </c>
      <c r="D63" s="183" t="s">
        <v>192</v>
      </c>
      <c r="E63" s="240">
        <v>-160</v>
      </c>
      <c r="F63" s="240">
        <v>160</v>
      </c>
      <c r="G63" s="240">
        <v>0</v>
      </c>
      <c r="H63" s="240">
        <v>0</v>
      </c>
      <c r="I63" s="240">
        <v>320</v>
      </c>
      <c r="J63" s="240">
        <v>160</v>
      </c>
      <c r="K63" s="240">
        <v>0</v>
      </c>
      <c r="L63" s="240">
        <v>0</v>
      </c>
      <c r="M63" s="240">
        <v>160</v>
      </c>
      <c r="N63" s="240">
        <v>160</v>
      </c>
      <c r="O63" s="240">
        <v>0</v>
      </c>
      <c r="P63" s="240">
        <v>0</v>
      </c>
      <c r="Q63" s="240">
        <v>0</v>
      </c>
      <c r="R63" s="244">
        <v>0</v>
      </c>
      <c r="S63" s="243">
        <f>SUM(E63:Q63)</f>
        <v>800</v>
      </c>
      <c r="T63"/>
      <c r="U63" s="212"/>
      <c r="V63" s="334"/>
      <c r="W63" s="500"/>
      <c r="Z63"/>
    </row>
    <row r="64" spans="1:26" s="185" customFormat="1" ht="12" customHeight="1" x14ac:dyDescent="0.2">
      <c r="A64" s="181"/>
      <c r="B64" s="182"/>
      <c r="C64" s="183"/>
      <c r="D64" s="183"/>
      <c r="E64" s="240"/>
      <c r="F64" s="240"/>
      <c r="G64" s="240"/>
      <c r="H64" s="240"/>
      <c r="I64" s="240"/>
      <c r="J64" s="240"/>
      <c r="K64" s="240"/>
      <c r="L64" s="240"/>
      <c r="M64" s="240"/>
      <c r="N64" s="240"/>
      <c r="O64" s="240"/>
      <c r="P64" s="240"/>
      <c r="Q64" s="240"/>
      <c r="R64" s="244"/>
      <c r="S64" s="243"/>
      <c r="T64"/>
      <c r="U64" s="212"/>
      <c r="V64" s="334"/>
      <c r="W64" s="500"/>
      <c r="Z64"/>
    </row>
    <row r="65" spans="1:26" s="185" customFormat="1" ht="12" customHeight="1" x14ac:dyDescent="0.2">
      <c r="A65" s="181">
        <v>615114</v>
      </c>
      <c r="B65" s="182" t="s">
        <v>535</v>
      </c>
      <c r="C65" s="183" t="s">
        <v>235</v>
      </c>
      <c r="D65" s="183" t="s">
        <v>192</v>
      </c>
      <c r="E65" s="240">
        <v>480</v>
      </c>
      <c r="F65" s="240">
        <v>320</v>
      </c>
      <c r="G65" s="240">
        <v>320</v>
      </c>
      <c r="H65" s="240">
        <v>0</v>
      </c>
      <c r="I65" s="240">
        <v>160</v>
      </c>
      <c r="J65" s="240">
        <v>160</v>
      </c>
      <c r="K65" s="240">
        <v>0</v>
      </c>
      <c r="L65" s="240">
        <v>320</v>
      </c>
      <c r="M65" s="240">
        <v>320</v>
      </c>
      <c r="N65" s="240">
        <v>320</v>
      </c>
      <c r="O65" s="240">
        <v>320</v>
      </c>
      <c r="P65" s="240">
        <v>160</v>
      </c>
      <c r="Q65" s="240">
        <v>0</v>
      </c>
      <c r="R65" s="244">
        <v>0</v>
      </c>
      <c r="S65" s="243">
        <f>SUM(E65:Q65)</f>
        <v>2880</v>
      </c>
      <c r="T65"/>
      <c r="U65" s="212"/>
      <c r="V65" s="334"/>
      <c r="W65" s="500"/>
      <c r="Z65"/>
    </row>
    <row r="66" spans="1:26" s="185" customFormat="1" ht="12" customHeight="1" x14ac:dyDescent="0.2">
      <c r="A66" s="181"/>
      <c r="B66" s="182"/>
      <c r="C66" s="183"/>
      <c r="D66" s="183"/>
      <c r="E66" s="240"/>
      <c r="F66" s="240"/>
      <c r="G66" s="240"/>
      <c r="H66" s="240"/>
      <c r="I66" s="240"/>
      <c r="J66" s="240"/>
      <c r="K66" s="240"/>
      <c r="L66" s="240"/>
      <c r="M66" s="240"/>
      <c r="N66" s="240"/>
      <c r="O66" s="240"/>
      <c r="P66" s="240"/>
      <c r="Q66" s="240"/>
      <c r="R66" s="244"/>
      <c r="S66" s="243"/>
      <c r="T66"/>
      <c r="U66" s="212"/>
      <c r="V66" s="334"/>
      <c r="W66" s="500"/>
      <c r="Z66"/>
    </row>
    <row r="67" spans="1:26" s="185" customFormat="1" ht="12" customHeight="1" x14ac:dyDescent="0.2">
      <c r="A67" s="181">
        <v>615114</v>
      </c>
      <c r="B67" s="182" t="s">
        <v>535</v>
      </c>
      <c r="C67" s="183" t="s">
        <v>236</v>
      </c>
      <c r="D67" s="183" t="s">
        <v>192</v>
      </c>
      <c r="E67" s="240">
        <v>-480</v>
      </c>
      <c r="F67" s="240">
        <v>0</v>
      </c>
      <c r="G67" s="240">
        <v>160</v>
      </c>
      <c r="H67" s="240">
        <v>0</v>
      </c>
      <c r="I67" s="240">
        <v>320</v>
      </c>
      <c r="J67" s="240">
        <v>480</v>
      </c>
      <c r="K67" s="240">
        <v>-160</v>
      </c>
      <c r="L67" s="240">
        <v>160</v>
      </c>
      <c r="M67" s="240">
        <v>320</v>
      </c>
      <c r="N67" s="240">
        <v>480</v>
      </c>
      <c r="O67" s="240">
        <v>160</v>
      </c>
      <c r="P67" s="240">
        <v>320</v>
      </c>
      <c r="Q67" s="240">
        <v>0</v>
      </c>
      <c r="R67" s="244">
        <v>0</v>
      </c>
      <c r="S67" s="243">
        <f>SUM(E67:Q67)</f>
        <v>1760</v>
      </c>
      <c r="T67"/>
      <c r="U67" s="212"/>
      <c r="V67" s="334"/>
      <c r="W67" s="500"/>
      <c r="Z67"/>
    </row>
    <row r="68" spans="1:26" s="185" customFormat="1" ht="12" customHeight="1" x14ac:dyDescent="0.2">
      <c r="A68" s="181"/>
      <c r="B68" s="182"/>
      <c r="C68" s="183"/>
      <c r="D68" s="183"/>
      <c r="E68" s="240"/>
      <c r="F68" s="240"/>
      <c r="G68" s="240"/>
      <c r="H68" s="240"/>
      <c r="I68" s="240"/>
      <c r="J68" s="240"/>
      <c r="K68" s="240"/>
      <c r="L68" s="240"/>
      <c r="M68" s="240"/>
      <c r="N68" s="240"/>
      <c r="O68" s="240"/>
      <c r="P68" s="240"/>
      <c r="Q68" s="240"/>
      <c r="R68" s="244"/>
      <c r="S68" s="243">
        <f>SUM(E68:Q68)</f>
        <v>0</v>
      </c>
      <c r="T68"/>
      <c r="U68" s="212"/>
      <c r="V68" s="334"/>
      <c r="W68" s="500"/>
      <c r="Z68"/>
    </row>
    <row r="69" spans="1:26" s="185" customFormat="1" ht="12" customHeight="1" x14ac:dyDescent="0.2">
      <c r="A69" s="181">
        <v>615114</v>
      </c>
      <c r="B69" s="182" t="s">
        <v>605</v>
      </c>
      <c r="C69" s="183" t="s">
        <v>237</v>
      </c>
      <c r="D69" s="183" t="s">
        <v>192</v>
      </c>
      <c r="E69" s="240">
        <v>160</v>
      </c>
      <c r="F69" s="240">
        <v>0</v>
      </c>
      <c r="G69" s="240">
        <v>0</v>
      </c>
      <c r="H69" s="240">
        <v>0</v>
      </c>
      <c r="I69" s="240">
        <v>0</v>
      </c>
      <c r="J69" s="240">
        <v>0</v>
      </c>
      <c r="K69" s="240">
        <v>0</v>
      </c>
      <c r="L69" s="240">
        <v>160</v>
      </c>
      <c r="M69" s="240">
        <v>0</v>
      </c>
      <c r="N69" s="240">
        <v>0</v>
      </c>
      <c r="O69" s="240">
        <v>0</v>
      </c>
      <c r="P69" s="240">
        <v>160</v>
      </c>
      <c r="Q69" s="240">
        <v>0</v>
      </c>
      <c r="R69" s="244">
        <v>0</v>
      </c>
      <c r="S69" s="243">
        <f>SUM(E69:Q69)</f>
        <v>480</v>
      </c>
      <c r="T69"/>
      <c r="U69" s="212"/>
      <c r="V69" s="334"/>
      <c r="W69" s="500"/>
      <c r="Z69"/>
    </row>
    <row r="70" spans="1:26" s="185" customFormat="1" ht="12" customHeight="1" x14ac:dyDescent="0.2">
      <c r="A70" s="181"/>
      <c r="B70" s="182"/>
      <c r="C70" s="183"/>
      <c r="D70" s="183"/>
      <c r="E70" s="244"/>
      <c r="F70" s="244"/>
      <c r="G70" s="244"/>
      <c r="H70" s="244"/>
      <c r="I70" s="244"/>
      <c r="J70" s="244"/>
      <c r="K70" s="244"/>
      <c r="L70" s="244"/>
      <c r="M70" s="244"/>
      <c r="N70" s="244"/>
      <c r="O70" s="244"/>
      <c r="P70" s="244"/>
      <c r="Q70" s="244"/>
      <c r="R70" s="244"/>
      <c r="S70" s="243">
        <f>SUM(E70:Q70)</f>
        <v>0</v>
      </c>
      <c r="T70"/>
      <c r="U70" s="212"/>
      <c r="V70" s="334"/>
      <c r="W70" s="500"/>
      <c r="Z70"/>
    </row>
    <row r="71" spans="1:26" s="185" customFormat="1" ht="23.25" customHeight="1" x14ac:dyDescent="0.2">
      <c r="A71" s="267"/>
      <c r="B71" s="268"/>
      <c r="C71" s="267"/>
      <c r="D71" s="267"/>
      <c r="E71" s="269"/>
      <c r="F71" s="269"/>
      <c r="G71" s="269"/>
      <c r="H71" s="269"/>
      <c r="I71" s="269"/>
      <c r="J71" s="269"/>
      <c r="K71" s="269"/>
      <c r="L71" s="269"/>
      <c r="M71" s="269"/>
      <c r="N71" s="269"/>
      <c r="O71" s="269"/>
      <c r="P71" s="269"/>
      <c r="Q71" s="269"/>
      <c r="R71" s="269"/>
      <c r="S71" s="269">
        <f t="shared" ref="S71" si="4">SUM(S55:S70)</f>
        <v>15520</v>
      </c>
      <c r="T71" s="689" t="e">
        <f>IF(Ctrl($A69)=S71,"Ok","Erreur somme")</f>
        <v>#VALUE!</v>
      </c>
      <c r="U71" s="212">
        <v>17120</v>
      </c>
      <c r="V71" s="334">
        <f>S71-U71</f>
        <v>-1600</v>
      </c>
      <c r="W71" s="185" t="s">
        <v>853</v>
      </c>
      <c r="Z71"/>
    </row>
    <row r="72" spans="1:26" x14ac:dyDescent="0.2">
      <c r="A72" s="159">
        <v>615130</v>
      </c>
      <c r="B72" s="160" t="s">
        <v>298</v>
      </c>
      <c r="C72" s="148" t="s">
        <v>78</v>
      </c>
      <c r="D72" s="148" t="s">
        <v>248</v>
      </c>
      <c r="E72" s="240">
        <v>1138</v>
      </c>
      <c r="F72" s="240">
        <v>0</v>
      </c>
      <c r="G72" s="240">
        <v>0</v>
      </c>
      <c r="H72" s="240">
        <v>0</v>
      </c>
      <c r="I72" s="240">
        <v>0</v>
      </c>
      <c r="J72" s="240">
        <v>5604</v>
      </c>
      <c r="K72" s="240">
        <v>9084.66</v>
      </c>
      <c r="L72" s="240">
        <v>11212</v>
      </c>
      <c r="M72" s="240">
        <v>15428.58</v>
      </c>
      <c r="N72" s="240">
        <v>24129.5</v>
      </c>
      <c r="O72" s="240">
        <v>20766.32</v>
      </c>
      <c r="P72" s="240">
        <v>54060.959999999999</v>
      </c>
      <c r="Q72" s="240">
        <v>80434.399999999994</v>
      </c>
      <c r="R72" s="240">
        <v>0</v>
      </c>
      <c r="S72" s="242">
        <f>+SUM(E72:Q72)</f>
        <v>221858.41999999998</v>
      </c>
      <c r="V72" s="334"/>
      <c r="W72" s="500"/>
      <c r="Z72"/>
    </row>
    <row r="73" spans="1:26" s="185" customFormat="1" ht="12.75" customHeight="1" x14ac:dyDescent="0.2">
      <c r="A73" s="181"/>
      <c r="B73" s="182"/>
      <c r="C73" s="148"/>
      <c r="D73" s="183"/>
      <c r="E73" s="240"/>
      <c r="F73" s="240"/>
      <c r="G73" s="240"/>
      <c r="H73" s="240"/>
      <c r="I73" s="240"/>
      <c r="J73" s="240"/>
      <c r="K73" s="240"/>
      <c r="L73" s="240"/>
      <c r="M73" s="240"/>
      <c r="N73" s="240"/>
      <c r="O73" s="240"/>
      <c r="P73" s="240"/>
      <c r="Q73" s="240"/>
      <c r="R73" s="244"/>
      <c r="S73" s="242">
        <f t="shared" ref="S73:S91" si="5">+SUM(E73:Q73)</f>
        <v>0</v>
      </c>
      <c r="T73"/>
      <c r="V73" s="334"/>
      <c r="Z73"/>
    </row>
    <row r="74" spans="1:26" x14ac:dyDescent="0.2">
      <c r="A74" s="159">
        <v>615130</v>
      </c>
      <c r="B74" s="160" t="s">
        <v>298</v>
      </c>
      <c r="C74" s="148" t="s">
        <v>71</v>
      </c>
      <c r="D74" s="148" t="s">
        <v>248</v>
      </c>
      <c r="E74" s="240">
        <v>0</v>
      </c>
      <c r="F74" s="240">
        <v>0</v>
      </c>
      <c r="G74" s="240">
        <v>4528</v>
      </c>
      <c r="H74" s="240">
        <v>4609.3999999999996</v>
      </c>
      <c r="I74" s="240">
        <v>14763</v>
      </c>
      <c r="J74" s="240">
        <v>5845</v>
      </c>
      <c r="K74" s="240">
        <v>14417</v>
      </c>
      <c r="L74" s="240">
        <v>1640</v>
      </c>
      <c r="M74" s="240">
        <v>0</v>
      </c>
      <c r="N74" s="240">
        <v>14960</v>
      </c>
      <c r="O74" s="240">
        <v>14396.599999999999</v>
      </c>
      <c r="P74" s="240">
        <v>76970.63</v>
      </c>
      <c r="Q74" s="240">
        <v>25704.26</v>
      </c>
      <c r="R74" s="240">
        <v>0</v>
      </c>
      <c r="S74" s="242">
        <f t="shared" si="5"/>
        <v>177833.89</v>
      </c>
      <c r="V74" s="334"/>
      <c r="W74" s="500"/>
      <c r="Z74"/>
    </row>
    <row r="75" spans="1:26" s="185" customFormat="1" ht="12.75" customHeight="1" x14ac:dyDescent="0.2">
      <c r="A75" s="181"/>
      <c r="B75" s="182"/>
      <c r="C75" s="183"/>
      <c r="D75" s="183"/>
      <c r="E75" s="240"/>
      <c r="F75" s="240"/>
      <c r="G75" s="240"/>
      <c r="H75" s="240"/>
      <c r="I75" s="240"/>
      <c r="J75" s="240"/>
      <c r="K75" s="240"/>
      <c r="L75" s="240"/>
      <c r="M75" s="240"/>
      <c r="N75" s="240"/>
      <c r="O75" s="240"/>
      <c r="P75" s="240"/>
      <c r="Q75" s="240"/>
      <c r="R75" s="244"/>
      <c r="S75" s="242">
        <f t="shared" si="5"/>
        <v>0</v>
      </c>
      <c r="T75"/>
      <c r="V75" s="334"/>
      <c r="Z75"/>
    </row>
    <row r="76" spans="1:26" x14ac:dyDescent="0.2">
      <c r="A76" s="159">
        <v>615130</v>
      </c>
      <c r="B76" s="160" t="s">
        <v>298</v>
      </c>
      <c r="C76" s="148" t="s">
        <v>73</v>
      </c>
      <c r="D76" s="148" t="s">
        <v>248</v>
      </c>
      <c r="E76" s="240">
        <v>0</v>
      </c>
      <c r="F76" s="240">
        <v>0</v>
      </c>
      <c r="G76" s="240">
        <v>0</v>
      </c>
      <c r="H76" s="240">
        <v>0</v>
      </c>
      <c r="I76" s="240">
        <v>2686.87</v>
      </c>
      <c r="J76" s="240">
        <v>6457</v>
      </c>
      <c r="K76" s="240">
        <v>5799.96</v>
      </c>
      <c r="L76" s="240">
        <v>4719.01</v>
      </c>
      <c r="M76" s="240">
        <v>1866.7</v>
      </c>
      <c r="N76" s="240">
        <v>4646.28</v>
      </c>
      <c r="O76" s="240">
        <v>5680.37</v>
      </c>
      <c r="P76" s="240">
        <v>18341</v>
      </c>
      <c r="Q76" s="240">
        <v>783.15</v>
      </c>
      <c r="R76" s="240">
        <v>0</v>
      </c>
      <c r="S76" s="242">
        <f t="shared" si="5"/>
        <v>50980.34</v>
      </c>
      <c r="V76" s="334"/>
      <c r="W76" s="500"/>
      <c r="Z76"/>
    </row>
    <row r="77" spans="1:26" s="185" customFormat="1" ht="12.75" customHeight="1" x14ac:dyDescent="0.2">
      <c r="A77" s="181"/>
      <c r="B77" s="182"/>
      <c r="C77" s="183"/>
      <c r="D77" s="183"/>
      <c r="E77" s="240"/>
      <c r="F77" s="240"/>
      <c r="G77" s="240"/>
      <c r="H77" s="240"/>
      <c r="I77" s="240"/>
      <c r="J77" s="240"/>
      <c r="K77" s="240"/>
      <c r="L77" s="240"/>
      <c r="M77" s="240"/>
      <c r="N77" s="240"/>
      <c r="O77" s="240"/>
      <c r="P77" s="240"/>
      <c r="Q77" s="240"/>
      <c r="R77" s="244"/>
      <c r="S77" s="242">
        <f t="shared" si="5"/>
        <v>0</v>
      </c>
      <c r="T77"/>
      <c r="V77" s="334"/>
      <c r="Z77"/>
    </row>
    <row r="78" spans="1:26" x14ac:dyDescent="0.2">
      <c r="A78" s="159">
        <v>615130</v>
      </c>
      <c r="B78" s="160" t="s">
        <v>298</v>
      </c>
      <c r="C78" s="148" t="s">
        <v>67</v>
      </c>
      <c r="D78" s="148" t="s">
        <v>248</v>
      </c>
      <c r="E78" s="240">
        <v>0</v>
      </c>
      <c r="F78" s="240">
        <v>0</v>
      </c>
      <c r="G78" s="240">
        <v>0</v>
      </c>
      <c r="H78" s="240">
        <v>0</v>
      </c>
      <c r="I78" s="240">
        <v>0</v>
      </c>
      <c r="J78" s="240">
        <v>0</v>
      </c>
      <c r="K78" s="240">
        <v>0</v>
      </c>
      <c r="L78" s="240">
        <v>3689.23</v>
      </c>
      <c r="M78" s="240">
        <v>0</v>
      </c>
      <c r="N78" s="240">
        <v>0</v>
      </c>
      <c r="O78" s="240">
        <v>0</v>
      </c>
      <c r="P78" s="240">
        <v>26032.22</v>
      </c>
      <c r="Q78" s="240">
        <v>0</v>
      </c>
      <c r="R78" s="240">
        <v>0</v>
      </c>
      <c r="S78" s="242">
        <f t="shared" si="5"/>
        <v>29721.45</v>
      </c>
      <c r="V78" s="334"/>
      <c r="Z78"/>
    </row>
    <row r="79" spans="1:26" s="185" customFormat="1" ht="12.75" customHeight="1" x14ac:dyDescent="0.2">
      <c r="A79" s="181"/>
      <c r="B79" s="182"/>
      <c r="C79" s="183"/>
      <c r="D79" s="183"/>
      <c r="E79" s="240"/>
      <c r="F79" s="240"/>
      <c r="G79" s="240"/>
      <c r="H79" s="240"/>
      <c r="I79" s="240"/>
      <c r="J79" s="240"/>
      <c r="K79" s="240"/>
      <c r="L79" s="240"/>
      <c r="M79" s="240"/>
      <c r="N79" s="240"/>
      <c r="O79" s="240"/>
      <c r="P79" s="240"/>
      <c r="Q79" s="240"/>
      <c r="R79" s="244"/>
      <c r="S79" s="242">
        <f t="shared" si="5"/>
        <v>0</v>
      </c>
      <c r="T79"/>
      <c r="V79" s="334"/>
      <c r="Z79"/>
    </row>
    <row r="80" spans="1:26" s="185" customFormat="1" ht="12.75" customHeight="1" x14ac:dyDescent="0.2">
      <c r="A80" s="159">
        <v>615130</v>
      </c>
      <c r="B80" s="160" t="s">
        <v>298</v>
      </c>
      <c r="C80" s="148" t="s">
        <v>62</v>
      </c>
      <c r="D80" s="148" t="s">
        <v>248</v>
      </c>
      <c r="E80" s="240">
        <v>0</v>
      </c>
      <c r="F80" s="240">
        <v>0</v>
      </c>
      <c r="G80" s="240">
        <v>0</v>
      </c>
      <c r="H80" s="240">
        <v>0</v>
      </c>
      <c r="I80" s="240">
        <v>0</v>
      </c>
      <c r="J80" s="240">
        <v>0</v>
      </c>
      <c r="K80" s="240">
        <v>0</v>
      </c>
      <c r="L80" s="240">
        <v>0</v>
      </c>
      <c r="M80" s="240">
        <v>0</v>
      </c>
      <c r="N80" s="240">
        <v>0</v>
      </c>
      <c r="O80" s="240">
        <v>0</v>
      </c>
      <c r="P80" s="240">
        <v>10127</v>
      </c>
      <c r="Q80" s="240">
        <v>0</v>
      </c>
      <c r="R80" s="244">
        <v>0</v>
      </c>
      <c r="S80" s="242">
        <f t="shared" si="5"/>
        <v>10127</v>
      </c>
      <c r="T80"/>
      <c r="V80" s="334"/>
      <c r="Z80"/>
    </row>
    <row r="81" spans="1:26" s="185" customFormat="1" ht="12.75" customHeight="1" x14ac:dyDescent="0.2">
      <c r="A81" s="181"/>
      <c r="B81" s="182"/>
      <c r="C81" s="183"/>
      <c r="D81" s="183"/>
      <c r="E81" s="240"/>
      <c r="F81" s="240"/>
      <c r="G81" s="240"/>
      <c r="H81" s="240"/>
      <c r="I81" s="240"/>
      <c r="J81" s="240"/>
      <c r="K81" s="240"/>
      <c r="L81" s="240"/>
      <c r="M81" s="240"/>
      <c r="N81" s="240"/>
      <c r="O81" s="240"/>
      <c r="P81" s="240"/>
      <c r="Q81" s="240"/>
      <c r="R81" s="244"/>
      <c r="S81" s="242"/>
      <c r="T81"/>
      <c r="V81" s="334"/>
      <c r="Z81"/>
    </row>
    <row r="82" spans="1:26" x14ac:dyDescent="0.2">
      <c r="A82" s="159">
        <v>615130</v>
      </c>
      <c r="B82" s="160" t="s">
        <v>298</v>
      </c>
      <c r="C82" s="148" t="s">
        <v>80</v>
      </c>
      <c r="D82" s="148" t="s">
        <v>248</v>
      </c>
      <c r="E82" s="240">
        <v>0</v>
      </c>
      <c r="F82" s="240">
        <v>0</v>
      </c>
      <c r="G82" s="240">
        <v>0</v>
      </c>
      <c r="H82" s="240">
        <v>0</v>
      </c>
      <c r="I82" s="240">
        <v>0</v>
      </c>
      <c r="J82" s="240">
        <v>0</v>
      </c>
      <c r="K82" s="240">
        <v>4074</v>
      </c>
      <c r="L82" s="240">
        <v>9039</v>
      </c>
      <c r="M82" s="240">
        <v>0</v>
      </c>
      <c r="N82" s="240">
        <v>9213.58</v>
      </c>
      <c r="O82" s="240">
        <v>8944</v>
      </c>
      <c r="P82" s="240">
        <v>76898.590000000011</v>
      </c>
      <c r="Q82" s="240">
        <v>4822.16</v>
      </c>
      <c r="R82" s="240">
        <v>0</v>
      </c>
      <c r="S82" s="242">
        <f t="shared" si="5"/>
        <v>112991.33000000002</v>
      </c>
      <c r="V82" s="334"/>
      <c r="Z82"/>
    </row>
    <row r="83" spans="1:26" s="185" customFormat="1" ht="12.75" customHeight="1" x14ac:dyDescent="0.2">
      <c r="A83" s="181"/>
      <c r="B83" s="182"/>
      <c r="C83" s="183"/>
      <c r="D83" s="183"/>
      <c r="E83" s="240"/>
      <c r="F83" s="240"/>
      <c r="G83" s="240"/>
      <c r="H83" s="240"/>
      <c r="I83" s="240"/>
      <c r="J83" s="240"/>
      <c r="K83" s="240"/>
      <c r="L83" s="240"/>
      <c r="M83" s="240"/>
      <c r="N83" s="240"/>
      <c r="O83" s="240"/>
      <c r="P83" s="240"/>
      <c r="Q83" s="240"/>
      <c r="R83" s="244"/>
      <c r="S83" s="242">
        <f t="shared" si="5"/>
        <v>0</v>
      </c>
      <c r="T83"/>
      <c r="V83" s="334"/>
      <c r="Z83"/>
    </row>
    <row r="84" spans="1:26" x14ac:dyDescent="0.2">
      <c r="A84" s="159">
        <v>615130</v>
      </c>
      <c r="B84" s="160" t="s">
        <v>298</v>
      </c>
      <c r="C84" s="148" t="s">
        <v>156</v>
      </c>
      <c r="D84" s="148" t="s">
        <v>248</v>
      </c>
      <c r="E84" s="240">
        <v>0</v>
      </c>
      <c r="F84" s="240">
        <v>0</v>
      </c>
      <c r="G84" s="240">
        <v>0</v>
      </c>
      <c r="H84" s="240">
        <v>5200</v>
      </c>
      <c r="I84" s="240">
        <v>2236.85</v>
      </c>
      <c r="J84" s="240">
        <v>6950</v>
      </c>
      <c r="K84" s="240">
        <v>515.67999999999995</v>
      </c>
      <c r="L84" s="240">
        <v>1203.28</v>
      </c>
      <c r="M84" s="240">
        <v>6936.83</v>
      </c>
      <c r="N84" s="240">
        <v>8312</v>
      </c>
      <c r="O84" s="240">
        <v>64796.49</v>
      </c>
      <c r="P84" s="240">
        <v>70782</v>
      </c>
      <c r="Q84" s="240">
        <v>23575.07</v>
      </c>
      <c r="R84" s="240">
        <v>0</v>
      </c>
      <c r="S84" s="242">
        <f t="shared" si="5"/>
        <v>190508.2</v>
      </c>
      <c r="V84" s="334"/>
      <c r="Z84"/>
    </row>
    <row r="85" spans="1:26" s="185" customFormat="1" ht="12.75" customHeight="1" x14ac:dyDescent="0.2">
      <c r="A85" s="181"/>
      <c r="B85" s="182"/>
      <c r="C85" s="183"/>
      <c r="D85" s="183"/>
      <c r="E85" s="240"/>
      <c r="F85" s="240"/>
      <c r="G85" s="240"/>
      <c r="H85" s="240"/>
      <c r="I85" s="240"/>
      <c r="J85" s="240"/>
      <c r="K85" s="240"/>
      <c r="L85" s="240"/>
      <c r="M85" s="240"/>
      <c r="N85" s="240"/>
      <c r="O85" s="240"/>
      <c r="P85" s="240"/>
      <c r="Q85" s="240"/>
      <c r="R85" s="244"/>
      <c r="S85" s="242">
        <f t="shared" si="5"/>
        <v>0</v>
      </c>
      <c r="T85"/>
      <c r="V85" s="334"/>
      <c r="Z85"/>
    </row>
    <row r="86" spans="1:26" x14ac:dyDescent="0.2">
      <c r="A86" s="159">
        <v>615130</v>
      </c>
      <c r="B86" s="160" t="s">
        <v>298</v>
      </c>
      <c r="C86" s="148" t="s">
        <v>172</v>
      </c>
      <c r="D86" s="148" t="s">
        <v>248</v>
      </c>
      <c r="E86" s="240">
        <v>0</v>
      </c>
      <c r="F86" s="240">
        <v>0</v>
      </c>
      <c r="G86" s="240">
        <v>0</v>
      </c>
      <c r="H86" s="240">
        <v>0</v>
      </c>
      <c r="I86" s="240">
        <v>0</v>
      </c>
      <c r="J86" s="240">
        <v>0</v>
      </c>
      <c r="K86" s="240">
        <v>0</v>
      </c>
      <c r="L86" s="240">
        <v>0</v>
      </c>
      <c r="M86" s="240">
        <v>0</v>
      </c>
      <c r="N86" s="240">
        <v>0</v>
      </c>
      <c r="O86" s="240">
        <v>0</v>
      </c>
      <c r="P86" s="240">
        <v>0</v>
      </c>
      <c r="Q86" s="240">
        <v>0</v>
      </c>
      <c r="R86" s="240">
        <v>0</v>
      </c>
      <c r="S86" s="242">
        <f t="shared" si="5"/>
        <v>0</v>
      </c>
      <c r="V86" s="334"/>
      <c r="Z86"/>
    </row>
    <row r="87" spans="1:26" s="185" customFormat="1" ht="12.75" customHeight="1" x14ac:dyDescent="0.2">
      <c r="A87" s="181"/>
      <c r="B87" s="182"/>
      <c r="C87" s="183"/>
      <c r="D87" s="183"/>
      <c r="E87" s="240"/>
      <c r="F87" s="240"/>
      <c r="G87" s="240"/>
      <c r="H87" s="240"/>
      <c r="I87" s="240"/>
      <c r="J87" s="240"/>
      <c r="K87" s="240"/>
      <c r="L87" s="240"/>
      <c r="M87" s="240"/>
      <c r="N87" s="240"/>
      <c r="O87" s="240"/>
      <c r="P87" s="240"/>
      <c r="Q87" s="240"/>
      <c r="R87" s="244"/>
      <c r="S87" s="242"/>
      <c r="T87"/>
      <c r="V87" s="334"/>
      <c r="Z87"/>
    </row>
    <row r="88" spans="1:26" x14ac:dyDescent="0.2">
      <c r="A88" s="159">
        <v>615130</v>
      </c>
      <c r="B88" s="160" t="s">
        <v>298</v>
      </c>
      <c r="C88" s="148" t="s">
        <v>79</v>
      </c>
      <c r="D88" s="148" t="s">
        <v>248</v>
      </c>
      <c r="E88" s="240">
        <v>0</v>
      </c>
      <c r="F88" s="240">
        <v>0</v>
      </c>
      <c r="G88" s="240">
        <v>0</v>
      </c>
      <c r="H88" s="240">
        <v>0</v>
      </c>
      <c r="I88" s="240">
        <v>0</v>
      </c>
      <c r="J88" s="240">
        <v>1435</v>
      </c>
      <c r="K88" s="240">
        <v>2440</v>
      </c>
      <c r="L88" s="240">
        <v>0</v>
      </c>
      <c r="M88" s="240">
        <v>0</v>
      </c>
      <c r="N88" s="240">
        <v>0</v>
      </c>
      <c r="O88" s="240">
        <v>20000</v>
      </c>
      <c r="P88" s="240">
        <v>8310</v>
      </c>
      <c r="Q88" s="240">
        <v>6053</v>
      </c>
      <c r="R88" s="240">
        <v>0</v>
      </c>
      <c r="S88" s="242">
        <f t="shared" si="5"/>
        <v>38238</v>
      </c>
      <c r="V88" s="334"/>
      <c r="Z88"/>
    </row>
    <row r="89" spans="1:26" x14ac:dyDescent="0.2">
      <c r="A89" s="159"/>
      <c r="B89" s="160"/>
      <c r="C89" s="148"/>
      <c r="D89" s="148"/>
      <c r="E89" s="240"/>
      <c r="F89" s="240"/>
      <c r="G89" s="240"/>
      <c r="H89" s="240"/>
      <c r="I89" s="240"/>
      <c r="J89" s="240"/>
      <c r="K89" s="240"/>
      <c r="L89" s="240"/>
      <c r="M89" s="240"/>
      <c r="N89" s="240"/>
      <c r="O89" s="240"/>
      <c r="P89" s="240"/>
      <c r="Q89" s="240"/>
      <c r="R89" s="240"/>
      <c r="S89" s="242">
        <f t="shared" si="5"/>
        <v>0</v>
      </c>
      <c r="V89" s="334"/>
      <c r="Z89"/>
    </row>
    <row r="90" spans="1:26" x14ac:dyDescent="0.2">
      <c r="A90" s="159">
        <v>615130</v>
      </c>
      <c r="B90" s="160" t="s">
        <v>298</v>
      </c>
      <c r="C90" s="148" t="s">
        <v>367</v>
      </c>
      <c r="D90" s="148" t="s">
        <v>248</v>
      </c>
      <c r="E90" s="240"/>
      <c r="F90" s="240">
        <v>30114</v>
      </c>
      <c r="G90" s="240">
        <f>-30114+56838</f>
        <v>26724</v>
      </c>
      <c r="H90" s="240">
        <f>-56838+41566.82</f>
        <v>-15271.18</v>
      </c>
      <c r="I90" s="240">
        <f>-41566.82+46272.79</f>
        <v>4705.9700000000012</v>
      </c>
      <c r="J90" s="240">
        <f>-46272.79+74700.79</f>
        <v>28427.999999999993</v>
      </c>
      <c r="K90" s="240">
        <f>-74700.79+14867.08</f>
        <v>-59833.709999999992</v>
      </c>
      <c r="L90" s="240">
        <f>-14867.08+1390.56</f>
        <v>-13476.52</v>
      </c>
      <c r="M90" s="240">
        <f>-1390.56+19614.26</f>
        <v>18223.699999999997</v>
      </c>
      <c r="N90" s="240">
        <f>-19614.26-57093.97</f>
        <v>-76708.23</v>
      </c>
      <c r="O90" s="240">
        <f>57093.97-138983.89</f>
        <v>-81889.920000000013</v>
      </c>
      <c r="P90" s="240">
        <f>138983.89-1.01</f>
        <v>138982.88</v>
      </c>
      <c r="Q90" s="240"/>
      <c r="R90" s="240"/>
      <c r="S90" s="242">
        <f>+SUM(E90:Q90)</f>
        <v>-1.0100000000093132</v>
      </c>
      <c r="V90" s="334"/>
      <c r="Z90"/>
    </row>
    <row r="91" spans="1:26" x14ac:dyDescent="0.2">
      <c r="A91" s="159">
        <v>615130</v>
      </c>
      <c r="B91" s="160" t="s">
        <v>298</v>
      </c>
      <c r="C91" s="148" t="s">
        <v>381</v>
      </c>
      <c r="D91" s="148">
        <v>999999</v>
      </c>
      <c r="E91" s="240">
        <v>0</v>
      </c>
      <c r="F91" s="240">
        <v>0</v>
      </c>
      <c r="G91" s="240">
        <v>0</v>
      </c>
      <c r="H91" s="240">
        <v>0</v>
      </c>
      <c r="I91" s="240">
        <v>0</v>
      </c>
      <c r="J91" s="240">
        <v>0</v>
      </c>
      <c r="K91" s="240">
        <v>0</v>
      </c>
      <c r="L91" s="240">
        <v>0</v>
      </c>
      <c r="M91" s="240">
        <v>0</v>
      </c>
      <c r="N91" s="240">
        <v>0</v>
      </c>
      <c r="O91" s="240">
        <v>0</v>
      </c>
      <c r="P91" s="240">
        <v>0</v>
      </c>
      <c r="Q91" s="240">
        <v>0</v>
      </c>
      <c r="R91" s="240">
        <v>0</v>
      </c>
      <c r="S91" s="242">
        <f t="shared" si="5"/>
        <v>0</v>
      </c>
      <c r="V91" s="334"/>
      <c r="Z91"/>
    </row>
    <row r="92" spans="1:26" s="185" customFormat="1" ht="23.25" customHeight="1" x14ac:dyDescent="0.2">
      <c r="A92" s="267"/>
      <c r="B92" s="268"/>
      <c r="C92" s="267" t="s">
        <v>66</v>
      </c>
      <c r="D92" s="267"/>
      <c r="E92" s="269">
        <f>SUM(E72:E91)</f>
        <v>1138</v>
      </c>
      <c r="F92" s="269">
        <f t="shared" ref="F92:Q92" si="6">SUM(F72:F91)</f>
        <v>30114</v>
      </c>
      <c r="G92" s="269">
        <f t="shared" si="6"/>
        <v>31252</v>
      </c>
      <c r="H92" s="269">
        <f t="shared" si="6"/>
        <v>-5461.7800000000007</v>
      </c>
      <c r="I92" s="269">
        <f t="shared" si="6"/>
        <v>24392.69</v>
      </c>
      <c r="J92" s="269">
        <f t="shared" si="6"/>
        <v>54718.999999999993</v>
      </c>
      <c r="K92" s="269">
        <f t="shared" si="6"/>
        <v>-23502.409999999996</v>
      </c>
      <c r="L92" s="269">
        <f t="shared" si="6"/>
        <v>18026</v>
      </c>
      <c r="M92" s="269">
        <f t="shared" si="6"/>
        <v>42455.81</v>
      </c>
      <c r="N92" s="269">
        <f t="shared" si="6"/>
        <v>-15446.869999999995</v>
      </c>
      <c r="O92" s="269">
        <f t="shared" si="6"/>
        <v>52693.859999999986</v>
      </c>
      <c r="P92" s="269">
        <f t="shared" si="6"/>
        <v>480505.28</v>
      </c>
      <c r="Q92" s="269">
        <f t="shared" si="6"/>
        <v>141372.03999999998</v>
      </c>
      <c r="R92" s="269">
        <f>SUM(R72:R91)</f>
        <v>0</v>
      </c>
      <c r="S92" s="269">
        <f>SUM(S72:S91)</f>
        <v>832257.62000000011</v>
      </c>
      <c r="T92" s="689" t="e">
        <f>IF(Ctrl($A90)+S91+S90=S92,"Ok","Erreur somme")</f>
        <v>#VALUE!</v>
      </c>
      <c r="U92" s="212">
        <v>806618</v>
      </c>
      <c r="V92" s="334">
        <f>S92-U92</f>
        <v>25639.620000000112</v>
      </c>
      <c r="W92" s="185" t="s">
        <v>853</v>
      </c>
      <c r="Z92"/>
    </row>
    <row r="93" spans="1:26" s="185" customFormat="1" ht="12" customHeight="1" x14ac:dyDescent="0.2">
      <c r="A93" s="159">
        <v>615135</v>
      </c>
      <c r="B93" s="160" t="s">
        <v>352</v>
      </c>
      <c r="C93" s="148" t="s">
        <v>143</v>
      </c>
      <c r="D93" s="148" t="s">
        <v>192</v>
      </c>
      <c r="E93" s="240">
        <v>0</v>
      </c>
      <c r="F93" s="240">
        <v>0</v>
      </c>
      <c r="G93" s="240">
        <v>0</v>
      </c>
      <c r="H93" s="240">
        <v>383.71</v>
      </c>
      <c r="I93" s="240">
        <v>0</v>
      </c>
      <c r="J93" s="240">
        <v>0</v>
      </c>
      <c r="K93" s="240">
        <v>230.23000000000002</v>
      </c>
      <c r="L93" s="240">
        <v>0</v>
      </c>
      <c r="M93" s="240">
        <v>0</v>
      </c>
      <c r="N93" s="240">
        <v>535.62</v>
      </c>
      <c r="O93" s="240">
        <v>591.16999999999996</v>
      </c>
      <c r="P93" s="240">
        <v>0</v>
      </c>
      <c r="Q93" s="240">
        <v>0</v>
      </c>
      <c r="R93" s="243">
        <v>0</v>
      </c>
      <c r="S93" s="243">
        <f>+SUM(E93:Q93)</f>
        <v>1740.73</v>
      </c>
      <c r="T93"/>
      <c r="V93" s="335"/>
      <c r="Z93"/>
    </row>
    <row r="94" spans="1:26" s="185" customFormat="1" ht="23.25" customHeight="1" x14ac:dyDescent="0.2">
      <c r="A94" s="267"/>
      <c r="B94" s="268"/>
      <c r="C94" s="267" t="s">
        <v>66</v>
      </c>
      <c r="D94" s="267"/>
      <c r="E94" s="269">
        <f>+E93</f>
        <v>0</v>
      </c>
      <c r="F94" s="269">
        <f>+F93</f>
        <v>0</v>
      </c>
      <c r="G94" s="269">
        <f t="shared" ref="G94:S94" si="7">+G93</f>
        <v>0</v>
      </c>
      <c r="H94" s="269">
        <f t="shared" si="7"/>
        <v>383.71</v>
      </c>
      <c r="I94" s="269">
        <f t="shared" si="7"/>
        <v>0</v>
      </c>
      <c r="J94" s="269">
        <f t="shared" si="7"/>
        <v>0</v>
      </c>
      <c r="K94" s="269">
        <f t="shared" si="7"/>
        <v>230.23000000000002</v>
      </c>
      <c r="L94" s="269">
        <f t="shared" si="7"/>
        <v>0</v>
      </c>
      <c r="M94" s="269">
        <f t="shared" si="7"/>
        <v>0</v>
      </c>
      <c r="N94" s="269">
        <f t="shared" si="7"/>
        <v>535.62</v>
      </c>
      <c r="O94" s="269">
        <f t="shared" si="7"/>
        <v>591.16999999999996</v>
      </c>
      <c r="P94" s="269">
        <f t="shared" si="7"/>
        <v>0</v>
      </c>
      <c r="Q94" s="269">
        <f t="shared" si="7"/>
        <v>0</v>
      </c>
      <c r="R94" s="269">
        <f>+R93</f>
        <v>0</v>
      </c>
      <c r="S94" s="269">
        <f t="shared" si="7"/>
        <v>1740.73</v>
      </c>
      <c r="T94" s="689" t="str">
        <f>IF(Ctrl($A93)=S94,"Ok","Erreur somme")</f>
        <v>Ok</v>
      </c>
      <c r="U94" s="558">
        <v>1740.73</v>
      </c>
      <c r="V94" s="334">
        <f>S94-U94</f>
        <v>0</v>
      </c>
      <c r="W94" s="185" t="s">
        <v>853</v>
      </c>
      <c r="Z94"/>
    </row>
    <row r="95" spans="1:26" s="185" customFormat="1" ht="12" customHeight="1" x14ac:dyDescent="0.2">
      <c r="A95" s="181">
        <v>615136</v>
      </c>
      <c r="B95" s="266" t="s">
        <v>371</v>
      </c>
      <c r="C95" s="183" t="s">
        <v>145</v>
      </c>
      <c r="D95" s="183" t="s">
        <v>192</v>
      </c>
      <c r="E95" s="240">
        <v>0</v>
      </c>
      <c r="F95" s="240">
        <v>0</v>
      </c>
      <c r="G95" s="240">
        <v>0</v>
      </c>
      <c r="H95" s="240">
        <v>0</v>
      </c>
      <c r="I95" s="240">
        <v>0</v>
      </c>
      <c r="J95" s="240">
        <v>0</v>
      </c>
      <c r="K95" s="240">
        <v>0</v>
      </c>
      <c r="L95" s="240">
        <v>0</v>
      </c>
      <c r="M95" s="240">
        <v>0</v>
      </c>
      <c r="N95" s="240">
        <v>0</v>
      </c>
      <c r="O95" s="240">
        <v>0</v>
      </c>
      <c r="P95" s="240">
        <v>0</v>
      </c>
      <c r="Q95" s="240">
        <v>0</v>
      </c>
      <c r="R95" s="244">
        <v>0</v>
      </c>
      <c r="S95" s="243">
        <f t="shared" ref="S95:S112" si="8">SUM(E95:Q95)</f>
        <v>0</v>
      </c>
      <c r="T95"/>
      <c r="V95" s="335"/>
      <c r="Z95"/>
    </row>
    <row r="96" spans="1:26" s="185" customFormat="1" ht="12" customHeight="1" x14ac:dyDescent="0.2">
      <c r="A96" s="181">
        <v>615136</v>
      </c>
      <c r="B96" s="266" t="s">
        <v>371</v>
      </c>
      <c r="C96" s="183" t="s">
        <v>145</v>
      </c>
      <c r="D96" s="183" t="s">
        <v>269</v>
      </c>
      <c r="E96" s="240">
        <v>323.49</v>
      </c>
      <c r="F96" s="240">
        <v>2610.4300000000003</v>
      </c>
      <c r="G96" s="240">
        <v>3201.28</v>
      </c>
      <c r="H96" s="240">
        <v>3511.65</v>
      </c>
      <c r="I96" s="240">
        <v>2786.8199999999997</v>
      </c>
      <c r="J96" s="240">
        <v>2775.79</v>
      </c>
      <c r="K96" s="240">
        <v>3940.58</v>
      </c>
      <c r="L96" s="240">
        <v>2409.3200000000002</v>
      </c>
      <c r="M96" s="240">
        <v>2147.7399999999998</v>
      </c>
      <c r="N96" s="240">
        <v>1915.02</v>
      </c>
      <c r="O96" s="240">
        <v>2274.21</v>
      </c>
      <c r="P96" s="240">
        <v>2087.41</v>
      </c>
      <c r="Q96" s="240">
        <v>0</v>
      </c>
      <c r="R96" s="244">
        <v>0</v>
      </c>
      <c r="S96" s="243">
        <f t="shared" si="8"/>
        <v>29983.739999999998</v>
      </c>
      <c r="T96"/>
      <c r="V96" s="334"/>
      <c r="Z96"/>
    </row>
    <row r="97" spans="1:26" s="185" customFormat="1" ht="12" customHeight="1" x14ac:dyDescent="0.2">
      <c r="A97" s="181"/>
      <c r="B97" s="266"/>
      <c r="C97" s="181"/>
      <c r="D97" s="181"/>
      <c r="E97" s="240"/>
      <c r="F97" s="240"/>
      <c r="G97" s="240"/>
      <c r="H97" s="240"/>
      <c r="I97" s="240"/>
      <c r="J97" s="240"/>
      <c r="K97" s="240"/>
      <c r="L97" s="240"/>
      <c r="M97" s="240"/>
      <c r="N97" s="240"/>
      <c r="O97" s="240"/>
      <c r="P97" s="240"/>
      <c r="Q97" s="240"/>
      <c r="R97" s="243"/>
      <c r="S97" s="243"/>
      <c r="T97"/>
      <c r="V97" s="334"/>
      <c r="Z97"/>
    </row>
    <row r="98" spans="1:26" s="185" customFormat="1" ht="12" customHeight="1" x14ac:dyDescent="0.2">
      <c r="A98" s="181">
        <v>615136</v>
      </c>
      <c r="B98" s="266" t="s">
        <v>371</v>
      </c>
      <c r="C98" s="183" t="s">
        <v>108</v>
      </c>
      <c r="D98" s="183" t="s">
        <v>192</v>
      </c>
      <c r="E98" s="240">
        <v>0</v>
      </c>
      <c r="F98" s="240">
        <v>0</v>
      </c>
      <c r="G98" s="240">
        <v>0</v>
      </c>
      <c r="H98" s="240">
        <v>0</v>
      </c>
      <c r="I98" s="240">
        <v>0</v>
      </c>
      <c r="J98" s="240">
        <v>0</v>
      </c>
      <c r="K98" s="240">
        <v>0</v>
      </c>
      <c r="L98" s="240">
        <v>0</v>
      </c>
      <c r="M98" s="240">
        <v>0</v>
      </c>
      <c r="N98" s="240">
        <v>0</v>
      </c>
      <c r="O98" s="240">
        <v>0</v>
      </c>
      <c r="P98" s="240">
        <v>0</v>
      </c>
      <c r="Q98" s="240">
        <v>0</v>
      </c>
      <c r="R98" s="243">
        <v>0</v>
      </c>
      <c r="S98" s="243">
        <f>SUM(E98:Q98)</f>
        <v>0</v>
      </c>
      <c r="T98"/>
      <c r="V98" s="334"/>
      <c r="Z98"/>
    </row>
    <row r="99" spans="1:26" s="185" customFormat="1" ht="12" customHeight="1" x14ac:dyDescent="0.2">
      <c r="A99" s="181">
        <v>615136</v>
      </c>
      <c r="B99" s="266" t="s">
        <v>371</v>
      </c>
      <c r="C99" s="183" t="s">
        <v>108</v>
      </c>
      <c r="D99" s="183" t="s">
        <v>269</v>
      </c>
      <c r="E99" s="240">
        <v>-1000</v>
      </c>
      <c r="F99" s="240">
        <v>0</v>
      </c>
      <c r="G99" s="240">
        <v>1168.1600000000001</v>
      </c>
      <c r="H99" s="240">
        <v>1001.28</v>
      </c>
      <c r="I99" s="240">
        <v>1335.04</v>
      </c>
      <c r="J99" s="240">
        <v>1668.8</v>
      </c>
      <c r="K99" s="240">
        <v>0</v>
      </c>
      <c r="L99" s="240">
        <v>0</v>
      </c>
      <c r="M99" s="240">
        <v>0</v>
      </c>
      <c r="N99" s="240">
        <v>1668.8</v>
      </c>
      <c r="O99" s="240">
        <v>0</v>
      </c>
      <c r="P99" s="240">
        <v>1700</v>
      </c>
      <c r="Q99" s="240">
        <v>0</v>
      </c>
      <c r="R99" s="243">
        <v>0</v>
      </c>
      <c r="S99" s="243">
        <f>SUM(E99:Q99)</f>
        <v>7542.08</v>
      </c>
      <c r="T99"/>
      <c r="V99" s="334"/>
      <c r="Z99"/>
    </row>
    <row r="100" spans="1:26" s="185" customFormat="1" ht="12" customHeight="1" x14ac:dyDescent="0.2">
      <c r="A100" s="181"/>
      <c r="B100" s="266"/>
      <c r="C100" s="183"/>
      <c r="D100" s="183"/>
      <c r="E100" s="240"/>
      <c r="F100" s="240"/>
      <c r="G100" s="240"/>
      <c r="H100" s="240"/>
      <c r="I100" s="240"/>
      <c r="J100" s="240"/>
      <c r="K100" s="240"/>
      <c r="L100" s="240"/>
      <c r="M100" s="240"/>
      <c r="N100" s="240"/>
      <c r="O100" s="240"/>
      <c r="P100" s="240"/>
      <c r="Q100" s="240"/>
      <c r="R100" s="243"/>
      <c r="S100" s="243">
        <f t="shared" si="8"/>
        <v>0</v>
      </c>
      <c r="T100"/>
      <c r="V100" s="334"/>
      <c r="Z100"/>
    </row>
    <row r="101" spans="1:26" s="185" customFormat="1" ht="12" customHeight="1" x14ac:dyDescent="0.2">
      <c r="A101" s="181">
        <v>615136</v>
      </c>
      <c r="B101" s="266" t="s">
        <v>371</v>
      </c>
      <c r="C101" s="183" t="s">
        <v>163</v>
      </c>
      <c r="D101" s="183" t="s">
        <v>192</v>
      </c>
      <c r="E101" s="240">
        <v>0</v>
      </c>
      <c r="F101" s="240">
        <v>0</v>
      </c>
      <c r="G101" s="240">
        <v>0</v>
      </c>
      <c r="H101" s="240">
        <v>0</v>
      </c>
      <c r="I101" s="240">
        <v>0</v>
      </c>
      <c r="J101" s="240">
        <v>0</v>
      </c>
      <c r="K101" s="240">
        <v>0</v>
      </c>
      <c r="L101" s="240">
        <v>0</v>
      </c>
      <c r="M101" s="240">
        <v>0</v>
      </c>
      <c r="N101" s="240">
        <v>0</v>
      </c>
      <c r="O101" s="240">
        <v>0</v>
      </c>
      <c r="P101" s="240">
        <v>0</v>
      </c>
      <c r="Q101" s="240">
        <v>0</v>
      </c>
      <c r="R101" s="244">
        <v>0</v>
      </c>
      <c r="S101" s="243">
        <f>SUM(E101:Q101)</f>
        <v>0</v>
      </c>
      <c r="T101"/>
      <c r="V101" s="334"/>
      <c r="Z101"/>
    </row>
    <row r="102" spans="1:26" s="185" customFormat="1" ht="12" customHeight="1" x14ac:dyDescent="0.2">
      <c r="A102" s="181">
        <v>615136</v>
      </c>
      <c r="B102" s="266" t="s">
        <v>371</v>
      </c>
      <c r="C102" s="183" t="s">
        <v>163</v>
      </c>
      <c r="D102" s="183" t="s">
        <v>269</v>
      </c>
      <c r="E102" s="240">
        <v>0</v>
      </c>
      <c r="F102" s="240">
        <v>1824.5</v>
      </c>
      <c r="G102" s="240">
        <v>0</v>
      </c>
      <c r="H102" s="240">
        <v>0</v>
      </c>
      <c r="I102" s="240">
        <v>1930</v>
      </c>
      <c r="J102" s="240">
        <v>0</v>
      </c>
      <c r="K102" s="240">
        <v>0</v>
      </c>
      <c r="L102" s="240">
        <v>2008.5</v>
      </c>
      <c r="M102" s="240">
        <v>0</v>
      </c>
      <c r="N102" s="240">
        <v>0</v>
      </c>
      <c r="O102" s="240">
        <v>0</v>
      </c>
      <c r="P102" s="240">
        <v>0</v>
      </c>
      <c r="Q102" s="240">
        <v>1981.5</v>
      </c>
      <c r="R102" s="244">
        <v>0</v>
      </c>
      <c r="S102" s="243">
        <f t="shared" si="8"/>
        <v>7744.5</v>
      </c>
      <c r="T102"/>
      <c r="V102" s="334"/>
      <c r="Z102"/>
    </row>
    <row r="103" spans="1:26" s="185" customFormat="1" ht="12" customHeight="1" x14ac:dyDescent="0.2">
      <c r="A103" s="181"/>
      <c r="B103" s="266"/>
      <c r="C103" s="183"/>
      <c r="D103" s="183"/>
      <c r="E103" s="240"/>
      <c r="F103" s="240"/>
      <c r="G103" s="240"/>
      <c r="H103" s="240"/>
      <c r="I103" s="240"/>
      <c r="J103" s="240"/>
      <c r="K103" s="240"/>
      <c r="L103" s="240"/>
      <c r="M103" s="240"/>
      <c r="N103" s="240"/>
      <c r="O103" s="240"/>
      <c r="P103" s="240"/>
      <c r="Q103" s="240"/>
      <c r="R103" s="243"/>
      <c r="S103" s="243">
        <f t="shared" si="8"/>
        <v>0</v>
      </c>
      <c r="T103"/>
      <c r="V103" s="334"/>
      <c r="Z103"/>
    </row>
    <row r="104" spans="1:26" s="185" customFormat="1" ht="12" customHeight="1" x14ac:dyDescent="0.2">
      <c r="A104" s="181">
        <v>615136</v>
      </c>
      <c r="B104" s="266" t="s">
        <v>371</v>
      </c>
      <c r="C104" s="183" t="s">
        <v>130</v>
      </c>
      <c r="D104" s="183" t="s">
        <v>192</v>
      </c>
      <c r="E104" s="240">
        <v>0</v>
      </c>
      <c r="F104" s="240">
        <v>0</v>
      </c>
      <c r="G104" s="240">
        <v>0</v>
      </c>
      <c r="H104" s="240">
        <v>0</v>
      </c>
      <c r="I104" s="240">
        <v>0</v>
      </c>
      <c r="J104" s="240">
        <v>0</v>
      </c>
      <c r="K104" s="240">
        <v>0</v>
      </c>
      <c r="L104" s="240">
        <v>0</v>
      </c>
      <c r="M104" s="240">
        <v>0</v>
      </c>
      <c r="N104" s="240">
        <v>0</v>
      </c>
      <c r="O104" s="240">
        <v>0</v>
      </c>
      <c r="P104" s="240">
        <v>0</v>
      </c>
      <c r="Q104" s="240">
        <v>3780</v>
      </c>
      <c r="R104" s="243">
        <v>0</v>
      </c>
      <c r="S104" s="243">
        <f t="shared" si="8"/>
        <v>3780</v>
      </c>
      <c r="T104"/>
      <c r="V104" s="334"/>
      <c r="Z104"/>
    </row>
    <row r="105" spans="1:26" s="185" customFormat="1" ht="12" customHeight="1" x14ac:dyDescent="0.2">
      <c r="A105" s="181">
        <v>615136</v>
      </c>
      <c r="B105" s="266" t="s">
        <v>371</v>
      </c>
      <c r="C105" s="183" t="s">
        <v>130</v>
      </c>
      <c r="D105" s="183" t="s">
        <v>269</v>
      </c>
      <c r="E105" s="240">
        <v>948.8</v>
      </c>
      <c r="F105" s="240">
        <v>0</v>
      </c>
      <c r="G105" s="240">
        <v>1269.29</v>
      </c>
      <c r="H105" s="240">
        <v>0</v>
      </c>
      <c r="I105" s="240">
        <v>0</v>
      </c>
      <c r="J105" s="240">
        <v>340.96</v>
      </c>
      <c r="K105" s="240">
        <v>0</v>
      </c>
      <c r="L105" s="240">
        <v>0</v>
      </c>
      <c r="M105" s="240">
        <v>853.27</v>
      </c>
      <c r="N105" s="240">
        <v>449.1</v>
      </c>
      <c r="O105" s="240">
        <v>0</v>
      </c>
      <c r="P105" s="240">
        <v>0</v>
      </c>
      <c r="Q105" s="240">
        <v>0</v>
      </c>
      <c r="R105" s="243">
        <v>0</v>
      </c>
      <c r="S105" s="243">
        <f t="shared" si="8"/>
        <v>3861.42</v>
      </c>
      <c r="T105"/>
      <c r="V105" s="334"/>
      <c r="Z105"/>
    </row>
    <row r="106" spans="1:26" s="185" customFormat="1" ht="12" customHeight="1" x14ac:dyDescent="0.2">
      <c r="A106" s="181"/>
      <c r="B106" s="266"/>
      <c r="C106" s="183"/>
      <c r="D106" s="183"/>
      <c r="E106" s="240"/>
      <c r="F106" s="240"/>
      <c r="G106" s="240"/>
      <c r="H106" s="240"/>
      <c r="I106" s="240"/>
      <c r="J106" s="240"/>
      <c r="K106" s="240"/>
      <c r="L106" s="240"/>
      <c r="M106" s="240"/>
      <c r="N106" s="240"/>
      <c r="O106" s="240"/>
      <c r="P106" s="240"/>
      <c r="Q106" s="240"/>
      <c r="R106" s="243"/>
      <c r="S106" s="243">
        <f t="shared" si="8"/>
        <v>0</v>
      </c>
      <c r="T106"/>
      <c r="V106" s="334"/>
      <c r="Z106"/>
    </row>
    <row r="107" spans="1:26" s="185" customFormat="1" ht="12" customHeight="1" x14ac:dyDescent="0.2">
      <c r="A107" s="181">
        <v>615136</v>
      </c>
      <c r="B107" s="266" t="s">
        <v>371</v>
      </c>
      <c r="C107" s="183" t="s">
        <v>153</v>
      </c>
      <c r="D107" s="183" t="s">
        <v>269</v>
      </c>
      <c r="E107" s="240">
        <v>0</v>
      </c>
      <c r="F107" s="240">
        <v>0</v>
      </c>
      <c r="G107" s="240">
        <v>0</v>
      </c>
      <c r="H107" s="240">
        <v>0</v>
      </c>
      <c r="I107" s="240">
        <v>0</v>
      </c>
      <c r="J107" s="240">
        <v>0</v>
      </c>
      <c r="K107" s="240">
        <v>0</v>
      </c>
      <c r="L107" s="240">
        <v>0</v>
      </c>
      <c r="M107" s="240">
        <v>0</v>
      </c>
      <c r="N107" s="240">
        <v>0</v>
      </c>
      <c r="O107" s="240">
        <v>0</v>
      </c>
      <c r="P107" s="240">
        <v>0</v>
      </c>
      <c r="Q107" s="240">
        <v>0</v>
      </c>
      <c r="R107" s="244">
        <v>0</v>
      </c>
      <c r="S107" s="243">
        <f t="shared" si="8"/>
        <v>0</v>
      </c>
      <c r="T107"/>
      <c r="V107" s="334"/>
      <c r="Z107"/>
    </row>
    <row r="108" spans="1:26" s="185" customFormat="1" ht="12" customHeight="1" x14ac:dyDescent="0.2">
      <c r="A108" s="181"/>
      <c r="B108" s="266"/>
      <c r="C108" s="183"/>
      <c r="D108" s="183"/>
      <c r="E108" s="240"/>
      <c r="F108" s="240"/>
      <c r="G108" s="240"/>
      <c r="H108" s="240"/>
      <c r="I108" s="240"/>
      <c r="J108" s="240"/>
      <c r="K108" s="240"/>
      <c r="L108" s="240"/>
      <c r="M108" s="240"/>
      <c r="N108" s="240"/>
      <c r="O108" s="240"/>
      <c r="P108" s="240"/>
      <c r="Q108" s="240"/>
      <c r="R108" s="244"/>
      <c r="S108" s="243">
        <f t="shared" si="8"/>
        <v>0</v>
      </c>
      <c r="T108"/>
      <c r="V108" s="334"/>
      <c r="Z108"/>
    </row>
    <row r="109" spans="1:26" s="185" customFormat="1" ht="12" customHeight="1" x14ac:dyDescent="0.2">
      <c r="A109" s="181">
        <v>615136</v>
      </c>
      <c r="B109" s="266" t="s">
        <v>371</v>
      </c>
      <c r="C109" s="183" t="s">
        <v>143</v>
      </c>
      <c r="D109" s="183" t="s">
        <v>192</v>
      </c>
      <c r="E109" s="240">
        <v>0</v>
      </c>
      <c r="F109" s="240">
        <v>0</v>
      </c>
      <c r="G109" s="240">
        <v>0</v>
      </c>
      <c r="H109" s="240">
        <v>0</v>
      </c>
      <c r="I109" s="240">
        <v>0</v>
      </c>
      <c r="J109" s="240">
        <v>0</v>
      </c>
      <c r="K109" s="240">
        <v>0</v>
      </c>
      <c r="L109" s="240">
        <v>0</v>
      </c>
      <c r="M109" s="240">
        <v>0</v>
      </c>
      <c r="N109" s="240">
        <v>0</v>
      </c>
      <c r="O109" s="240">
        <v>0</v>
      </c>
      <c r="P109" s="240">
        <v>0</v>
      </c>
      <c r="Q109" s="240">
        <v>0</v>
      </c>
      <c r="R109" s="244">
        <v>0</v>
      </c>
      <c r="S109" s="243">
        <f t="shared" si="8"/>
        <v>0</v>
      </c>
      <c r="T109"/>
      <c r="V109" s="334"/>
      <c r="Z109"/>
    </row>
    <row r="110" spans="1:26" s="185" customFormat="1" ht="12" customHeight="1" x14ac:dyDescent="0.2">
      <c r="A110" s="181"/>
      <c r="B110" s="266"/>
      <c r="C110" s="183"/>
      <c r="D110" s="183"/>
      <c r="E110" s="240"/>
      <c r="F110" s="240"/>
      <c r="G110" s="240"/>
      <c r="H110" s="240"/>
      <c r="I110" s="240"/>
      <c r="J110" s="240"/>
      <c r="K110" s="240"/>
      <c r="L110" s="240"/>
      <c r="M110" s="240"/>
      <c r="N110" s="240"/>
      <c r="O110" s="240"/>
      <c r="P110" s="240"/>
      <c r="Q110" s="240"/>
      <c r="R110" s="244"/>
      <c r="S110" s="243">
        <f t="shared" si="8"/>
        <v>0</v>
      </c>
      <c r="T110"/>
      <c r="V110" s="334"/>
      <c r="Z110"/>
    </row>
    <row r="111" spans="1:26" s="185" customFormat="1" ht="12" customHeight="1" x14ac:dyDescent="0.2">
      <c r="A111" s="181">
        <v>615136</v>
      </c>
      <c r="B111" s="266" t="s">
        <v>371</v>
      </c>
      <c r="C111" s="183" t="s">
        <v>157</v>
      </c>
      <c r="D111" s="183" t="s">
        <v>192</v>
      </c>
      <c r="E111" s="240">
        <v>0</v>
      </c>
      <c r="F111" s="240">
        <v>0</v>
      </c>
      <c r="G111" s="240">
        <v>0</v>
      </c>
      <c r="H111" s="240">
        <v>0</v>
      </c>
      <c r="I111" s="240">
        <v>0</v>
      </c>
      <c r="J111" s="240">
        <v>0</v>
      </c>
      <c r="K111" s="240">
        <v>0</v>
      </c>
      <c r="L111" s="240">
        <v>0</v>
      </c>
      <c r="M111" s="240">
        <v>0</v>
      </c>
      <c r="N111" s="240">
        <v>0</v>
      </c>
      <c r="O111" s="240">
        <v>0</v>
      </c>
      <c r="P111" s="240">
        <v>0</v>
      </c>
      <c r="Q111" s="240">
        <v>0</v>
      </c>
      <c r="R111" s="244">
        <v>0</v>
      </c>
      <c r="S111" s="243">
        <f t="shared" si="8"/>
        <v>0</v>
      </c>
      <c r="T111"/>
      <c r="V111" s="334"/>
      <c r="Z111"/>
    </row>
    <row r="112" spans="1:26" s="185" customFormat="1" ht="12" customHeight="1" x14ac:dyDescent="0.2">
      <c r="A112" s="181">
        <v>615136</v>
      </c>
      <c r="B112" s="266" t="s">
        <v>371</v>
      </c>
      <c r="C112" s="183" t="s">
        <v>157</v>
      </c>
      <c r="D112" s="183" t="s">
        <v>269</v>
      </c>
      <c r="E112" s="240">
        <v>0</v>
      </c>
      <c r="F112" s="240">
        <v>0</v>
      </c>
      <c r="G112" s="240">
        <v>0</v>
      </c>
      <c r="H112" s="240">
        <v>0</v>
      </c>
      <c r="I112" s="240">
        <v>0</v>
      </c>
      <c r="J112" s="240">
        <v>575</v>
      </c>
      <c r="K112" s="240">
        <v>0</v>
      </c>
      <c r="L112" s="240">
        <v>560</v>
      </c>
      <c r="M112" s="240">
        <v>0</v>
      </c>
      <c r="N112" s="240">
        <v>0</v>
      </c>
      <c r="O112" s="240">
        <v>402.5</v>
      </c>
      <c r="P112" s="240">
        <v>0</v>
      </c>
      <c r="Q112" s="240">
        <v>0</v>
      </c>
      <c r="R112" s="244">
        <v>0</v>
      </c>
      <c r="S112" s="243">
        <f t="shared" si="8"/>
        <v>1537.5</v>
      </c>
      <c r="T112" s="331"/>
      <c r="V112" s="334"/>
      <c r="Z112"/>
    </row>
    <row r="113" spans="1:26" s="185" customFormat="1" ht="12" customHeight="1" x14ac:dyDescent="0.2">
      <c r="A113" s="181"/>
      <c r="B113" s="266"/>
      <c r="C113" s="183"/>
      <c r="D113" s="183"/>
      <c r="E113" s="244"/>
      <c r="F113" s="244"/>
      <c r="G113" s="244"/>
      <c r="H113" s="244"/>
      <c r="I113" s="244"/>
      <c r="J113" s="244"/>
      <c r="K113" s="244"/>
      <c r="L113" s="244"/>
      <c r="M113" s="244"/>
      <c r="N113" s="244"/>
      <c r="O113" s="244"/>
      <c r="P113" s="244"/>
      <c r="Q113" s="244"/>
      <c r="R113" s="244"/>
      <c r="S113" s="243"/>
      <c r="T113"/>
      <c r="V113" s="334"/>
      <c r="Z113"/>
    </row>
    <row r="114" spans="1:26" s="185" customFormat="1" ht="12" customHeight="1" x14ac:dyDescent="0.2">
      <c r="A114" s="181">
        <v>615136</v>
      </c>
      <c r="B114" s="266" t="s">
        <v>371</v>
      </c>
      <c r="C114" s="183" t="s">
        <v>366</v>
      </c>
      <c r="D114" s="183">
        <v>999999</v>
      </c>
      <c r="E114" s="244"/>
      <c r="F114" s="244">
        <v>2320.0100000000002</v>
      </c>
      <c r="G114" s="244">
        <f>-2320.01+7228.78</f>
        <v>4908.7699999999995</v>
      </c>
      <c r="H114" s="244">
        <f>-7228.78+10558.77</f>
        <v>3329.9900000000007</v>
      </c>
      <c r="I114" s="244">
        <f>-10558.77+13288.39</f>
        <v>2729.619999999999</v>
      </c>
      <c r="J114" s="244">
        <f>-13288.39+15820.26</f>
        <v>2531.8700000000008</v>
      </c>
      <c r="K114" s="244">
        <f>-15820.26+21674.71</f>
        <v>5854.4499999999989</v>
      </c>
      <c r="L114" s="244">
        <f>-21674.71+23743.69</f>
        <v>2068.9799999999996</v>
      </c>
      <c r="M114" s="244">
        <f>-23743.69+28192.31</f>
        <v>4448.6200000000026</v>
      </c>
      <c r="N114" s="244">
        <f>-28192.31+34792.46</f>
        <v>6600.1499999999978</v>
      </c>
      <c r="O114" s="244">
        <f>-34792.46+36809.04</f>
        <v>2016.5800000000017</v>
      </c>
      <c r="P114" s="244">
        <f>-36809.04+22645.83</f>
        <v>-14163.21</v>
      </c>
      <c r="Q114" s="244">
        <f>BEAUVAIS!T30</f>
        <v>0</v>
      </c>
      <c r="R114" s="244">
        <f>BEAUVAIS!U30</f>
        <v>0</v>
      </c>
      <c r="S114" s="243">
        <f>SUM(E114:Q114)</f>
        <v>22645.83</v>
      </c>
      <c r="T114"/>
      <c r="V114" s="334"/>
      <c r="Z114"/>
    </row>
    <row r="115" spans="1:26" s="185" customFormat="1" ht="24" customHeight="1" x14ac:dyDescent="0.2">
      <c r="A115" s="267"/>
      <c r="B115" s="268"/>
      <c r="C115" s="267" t="s">
        <v>66</v>
      </c>
      <c r="D115" s="267"/>
      <c r="E115" s="269">
        <f>+SUM(E95:E107)</f>
        <v>272.28999999999996</v>
      </c>
      <c r="F115" s="269">
        <f t="shared" ref="F115:Q115" si="9">+SUM(F95:F114)</f>
        <v>6754.9400000000005</v>
      </c>
      <c r="G115" s="269">
        <f t="shared" si="9"/>
        <v>10547.5</v>
      </c>
      <c r="H115" s="269">
        <f t="shared" si="9"/>
        <v>7842.920000000001</v>
      </c>
      <c r="I115" s="269">
        <f t="shared" si="9"/>
        <v>8781.48</v>
      </c>
      <c r="J115" s="269">
        <f t="shared" si="9"/>
        <v>7892.420000000001</v>
      </c>
      <c r="K115" s="269">
        <f t="shared" si="9"/>
        <v>9795.0299999999988</v>
      </c>
      <c r="L115" s="269">
        <f t="shared" si="9"/>
        <v>7046.7999999999993</v>
      </c>
      <c r="M115" s="269">
        <f t="shared" si="9"/>
        <v>7449.6300000000028</v>
      </c>
      <c r="N115" s="269">
        <f t="shared" si="9"/>
        <v>10633.069999999998</v>
      </c>
      <c r="O115" s="269">
        <f t="shared" si="9"/>
        <v>4693.2900000000018</v>
      </c>
      <c r="P115" s="269">
        <f t="shared" si="9"/>
        <v>-10375.799999999999</v>
      </c>
      <c r="Q115" s="269">
        <f t="shared" si="9"/>
        <v>5761.5</v>
      </c>
      <c r="R115" s="269">
        <f>+SUM(R95:R114)</f>
        <v>0</v>
      </c>
      <c r="S115" s="269">
        <f>SUM(S95:S114)</f>
        <v>77095.070000000007</v>
      </c>
      <c r="T115" s="689" t="e">
        <f>IF(Ctrl($A114)+S114+S113=S115,"Ok","Erreur somme")</f>
        <v>#VALUE!</v>
      </c>
      <c r="U115" s="212">
        <v>71820</v>
      </c>
      <c r="V115" s="334">
        <f>U115-S115</f>
        <v>-5275.070000000007</v>
      </c>
      <c r="W115" s="185" t="s">
        <v>853</v>
      </c>
      <c r="Z115"/>
    </row>
    <row r="116" spans="1:26" s="185" customFormat="1" ht="12" customHeight="1" x14ac:dyDescent="0.2">
      <c r="A116" s="181">
        <v>615137</v>
      </c>
      <c r="B116" s="266" t="s">
        <v>373</v>
      </c>
      <c r="C116" s="183" t="s">
        <v>77</v>
      </c>
      <c r="D116" s="183" t="s">
        <v>192</v>
      </c>
      <c r="E116" s="240">
        <v>0</v>
      </c>
      <c r="F116" s="240">
        <v>0</v>
      </c>
      <c r="G116" s="240">
        <v>0</v>
      </c>
      <c r="H116" s="240">
        <v>0</v>
      </c>
      <c r="I116" s="240">
        <v>0</v>
      </c>
      <c r="J116" s="240">
        <v>0</v>
      </c>
      <c r="K116" s="240">
        <v>0</v>
      </c>
      <c r="L116" s="240">
        <v>330</v>
      </c>
      <c r="M116" s="240">
        <v>0</v>
      </c>
      <c r="N116" s="240">
        <v>0</v>
      </c>
      <c r="O116" s="240">
        <v>0</v>
      </c>
      <c r="P116" s="240">
        <v>0</v>
      </c>
      <c r="Q116" s="240">
        <v>0</v>
      </c>
      <c r="R116" s="244">
        <v>0</v>
      </c>
      <c r="S116" s="243">
        <f t="shared" ref="S116:S132" si="10">SUM(E116:Q116)</f>
        <v>330</v>
      </c>
      <c r="T116"/>
      <c r="U116" s="509"/>
      <c r="V116" s="335"/>
      <c r="Z116"/>
    </row>
    <row r="117" spans="1:26" s="185" customFormat="1" ht="12" customHeight="1" x14ac:dyDescent="0.2">
      <c r="A117" s="181"/>
      <c r="B117" s="266"/>
      <c r="C117" s="181"/>
      <c r="D117" s="181"/>
      <c r="E117" s="240"/>
      <c r="F117" s="240"/>
      <c r="G117" s="240"/>
      <c r="H117" s="240"/>
      <c r="I117" s="240"/>
      <c r="J117" s="240"/>
      <c r="K117" s="240"/>
      <c r="L117" s="240"/>
      <c r="M117" s="240"/>
      <c r="N117" s="240"/>
      <c r="O117" s="240"/>
      <c r="P117" s="240"/>
      <c r="Q117" s="240"/>
      <c r="R117" s="243"/>
      <c r="S117" s="243">
        <f t="shared" si="10"/>
        <v>0</v>
      </c>
      <c r="T117"/>
      <c r="V117" s="335"/>
      <c r="Z117"/>
    </row>
    <row r="118" spans="1:26" s="185" customFormat="1" ht="12" customHeight="1" x14ac:dyDescent="0.2">
      <c r="A118" s="181">
        <v>615137</v>
      </c>
      <c r="B118" s="266" t="s">
        <v>373</v>
      </c>
      <c r="C118" s="183" t="s">
        <v>70</v>
      </c>
      <c r="D118" s="183" t="s">
        <v>192</v>
      </c>
      <c r="E118" s="240">
        <v>0</v>
      </c>
      <c r="F118" s="240">
        <v>0</v>
      </c>
      <c r="G118" s="240">
        <v>0</v>
      </c>
      <c r="H118" s="240">
        <v>0</v>
      </c>
      <c r="I118" s="240">
        <v>0</v>
      </c>
      <c r="J118" s="240">
        <v>0</v>
      </c>
      <c r="K118" s="240">
        <v>705</v>
      </c>
      <c r="L118" s="240">
        <v>0</v>
      </c>
      <c r="M118" s="240">
        <v>0</v>
      </c>
      <c r="N118" s="240">
        <v>0</v>
      </c>
      <c r="O118" s="240">
        <v>0</v>
      </c>
      <c r="P118" s="240">
        <v>2665</v>
      </c>
      <c r="Q118" s="240">
        <v>0</v>
      </c>
      <c r="R118" s="244">
        <v>0</v>
      </c>
      <c r="S118" s="243">
        <f t="shared" si="10"/>
        <v>3370</v>
      </c>
      <c r="T118"/>
      <c r="V118" s="335"/>
      <c r="Z118"/>
    </row>
    <row r="119" spans="1:26" s="185" customFormat="1" ht="12" customHeight="1" x14ac:dyDescent="0.2">
      <c r="A119" s="181"/>
      <c r="B119" s="266"/>
      <c r="C119" s="183"/>
      <c r="D119" s="183"/>
      <c r="E119" s="240"/>
      <c r="F119" s="240"/>
      <c r="G119" s="240"/>
      <c r="H119" s="240"/>
      <c r="I119" s="240"/>
      <c r="J119" s="240"/>
      <c r="K119" s="240"/>
      <c r="L119" s="240"/>
      <c r="M119" s="240"/>
      <c r="N119" s="240"/>
      <c r="O119" s="240"/>
      <c r="P119" s="240"/>
      <c r="Q119" s="240"/>
      <c r="R119" s="243"/>
      <c r="S119" s="243">
        <f t="shared" si="10"/>
        <v>0</v>
      </c>
      <c r="T119"/>
      <c r="V119" s="335"/>
      <c r="Z119"/>
    </row>
    <row r="120" spans="1:26" s="185" customFormat="1" ht="12" customHeight="1" x14ac:dyDescent="0.2">
      <c r="A120" s="181">
        <v>615137</v>
      </c>
      <c r="B120" s="266" t="s">
        <v>373</v>
      </c>
      <c r="C120" s="183" t="s">
        <v>75</v>
      </c>
      <c r="D120" s="183" t="s">
        <v>192</v>
      </c>
      <c r="E120" s="240">
        <v>0</v>
      </c>
      <c r="F120" s="240">
        <v>0</v>
      </c>
      <c r="G120" s="240">
        <v>0</v>
      </c>
      <c r="H120" s="240">
        <v>0</v>
      </c>
      <c r="I120" s="240">
        <v>0</v>
      </c>
      <c r="J120" s="240">
        <v>0</v>
      </c>
      <c r="K120" s="240">
        <v>0</v>
      </c>
      <c r="L120" s="240">
        <v>0</v>
      </c>
      <c r="M120" s="240">
        <v>0</v>
      </c>
      <c r="N120" s="240">
        <v>0</v>
      </c>
      <c r="O120" s="240">
        <v>0</v>
      </c>
      <c r="P120" s="240">
        <v>0</v>
      </c>
      <c r="Q120" s="240">
        <v>0</v>
      </c>
      <c r="R120" s="244">
        <v>0</v>
      </c>
      <c r="S120" s="243">
        <f t="shared" si="10"/>
        <v>0</v>
      </c>
      <c r="T120"/>
      <c r="V120" s="335"/>
      <c r="Z120"/>
    </row>
    <row r="121" spans="1:26" s="185" customFormat="1" ht="12" customHeight="1" x14ac:dyDescent="0.2">
      <c r="A121" s="181"/>
      <c r="B121" s="266"/>
      <c r="C121" s="183"/>
      <c r="D121" s="183"/>
      <c r="E121" s="240"/>
      <c r="F121" s="240"/>
      <c r="G121" s="240"/>
      <c r="H121" s="240"/>
      <c r="I121" s="240"/>
      <c r="J121" s="240"/>
      <c r="K121" s="240"/>
      <c r="L121" s="240"/>
      <c r="M121" s="240"/>
      <c r="N121" s="240"/>
      <c r="O121" s="240"/>
      <c r="P121" s="240"/>
      <c r="Q121" s="240"/>
      <c r="R121" s="243"/>
      <c r="S121" s="243">
        <f t="shared" si="10"/>
        <v>0</v>
      </c>
      <c r="T121"/>
      <c r="V121" s="335"/>
      <c r="Z121"/>
    </row>
    <row r="122" spans="1:26" s="185" customFormat="1" ht="12" customHeight="1" x14ac:dyDescent="0.2">
      <c r="A122" s="181">
        <v>615137</v>
      </c>
      <c r="B122" s="266" t="s">
        <v>373</v>
      </c>
      <c r="C122" s="183" t="s">
        <v>234</v>
      </c>
      <c r="D122" s="183" t="s">
        <v>192</v>
      </c>
      <c r="E122" s="240">
        <v>0</v>
      </c>
      <c r="F122" s="240">
        <v>0</v>
      </c>
      <c r="G122" s="240">
        <v>0</v>
      </c>
      <c r="H122" s="240">
        <v>0</v>
      </c>
      <c r="I122" s="240">
        <v>0</v>
      </c>
      <c r="J122" s="240">
        <v>0</v>
      </c>
      <c r="K122" s="240">
        <v>0</v>
      </c>
      <c r="L122" s="240">
        <v>0</v>
      </c>
      <c r="M122" s="240">
        <v>0</v>
      </c>
      <c r="N122" s="240">
        <v>0</v>
      </c>
      <c r="O122" s="240">
        <v>0</v>
      </c>
      <c r="P122" s="240">
        <v>0</v>
      </c>
      <c r="Q122" s="240">
        <v>0</v>
      </c>
      <c r="R122" s="244">
        <v>0</v>
      </c>
      <c r="S122" s="243">
        <f t="shared" si="10"/>
        <v>0</v>
      </c>
      <c r="T122"/>
      <c r="V122" s="335"/>
      <c r="Z122"/>
    </row>
    <row r="123" spans="1:26" s="185" customFormat="1" ht="12" customHeight="1" x14ac:dyDescent="0.2">
      <c r="A123" s="181"/>
      <c r="B123" s="266"/>
      <c r="C123" s="183"/>
      <c r="D123" s="183"/>
      <c r="E123" s="240"/>
      <c r="F123" s="240"/>
      <c r="G123" s="240"/>
      <c r="H123" s="240"/>
      <c r="I123" s="240"/>
      <c r="J123" s="240"/>
      <c r="K123" s="240"/>
      <c r="L123" s="240"/>
      <c r="M123" s="240"/>
      <c r="N123" s="240"/>
      <c r="O123" s="240"/>
      <c r="P123" s="240"/>
      <c r="Q123" s="240"/>
      <c r="R123" s="244"/>
      <c r="S123" s="243">
        <f t="shared" si="10"/>
        <v>0</v>
      </c>
      <c r="T123"/>
      <c r="V123" s="335"/>
      <c r="Z123"/>
    </row>
    <row r="124" spans="1:26" s="185" customFormat="1" ht="12" customHeight="1" x14ac:dyDescent="0.2">
      <c r="A124" s="181">
        <v>615137</v>
      </c>
      <c r="B124" s="266" t="s">
        <v>373</v>
      </c>
      <c r="C124" s="183" t="s">
        <v>194</v>
      </c>
      <c r="D124" s="183" t="s">
        <v>192</v>
      </c>
      <c r="E124" s="240">
        <v>0</v>
      </c>
      <c r="F124" s="240">
        <v>0</v>
      </c>
      <c r="G124" s="240">
        <v>0</v>
      </c>
      <c r="H124" s="240">
        <v>0</v>
      </c>
      <c r="I124" s="240">
        <v>0</v>
      </c>
      <c r="J124" s="240">
        <v>0</v>
      </c>
      <c r="K124" s="240">
        <v>0</v>
      </c>
      <c r="L124" s="240">
        <v>0</v>
      </c>
      <c r="M124" s="240">
        <v>0</v>
      </c>
      <c r="N124" s="240">
        <v>0</v>
      </c>
      <c r="O124" s="240">
        <v>0</v>
      </c>
      <c r="P124" s="240">
        <v>0</v>
      </c>
      <c r="Q124" s="240">
        <v>0</v>
      </c>
      <c r="R124" s="244">
        <v>0</v>
      </c>
      <c r="S124" s="243">
        <f t="shared" si="10"/>
        <v>0</v>
      </c>
      <c r="T124"/>
      <c r="V124" s="335"/>
      <c r="Z124"/>
    </row>
    <row r="125" spans="1:26" s="185" customFormat="1" ht="12" customHeight="1" x14ac:dyDescent="0.2">
      <c r="A125" s="181"/>
      <c r="B125" s="266"/>
      <c r="C125" s="183"/>
      <c r="D125" s="183"/>
      <c r="E125" s="240"/>
      <c r="F125" s="240"/>
      <c r="G125" s="240"/>
      <c r="H125" s="240"/>
      <c r="I125" s="240"/>
      <c r="J125" s="240"/>
      <c r="K125" s="240"/>
      <c r="L125" s="240"/>
      <c r="M125" s="240"/>
      <c r="N125" s="240"/>
      <c r="O125" s="240"/>
      <c r="P125" s="240"/>
      <c r="Q125" s="240"/>
      <c r="R125" s="244"/>
      <c r="S125" s="243">
        <f t="shared" si="10"/>
        <v>0</v>
      </c>
      <c r="T125"/>
      <c r="V125" s="335"/>
      <c r="Z125"/>
    </row>
    <row r="126" spans="1:26" s="185" customFormat="1" ht="12" customHeight="1" x14ac:dyDescent="0.2">
      <c r="A126" s="181">
        <v>615137</v>
      </c>
      <c r="B126" s="266" t="s">
        <v>373</v>
      </c>
      <c r="C126" s="183" t="s">
        <v>235</v>
      </c>
      <c r="D126" s="183" t="s">
        <v>192</v>
      </c>
      <c r="E126" s="240">
        <v>-552.79999999999995</v>
      </c>
      <c r="F126" s="240">
        <v>2000</v>
      </c>
      <c r="G126" s="240">
        <v>0</v>
      </c>
      <c r="H126" s="240">
        <v>0</v>
      </c>
      <c r="I126" s="240">
        <v>0</v>
      </c>
      <c r="J126" s="240">
        <v>0</v>
      </c>
      <c r="K126" s="240">
        <v>0</v>
      </c>
      <c r="L126" s="240">
        <v>0</v>
      </c>
      <c r="M126" s="240">
        <v>0</v>
      </c>
      <c r="N126" s="240">
        <v>0</v>
      </c>
      <c r="O126" s="240">
        <v>0</v>
      </c>
      <c r="P126" s="240">
        <v>0</v>
      </c>
      <c r="Q126" s="240">
        <v>0</v>
      </c>
      <c r="R126" s="244">
        <v>0</v>
      </c>
      <c r="S126" s="243">
        <f t="shared" si="10"/>
        <v>1447.2</v>
      </c>
      <c r="T126"/>
      <c r="U126" s="509"/>
      <c r="V126" s="335"/>
      <c r="Z126"/>
    </row>
    <row r="127" spans="1:26" s="185" customFormat="1" ht="12" customHeight="1" x14ac:dyDescent="0.2">
      <c r="A127" s="181"/>
      <c r="B127" s="266"/>
      <c r="C127" s="183"/>
      <c r="D127" s="183"/>
      <c r="E127" s="240"/>
      <c r="F127" s="240"/>
      <c r="G127" s="240"/>
      <c r="H127" s="240"/>
      <c r="I127" s="240"/>
      <c r="J127" s="240"/>
      <c r="K127" s="240"/>
      <c r="L127" s="240"/>
      <c r="M127" s="240"/>
      <c r="N127" s="240"/>
      <c r="O127" s="240"/>
      <c r="P127" s="240"/>
      <c r="Q127" s="240"/>
      <c r="R127" s="244"/>
      <c r="S127" s="243">
        <f t="shared" si="10"/>
        <v>0</v>
      </c>
      <c r="T127"/>
      <c r="V127" s="335"/>
      <c r="Z127"/>
    </row>
    <row r="128" spans="1:26" s="185" customFormat="1" ht="12" customHeight="1" x14ac:dyDescent="0.2">
      <c r="A128" s="181">
        <v>615137</v>
      </c>
      <c r="B128" s="266" t="s">
        <v>373</v>
      </c>
      <c r="C128" s="183" t="s">
        <v>236</v>
      </c>
      <c r="D128" s="183" t="s">
        <v>192</v>
      </c>
      <c r="E128" s="240">
        <v>0</v>
      </c>
      <c r="F128" s="240">
        <v>0</v>
      </c>
      <c r="G128" s="240">
        <v>0</v>
      </c>
      <c r="H128" s="240">
        <v>0</v>
      </c>
      <c r="I128" s="240">
        <v>0</v>
      </c>
      <c r="J128" s="240">
        <v>1197</v>
      </c>
      <c r="K128" s="240">
        <v>0</v>
      </c>
      <c r="L128" s="240">
        <v>0</v>
      </c>
      <c r="M128" s="240">
        <v>0</v>
      </c>
      <c r="N128" s="240">
        <v>0</v>
      </c>
      <c r="O128" s="240">
        <v>0</v>
      </c>
      <c r="P128" s="240">
        <v>0</v>
      </c>
      <c r="Q128" s="240">
        <v>0</v>
      </c>
      <c r="R128" s="244">
        <v>0</v>
      </c>
      <c r="S128" s="243">
        <f t="shared" si="10"/>
        <v>1197</v>
      </c>
      <c r="T128"/>
      <c r="V128" s="335"/>
      <c r="Z128"/>
    </row>
    <row r="129" spans="1:26" s="185" customFormat="1" ht="12" customHeight="1" x14ac:dyDescent="0.2">
      <c r="A129" s="181"/>
      <c r="B129" s="266"/>
      <c r="C129" s="183"/>
      <c r="D129" s="183"/>
      <c r="E129" s="240"/>
      <c r="F129" s="240"/>
      <c r="G129" s="240"/>
      <c r="H129" s="240"/>
      <c r="I129" s="240"/>
      <c r="J129" s="240"/>
      <c r="K129" s="240"/>
      <c r="L129" s="240"/>
      <c r="M129" s="240"/>
      <c r="N129" s="240"/>
      <c r="O129" s="240"/>
      <c r="P129" s="240"/>
      <c r="Q129" s="240"/>
      <c r="R129" s="244"/>
      <c r="S129" s="243">
        <f t="shared" si="10"/>
        <v>0</v>
      </c>
      <c r="T129"/>
      <c r="V129" s="335"/>
      <c r="Z129"/>
    </row>
    <row r="130" spans="1:26" s="185" customFormat="1" ht="12" customHeight="1" x14ac:dyDescent="0.2">
      <c r="A130" s="181">
        <v>615137</v>
      </c>
      <c r="B130" s="266" t="s">
        <v>373</v>
      </c>
      <c r="C130" s="183" t="s">
        <v>237</v>
      </c>
      <c r="D130" s="183" t="s">
        <v>192</v>
      </c>
      <c r="E130" s="240">
        <v>0</v>
      </c>
      <c r="F130" s="240">
        <v>0</v>
      </c>
      <c r="G130" s="240">
        <v>0</v>
      </c>
      <c r="H130" s="240">
        <v>0</v>
      </c>
      <c r="I130" s="240">
        <v>0</v>
      </c>
      <c r="J130" s="240">
        <v>0</v>
      </c>
      <c r="K130" s="240">
        <v>0</v>
      </c>
      <c r="L130" s="240">
        <v>88.09</v>
      </c>
      <c r="M130" s="240">
        <v>0</v>
      </c>
      <c r="N130" s="240">
        <v>0</v>
      </c>
      <c r="O130" s="240">
        <v>0</v>
      </c>
      <c r="P130" s="240">
        <v>0</v>
      </c>
      <c r="Q130" s="240">
        <v>0</v>
      </c>
      <c r="R130" s="244">
        <v>0</v>
      </c>
      <c r="S130" s="243">
        <f t="shared" si="10"/>
        <v>88.09</v>
      </c>
      <c r="T130"/>
      <c r="V130" s="335"/>
      <c r="Z130"/>
    </row>
    <row r="131" spans="1:26" s="185" customFormat="1" ht="12" customHeight="1" x14ac:dyDescent="0.2">
      <c r="A131" s="181"/>
      <c r="B131" s="266"/>
      <c r="C131" s="183"/>
      <c r="D131" s="183"/>
      <c r="E131" s="240"/>
      <c r="F131" s="240"/>
      <c r="G131" s="240"/>
      <c r="H131" s="240"/>
      <c r="I131" s="240"/>
      <c r="J131" s="240"/>
      <c r="K131" s="240"/>
      <c r="L131" s="240"/>
      <c r="M131" s="240"/>
      <c r="N131" s="240"/>
      <c r="O131" s="240"/>
      <c r="P131" s="240"/>
      <c r="Q131" s="240"/>
      <c r="R131" s="244"/>
      <c r="S131" s="243">
        <f t="shared" si="10"/>
        <v>0</v>
      </c>
      <c r="T131"/>
      <c r="V131" s="335"/>
      <c r="Z131"/>
    </row>
    <row r="132" spans="1:26" s="185" customFormat="1" ht="12" customHeight="1" x14ac:dyDescent="0.2">
      <c r="A132" s="181">
        <v>615137</v>
      </c>
      <c r="B132" s="266" t="s">
        <v>373</v>
      </c>
      <c r="C132" s="183" t="s">
        <v>365</v>
      </c>
      <c r="D132" s="183">
        <v>999999</v>
      </c>
      <c r="E132" s="244"/>
      <c r="F132" s="244">
        <v>263.64</v>
      </c>
      <c r="G132" s="244">
        <f>-263.64+1178.98</f>
        <v>915.34</v>
      </c>
      <c r="H132" s="244">
        <f>-1178.98-1179.24</f>
        <v>-2358.2200000000003</v>
      </c>
      <c r="I132" s="244">
        <f>1179.24-1548.53</f>
        <v>-369.28999999999996</v>
      </c>
      <c r="J132" s="244">
        <f>1548.53-1752.68</f>
        <v>-204.15000000000009</v>
      </c>
      <c r="K132" s="243">
        <f>3832.01+1752.68</f>
        <v>5584.6900000000005</v>
      </c>
      <c r="L132" s="243">
        <f>-3832.01+3561.38</f>
        <v>-270.63000000000011</v>
      </c>
      <c r="M132" s="243">
        <f>-3561.38+5068.41</f>
        <v>1507.0299999999997</v>
      </c>
      <c r="N132" s="243">
        <f>-5068.41+4887.6</f>
        <v>-180.80999999999949</v>
      </c>
      <c r="O132" s="243">
        <f>-4887.6+4310.33</f>
        <v>-577.27000000000044</v>
      </c>
      <c r="P132" s="243">
        <f>-4310.33-753.43</f>
        <v>-5063.76</v>
      </c>
      <c r="Q132" s="244"/>
      <c r="R132" s="244"/>
      <c r="S132" s="243">
        <f t="shared" si="10"/>
        <v>-753.43000000000029</v>
      </c>
      <c r="T132"/>
      <c r="V132" s="335"/>
      <c r="Z132"/>
    </row>
    <row r="133" spans="1:26" s="185" customFormat="1" ht="24" customHeight="1" x14ac:dyDescent="0.2">
      <c r="A133" s="267"/>
      <c r="B133" s="268"/>
      <c r="C133" s="267" t="s">
        <v>66</v>
      </c>
      <c r="D133" s="267"/>
      <c r="E133" s="269">
        <f>+SUM(E116:E132)</f>
        <v>-552.79999999999995</v>
      </c>
      <c r="F133" s="269">
        <f>+SUM(F116:F132)</f>
        <v>2263.64</v>
      </c>
      <c r="G133" s="269">
        <f t="shared" ref="G133:S133" si="11">+SUM(G116:G132)</f>
        <v>915.34</v>
      </c>
      <c r="H133" s="269">
        <f t="shared" si="11"/>
        <v>-2358.2200000000003</v>
      </c>
      <c r="I133" s="269">
        <f t="shared" si="11"/>
        <v>-369.28999999999996</v>
      </c>
      <c r="J133" s="269">
        <f t="shared" si="11"/>
        <v>992.84999999999991</v>
      </c>
      <c r="K133" s="269">
        <f t="shared" si="11"/>
        <v>6289.6900000000005</v>
      </c>
      <c r="L133" s="269">
        <f t="shared" si="11"/>
        <v>147.45999999999992</v>
      </c>
      <c r="M133" s="269">
        <f t="shared" si="11"/>
        <v>1507.0299999999997</v>
      </c>
      <c r="N133" s="269">
        <f t="shared" si="11"/>
        <v>-180.80999999999949</v>
      </c>
      <c r="O133" s="269">
        <f t="shared" si="11"/>
        <v>-577.27000000000044</v>
      </c>
      <c r="P133" s="269">
        <f t="shared" si="11"/>
        <v>-2398.7600000000002</v>
      </c>
      <c r="Q133" s="269">
        <f t="shared" si="11"/>
        <v>0</v>
      </c>
      <c r="R133" s="269">
        <f>+SUM(R116:R132)</f>
        <v>0</v>
      </c>
      <c r="S133" s="269">
        <f t="shared" si="11"/>
        <v>5678.86</v>
      </c>
      <c r="T133" s="689" t="e">
        <f>IF(Ctrl($A132)+S132+S131=S133,"Ok","Erreur somme")</f>
        <v>#VALUE!</v>
      </c>
      <c r="U133" s="212">
        <v>3013.86</v>
      </c>
      <c r="V133" s="334">
        <f>U133-S133</f>
        <v>-2664.9999999999995</v>
      </c>
      <c r="W133" s="185" t="s">
        <v>853</v>
      </c>
      <c r="Z133"/>
    </row>
    <row r="134" spans="1:26" x14ac:dyDescent="0.2">
      <c r="A134" s="159">
        <v>615140</v>
      </c>
      <c r="B134" s="160" t="s">
        <v>111</v>
      </c>
      <c r="C134" s="148" t="s">
        <v>78</v>
      </c>
      <c r="D134" s="148" t="s">
        <v>179</v>
      </c>
      <c r="E134" s="240">
        <v>0</v>
      </c>
      <c r="F134" s="240">
        <v>4628.79</v>
      </c>
      <c r="G134" s="240">
        <v>4628.78</v>
      </c>
      <c r="H134" s="240">
        <v>4628.8</v>
      </c>
      <c r="I134" s="240">
        <v>4628.78</v>
      </c>
      <c r="J134" s="240">
        <v>4730.58</v>
      </c>
      <c r="K134" s="240">
        <v>4730.59</v>
      </c>
      <c r="L134" s="240">
        <v>4730.58</v>
      </c>
      <c r="M134" s="240">
        <v>4730.58</v>
      </c>
      <c r="N134" s="240">
        <v>4730.59</v>
      </c>
      <c r="O134" s="240">
        <v>4730.58</v>
      </c>
      <c r="P134" s="240">
        <v>4730.58</v>
      </c>
      <c r="Q134" s="240">
        <v>4730.59</v>
      </c>
      <c r="R134" s="240">
        <v>0</v>
      </c>
      <c r="S134" s="245">
        <f>SUM(E134:Q134)</f>
        <v>56359.819999999992</v>
      </c>
      <c r="Z134"/>
    </row>
    <row r="135" spans="1:26" x14ac:dyDescent="0.2">
      <c r="A135" s="159">
        <v>615140</v>
      </c>
      <c r="B135" s="160" t="s">
        <v>111</v>
      </c>
      <c r="C135" s="148" t="s">
        <v>78</v>
      </c>
      <c r="D135" s="148" t="s">
        <v>192</v>
      </c>
      <c r="E135" s="240">
        <v>0</v>
      </c>
      <c r="F135" s="240">
        <v>0</v>
      </c>
      <c r="G135" s="240">
        <v>0</v>
      </c>
      <c r="H135" s="240">
        <v>0</v>
      </c>
      <c r="I135" s="240">
        <v>0</v>
      </c>
      <c r="J135" s="240">
        <v>0</v>
      </c>
      <c r="K135" s="240">
        <v>0</v>
      </c>
      <c r="L135" s="240">
        <v>0</v>
      </c>
      <c r="M135" s="240">
        <v>0</v>
      </c>
      <c r="N135" s="240">
        <v>0</v>
      </c>
      <c r="O135" s="240">
        <v>0</v>
      </c>
      <c r="P135" s="240">
        <v>0</v>
      </c>
      <c r="Q135" s="240">
        <v>0</v>
      </c>
      <c r="R135" s="240">
        <v>0</v>
      </c>
      <c r="S135" s="245">
        <f>SUM(E135:Q135)</f>
        <v>0</v>
      </c>
      <c r="U135" s="273"/>
      <c r="Z135"/>
    </row>
    <row r="136" spans="1:26" x14ac:dyDescent="0.2">
      <c r="A136" s="270"/>
      <c r="B136" s="235"/>
      <c r="C136" s="148"/>
      <c r="D136" s="148"/>
      <c r="E136" s="240"/>
      <c r="F136" s="240"/>
      <c r="G136" s="240"/>
      <c r="H136" s="240"/>
      <c r="I136" s="240"/>
      <c r="J136" s="240"/>
      <c r="K136" s="240"/>
      <c r="L136" s="240"/>
      <c r="M136" s="240"/>
      <c r="N136" s="240"/>
      <c r="O136" s="240"/>
      <c r="P136" s="240"/>
      <c r="Q136" s="240"/>
      <c r="R136" s="240"/>
      <c r="S136" s="245"/>
      <c r="Z136"/>
    </row>
    <row r="137" spans="1:26" x14ac:dyDescent="0.2">
      <c r="A137" s="159">
        <v>615140</v>
      </c>
      <c r="B137" s="160" t="s">
        <v>111</v>
      </c>
      <c r="C137" s="148" t="s">
        <v>71</v>
      </c>
      <c r="D137" s="148" t="s">
        <v>192</v>
      </c>
      <c r="E137" s="240">
        <v>0</v>
      </c>
      <c r="F137" s="240">
        <v>0</v>
      </c>
      <c r="G137" s="240">
        <v>0</v>
      </c>
      <c r="H137" s="240">
        <v>826</v>
      </c>
      <c r="I137" s="240">
        <v>0</v>
      </c>
      <c r="J137" s="240">
        <v>0</v>
      </c>
      <c r="K137" s="240">
        <v>0</v>
      </c>
      <c r="L137" s="240">
        <v>0</v>
      </c>
      <c r="M137" s="240">
        <v>0</v>
      </c>
      <c r="N137" s="240">
        <v>0</v>
      </c>
      <c r="O137" s="240">
        <v>0</v>
      </c>
      <c r="P137" s="240">
        <v>0</v>
      </c>
      <c r="Q137" s="240">
        <v>0</v>
      </c>
      <c r="R137" s="240">
        <v>0</v>
      </c>
      <c r="S137" s="245">
        <f>SUM(E137:Q137)</f>
        <v>826</v>
      </c>
      <c r="Z137"/>
    </row>
    <row r="138" spans="1:26" x14ac:dyDescent="0.2">
      <c r="A138" s="159">
        <v>615140</v>
      </c>
      <c r="B138" s="160" t="s">
        <v>111</v>
      </c>
      <c r="C138" s="148" t="s">
        <v>71</v>
      </c>
      <c r="D138" s="148" t="s">
        <v>179</v>
      </c>
      <c r="E138" s="240">
        <v>0</v>
      </c>
      <c r="F138" s="240">
        <v>5994.27</v>
      </c>
      <c r="G138" s="240">
        <v>5994.28</v>
      </c>
      <c r="H138" s="240">
        <v>5994.27</v>
      </c>
      <c r="I138" s="240">
        <v>5994.27</v>
      </c>
      <c r="J138" s="240">
        <v>5994.28</v>
      </c>
      <c r="K138" s="240">
        <v>5994.27</v>
      </c>
      <c r="L138" s="240">
        <v>5994.28</v>
      </c>
      <c r="M138" s="240">
        <v>5994.27</v>
      </c>
      <c r="N138" s="240">
        <v>5994.27</v>
      </c>
      <c r="O138" s="240">
        <v>5994.28</v>
      </c>
      <c r="P138" s="240">
        <v>5994.27</v>
      </c>
      <c r="Q138" s="240">
        <v>5994.27</v>
      </c>
      <c r="R138" s="240">
        <v>0</v>
      </c>
      <c r="S138" s="245">
        <f>SUM(E138:Q138)</f>
        <v>71931.280000000013</v>
      </c>
      <c r="Z138"/>
    </row>
    <row r="139" spans="1:26" x14ac:dyDescent="0.2">
      <c r="A139" s="270"/>
      <c r="B139" s="235"/>
      <c r="C139" s="148"/>
      <c r="D139" s="148"/>
      <c r="E139" s="240"/>
      <c r="F139" s="240"/>
      <c r="G139" s="240"/>
      <c r="H139" s="240"/>
      <c r="I139" s="240"/>
      <c r="J139" s="240"/>
      <c r="K139" s="240"/>
      <c r="L139" s="240"/>
      <c r="M139" s="240"/>
      <c r="N139" s="240"/>
      <c r="O139" s="240"/>
      <c r="P139" s="240"/>
      <c r="Q139" s="240"/>
      <c r="R139" s="240"/>
      <c r="S139" s="245"/>
      <c r="Z139"/>
    </row>
    <row r="140" spans="1:26" x14ac:dyDescent="0.2">
      <c r="A140" s="159">
        <v>615140</v>
      </c>
      <c r="B140" s="160" t="s">
        <v>111</v>
      </c>
      <c r="C140" s="148" t="s">
        <v>73</v>
      </c>
      <c r="D140" s="148" t="s">
        <v>192</v>
      </c>
      <c r="E140" s="240">
        <v>0</v>
      </c>
      <c r="F140" s="240">
        <v>0</v>
      </c>
      <c r="G140" s="240">
        <v>0</v>
      </c>
      <c r="H140" s="240">
        <v>0</v>
      </c>
      <c r="I140" s="240">
        <v>0</v>
      </c>
      <c r="J140" s="240">
        <v>0</v>
      </c>
      <c r="K140" s="240">
        <v>0</v>
      </c>
      <c r="L140" s="240">
        <v>0</v>
      </c>
      <c r="M140" s="240">
        <v>0</v>
      </c>
      <c r="N140" s="240">
        <v>0</v>
      </c>
      <c r="O140" s="240">
        <v>0</v>
      </c>
      <c r="P140" s="240">
        <v>0</v>
      </c>
      <c r="Q140" s="240">
        <v>0</v>
      </c>
      <c r="R140" s="240">
        <v>0</v>
      </c>
      <c r="S140" s="245">
        <f>SUM(E140:Q140)</f>
        <v>0</v>
      </c>
      <c r="Z140"/>
    </row>
    <row r="141" spans="1:26" x14ac:dyDescent="0.2">
      <c r="A141" s="159">
        <v>615140</v>
      </c>
      <c r="B141" s="160" t="s">
        <v>111</v>
      </c>
      <c r="C141" s="148" t="s">
        <v>73</v>
      </c>
      <c r="D141" s="148" t="s">
        <v>179</v>
      </c>
      <c r="E141" s="240">
        <v>0</v>
      </c>
      <c r="F141" s="240">
        <v>3183.16</v>
      </c>
      <c r="G141" s="240">
        <v>3183.16</v>
      </c>
      <c r="H141" s="240">
        <v>3215.99</v>
      </c>
      <c r="I141" s="240">
        <v>3215</v>
      </c>
      <c r="J141" s="240">
        <v>3215</v>
      </c>
      <c r="K141" s="240">
        <v>3215</v>
      </c>
      <c r="L141" s="240">
        <v>3215</v>
      </c>
      <c r="M141" s="240">
        <v>3215</v>
      </c>
      <c r="N141" s="240">
        <v>3215</v>
      </c>
      <c r="O141" s="240">
        <v>3215</v>
      </c>
      <c r="P141" s="240">
        <v>3215</v>
      </c>
      <c r="Q141" s="240">
        <v>3215</v>
      </c>
      <c r="R141" s="240">
        <v>0</v>
      </c>
      <c r="S141" s="245">
        <f>SUM(E141:Q141)</f>
        <v>38517.31</v>
      </c>
      <c r="Z141"/>
    </row>
    <row r="142" spans="1:26" x14ac:dyDescent="0.2">
      <c r="A142" s="270"/>
      <c r="B142" s="235"/>
      <c r="C142" s="148"/>
      <c r="D142" s="148"/>
      <c r="E142" s="240"/>
      <c r="F142" s="240"/>
      <c r="G142" s="240"/>
      <c r="H142" s="240"/>
      <c r="I142" s="240"/>
      <c r="J142" s="240"/>
      <c r="K142" s="240"/>
      <c r="L142" s="240"/>
      <c r="M142" s="240"/>
      <c r="N142" s="240"/>
      <c r="O142" s="240"/>
      <c r="P142" s="240"/>
      <c r="Q142" s="240"/>
      <c r="R142" s="240"/>
      <c r="S142" s="245"/>
      <c r="Z142"/>
    </row>
    <row r="143" spans="1:26" x14ac:dyDescent="0.2">
      <c r="A143" s="159">
        <v>615140</v>
      </c>
      <c r="B143" s="160" t="s">
        <v>111</v>
      </c>
      <c r="C143" s="148" t="s">
        <v>67</v>
      </c>
      <c r="D143" s="148" t="s">
        <v>192</v>
      </c>
      <c r="E143" s="240">
        <v>0</v>
      </c>
      <c r="F143" s="240">
        <v>0</v>
      </c>
      <c r="G143" s="240">
        <v>0</v>
      </c>
      <c r="H143" s="240">
        <v>0</v>
      </c>
      <c r="I143" s="240">
        <v>0</v>
      </c>
      <c r="J143" s="240">
        <v>0</v>
      </c>
      <c r="K143" s="240">
        <v>0</v>
      </c>
      <c r="L143" s="240">
        <v>0</v>
      </c>
      <c r="M143" s="240">
        <v>0</v>
      </c>
      <c r="N143" s="240">
        <v>0</v>
      </c>
      <c r="O143" s="240">
        <v>0</v>
      </c>
      <c r="P143" s="240">
        <v>0</v>
      </c>
      <c r="Q143" s="240">
        <v>0</v>
      </c>
      <c r="R143" s="240">
        <v>0</v>
      </c>
      <c r="S143" s="245">
        <f>SUM(E143:Q143)</f>
        <v>0</v>
      </c>
      <c r="Z143"/>
    </row>
    <row r="144" spans="1:26" x14ac:dyDescent="0.2">
      <c r="A144" s="159">
        <v>615140</v>
      </c>
      <c r="B144" s="160" t="s">
        <v>111</v>
      </c>
      <c r="C144" s="148" t="s">
        <v>67</v>
      </c>
      <c r="D144" s="148" t="s">
        <v>179</v>
      </c>
      <c r="E144" s="240">
        <v>0</v>
      </c>
      <c r="F144" s="240">
        <v>5250.75</v>
      </c>
      <c r="G144" s="240">
        <v>0</v>
      </c>
      <c r="H144" s="240">
        <v>0</v>
      </c>
      <c r="I144" s="240">
        <v>1750.25</v>
      </c>
      <c r="J144" s="240">
        <v>1750.25</v>
      </c>
      <c r="K144" s="240">
        <v>1750.25</v>
      </c>
      <c r="L144" s="240">
        <v>1750.25</v>
      </c>
      <c r="M144" s="240">
        <v>1750.25</v>
      </c>
      <c r="N144" s="240">
        <v>1750.25</v>
      </c>
      <c r="O144" s="240">
        <v>1750.25</v>
      </c>
      <c r="P144" s="240">
        <v>1750.25</v>
      </c>
      <c r="Q144" s="240">
        <v>1750.25</v>
      </c>
      <c r="R144" s="240">
        <v>0</v>
      </c>
      <c r="S144" s="245">
        <f>SUM(E144:Q144)</f>
        <v>21003</v>
      </c>
      <c r="Z144"/>
    </row>
    <row r="145" spans="1:26" x14ac:dyDescent="0.2">
      <c r="A145" s="270"/>
      <c r="B145" s="235"/>
      <c r="C145" s="148"/>
      <c r="D145" s="148"/>
      <c r="E145" s="240"/>
      <c r="F145" s="240"/>
      <c r="G145" s="240"/>
      <c r="H145" s="240"/>
      <c r="I145" s="240"/>
      <c r="J145" s="240"/>
      <c r="K145" s="240"/>
      <c r="L145" s="240"/>
      <c r="M145" s="240"/>
      <c r="N145" s="240"/>
      <c r="O145" s="240"/>
      <c r="P145" s="240"/>
      <c r="Q145" s="240"/>
      <c r="R145" s="240"/>
      <c r="S145" s="245"/>
      <c r="Z145"/>
    </row>
    <row r="146" spans="1:26" x14ac:dyDescent="0.2">
      <c r="A146" s="159">
        <v>615140</v>
      </c>
      <c r="B146" s="160" t="s">
        <v>111</v>
      </c>
      <c r="C146" s="148" t="s">
        <v>80</v>
      </c>
      <c r="D146" s="148" t="s">
        <v>192</v>
      </c>
      <c r="E146" s="240">
        <v>0</v>
      </c>
      <c r="F146" s="240">
        <v>0</v>
      </c>
      <c r="G146" s="240">
        <v>0</v>
      </c>
      <c r="H146" s="240">
        <v>0</v>
      </c>
      <c r="I146" s="240">
        <v>0</v>
      </c>
      <c r="J146" s="240">
        <v>0</v>
      </c>
      <c r="K146" s="240">
        <v>0</v>
      </c>
      <c r="L146" s="240">
        <v>0</v>
      </c>
      <c r="M146" s="240">
        <v>0</v>
      </c>
      <c r="N146" s="240">
        <v>0</v>
      </c>
      <c r="O146" s="240">
        <v>0</v>
      </c>
      <c r="P146" s="240">
        <v>600</v>
      </c>
      <c r="Q146" s="240">
        <v>0</v>
      </c>
      <c r="R146" s="240">
        <v>0</v>
      </c>
      <c r="S146" s="245">
        <f>SUM(E146:Q146)</f>
        <v>600</v>
      </c>
      <c r="Z146"/>
    </row>
    <row r="147" spans="1:26" x14ac:dyDescent="0.2">
      <c r="A147" s="159">
        <v>615140</v>
      </c>
      <c r="B147" s="160" t="s">
        <v>111</v>
      </c>
      <c r="C147" s="148" t="s">
        <v>80</v>
      </c>
      <c r="D147" s="148" t="s">
        <v>179</v>
      </c>
      <c r="E147" s="240">
        <v>0</v>
      </c>
      <c r="F147" s="240">
        <v>2017.75</v>
      </c>
      <c r="G147" s="240">
        <v>2017.75</v>
      </c>
      <c r="H147" s="240">
        <v>2017.75</v>
      </c>
      <c r="I147" s="240">
        <v>2017.75</v>
      </c>
      <c r="J147" s="240">
        <v>2017.75</v>
      </c>
      <c r="K147" s="240">
        <v>2017.75</v>
      </c>
      <c r="L147" s="240">
        <v>2017.75</v>
      </c>
      <c r="M147" s="240">
        <v>2017.75</v>
      </c>
      <c r="N147" s="240">
        <v>2017.75</v>
      </c>
      <c r="O147" s="240">
        <v>2017.75</v>
      </c>
      <c r="P147" s="240">
        <v>2017.75</v>
      </c>
      <c r="Q147" s="240">
        <v>2017.75</v>
      </c>
      <c r="R147" s="240">
        <v>0</v>
      </c>
      <c r="S147" s="245">
        <f>SUM(E147:Q147)</f>
        <v>24213</v>
      </c>
      <c r="U147" s="273"/>
      <c r="Z147"/>
    </row>
    <row r="148" spans="1:26" x14ac:dyDescent="0.2">
      <c r="A148" s="270"/>
      <c r="B148" s="235"/>
      <c r="C148" s="148"/>
      <c r="D148" s="148"/>
      <c r="E148" s="240"/>
      <c r="F148" s="240"/>
      <c r="G148" s="240"/>
      <c r="H148" s="240"/>
      <c r="I148" s="240"/>
      <c r="J148" s="240"/>
      <c r="K148" s="240"/>
      <c r="L148" s="240"/>
      <c r="M148" s="240"/>
      <c r="N148" s="240"/>
      <c r="O148" s="240"/>
      <c r="P148" s="240"/>
      <c r="Q148" s="240"/>
      <c r="R148" s="240"/>
      <c r="S148" s="245"/>
      <c r="Z148"/>
    </row>
    <row r="149" spans="1:26" x14ac:dyDescent="0.2">
      <c r="A149" s="159">
        <v>615140</v>
      </c>
      <c r="B149" s="160" t="s">
        <v>111</v>
      </c>
      <c r="C149" s="148" t="s">
        <v>156</v>
      </c>
      <c r="D149" s="148" t="s">
        <v>192</v>
      </c>
      <c r="E149" s="240">
        <v>0</v>
      </c>
      <c r="F149" s="240">
        <v>2439.25</v>
      </c>
      <c r="G149" s="240">
        <v>842</v>
      </c>
      <c r="H149" s="240">
        <v>3978.79</v>
      </c>
      <c r="I149" s="240">
        <v>0</v>
      </c>
      <c r="J149" s="240">
        <v>378.37</v>
      </c>
      <c r="K149" s="240">
        <v>5356.53</v>
      </c>
      <c r="L149" s="240">
        <v>3558</v>
      </c>
      <c r="M149" s="240">
        <v>0</v>
      </c>
      <c r="N149" s="240">
        <v>4140.79</v>
      </c>
      <c r="O149" s="240">
        <v>0</v>
      </c>
      <c r="P149" s="240">
        <v>1428</v>
      </c>
      <c r="Q149" s="240">
        <v>0</v>
      </c>
      <c r="R149" s="240">
        <v>0</v>
      </c>
      <c r="S149" s="245">
        <f>SUM(E149:Q149)</f>
        <v>22121.73</v>
      </c>
      <c r="Z149"/>
    </row>
    <row r="150" spans="1:26" x14ac:dyDescent="0.2">
      <c r="A150" s="159">
        <v>615140</v>
      </c>
      <c r="B150" s="160" t="s">
        <v>111</v>
      </c>
      <c r="C150" s="148" t="s">
        <v>156</v>
      </c>
      <c r="D150" s="148" t="s">
        <v>179</v>
      </c>
      <c r="E150" s="240">
        <v>0</v>
      </c>
      <c r="F150" s="240">
        <v>4380.1899999999996</v>
      </c>
      <c r="G150" s="240">
        <v>4380.18</v>
      </c>
      <c r="H150" s="240">
        <v>4380.18</v>
      </c>
      <c r="I150" s="240">
        <v>4380.1899999999996</v>
      </c>
      <c r="J150" s="240">
        <v>4380.18</v>
      </c>
      <c r="K150" s="240">
        <v>4380.18</v>
      </c>
      <c r="L150" s="240">
        <v>4380.1899999999996</v>
      </c>
      <c r="M150" s="240">
        <v>4380.18</v>
      </c>
      <c r="N150" s="240">
        <v>4380.18</v>
      </c>
      <c r="O150" s="240">
        <v>4380.1899999999996</v>
      </c>
      <c r="P150" s="240">
        <v>4380.18</v>
      </c>
      <c r="Q150" s="240">
        <v>4380.18</v>
      </c>
      <c r="R150" s="240">
        <v>0</v>
      </c>
      <c r="S150" s="245">
        <f>SUM(E150:Q150)</f>
        <v>52562.200000000004</v>
      </c>
      <c r="Z150"/>
    </row>
    <row r="151" spans="1:26" x14ac:dyDescent="0.2">
      <c r="A151" s="270"/>
      <c r="B151" s="235"/>
      <c r="C151" s="148"/>
      <c r="D151" s="148"/>
      <c r="E151" s="240"/>
      <c r="F151" s="240"/>
      <c r="G151" s="240"/>
      <c r="H151" s="240"/>
      <c r="I151" s="240"/>
      <c r="J151" s="240"/>
      <c r="K151" s="240"/>
      <c r="L151" s="240"/>
      <c r="M151" s="240"/>
      <c r="N151" s="240"/>
      <c r="O151" s="240"/>
      <c r="P151" s="240"/>
      <c r="Q151" s="240"/>
      <c r="R151" s="240"/>
      <c r="S151" s="245"/>
      <c r="Z151"/>
    </row>
    <row r="152" spans="1:26" x14ac:dyDescent="0.2">
      <c r="A152" s="159">
        <v>615140</v>
      </c>
      <c r="B152" s="160" t="s">
        <v>111</v>
      </c>
      <c r="C152" s="148" t="s">
        <v>172</v>
      </c>
      <c r="D152" s="148" t="s">
        <v>179</v>
      </c>
      <c r="E152" s="240">
        <v>0</v>
      </c>
      <c r="F152" s="240">
        <v>673.65</v>
      </c>
      <c r="G152" s="240">
        <v>673.65</v>
      </c>
      <c r="H152" s="240">
        <v>673.65</v>
      </c>
      <c r="I152" s="240">
        <v>673.65</v>
      </c>
      <c r="J152" s="240">
        <v>673.65</v>
      </c>
      <c r="K152" s="240">
        <v>673.65</v>
      </c>
      <c r="L152" s="240">
        <v>673.65</v>
      </c>
      <c r="M152" s="240">
        <v>673.65</v>
      </c>
      <c r="N152" s="240">
        <v>673.65</v>
      </c>
      <c r="O152" s="240">
        <v>673.65</v>
      </c>
      <c r="P152" s="240">
        <v>673.65</v>
      </c>
      <c r="Q152" s="240">
        <v>673.35</v>
      </c>
      <c r="R152" s="240">
        <v>0</v>
      </c>
      <c r="S152" s="245">
        <f>SUM(E152:Q152)</f>
        <v>8083.4999999999991</v>
      </c>
      <c r="Z152"/>
    </row>
    <row r="153" spans="1:26" x14ac:dyDescent="0.2">
      <c r="A153" s="270"/>
      <c r="B153" s="235"/>
      <c r="C153" s="148"/>
      <c r="D153" s="148"/>
      <c r="E153" s="240"/>
      <c r="F153" s="240"/>
      <c r="G153" s="240"/>
      <c r="H153" s="240"/>
      <c r="I153" s="240"/>
      <c r="J153" s="240"/>
      <c r="K153" s="240"/>
      <c r="L153" s="240"/>
      <c r="M153" s="240"/>
      <c r="N153" s="240"/>
      <c r="O153" s="240"/>
      <c r="P153" s="240"/>
      <c r="Q153" s="240"/>
      <c r="R153" s="240"/>
      <c r="S153" s="245"/>
      <c r="Z153"/>
    </row>
    <row r="154" spans="1:26" x14ac:dyDescent="0.2">
      <c r="A154" s="159">
        <v>615140</v>
      </c>
      <c r="B154" s="160" t="s">
        <v>111</v>
      </c>
      <c r="C154" s="148" t="s">
        <v>79</v>
      </c>
      <c r="D154" s="148" t="s">
        <v>179</v>
      </c>
      <c r="E154" s="240">
        <v>0</v>
      </c>
      <c r="F154" s="240">
        <v>1552.91</v>
      </c>
      <c r="G154" s="240">
        <v>1552.91</v>
      </c>
      <c r="H154" s="240">
        <v>1552.91</v>
      </c>
      <c r="I154" s="240">
        <v>1552.91</v>
      </c>
      <c r="J154" s="240">
        <v>1552.91</v>
      </c>
      <c r="K154" s="240">
        <v>1552.91</v>
      </c>
      <c r="L154" s="240">
        <v>1552.91</v>
      </c>
      <c r="M154" s="240">
        <v>1552.91</v>
      </c>
      <c r="N154" s="240">
        <v>-1229.0899999999999</v>
      </c>
      <c r="O154" s="240">
        <v>1552.91</v>
      </c>
      <c r="P154" s="240">
        <v>1552.91</v>
      </c>
      <c r="Q154" s="240">
        <v>563.99</v>
      </c>
      <c r="R154" s="240">
        <v>0</v>
      </c>
      <c r="S154" s="245">
        <f>SUM(E154:Q154)</f>
        <v>14864</v>
      </c>
      <c r="Z154"/>
    </row>
    <row r="155" spans="1:26" x14ac:dyDescent="0.2">
      <c r="A155" s="159">
        <v>615140</v>
      </c>
      <c r="B155" s="160" t="s">
        <v>111</v>
      </c>
      <c r="C155" s="148" t="s">
        <v>79</v>
      </c>
      <c r="D155" s="148" t="s">
        <v>192</v>
      </c>
      <c r="E155" s="240">
        <v>0</v>
      </c>
      <c r="F155" s="240">
        <v>0</v>
      </c>
      <c r="G155" s="240">
        <v>0</v>
      </c>
      <c r="H155" s="240">
        <v>0</v>
      </c>
      <c r="I155" s="240">
        <v>0</v>
      </c>
      <c r="J155" s="240">
        <v>0</v>
      </c>
      <c r="K155" s="240">
        <v>0</v>
      </c>
      <c r="L155" s="240">
        <v>0</v>
      </c>
      <c r="M155" s="240">
        <v>0</v>
      </c>
      <c r="N155" s="240">
        <v>0</v>
      </c>
      <c r="O155" s="240">
        <v>0</v>
      </c>
      <c r="P155" s="240">
        <v>0</v>
      </c>
      <c r="Q155" s="240">
        <v>0</v>
      </c>
      <c r="R155" s="240">
        <v>0</v>
      </c>
      <c r="S155" s="245">
        <f>SUM(E155:Q155)</f>
        <v>0</v>
      </c>
      <c r="Z155"/>
    </row>
    <row r="156" spans="1:26" x14ac:dyDescent="0.2">
      <c r="A156" s="159"/>
      <c r="B156" s="160"/>
      <c r="C156" s="148"/>
      <c r="D156" s="148"/>
      <c r="E156" s="240"/>
      <c r="F156" s="240"/>
      <c r="G156" s="240"/>
      <c r="H156" s="240"/>
      <c r="I156" s="240"/>
      <c r="J156" s="240"/>
      <c r="K156" s="240"/>
      <c r="L156" s="240"/>
      <c r="M156" s="240"/>
      <c r="N156" s="240"/>
      <c r="O156" s="240"/>
      <c r="P156" s="240"/>
      <c r="Q156" s="240"/>
      <c r="R156" s="240"/>
      <c r="S156" s="242">
        <f>SUM(E156:Q156)</f>
        <v>0</v>
      </c>
      <c r="Z156"/>
    </row>
    <row r="157" spans="1:26" x14ac:dyDescent="0.2">
      <c r="A157" s="159">
        <v>615140</v>
      </c>
      <c r="B157" s="160" t="s">
        <v>111</v>
      </c>
      <c r="C157" s="148" t="s">
        <v>367</v>
      </c>
      <c r="D157" s="148">
        <v>999999</v>
      </c>
      <c r="E157" s="240"/>
      <c r="F157" s="240">
        <v>976.08</v>
      </c>
      <c r="G157" s="240">
        <f>-976.08+6083.14</f>
        <v>5107.0600000000004</v>
      </c>
      <c r="H157" s="240">
        <f>-6083.14+6652.32</f>
        <v>569.17999999999938</v>
      </c>
      <c r="I157" s="240">
        <f>-6652.32+7297.07</f>
        <v>644.75</v>
      </c>
      <c r="J157" s="240">
        <f>-7297.07+7295.01</f>
        <v>-2.0599999999994907</v>
      </c>
      <c r="K157" s="240">
        <f>-7295.01+6734.79</f>
        <v>-560.22000000000025</v>
      </c>
      <c r="L157" s="240">
        <f>-6734.79+10821.09</f>
        <v>4086.3</v>
      </c>
      <c r="M157" s="240">
        <f>-10821.09+13303.41</f>
        <v>2482.3199999999997</v>
      </c>
      <c r="N157" s="240">
        <f>-13303.41+9770.93</f>
        <v>-3532.4799999999996</v>
      </c>
      <c r="O157" s="240">
        <f>-9770.93+10337.23</f>
        <v>566.29999999999927</v>
      </c>
      <c r="P157" s="240">
        <f>-10337.23-0.45</f>
        <v>-10337.68</v>
      </c>
      <c r="Q157" s="240"/>
      <c r="R157" s="240"/>
      <c r="S157" s="242">
        <f>SUM(E157:Q157)</f>
        <v>-0.4500000000007276</v>
      </c>
      <c r="Z157"/>
    </row>
    <row r="158" spans="1:26" s="185" customFormat="1" ht="23.25" customHeight="1" x14ac:dyDescent="0.2">
      <c r="A158" s="267"/>
      <c r="B158" s="268"/>
      <c r="C158" s="267" t="s">
        <v>66</v>
      </c>
      <c r="D158" s="267"/>
      <c r="E158" s="269">
        <f>SUM(E134:E157)</f>
        <v>0</v>
      </c>
      <c r="F158" s="269">
        <f t="shared" ref="F158:S158" si="12">SUM(F134:F157)</f>
        <v>31096.800000000003</v>
      </c>
      <c r="G158" s="269">
        <f t="shared" si="12"/>
        <v>28379.770000000004</v>
      </c>
      <c r="H158" s="269">
        <f t="shared" si="12"/>
        <v>27837.52</v>
      </c>
      <c r="I158" s="269">
        <f t="shared" si="12"/>
        <v>24857.55</v>
      </c>
      <c r="J158" s="269">
        <f t="shared" si="12"/>
        <v>24690.910000000003</v>
      </c>
      <c r="K158" s="269">
        <f t="shared" si="12"/>
        <v>29110.91</v>
      </c>
      <c r="L158" s="269">
        <f t="shared" si="12"/>
        <v>31958.91</v>
      </c>
      <c r="M158" s="269">
        <f t="shared" si="12"/>
        <v>26796.91</v>
      </c>
      <c r="N158" s="269">
        <f t="shared" si="12"/>
        <v>22140.910000000003</v>
      </c>
      <c r="O158" s="269">
        <f t="shared" si="12"/>
        <v>24880.91</v>
      </c>
      <c r="P158" s="269">
        <f t="shared" si="12"/>
        <v>16004.91</v>
      </c>
      <c r="Q158" s="269">
        <f t="shared" si="12"/>
        <v>23325.38</v>
      </c>
      <c r="R158" s="269">
        <f>SUM(R134:R157)</f>
        <v>0</v>
      </c>
      <c r="S158" s="269">
        <f t="shared" si="12"/>
        <v>311081.39</v>
      </c>
      <c r="T158" s="689" t="e">
        <f>IF(Ctrl($A157)+S157+S156=S158,"Ok","Erreur somme")</f>
        <v>#VALUE!</v>
      </c>
      <c r="U158" s="212">
        <v>287756.01</v>
      </c>
      <c r="V158" s="334">
        <f>U158-S158</f>
        <v>-23325.380000000005</v>
      </c>
      <c r="W158" s="185" t="s">
        <v>853</v>
      </c>
      <c r="X158" s="569"/>
      <c r="Z158"/>
    </row>
    <row r="159" spans="1:26" x14ac:dyDescent="0.2">
      <c r="A159" s="159">
        <v>615145</v>
      </c>
      <c r="B159" s="160" t="s">
        <v>133</v>
      </c>
      <c r="C159" s="148" t="s">
        <v>145</v>
      </c>
      <c r="D159" s="148" t="s">
        <v>192</v>
      </c>
      <c r="E159" s="240">
        <v>0</v>
      </c>
      <c r="F159" s="240">
        <v>0</v>
      </c>
      <c r="G159" s="240">
        <v>8</v>
      </c>
      <c r="H159" s="240">
        <v>0</v>
      </c>
      <c r="I159" s="240">
        <v>0</v>
      </c>
      <c r="J159" s="240">
        <v>16.8</v>
      </c>
      <c r="K159" s="240">
        <v>0</v>
      </c>
      <c r="L159" s="240">
        <v>0</v>
      </c>
      <c r="M159" s="240">
        <v>0</v>
      </c>
      <c r="N159" s="240">
        <v>0</v>
      </c>
      <c r="O159" s="240">
        <v>0</v>
      </c>
      <c r="P159" s="240">
        <v>0</v>
      </c>
      <c r="Q159" s="240">
        <v>0</v>
      </c>
      <c r="R159" s="240">
        <v>0</v>
      </c>
      <c r="S159" s="242">
        <f t="shared" ref="S159:S179" si="13">SUM(E159:Q159)</f>
        <v>24.8</v>
      </c>
      <c r="Z159"/>
    </row>
    <row r="160" spans="1:26" x14ac:dyDescent="0.2">
      <c r="A160" s="159">
        <v>615145</v>
      </c>
      <c r="B160" s="160" t="s">
        <v>133</v>
      </c>
      <c r="C160" s="148" t="s">
        <v>145</v>
      </c>
      <c r="D160" s="148" t="s">
        <v>269</v>
      </c>
      <c r="E160" s="240">
        <v>0</v>
      </c>
      <c r="F160" s="240">
        <v>0</v>
      </c>
      <c r="G160" s="240">
        <v>0</v>
      </c>
      <c r="H160" s="240">
        <v>0</v>
      </c>
      <c r="I160" s="240">
        <v>0</v>
      </c>
      <c r="J160" s="240">
        <v>0</v>
      </c>
      <c r="K160" s="240">
        <v>0</v>
      </c>
      <c r="L160" s="240">
        <v>0</v>
      </c>
      <c r="M160" s="240">
        <v>0</v>
      </c>
      <c r="N160" s="240">
        <v>0</v>
      </c>
      <c r="O160" s="240">
        <v>0</v>
      </c>
      <c r="P160" s="240">
        <v>0</v>
      </c>
      <c r="Q160" s="240">
        <v>0</v>
      </c>
      <c r="R160" s="240">
        <v>0</v>
      </c>
      <c r="S160" s="242">
        <f t="shared" si="13"/>
        <v>0</v>
      </c>
      <c r="Z160"/>
    </row>
    <row r="161" spans="1:26" x14ac:dyDescent="0.2">
      <c r="A161" s="159">
        <v>615145</v>
      </c>
      <c r="B161" s="160" t="s">
        <v>133</v>
      </c>
      <c r="C161" s="148" t="s">
        <v>76</v>
      </c>
      <c r="D161" s="148" t="s">
        <v>192</v>
      </c>
      <c r="E161" s="240">
        <v>0</v>
      </c>
      <c r="F161" s="240">
        <v>0</v>
      </c>
      <c r="G161" s="240">
        <v>0</v>
      </c>
      <c r="H161" s="240">
        <v>0</v>
      </c>
      <c r="I161" s="240">
        <v>0</v>
      </c>
      <c r="J161" s="240">
        <v>0</v>
      </c>
      <c r="K161" s="240">
        <v>0</v>
      </c>
      <c r="L161" s="240">
        <v>0</v>
      </c>
      <c r="M161" s="240">
        <v>0</v>
      </c>
      <c r="N161" s="240">
        <v>0</v>
      </c>
      <c r="O161" s="240">
        <v>0</v>
      </c>
      <c r="P161" s="240">
        <v>0</v>
      </c>
      <c r="Q161" s="240">
        <v>0</v>
      </c>
      <c r="R161" s="240">
        <v>0</v>
      </c>
      <c r="S161" s="242">
        <f t="shared" si="13"/>
        <v>0</v>
      </c>
      <c r="Z161"/>
    </row>
    <row r="162" spans="1:26" x14ac:dyDescent="0.2">
      <c r="A162" s="159"/>
      <c r="B162" s="160"/>
      <c r="C162" s="148"/>
      <c r="D162" s="148"/>
      <c r="E162" s="240"/>
      <c r="F162" s="240"/>
      <c r="G162" s="240"/>
      <c r="H162" s="240"/>
      <c r="I162" s="240"/>
      <c r="J162" s="240"/>
      <c r="K162" s="240"/>
      <c r="L162" s="240"/>
      <c r="M162" s="240"/>
      <c r="N162" s="240"/>
      <c r="O162" s="240"/>
      <c r="P162" s="240"/>
      <c r="Q162" s="240"/>
      <c r="R162" s="240"/>
      <c r="S162" s="242">
        <f t="shared" si="13"/>
        <v>0</v>
      </c>
      <c r="Z162"/>
    </row>
    <row r="163" spans="1:26" x14ac:dyDescent="0.2">
      <c r="A163" s="159">
        <v>615145</v>
      </c>
      <c r="B163" s="160" t="s">
        <v>133</v>
      </c>
      <c r="C163" s="148" t="s">
        <v>108</v>
      </c>
      <c r="D163" s="148" t="s">
        <v>269</v>
      </c>
      <c r="E163" s="240">
        <v>0</v>
      </c>
      <c r="F163" s="240">
        <v>0</v>
      </c>
      <c r="G163" s="240">
        <v>0</v>
      </c>
      <c r="H163" s="240">
        <v>0</v>
      </c>
      <c r="I163" s="240">
        <v>0</v>
      </c>
      <c r="J163" s="240">
        <v>0</v>
      </c>
      <c r="K163" s="240">
        <v>0</v>
      </c>
      <c r="L163" s="240">
        <v>0</v>
      </c>
      <c r="M163" s="240">
        <v>0</v>
      </c>
      <c r="N163" s="240">
        <v>0</v>
      </c>
      <c r="O163" s="240">
        <v>0</v>
      </c>
      <c r="P163" s="240">
        <v>0</v>
      </c>
      <c r="Q163" s="240">
        <v>0</v>
      </c>
      <c r="R163" s="240">
        <v>0</v>
      </c>
      <c r="S163" s="242">
        <f t="shared" si="13"/>
        <v>0</v>
      </c>
      <c r="Z163"/>
    </row>
    <row r="164" spans="1:26" x14ac:dyDescent="0.2">
      <c r="A164" s="270"/>
      <c r="B164" s="235"/>
      <c r="C164" s="148"/>
      <c r="D164" s="148"/>
      <c r="E164" s="240"/>
      <c r="F164" s="240"/>
      <c r="G164" s="240"/>
      <c r="H164" s="240"/>
      <c r="I164" s="240"/>
      <c r="J164" s="240"/>
      <c r="K164" s="240"/>
      <c r="L164" s="240"/>
      <c r="M164" s="240"/>
      <c r="N164" s="240"/>
      <c r="O164" s="240"/>
      <c r="P164" s="240"/>
      <c r="Q164" s="240"/>
      <c r="R164" s="240"/>
      <c r="S164" s="242">
        <f t="shared" si="13"/>
        <v>0</v>
      </c>
      <c r="Z164"/>
    </row>
    <row r="165" spans="1:26" x14ac:dyDescent="0.2">
      <c r="A165" s="159">
        <v>615145</v>
      </c>
      <c r="B165" s="160" t="s">
        <v>133</v>
      </c>
      <c r="C165" s="148" t="s">
        <v>163</v>
      </c>
      <c r="D165" s="148" t="s">
        <v>192</v>
      </c>
      <c r="E165" s="240">
        <v>0</v>
      </c>
      <c r="F165" s="240">
        <v>0</v>
      </c>
      <c r="G165" s="240">
        <v>0</v>
      </c>
      <c r="H165" s="240">
        <v>0</v>
      </c>
      <c r="I165" s="240">
        <v>0</v>
      </c>
      <c r="J165" s="240">
        <v>0</v>
      </c>
      <c r="K165" s="240">
        <v>0</v>
      </c>
      <c r="L165" s="240">
        <v>0</v>
      </c>
      <c r="M165" s="240">
        <v>0</v>
      </c>
      <c r="N165" s="240">
        <v>0</v>
      </c>
      <c r="O165" s="240">
        <v>0</v>
      </c>
      <c r="P165" s="240">
        <v>0</v>
      </c>
      <c r="Q165" s="240">
        <v>0</v>
      </c>
      <c r="R165" s="240">
        <v>0</v>
      </c>
      <c r="S165" s="242">
        <f t="shared" si="13"/>
        <v>0</v>
      </c>
      <c r="Z165"/>
    </row>
    <row r="166" spans="1:26" x14ac:dyDescent="0.2">
      <c r="A166" s="270"/>
      <c r="B166" s="235"/>
      <c r="C166" s="148"/>
      <c r="D166" s="148"/>
      <c r="E166" s="240"/>
      <c r="F166" s="240"/>
      <c r="G166" s="240"/>
      <c r="H166" s="240"/>
      <c r="I166" s="240"/>
      <c r="J166" s="240"/>
      <c r="K166" s="240"/>
      <c r="L166" s="240"/>
      <c r="M166" s="240"/>
      <c r="N166" s="240"/>
      <c r="O166" s="240"/>
      <c r="P166" s="240"/>
      <c r="Q166" s="240"/>
      <c r="R166" s="240"/>
      <c r="S166" s="242">
        <f t="shared" si="13"/>
        <v>0</v>
      </c>
      <c r="Z166"/>
    </row>
    <row r="167" spans="1:26" x14ac:dyDescent="0.2">
      <c r="A167" s="159">
        <v>615145</v>
      </c>
      <c r="B167" s="160" t="s">
        <v>133</v>
      </c>
      <c r="C167" s="148" t="s">
        <v>130</v>
      </c>
      <c r="D167" s="148" t="s">
        <v>192</v>
      </c>
      <c r="E167" s="240">
        <v>0</v>
      </c>
      <c r="F167" s="240">
        <v>0</v>
      </c>
      <c r="G167" s="240">
        <v>0</v>
      </c>
      <c r="H167" s="240">
        <v>0</v>
      </c>
      <c r="I167" s="240">
        <v>0</v>
      </c>
      <c r="J167" s="240">
        <v>0</v>
      </c>
      <c r="K167" s="240">
        <v>0</v>
      </c>
      <c r="L167" s="240">
        <v>0</v>
      </c>
      <c r="M167" s="240">
        <v>0</v>
      </c>
      <c r="N167" s="240">
        <v>30.9</v>
      </c>
      <c r="O167" s="240">
        <v>0</v>
      </c>
      <c r="P167" s="240">
        <v>0</v>
      </c>
      <c r="Q167" s="240">
        <v>0</v>
      </c>
      <c r="R167" s="240">
        <v>0</v>
      </c>
      <c r="S167" s="242">
        <f t="shared" si="13"/>
        <v>30.9</v>
      </c>
      <c r="Z167"/>
    </row>
    <row r="168" spans="1:26" x14ac:dyDescent="0.2">
      <c r="A168" s="159">
        <v>615145</v>
      </c>
      <c r="B168" s="160" t="s">
        <v>133</v>
      </c>
      <c r="C168" s="148" t="s">
        <v>68</v>
      </c>
      <c r="D168" s="148" t="s">
        <v>192</v>
      </c>
      <c r="E168" s="240">
        <v>0</v>
      </c>
      <c r="F168" s="240">
        <v>0</v>
      </c>
      <c r="G168" s="240">
        <v>0</v>
      </c>
      <c r="H168" s="240">
        <v>0</v>
      </c>
      <c r="I168" s="240">
        <v>0</v>
      </c>
      <c r="J168" s="240">
        <v>0</v>
      </c>
      <c r="K168" s="240">
        <v>0</v>
      </c>
      <c r="L168" s="240">
        <v>0</v>
      </c>
      <c r="M168" s="240">
        <v>0</v>
      </c>
      <c r="N168" s="240">
        <v>0</v>
      </c>
      <c r="O168" s="240">
        <v>0</v>
      </c>
      <c r="P168" s="240">
        <v>0</v>
      </c>
      <c r="Q168" s="240">
        <v>0</v>
      </c>
      <c r="R168" s="240">
        <v>0</v>
      </c>
      <c r="S168" s="242">
        <f t="shared" si="13"/>
        <v>0</v>
      </c>
      <c r="Z168"/>
    </row>
    <row r="169" spans="1:26" x14ac:dyDescent="0.2">
      <c r="A169" s="270"/>
      <c r="B169" s="235"/>
      <c r="C169" s="148"/>
      <c r="D169" s="148"/>
      <c r="E169" s="240"/>
      <c r="F169" s="240"/>
      <c r="G169" s="240"/>
      <c r="H169" s="240"/>
      <c r="I169" s="240"/>
      <c r="J169" s="240"/>
      <c r="K169" s="240"/>
      <c r="L169" s="240"/>
      <c r="M169" s="240"/>
      <c r="N169" s="240"/>
      <c r="O169" s="240"/>
      <c r="P169" s="240"/>
      <c r="Q169" s="240"/>
      <c r="R169" s="240"/>
      <c r="S169" s="242">
        <f t="shared" si="13"/>
        <v>0</v>
      </c>
      <c r="Z169"/>
    </row>
    <row r="170" spans="1:26" x14ac:dyDescent="0.2">
      <c r="A170" s="159">
        <v>615145</v>
      </c>
      <c r="B170" s="160" t="s">
        <v>133</v>
      </c>
      <c r="C170" s="148" t="s">
        <v>153</v>
      </c>
      <c r="D170" s="148" t="s">
        <v>192</v>
      </c>
      <c r="E170" s="240">
        <v>0</v>
      </c>
      <c r="F170" s="240">
        <v>0</v>
      </c>
      <c r="G170" s="240">
        <v>0</v>
      </c>
      <c r="H170" s="240">
        <v>0</v>
      </c>
      <c r="I170" s="240">
        <v>0</v>
      </c>
      <c r="J170" s="240">
        <v>0</v>
      </c>
      <c r="K170" s="240">
        <v>0</v>
      </c>
      <c r="L170" s="240">
        <v>0</v>
      </c>
      <c r="M170" s="240">
        <v>0</v>
      </c>
      <c r="N170" s="240">
        <v>0</v>
      </c>
      <c r="O170" s="240">
        <v>0</v>
      </c>
      <c r="P170" s="240">
        <v>0</v>
      </c>
      <c r="Q170" s="240">
        <v>0</v>
      </c>
      <c r="R170" s="240">
        <v>0</v>
      </c>
      <c r="S170" s="242">
        <f t="shared" si="13"/>
        <v>0</v>
      </c>
      <c r="Z170"/>
    </row>
    <row r="171" spans="1:26" x14ac:dyDescent="0.2">
      <c r="A171" s="270"/>
      <c r="B171" s="235"/>
      <c r="C171" s="148"/>
      <c r="D171" s="148"/>
      <c r="E171" s="240"/>
      <c r="F171" s="240"/>
      <c r="G171" s="240"/>
      <c r="H171" s="240"/>
      <c r="I171" s="240"/>
      <c r="J171" s="240"/>
      <c r="K171" s="240"/>
      <c r="L171" s="240"/>
      <c r="M171" s="240"/>
      <c r="N171" s="240"/>
      <c r="O171" s="240"/>
      <c r="P171" s="240"/>
      <c r="Q171" s="240"/>
      <c r="R171" s="240"/>
      <c r="S171" s="242">
        <f t="shared" si="13"/>
        <v>0</v>
      </c>
      <c r="Z171"/>
    </row>
    <row r="172" spans="1:26" x14ac:dyDescent="0.2">
      <c r="A172" s="159">
        <v>615145</v>
      </c>
      <c r="B172" s="160" t="s">
        <v>133</v>
      </c>
      <c r="C172" s="148" t="s">
        <v>143</v>
      </c>
      <c r="D172" s="148" t="s">
        <v>192</v>
      </c>
      <c r="E172" s="240">
        <v>0</v>
      </c>
      <c r="F172" s="240">
        <v>0</v>
      </c>
      <c r="G172" s="240">
        <v>0</v>
      </c>
      <c r="H172" s="240">
        <v>0</v>
      </c>
      <c r="I172" s="240">
        <v>151.9</v>
      </c>
      <c r="J172" s="240">
        <v>0</v>
      </c>
      <c r="K172" s="240">
        <v>0</v>
      </c>
      <c r="L172" s="240">
        <v>0</v>
      </c>
      <c r="M172" s="240">
        <v>0</v>
      </c>
      <c r="N172" s="240">
        <v>0</v>
      </c>
      <c r="O172" s="240">
        <v>0</v>
      </c>
      <c r="P172" s="240">
        <v>0</v>
      </c>
      <c r="Q172" s="240">
        <v>0</v>
      </c>
      <c r="R172" s="240">
        <v>0</v>
      </c>
      <c r="S172" s="242">
        <f t="shared" si="13"/>
        <v>151.9</v>
      </c>
      <c r="Z172"/>
    </row>
    <row r="173" spans="1:26" x14ac:dyDescent="0.2">
      <c r="A173" s="270"/>
      <c r="B173" s="235"/>
      <c r="C173" s="148"/>
      <c r="D173" s="148"/>
      <c r="E173" s="240"/>
      <c r="F173" s="240"/>
      <c r="G173" s="240"/>
      <c r="H173" s="240"/>
      <c r="I173" s="240"/>
      <c r="J173" s="240"/>
      <c r="K173" s="240"/>
      <c r="L173" s="240"/>
      <c r="M173" s="240"/>
      <c r="N173" s="240"/>
      <c r="O173" s="240"/>
      <c r="P173" s="240"/>
      <c r="Q173" s="240"/>
      <c r="R173" s="240"/>
      <c r="S173" s="242">
        <f t="shared" si="13"/>
        <v>0</v>
      </c>
      <c r="Z173"/>
    </row>
    <row r="174" spans="1:26" x14ac:dyDescent="0.2">
      <c r="A174" s="159">
        <v>615145</v>
      </c>
      <c r="B174" s="160" t="s">
        <v>133</v>
      </c>
      <c r="C174" s="148" t="s">
        <v>157</v>
      </c>
      <c r="D174" s="148" t="s">
        <v>192</v>
      </c>
      <c r="E174" s="240">
        <v>0</v>
      </c>
      <c r="F174" s="240">
        <v>0</v>
      </c>
      <c r="G174" s="240">
        <v>0</v>
      </c>
      <c r="H174" s="240">
        <v>0</v>
      </c>
      <c r="I174" s="240">
        <v>0</v>
      </c>
      <c r="J174" s="240">
        <v>0</v>
      </c>
      <c r="K174" s="240">
        <v>0</v>
      </c>
      <c r="L174" s="240">
        <v>0</v>
      </c>
      <c r="M174" s="240">
        <v>0</v>
      </c>
      <c r="N174" s="240">
        <v>0</v>
      </c>
      <c r="O174" s="240">
        <v>0</v>
      </c>
      <c r="P174" s="240">
        <v>0</v>
      </c>
      <c r="Q174" s="240">
        <v>0</v>
      </c>
      <c r="R174" s="240">
        <v>0</v>
      </c>
      <c r="S174" s="242">
        <f>SUM(E174:Q174)</f>
        <v>0</v>
      </c>
      <c r="Z174"/>
    </row>
    <row r="175" spans="1:26" x14ac:dyDescent="0.2">
      <c r="A175" s="159">
        <v>615145</v>
      </c>
      <c r="B175" s="160" t="s">
        <v>133</v>
      </c>
      <c r="C175" s="148" t="s">
        <v>157</v>
      </c>
      <c r="D175" s="148" t="s">
        <v>269</v>
      </c>
      <c r="E175" s="240">
        <v>0</v>
      </c>
      <c r="F175" s="240">
        <v>0</v>
      </c>
      <c r="G175" s="240">
        <v>0</v>
      </c>
      <c r="H175" s="240">
        <v>58.68</v>
      </c>
      <c r="I175" s="240">
        <v>0</v>
      </c>
      <c r="J175" s="240">
        <v>109.2</v>
      </c>
      <c r="K175" s="240">
        <v>14.31</v>
      </c>
      <c r="L175" s="240">
        <v>63.34</v>
      </c>
      <c r="M175" s="240">
        <v>0</v>
      </c>
      <c r="N175" s="240">
        <v>0</v>
      </c>
      <c r="O175" s="240">
        <v>189.63</v>
      </c>
      <c r="P175" s="240">
        <v>0</v>
      </c>
      <c r="Q175" s="240">
        <v>0</v>
      </c>
      <c r="R175" s="240">
        <v>0</v>
      </c>
      <c r="S175" s="242">
        <f t="shared" si="13"/>
        <v>435.15999999999997</v>
      </c>
      <c r="Z175"/>
    </row>
    <row r="176" spans="1:26" x14ac:dyDescent="0.2">
      <c r="A176" s="270"/>
      <c r="B176" s="235"/>
      <c r="C176" s="148"/>
      <c r="D176" s="148"/>
      <c r="E176" s="240"/>
      <c r="F176" s="240"/>
      <c r="G176" s="240"/>
      <c r="H176" s="240"/>
      <c r="I176" s="240"/>
      <c r="J176" s="240"/>
      <c r="K176" s="240"/>
      <c r="L176" s="240"/>
      <c r="M176" s="240"/>
      <c r="N176" s="240"/>
      <c r="O176" s="240"/>
      <c r="P176" s="240"/>
      <c r="Q176" s="240"/>
      <c r="R176" s="240"/>
      <c r="S176" s="242">
        <f t="shared" si="13"/>
        <v>0</v>
      </c>
      <c r="Z176"/>
    </row>
    <row r="177" spans="1:26" x14ac:dyDescent="0.2">
      <c r="A177" s="159">
        <v>615145</v>
      </c>
      <c r="B177" s="160" t="s">
        <v>133</v>
      </c>
      <c r="C177" s="148" t="s">
        <v>79</v>
      </c>
      <c r="D177" s="148" t="s">
        <v>192</v>
      </c>
      <c r="E177" s="240">
        <v>0</v>
      </c>
      <c r="F177" s="240">
        <v>0</v>
      </c>
      <c r="G177" s="240">
        <v>0</v>
      </c>
      <c r="H177" s="240">
        <v>0</v>
      </c>
      <c r="I177" s="240">
        <v>0</v>
      </c>
      <c r="J177" s="240">
        <v>0</v>
      </c>
      <c r="K177" s="240">
        <v>0</v>
      </c>
      <c r="L177" s="240">
        <v>0</v>
      </c>
      <c r="M177" s="240">
        <v>0</v>
      </c>
      <c r="N177" s="240">
        <v>0</v>
      </c>
      <c r="O177" s="240">
        <v>26.01</v>
      </c>
      <c r="P177" s="240">
        <v>0</v>
      </c>
      <c r="Q177" s="240">
        <v>0</v>
      </c>
      <c r="R177" s="240">
        <v>0</v>
      </c>
      <c r="S177" s="242">
        <f t="shared" si="13"/>
        <v>26.01</v>
      </c>
      <c r="Z177"/>
    </row>
    <row r="178" spans="1:26" x14ac:dyDescent="0.2">
      <c r="A178" s="159"/>
      <c r="B178" s="160"/>
      <c r="C178" s="148"/>
      <c r="D178" s="148"/>
      <c r="E178" s="240"/>
      <c r="F178" s="240"/>
      <c r="G178" s="240"/>
      <c r="H178" s="240"/>
      <c r="I178" s="240"/>
      <c r="J178" s="240"/>
      <c r="K178" s="240"/>
      <c r="L178" s="240"/>
      <c r="M178" s="240"/>
      <c r="N178" s="240"/>
      <c r="O178" s="240"/>
      <c r="P178" s="240"/>
      <c r="Q178" s="240"/>
      <c r="R178" s="240"/>
      <c r="S178" s="242">
        <f t="shared" si="13"/>
        <v>0</v>
      </c>
      <c r="Z178"/>
    </row>
    <row r="179" spans="1:26" x14ac:dyDescent="0.2">
      <c r="A179" s="159">
        <v>615145</v>
      </c>
      <c r="B179" s="160" t="s">
        <v>133</v>
      </c>
      <c r="C179" s="148" t="s">
        <v>368</v>
      </c>
      <c r="D179" s="148">
        <v>999999</v>
      </c>
      <c r="E179" s="240"/>
      <c r="F179" s="240">
        <v>156</v>
      </c>
      <c r="G179" s="240">
        <f>-156+312</f>
        <v>156</v>
      </c>
      <c r="H179" s="240">
        <f>-312+472</f>
        <v>160</v>
      </c>
      <c r="I179" s="240">
        <f>-472+628</f>
        <v>156</v>
      </c>
      <c r="J179" s="240">
        <f>-628+784</f>
        <v>156</v>
      </c>
      <c r="K179" s="240">
        <f>-784+944</f>
        <v>160</v>
      </c>
      <c r="L179" s="240">
        <f>-944+1100</f>
        <v>156</v>
      </c>
      <c r="M179" s="240">
        <f>-1100+1172</f>
        <v>72</v>
      </c>
      <c r="N179" s="240">
        <f>-1172+862</f>
        <v>-310</v>
      </c>
      <c r="O179" s="240">
        <f>-862+606</f>
        <v>-256</v>
      </c>
      <c r="P179" s="240">
        <v>-606</v>
      </c>
      <c r="Q179" s="240"/>
      <c r="R179" s="240"/>
      <c r="S179" s="242">
        <f t="shared" si="13"/>
        <v>0</v>
      </c>
      <c r="Z179"/>
    </row>
    <row r="180" spans="1:26" s="185" customFormat="1" ht="22.5" customHeight="1" x14ac:dyDescent="0.2">
      <c r="A180" s="267"/>
      <c r="B180" s="268"/>
      <c r="C180" s="267" t="s">
        <v>66</v>
      </c>
      <c r="D180" s="267"/>
      <c r="E180" s="269">
        <f>SUM(E159:E179)</f>
        <v>0</v>
      </c>
      <c r="F180" s="269">
        <f t="shared" ref="F180:S180" si="14">SUM(F159:F179)</f>
        <v>156</v>
      </c>
      <c r="G180" s="269">
        <f t="shared" si="14"/>
        <v>164</v>
      </c>
      <c r="H180" s="269">
        <f t="shared" si="14"/>
        <v>218.68</v>
      </c>
      <c r="I180" s="269">
        <f t="shared" si="14"/>
        <v>307.89999999999998</v>
      </c>
      <c r="J180" s="269">
        <f t="shared" si="14"/>
        <v>282</v>
      </c>
      <c r="K180" s="269">
        <f t="shared" si="14"/>
        <v>174.31</v>
      </c>
      <c r="L180" s="269">
        <f t="shared" si="14"/>
        <v>219.34</v>
      </c>
      <c r="M180" s="269">
        <f t="shared" si="14"/>
        <v>72</v>
      </c>
      <c r="N180" s="269">
        <f t="shared" si="14"/>
        <v>-279.10000000000002</v>
      </c>
      <c r="O180" s="269">
        <f t="shared" si="14"/>
        <v>-40.360000000000014</v>
      </c>
      <c r="P180" s="269">
        <f t="shared" si="14"/>
        <v>-606</v>
      </c>
      <c r="Q180" s="269">
        <f t="shared" si="14"/>
        <v>0</v>
      </c>
      <c r="R180" s="269">
        <f>SUM(R159:R179)</f>
        <v>0</v>
      </c>
      <c r="S180" s="269">
        <f t="shared" si="14"/>
        <v>668.77</v>
      </c>
      <c r="T180" s="689" t="e">
        <f>IF(Ctrl($A179)+S179+S178=S180,"Ok","Erreur somme")</f>
        <v>#VALUE!</v>
      </c>
      <c r="U180" s="212">
        <v>668.77</v>
      </c>
      <c r="V180" s="334">
        <f>U180-S180</f>
        <v>0</v>
      </c>
      <c r="W180" s="185" t="s">
        <v>853</v>
      </c>
      <c r="Z180"/>
    </row>
    <row r="181" spans="1:26" x14ac:dyDescent="0.2">
      <c r="A181" s="159">
        <v>615150</v>
      </c>
      <c r="B181" s="160" t="s">
        <v>112</v>
      </c>
      <c r="C181" s="148" t="s">
        <v>78</v>
      </c>
      <c r="D181" s="148" t="s">
        <v>192</v>
      </c>
      <c r="E181" s="240">
        <v>0</v>
      </c>
      <c r="F181" s="240">
        <v>0</v>
      </c>
      <c r="G181" s="240">
        <v>0</v>
      </c>
      <c r="H181" s="240">
        <v>262.76</v>
      </c>
      <c r="I181" s="240">
        <v>0</v>
      </c>
      <c r="J181" s="240">
        <v>0</v>
      </c>
      <c r="K181" s="240">
        <v>0</v>
      </c>
      <c r="L181" s="240">
        <v>0</v>
      </c>
      <c r="M181" s="240">
        <v>422.03</v>
      </c>
      <c r="N181" s="240">
        <v>0</v>
      </c>
      <c r="O181" s="240">
        <v>0</v>
      </c>
      <c r="P181" s="240">
        <v>0</v>
      </c>
      <c r="Q181" s="240">
        <v>0</v>
      </c>
      <c r="R181" s="240">
        <v>0</v>
      </c>
      <c r="S181" s="242">
        <f>SUM(E181:Q181)</f>
        <v>684.79</v>
      </c>
      <c r="Z181"/>
    </row>
    <row r="182" spans="1:26" x14ac:dyDescent="0.2">
      <c r="A182" s="270"/>
      <c r="B182" s="235"/>
      <c r="C182" s="148"/>
      <c r="D182" s="148"/>
      <c r="E182" s="240"/>
      <c r="F182" s="240"/>
      <c r="G182" s="240"/>
      <c r="H182" s="240"/>
      <c r="I182" s="240"/>
      <c r="J182" s="240"/>
      <c r="K182" s="240"/>
      <c r="L182" s="240"/>
      <c r="M182" s="240"/>
      <c r="N182" s="240"/>
      <c r="O182" s="240"/>
      <c r="P182" s="240"/>
      <c r="Q182" s="240"/>
      <c r="R182" s="240"/>
      <c r="S182" s="242"/>
      <c r="Z182"/>
    </row>
    <row r="183" spans="1:26" x14ac:dyDescent="0.2">
      <c r="A183" s="159">
        <v>615150</v>
      </c>
      <c r="B183" s="160" t="s">
        <v>112</v>
      </c>
      <c r="C183" s="148" t="s">
        <v>71</v>
      </c>
      <c r="D183" s="148" t="s">
        <v>192</v>
      </c>
      <c r="E183" s="240">
        <v>0</v>
      </c>
      <c r="F183" s="240">
        <v>0</v>
      </c>
      <c r="G183" s="240">
        <v>0</v>
      </c>
      <c r="H183" s="240">
        <v>0</v>
      </c>
      <c r="I183" s="240">
        <v>0</v>
      </c>
      <c r="J183" s="240">
        <v>0</v>
      </c>
      <c r="K183" s="240">
        <v>0</v>
      </c>
      <c r="L183" s="240">
        <v>0</v>
      </c>
      <c r="M183" s="240">
        <v>0</v>
      </c>
      <c r="N183" s="240">
        <v>0</v>
      </c>
      <c r="O183" s="240">
        <v>0</v>
      </c>
      <c r="P183" s="240">
        <v>0</v>
      </c>
      <c r="Q183" s="240">
        <v>0</v>
      </c>
      <c r="R183" s="240">
        <v>0</v>
      </c>
      <c r="S183" s="242">
        <f>SUM(E183:Q183)</f>
        <v>0</v>
      </c>
      <c r="Z183"/>
    </row>
    <row r="184" spans="1:26" x14ac:dyDescent="0.2">
      <c r="A184" s="270"/>
      <c r="B184" s="235"/>
      <c r="C184" s="148"/>
      <c r="D184" s="148"/>
      <c r="E184" s="240"/>
      <c r="F184" s="240"/>
      <c r="G184" s="240"/>
      <c r="H184" s="240"/>
      <c r="I184" s="240"/>
      <c r="J184" s="240"/>
      <c r="K184" s="240"/>
      <c r="L184" s="240"/>
      <c r="M184" s="240"/>
      <c r="N184" s="240"/>
      <c r="O184" s="240"/>
      <c r="P184" s="240"/>
      <c r="Q184" s="240"/>
      <c r="R184" s="240"/>
      <c r="S184" s="242"/>
      <c r="Z184"/>
    </row>
    <row r="185" spans="1:26" x14ac:dyDescent="0.2">
      <c r="A185" s="159">
        <v>615150</v>
      </c>
      <c r="B185" s="160" t="s">
        <v>112</v>
      </c>
      <c r="C185" s="148" t="s">
        <v>73</v>
      </c>
      <c r="D185" s="148" t="s">
        <v>192</v>
      </c>
      <c r="E185" s="240">
        <v>0</v>
      </c>
      <c r="F185" s="240">
        <v>0</v>
      </c>
      <c r="G185" s="240">
        <v>0</v>
      </c>
      <c r="H185" s="240">
        <v>0</v>
      </c>
      <c r="I185" s="240">
        <v>0</v>
      </c>
      <c r="J185" s="240">
        <v>0</v>
      </c>
      <c r="K185" s="240">
        <v>0</v>
      </c>
      <c r="L185" s="240">
        <v>0</v>
      </c>
      <c r="M185" s="240">
        <v>0</v>
      </c>
      <c r="N185" s="240">
        <v>0</v>
      </c>
      <c r="O185" s="240">
        <v>0</v>
      </c>
      <c r="P185" s="240">
        <v>0</v>
      </c>
      <c r="Q185" s="240">
        <v>0</v>
      </c>
      <c r="R185" s="240">
        <v>0</v>
      </c>
      <c r="S185" s="242">
        <f>SUM(E185:Q185)</f>
        <v>0</v>
      </c>
      <c r="Z185"/>
    </row>
    <row r="186" spans="1:26" x14ac:dyDescent="0.2">
      <c r="A186" s="270"/>
      <c r="B186" s="235"/>
      <c r="C186" s="148"/>
      <c r="D186" s="148"/>
      <c r="E186" s="240"/>
      <c r="F186" s="240"/>
      <c r="G186" s="240"/>
      <c r="H186" s="240"/>
      <c r="I186" s="240"/>
      <c r="J186" s="240"/>
      <c r="K186" s="240"/>
      <c r="L186" s="240"/>
      <c r="M186" s="240"/>
      <c r="N186" s="240"/>
      <c r="O186" s="240"/>
      <c r="P186" s="240"/>
      <c r="Q186" s="240"/>
      <c r="R186" s="240"/>
      <c r="S186" s="242"/>
      <c r="Z186"/>
    </row>
    <row r="187" spans="1:26" x14ac:dyDescent="0.2">
      <c r="A187" s="159">
        <v>615150</v>
      </c>
      <c r="B187" s="160" t="s">
        <v>112</v>
      </c>
      <c r="C187" s="148" t="s">
        <v>67</v>
      </c>
      <c r="D187" s="148" t="s">
        <v>192</v>
      </c>
      <c r="E187" s="240">
        <v>0</v>
      </c>
      <c r="F187" s="240">
        <v>0</v>
      </c>
      <c r="G187" s="240">
        <v>0</v>
      </c>
      <c r="H187" s="240">
        <v>0</v>
      </c>
      <c r="I187" s="240">
        <v>0</v>
      </c>
      <c r="J187" s="240">
        <v>0</v>
      </c>
      <c r="K187" s="240">
        <v>0</v>
      </c>
      <c r="L187" s="240">
        <v>0</v>
      </c>
      <c r="M187" s="240">
        <v>0</v>
      </c>
      <c r="N187" s="240">
        <v>0</v>
      </c>
      <c r="O187" s="240">
        <v>0</v>
      </c>
      <c r="P187" s="240">
        <v>0</v>
      </c>
      <c r="Q187" s="240">
        <v>0</v>
      </c>
      <c r="R187" s="240">
        <v>0</v>
      </c>
      <c r="S187" s="242">
        <f>SUM(E187:Q187)</f>
        <v>0</v>
      </c>
      <c r="Z187"/>
    </row>
    <row r="188" spans="1:26" ht="12" customHeight="1" x14ac:dyDescent="0.2">
      <c r="A188" s="270"/>
      <c r="B188" s="235"/>
      <c r="C188" s="148"/>
      <c r="D188" s="148"/>
      <c r="E188" s="240"/>
      <c r="F188" s="240"/>
      <c r="G188" s="240"/>
      <c r="H188" s="240"/>
      <c r="I188" s="240"/>
      <c r="J188" s="240"/>
      <c r="K188" s="240"/>
      <c r="L188" s="240"/>
      <c r="M188" s="240"/>
      <c r="N188" s="240"/>
      <c r="O188" s="240"/>
      <c r="P188" s="240"/>
      <c r="Q188" s="240"/>
      <c r="R188" s="240"/>
      <c r="S188" s="242"/>
      <c r="Z188"/>
    </row>
    <row r="189" spans="1:26" x14ac:dyDescent="0.2">
      <c r="A189" s="159">
        <v>615150</v>
      </c>
      <c r="B189" s="160" t="s">
        <v>112</v>
      </c>
      <c r="C189" s="148" t="s">
        <v>80</v>
      </c>
      <c r="D189" s="148" t="s">
        <v>192</v>
      </c>
      <c r="E189" s="240">
        <v>0</v>
      </c>
      <c r="F189" s="240">
        <v>0</v>
      </c>
      <c r="G189" s="240">
        <v>0</v>
      </c>
      <c r="H189" s="240">
        <v>0</v>
      </c>
      <c r="I189" s="240">
        <v>0</v>
      </c>
      <c r="J189" s="240">
        <v>0</v>
      </c>
      <c r="K189" s="240">
        <v>0</v>
      </c>
      <c r="L189" s="240">
        <v>0</v>
      </c>
      <c r="M189" s="240">
        <v>0</v>
      </c>
      <c r="N189" s="240">
        <v>0</v>
      </c>
      <c r="O189" s="240">
        <v>0</v>
      </c>
      <c r="P189" s="240">
        <v>0</v>
      </c>
      <c r="Q189" s="240">
        <v>0</v>
      </c>
      <c r="R189" s="240">
        <v>0</v>
      </c>
      <c r="S189" s="242">
        <f>SUM(E189:Q189)</f>
        <v>0</v>
      </c>
      <c r="Z189"/>
    </row>
    <row r="190" spans="1:26" x14ac:dyDescent="0.2">
      <c r="A190" s="270"/>
      <c r="B190" s="235"/>
      <c r="C190" s="148"/>
      <c r="D190" s="148"/>
      <c r="E190" s="240"/>
      <c r="F190" s="240"/>
      <c r="G190" s="240"/>
      <c r="H190" s="240"/>
      <c r="I190" s="240"/>
      <c r="J190" s="240"/>
      <c r="K190" s="240"/>
      <c r="L190" s="240"/>
      <c r="M190" s="240"/>
      <c r="N190" s="240"/>
      <c r="O190" s="240"/>
      <c r="P190" s="240"/>
      <c r="Q190" s="240"/>
      <c r="R190" s="240"/>
      <c r="S190" s="242"/>
      <c r="Z190"/>
    </row>
    <row r="191" spans="1:26" x14ac:dyDescent="0.2">
      <c r="A191" s="159">
        <v>615150</v>
      </c>
      <c r="B191" s="160" t="s">
        <v>112</v>
      </c>
      <c r="C191" s="148" t="s">
        <v>156</v>
      </c>
      <c r="D191" s="148" t="s">
        <v>192</v>
      </c>
      <c r="E191" s="240">
        <v>0</v>
      </c>
      <c r="F191" s="240">
        <v>0</v>
      </c>
      <c r="G191" s="240">
        <v>0</v>
      </c>
      <c r="H191" s="240">
        <v>0</v>
      </c>
      <c r="I191" s="240">
        <v>0</v>
      </c>
      <c r="J191" s="240">
        <v>0</v>
      </c>
      <c r="K191" s="240">
        <v>0</v>
      </c>
      <c r="L191" s="240">
        <v>0</v>
      </c>
      <c r="M191" s="240">
        <v>0</v>
      </c>
      <c r="N191" s="240">
        <v>0</v>
      </c>
      <c r="O191" s="240">
        <v>0</v>
      </c>
      <c r="P191" s="240">
        <v>0</v>
      </c>
      <c r="Q191" s="240">
        <v>0</v>
      </c>
      <c r="R191" s="240">
        <v>0</v>
      </c>
      <c r="S191" s="242">
        <f>SUM(E191:Q191)</f>
        <v>0</v>
      </c>
      <c r="Z191"/>
    </row>
    <row r="192" spans="1:26" x14ac:dyDescent="0.2">
      <c r="A192" s="270"/>
      <c r="B192" s="235"/>
      <c r="C192" s="148"/>
      <c r="D192" s="148"/>
      <c r="E192" s="240"/>
      <c r="F192" s="240"/>
      <c r="G192" s="240"/>
      <c r="H192" s="240"/>
      <c r="I192" s="240"/>
      <c r="J192" s="240"/>
      <c r="K192" s="240"/>
      <c r="L192" s="240"/>
      <c r="M192" s="240"/>
      <c r="N192" s="240"/>
      <c r="O192" s="240"/>
      <c r="P192" s="240"/>
      <c r="Q192" s="240"/>
      <c r="R192" s="240"/>
      <c r="S192" s="242">
        <f>SUM(E192:Q192)</f>
        <v>0</v>
      </c>
      <c r="Z192"/>
    </row>
    <row r="193" spans="1:26" x14ac:dyDescent="0.2">
      <c r="A193" s="159">
        <v>615150</v>
      </c>
      <c r="B193" s="160" t="s">
        <v>112</v>
      </c>
      <c r="C193" s="148" t="s">
        <v>172</v>
      </c>
      <c r="D193" s="148" t="s">
        <v>192</v>
      </c>
      <c r="E193" s="240">
        <v>0</v>
      </c>
      <c r="F193" s="240">
        <v>0</v>
      </c>
      <c r="G193" s="240">
        <v>0</v>
      </c>
      <c r="H193" s="240">
        <v>0</v>
      </c>
      <c r="I193" s="240">
        <v>0</v>
      </c>
      <c r="J193" s="240">
        <v>0</v>
      </c>
      <c r="K193" s="240">
        <v>0</v>
      </c>
      <c r="L193" s="240">
        <v>0</v>
      </c>
      <c r="M193" s="240">
        <v>0</v>
      </c>
      <c r="N193" s="240">
        <v>0</v>
      </c>
      <c r="O193" s="240">
        <v>0</v>
      </c>
      <c r="P193" s="240">
        <v>0</v>
      </c>
      <c r="Q193" s="240">
        <v>0</v>
      </c>
      <c r="R193" s="240">
        <v>0</v>
      </c>
      <c r="S193" s="242">
        <f>SUM(E193:Q193)</f>
        <v>0</v>
      </c>
      <c r="Z193"/>
    </row>
    <row r="194" spans="1:26" x14ac:dyDescent="0.2">
      <c r="A194" s="159"/>
      <c r="B194" s="160"/>
      <c r="C194" s="148"/>
      <c r="D194" s="148"/>
      <c r="E194" s="240"/>
      <c r="F194" s="240"/>
      <c r="G194" s="240"/>
      <c r="H194" s="240"/>
      <c r="I194" s="240"/>
      <c r="J194" s="240"/>
      <c r="K194" s="240"/>
      <c r="L194" s="240"/>
      <c r="M194" s="240"/>
      <c r="N194" s="240"/>
      <c r="O194" s="240"/>
      <c r="P194" s="240"/>
      <c r="Q194" s="240"/>
      <c r="R194" s="240"/>
      <c r="S194" s="242">
        <f>SUM(E194:Q194)</f>
        <v>0</v>
      </c>
      <c r="Z194"/>
    </row>
    <row r="195" spans="1:26" x14ac:dyDescent="0.2">
      <c r="A195" s="159">
        <v>615150</v>
      </c>
      <c r="B195" s="160" t="s">
        <v>112</v>
      </c>
      <c r="C195" s="148" t="s">
        <v>367</v>
      </c>
      <c r="D195" s="148">
        <v>999999</v>
      </c>
      <c r="E195" s="240"/>
      <c r="F195" s="240">
        <v>168</v>
      </c>
      <c r="G195" s="240">
        <f>-168+336</f>
        <v>168</v>
      </c>
      <c r="H195" s="240">
        <f>-336+243.24</f>
        <v>-92.759999999999991</v>
      </c>
      <c r="I195" s="240">
        <f>-243.24+411.24</f>
        <v>168</v>
      </c>
      <c r="J195" s="240">
        <f>-411.24+579.24</f>
        <v>168</v>
      </c>
      <c r="K195" s="240">
        <f>-579.24+749.24</f>
        <v>170</v>
      </c>
      <c r="L195" s="240">
        <f>-749.24+917.24</f>
        <v>168</v>
      </c>
      <c r="M195" s="240">
        <f>-917.24+663.21</f>
        <v>-254.02999999999997</v>
      </c>
      <c r="N195" s="240">
        <f>-663.21+1518.21</f>
        <v>855</v>
      </c>
      <c r="O195" s="240">
        <f>-1518.21+1686.21</f>
        <v>168</v>
      </c>
      <c r="P195" s="240">
        <f>-1686.21+0.21</f>
        <v>-1686</v>
      </c>
      <c r="Q195" s="240"/>
      <c r="R195" s="240"/>
      <c r="S195" s="242">
        <f>SUM(E195:Q195)</f>
        <v>0.21000000000003638</v>
      </c>
      <c r="Z195"/>
    </row>
    <row r="196" spans="1:26" s="185" customFormat="1" ht="24" customHeight="1" x14ac:dyDescent="0.2">
      <c r="A196" s="267"/>
      <c r="B196" s="268"/>
      <c r="C196" s="267" t="s">
        <v>66</v>
      </c>
      <c r="D196" s="267"/>
      <c r="E196" s="269">
        <f>SUM(E181:E195)</f>
        <v>0</v>
      </c>
      <c r="F196" s="269">
        <f t="shared" ref="F196:S196" si="15">SUM(F181:F195)</f>
        <v>168</v>
      </c>
      <c r="G196" s="269">
        <f t="shared" si="15"/>
        <v>168</v>
      </c>
      <c r="H196" s="269">
        <f t="shared" si="15"/>
        <v>170</v>
      </c>
      <c r="I196" s="269">
        <f t="shared" si="15"/>
        <v>168</v>
      </c>
      <c r="J196" s="269">
        <f t="shared" si="15"/>
        <v>168</v>
      </c>
      <c r="K196" s="269">
        <f t="shared" si="15"/>
        <v>170</v>
      </c>
      <c r="L196" s="269">
        <f t="shared" si="15"/>
        <v>168</v>
      </c>
      <c r="M196" s="269">
        <f t="shared" si="15"/>
        <v>168</v>
      </c>
      <c r="N196" s="269">
        <f t="shared" si="15"/>
        <v>855</v>
      </c>
      <c r="O196" s="269">
        <f t="shared" si="15"/>
        <v>168</v>
      </c>
      <c r="P196" s="269">
        <f t="shared" si="15"/>
        <v>-1686</v>
      </c>
      <c r="Q196" s="269">
        <f t="shared" si="15"/>
        <v>0</v>
      </c>
      <c r="R196" s="269">
        <f>SUM(R181:R195)</f>
        <v>0</v>
      </c>
      <c r="S196" s="269">
        <f t="shared" si="15"/>
        <v>685</v>
      </c>
      <c r="T196" s="689" t="e">
        <f>IF(Ctrl($A195)+S195+S194=S196,"Ok","Erreur somme")</f>
        <v>#VALUE!</v>
      </c>
      <c r="U196" s="212">
        <v>685</v>
      </c>
      <c r="V196" s="334">
        <f>U196-S196</f>
        <v>0</v>
      </c>
      <c r="W196" s="185" t="s">
        <v>853</v>
      </c>
      <c r="Z196"/>
    </row>
    <row r="197" spans="1:26" x14ac:dyDescent="0.2">
      <c r="A197" s="159">
        <v>615155</v>
      </c>
      <c r="B197" s="160" t="s">
        <v>113</v>
      </c>
      <c r="C197" s="148" t="s">
        <v>78</v>
      </c>
      <c r="D197" s="148" t="s">
        <v>179</v>
      </c>
      <c r="E197" s="240">
        <v>0</v>
      </c>
      <c r="F197" s="240">
        <v>572.81999999999994</v>
      </c>
      <c r="G197" s="240">
        <v>572.81999999999994</v>
      </c>
      <c r="H197" s="240">
        <v>572.81999999999994</v>
      </c>
      <c r="I197" s="240">
        <v>572.81999999999994</v>
      </c>
      <c r="J197" s="240">
        <v>572.81999999999994</v>
      </c>
      <c r="K197" s="240">
        <v>572.82000000000005</v>
      </c>
      <c r="L197" s="240">
        <v>572.82000000000005</v>
      </c>
      <c r="M197" s="240">
        <v>572.82000000000005</v>
      </c>
      <c r="N197" s="240">
        <v>572.82000000000005</v>
      </c>
      <c r="O197" s="240">
        <v>572.82000000000005</v>
      </c>
      <c r="P197" s="240">
        <v>572.82000000000005</v>
      </c>
      <c r="Q197" s="240">
        <v>572.79000000000008</v>
      </c>
      <c r="R197" s="240">
        <v>0</v>
      </c>
      <c r="S197" s="242">
        <f>SUM(E197:Q197)</f>
        <v>6873.8099999999986</v>
      </c>
      <c r="Z197"/>
    </row>
    <row r="198" spans="1:26" x14ac:dyDescent="0.2">
      <c r="A198" s="159">
        <v>615155</v>
      </c>
      <c r="B198" s="160" t="s">
        <v>113</v>
      </c>
      <c r="C198" s="148" t="s">
        <v>78</v>
      </c>
      <c r="D198" s="148" t="s">
        <v>192</v>
      </c>
      <c r="E198" s="240">
        <v>0</v>
      </c>
      <c r="F198" s="240">
        <v>0</v>
      </c>
      <c r="G198" s="240">
        <v>0</v>
      </c>
      <c r="H198" s="240">
        <v>0</v>
      </c>
      <c r="I198" s="240">
        <v>0</v>
      </c>
      <c r="J198" s="240">
        <v>0</v>
      </c>
      <c r="K198" s="240">
        <v>0</v>
      </c>
      <c r="L198" s="240">
        <v>0</v>
      </c>
      <c r="M198" s="240">
        <v>0</v>
      </c>
      <c r="N198" s="240">
        <v>0</v>
      </c>
      <c r="O198" s="240">
        <v>0</v>
      </c>
      <c r="P198" s="240">
        <v>0</v>
      </c>
      <c r="Q198" s="240">
        <v>0</v>
      </c>
      <c r="R198" s="240">
        <v>0</v>
      </c>
      <c r="S198" s="242">
        <f>SUM(E198:Q198)</f>
        <v>0</v>
      </c>
      <c r="Z198"/>
    </row>
    <row r="199" spans="1:26" x14ac:dyDescent="0.2">
      <c r="A199" s="270"/>
      <c r="B199" s="235"/>
      <c r="C199" s="148"/>
      <c r="D199" s="148"/>
      <c r="E199" s="240"/>
      <c r="F199" s="240"/>
      <c r="G199" s="240"/>
      <c r="H199" s="240"/>
      <c r="I199" s="240"/>
      <c r="J199" s="240"/>
      <c r="K199" s="240"/>
      <c r="L199" s="240"/>
      <c r="M199" s="240"/>
      <c r="N199" s="240"/>
      <c r="O199" s="240"/>
      <c r="P199" s="240"/>
      <c r="Q199" s="240"/>
      <c r="R199" s="240"/>
      <c r="S199" s="242"/>
      <c r="Z199"/>
    </row>
    <row r="200" spans="1:26" x14ac:dyDescent="0.2">
      <c r="A200" s="159">
        <v>615155</v>
      </c>
      <c r="B200" s="160" t="s">
        <v>113</v>
      </c>
      <c r="C200" s="148" t="s">
        <v>71</v>
      </c>
      <c r="D200" s="148" t="s">
        <v>192</v>
      </c>
      <c r="E200" s="240">
        <v>0</v>
      </c>
      <c r="F200" s="240">
        <v>0</v>
      </c>
      <c r="G200" s="240">
        <v>0</v>
      </c>
      <c r="H200" s="240">
        <v>0</v>
      </c>
      <c r="I200" s="240">
        <v>0</v>
      </c>
      <c r="J200" s="240">
        <v>0</v>
      </c>
      <c r="K200" s="240">
        <v>589</v>
      </c>
      <c r="L200" s="240">
        <v>0</v>
      </c>
      <c r="M200" s="240">
        <v>0</v>
      </c>
      <c r="N200" s="240">
        <v>920</v>
      </c>
      <c r="O200" s="240">
        <v>0</v>
      </c>
      <c r="P200" s="240">
        <v>0</v>
      </c>
      <c r="Q200" s="240">
        <v>0</v>
      </c>
      <c r="R200" s="240">
        <v>0</v>
      </c>
      <c r="S200" s="242">
        <f>SUM(E200:Q200)</f>
        <v>1509</v>
      </c>
      <c r="Z200"/>
    </row>
    <row r="201" spans="1:26" x14ac:dyDescent="0.2">
      <c r="A201" s="159">
        <v>615155</v>
      </c>
      <c r="B201" s="160" t="s">
        <v>113</v>
      </c>
      <c r="C201" s="148" t="s">
        <v>71</v>
      </c>
      <c r="D201" s="148" t="s">
        <v>179</v>
      </c>
      <c r="E201" s="240">
        <v>0</v>
      </c>
      <c r="F201" s="240">
        <v>439.16</v>
      </c>
      <c r="G201" s="240">
        <v>417.71000000000004</v>
      </c>
      <c r="H201" s="240">
        <v>428.45000000000005</v>
      </c>
      <c r="I201" s="240">
        <v>428.45000000000005</v>
      </c>
      <c r="J201" s="240">
        <v>428.45000000000005</v>
      </c>
      <c r="K201" s="240">
        <v>428.45</v>
      </c>
      <c r="L201" s="240">
        <v>428.45</v>
      </c>
      <c r="M201" s="240">
        <v>428.45</v>
      </c>
      <c r="N201" s="240">
        <v>428.45</v>
      </c>
      <c r="O201" s="240">
        <v>428.45</v>
      </c>
      <c r="P201" s="240">
        <v>428.45</v>
      </c>
      <c r="Q201" s="240">
        <v>428.43</v>
      </c>
      <c r="R201" s="240">
        <v>0</v>
      </c>
      <c r="S201" s="242">
        <f>SUM(E201:Q201)</f>
        <v>5141.3499999999995</v>
      </c>
      <c r="Z201"/>
    </row>
    <row r="202" spans="1:26" x14ac:dyDescent="0.2">
      <c r="A202" s="270"/>
      <c r="B202" s="235"/>
      <c r="C202" s="148"/>
      <c r="D202" s="148"/>
      <c r="E202" s="240"/>
      <c r="F202" s="240"/>
      <c r="G202" s="240"/>
      <c r="H202" s="240"/>
      <c r="I202" s="240"/>
      <c r="J202" s="240"/>
      <c r="K202" s="240"/>
      <c r="L202" s="240"/>
      <c r="M202" s="240"/>
      <c r="N202" s="240"/>
      <c r="O202" s="240"/>
      <c r="P202" s="240"/>
      <c r="Q202" s="240"/>
      <c r="R202" s="240"/>
      <c r="S202" s="242"/>
      <c r="Z202"/>
    </row>
    <row r="203" spans="1:26" x14ac:dyDescent="0.2">
      <c r="A203" s="159">
        <v>615155</v>
      </c>
      <c r="B203" s="160" t="s">
        <v>113</v>
      </c>
      <c r="C203" s="148" t="s">
        <v>73</v>
      </c>
      <c r="D203" s="148" t="s">
        <v>192</v>
      </c>
      <c r="E203" s="240">
        <v>0</v>
      </c>
      <c r="F203" s="240">
        <v>0</v>
      </c>
      <c r="G203" s="240">
        <v>0</v>
      </c>
      <c r="H203" s="240">
        <v>0</v>
      </c>
      <c r="I203" s="240">
        <v>0</v>
      </c>
      <c r="J203" s="240">
        <v>0</v>
      </c>
      <c r="K203" s="240">
        <v>0</v>
      </c>
      <c r="L203" s="240">
        <v>0</v>
      </c>
      <c r="M203" s="240">
        <v>0</v>
      </c>
      <c r="N203" s="240">
        <v>0</v>
      </c>
      <c r="O203" s="240">
        <v>0</v>
      </c>
      <c r="P203" s="240">
        <v>0</v>
      </c>
      <c r="Q203" s="240">
        <v>0</v>
      </c>
      <c r="R203" s="240">
        <v>0</v>
      </c>
      <c r="S203" s="242">
        <f>SUM(E203:Q203)</f>
        <v>0</v>
      </c>
      <c r="Z203"/>
    </row>
    <row r="204" spans="1:26" x14ac:dyDescent="0.2">
      <c r="A204" s="159">
        <v>615155</v>
      </c>
      <c r="B204" s="160" t="s">
        <v>113</v>
      </c>
      <c r="C204" s="148" t="s">
        <v>73</v>
      </c>
      <c r="D204" s="148" t="s">
        <v>179</v>
      </c>
      <c r="E204" s="240">
        <v>0</v>
      </c>
      <c r="F204" s="240">
        <v>413.45000000000005</v>
      </c>
      <c r="G204" s="240">
        <v>413.39000000000004</v>
      </c>
      <c r="H204" s="240">
        <v>413.39000000000004</v>
      </c>
      <c r="I204" s="240">
        <v>413.39000000000004</v>
      </c>
      <c r="J204" s="240">
        <v>413.39000000000004</v>
      </c>
      <c r="K204" s="240">
        <v>413.39</v>
      </c>
      <c r="L204" s="240">
        <v>413.39</v>
      </c>
      <c r="M204" s="240">
        <v>413.39</v>
      </c>
      <c r="N204" s="240">
        <v>413.39</v>
      </c>
      <c r="O204" s="240">
        <v>413.39</v>
      </c>
      <c r="P204" s="240">
        <v>413.39</v>
      </c>
      <c r="Q204" s="240">
        <v>413.38000000000005</v>
      </c>
      <c r="R204" s="240">
        <v>0</v>
      </c>
      <c r="S204" s="242">
        <f>SUM(E204:Q204)</f>
        <v>4960.7300000000005</v>
      </c>
      <c r="Z204"/>
    </row>
    <row r="205" spans="1:26" x14ac:dyDescent="0.2">
      <c r="A205" s="159"/>
      <c r="B205" s="160"/>
      <c r="C205" s="148"/>
      <c r="D205" s="148"/>
      <c r="E205" s="240"/>
      <c r="F205" s="240"/>
      <c r="G205" s="240"/>
      <c r="H205" s="240"/>
      <c r="I205" s="240"/>
      <c r="J205" s="240"/>
      <c r="K205" s="240"/>
      <c r="L205" s="240"/>
      <c r="M205" s="240"/>
      <c r="N205" s="240"/>
      <c r="O205" s="240"/>
      <c r="P205" s="240"/>
      <c r="Q205" s="240"/>
      <c r="R205" s="240"/>
      <c r="S205" s="242"/>
      <c r="Z205"/>
    </row>
    <row r="206" spans="1:26" x14ac:dyDescent="0.2">
      <c r="A206" s="159">
        <v>615155</v>
      </c>
      <c r="B206" s="160" t="s">
        <v>113</v>
      </c>
      <c r="C206" s="148" t="s">
        <v>67</v>
      </c>
      <c r="D206" s="148" t="s">
        <v>192</v>
      </c>
      <c r="E206" s="240">
        <v>0</v>
      </c>
      <c r="F206" s="240">
        <v>0</v>
      </c>
      <c r="G206" s="240">
        <v>0</v>
      </c>
      <c r="H206" s="240">
        <v>0</v>
      </c>
      <c r="I206" s="240">
        <v>0</v>
      </c>
      <c r="J206" s="240">
        <v>0</v>
      </c>
      <c r="K206" s="240">
        <v>0</v>
      </c>
      <c r="L206" s="240">
        <v>0</v>
      </c>
      <c r="M206" s="240">
        <v>136</v>
      </c>
      <c r="N206" s="240">
        <v>0</v>
      </c>
      <c r="O206" s="240">
        <v>0</v>
      </c>
      <c r="P206" s="240">
        <v>0</v>
      </c>
      <c r="Q206" s="240">
        <v>0</v>
      </c>
      <c r="R206" s="240">
        <v>0</v>
      </c>
      <c r="S206" s="242">
        <f>SUM(E206:Q206)</f>
        <v>136</v>
      </c>
      <c r="Z206"/>
    </row>
    <row r="207" spans="1:26" x14ac:dyDescent="0.2">
      <c r="A207" s="159">
        <v>615155</v>
      </c>
      <c r="B207" s="160" t="s">
        <v>113</v>
      </c>
      <c r="C207" s="148" t="s">
        <v>67</v>
      </c>
      <c r="D207" s="148" t="s">
        <v>179</v>
      </c>
      <c r="E207" s="240">
        <v>0</v>
      </c>
      <c r="F207" s="240">
        <v>522.91999999999996</v>
      </c>
      <c r="G207" s="240">
        <v>497.4</v>
      </c>
      <c r="H207" s="240">
        <v>510.15999999999997</v>
      </c>
      <c r="I207" s="240">
        <v>510.15999999999997</v>
      </c>
      <c r="J207" s="240">
        <v>510.15999999999997</v>
      </c>
      <c r="K207" s="240">
        <v>510.16</v>
      </c>
      <c r="L207" s="240">
        <v>510.16</v>
      </c>
      <c r="M207" s="240">
        <v>510.16</v>
      </c>
      <c r="N207" s="240">
        <v>510.16</v>
      </c>
      <c r="O207" s="240">
        <v>510.16</v>
      </c>
      <c r="P207" s="240">
        <v>510.16</v>
      </c>
      <c r="Q207" s="240">
        <v>510.16</v>
      </c>
      <c r="R207" s="240">
        <v>0</v>
      </c>
      <c r="S207" s="242">
        <f>SUM(E207:Q207)</f>
        <v>6121.9199999999992</v>
      </c>
      <c r="Z207"/>
    </row>
    <row r="208" spans="1:26" x14ac:dyDescent="0.2">
      <c r="A208" s="270"/>
      <c r="B208" s="235"/>
      <c r="C208" s="148"/>
      <c r="D208" s="148"/>
      <c r="E208" s="240"/>
      <c r="F208" s="240"/>
      <c r="G208" s="240"/>
      <c r="H208" s="240"/>
      <c r="I208" s="240"/>
      <c r="J208" s="240"/>
      <c r="K208" s="240"/>
      <c r="L208" s="240"/>
      <c r="M208" s="240"/>
      <c r="N208" s="240"/>
      <c r="O208" s="240"/>
      <c r="P208" s="240"/>
      <c r="Q208" s="240"/>
      <c r="R208" s="240"/>
      <c r="S208" s="242"/>
      <c r="Z208"/>
    </row>
    <row r="209" spans="1:56" x14ac:dyDescent="0.2">
      <c r="A209" s="159">
        <v>615155</v>
      </c>
      <c r="B209" s="160" t="s">
        <v>113</v>
      </c>
      <c r="C209" s="148" t="s">
        <v>62</v>
      </c>
      <c r="D209" s="148" t="s">
        <v>192</v>
      </c>
      <c r="E209" s="240">
        <v>0</v>
      </c>
      <c r="F209" s="240">
        <v>0</v>
      </c>
      <c r="G209" s="240">
        <v>0</v>
      </c>
      <c r="H209" s="240">
        <v>0</v>
      </c>
      <c r="I209" s="240">
        <v>0</v>
      </c>
      <c r="J209" s="240">
        <v>0</v>
      </c>
      <c r="K209" s="240">
        <v>0</v>
      </c>
      <c r="L209" s="240">
        <v>0</v>
      </c>
      <c r="M209" s="240">
        <v>0</v>
      </c>
      <c r="N209" s="240">
        <v>0</v>
      </c>
      <c r="O209" s="240">
        <v>0</v>
      </c>
      <c r="P209" s="240">
        <v>136</v>
      </c>
      <c r="Q209" s="240">
        <v>0</v>
      </c>
      <c r="R209" s="240">
        <v>0</v>
      </c>
      <c r="S209" s="242">
        <f>SUM(E209:Q209)</f>
        <v>136</v>
      </c>
      <c r="Z209"/>
      <c r="AT209" s="184">
        <f>NANCY!AG43</f>
        <v>0</v>
      </c>
      <c r="AU209" s="184">
        <f>NANCY!AH43</f>
        <v>0</v>
      </c>
      <c r="AV209" s="184">
        <f>NANCY!AI43</f>
        <v>0</v>
      </c>
      <c r="AW209" s="184">
        <f>NANCY!AJ43</f>
        <v>0</v>
      </c>
      <c r="AX209" s="184">
        <f>NANCY!AK43</f>
        <v>0</v>
      </c>
      <c r="AY209" s="184">
        <f>NANCY!AL43</f>
        <v>0</v>
      </c>
      <c r="AZ209" s="184">
        <f>NANCY!AM43</f>
        <v>0</v>
      </c>
      <c r="BA209" s="184">
        <f>NANCY!AN43</f>
        <v>0</v>
      </c>
      <c r="BB209" s="184">
        <f>NANCY!AO43</f>
        <v>0</v>
      </c>
      <c r="BC209" s="184">
        <f>NANCY!AP43</f>
        <v>0</v>
      </c>
      <c r="BD209" s="184">
        <f>NANCY!AQ43</f>
        <v>0</v>
      </c>
    </row>
    <row r="210" spans="1:56" x14ac:dyDescent="0.2">
      <c r="A210" s="159">
        <v>615155</v>
      </c>
      <c r="B210" s="160" t="s">
        <v>113</v>
      </c>
      <c r="C210" s="148" t="s">
        <v>62</v>
      </c>
      <c r="D210" s="148" t="s">
        <v>179</v>
      </c>
      <c r="E210" s="240">
        <v>0</v>
      </c>
      <c r="F210" s="240">
        <v>305.34000000000003</v>
      </c>
      <c r="G210" s="240">
        <v>305.34000000000003</v>
      </c>
      <c r="H210" s="240">
        <v>305.34000000000003</v>
      </c>
      <c r="I210" s="240">
        <v>305.34000000000003</v>
      </c>
      <c r="J210" s="240">
        <v>305.34000000000003</v>
      </c>
      <c r="K210" s="240">
        <v>305.33999999999997</v>
      </c>
      <c r="L210" s="240">
        <v>305.33999999999997</v>
      </c>
      <c r="M210" s="240">
        <v>305.33999999999997</v>
      </c>
      <c r="N210" s="240">
        <v>305.33999999999997</v>
      </c>
      <c r="O210" s="240">
        <v>305.33999999999997</v>
      </c>
      <c r="P210" s="240">
        <v>305.33999999999997</v>
      </c>
      <c r="Q210" s="240">
        <v>305.39</v>
      </c>
      <c r="R210" s="240">
        <v>0</v>
      </c>
      <c r="S210" s="242">
        <f>SUM(E210:Q210)</f>
        <v>3664.1300000000006</v>
      </c>
      <c r="Z210"/>
    </row>
    <row r="211" spans="1:56" x14ac:dyDescent="0.2">
      <c r="A211" s="270"/>
      <c r="B211" s="235"/>
      <c r="C211" s="148"/>
      <c r="D211" s="148"/>
      <c r="E211" s="240"/>
      <c r="F211" s="240"/>
      <c r="G211" s="240"/>
      <c r="H211" s="240"/>
      <c r="I211" s="240"/>
      <c r="J211" s="240"/>
      <c r="K211" s="240"/>
      <c r="L211" s="240"/>
      <c r="M211" s="240"/>
      <c r="N211" s="240"/>
      <c r="O211" s="240"/>
      <c r="P211" s="240"/>
      <c r="Q211" s="240"/>
      <c r="R211" s="240"/>
      <c r="S211" s="242"/>
      <c r="Z211"/>
    </row>
    <row r="212" spans="1:56" x14ac:dyDescent="0.2">
      <c r="A212" s="159">
        <v>615155</v>
      </c>
      <c r="B212" s="160" t="s">
        <v>113</v>
      </c>
      <c r="C212" s="148" t="s">
        <v>80</v>
      </c>
      <c r="D212" s="148" t="s">
        <v>192</v>
      </c>
      <c r="E212" s="240">
        <v>0</v>
      </c>
      <c r="F212" s="240">
        <v>0</v>
      </c>
      <c r="G212" s="240">
        <v>498.5</v>
      </c>
      <c r="H212" s="240">
        <v>0</v>
      </c>
      <c r="I212" s="240">
        <v>0</v>
      </c>
      <c r="J212" s="240">
        <v>0</v>
      </c>
      <c r="K212" s="240">
        <v>875</v>
      </c>
      <c r="L212" s="240">
        <v>0</v>
      </c>
      <c r="M212" s="240">
        <v>0</v>
      </c>
      <c r="N212" s="240">
        <v>0</v>
      </c>
      <c r="O212" s="240">
        <v>0</v>
      </c>
      <c r="P212" s="240">
        <v>0</v>
      </c>
      <c r="Q212" s="240">
        <v>0</v>
      </c>
      <c r="R212" s="240">
        <v>0</v>
      </c>
      <c r="S212" s="242">
        <f>SUM(E212:Q212)</f>
        <v>1373.5</v>
      </c>
      <c r="Z212"/>
    </row>
    <row r="213" spans="1:56" x14ac:dyDescent="0.2">
      <c r="A213" s="159">
        <v>615155</v>
      </c>
      <c r="B213" s="160" t="s">
        <v>113</v>
      </c>
      <c r="C213" s="148" t="s">
        <v>80</v>
      </c>
      <c r="D213" s="148" t="s">
        <v>179</v>
      </c>
      <c r="E213" s="240">
        <v>0</v>
      </c>
      <c r="F213" s="240">
        <v>372.94</v>
      </c>
      <c r="G213" s="240">
        <v>354.74</v>
      </c>
      <c r="H213" s="240">
        <v>363.84</v>
      </c>
      <c r="I213" s="240">
        <v>363.84</v>
      </c>
      <c r="J213" s="240">
        <v>363.84</v>
      </c>
      <c r="K213" s="240">
        <v>363.84</v>
      </c>
      <c r="L213" s="240">
        <v>363.84</v>
      </c>
      <c r="M213" s="240">
        <v>363.84</v>
      </c>
      <c r="N213" s="240">
        <v>363.84</v>
      </c>
      <c r="O213" s="240">
        <v>363.84</v>
      </c>
      <c r="P213" s="240">
        <v>363.84</v>
      </c>
      <c r="Q213" s="240">
        <v>363.88</v>
      </c>
      <c r="R213" s="240">
        <v>0</v>
      </c>
      <c r="S213" s="242">
        <f>SUM(E213:Q213)</f>
        <v>4366.1200000000008</v>
      </c>
      <c r="Z213"/>
    </row>
    <row r="214" spans="1:56" x14ac:dyDescent="0.2">
      <c r="A214" s="270"/>
      <c r="B214" s="235"/>
      <c r="C214" s="148"/>
      <c r="D214" s="148"/>
      <c r="E214" s="240"/>
      <c r="F214" s="240"/>
      <c r="G214" s="240"/>
      <c r="H214" s="240"/>
      <c r="I214" s="240"/>
      <c r="J214" s="240"/>
      <c r="K214" s="240"/>
      <c r="L214" s="240"/>
      <c r="M214" s="240"/>
      <c r="N214" s="240"/>
      <c r="O214" s="240"/>
      <c r="P214" s="240"/>
      <c r="Q214" s="240"/>
      <c r="R214" s="240"/>
      <c r="S214" s="242"/>
      <c r="Z214"/>
    </row>
    <row r="215" spans="1:56" x14ac:dyDescent="0.2">
      <c r="A215" s="159">
        <v>615155</v>
      </c>
      <c r="B215" s="160" t="s">
        <v>113</v>
      </c>
      <c r="C215" s="148" t="s">
        <v>156</v>
      </c>
      <c r="D215" s="148" t="s">
        <v>192</v>
      </c>
      <c r="E215" s="240">
        <v>0</v>
      </c>
      <c r="F215" s="240">
        <v>0</v>
      </c>
      <c r="G215" s="240">
        <v>0</v>
      </c>
      <c r="H215" s="240">
        <v>0</v>
      </c>
      <c r="I215" s="240">
        <v>0</v>
      </c>
      <c r="J215" s="240">
        <v>0</v>
      </c>
      <c r="K215" s="240">
        <v>0</v>
      </c>
      <c r="L215" s="240">
        <v>0</v>
      </c>
      <c r="M215" s="240">
        <v>0</v>
      </c>
      <c r="N215" s="240">
        <v>0</v>
      </c>
      <c r="O215" s="240">
        <v>0</v>
      </c>
      <c r="P215" s="240">
        <v>0</v>
      </c>
      <c r="Q215" s="240">
        <v>0</v>
      </c>
      <c r="R215" s="240">
        <v>0</v>
      </c>
      <c r="S215" s="242">
        <f>SUM(E215:Q215)</f>
        <v>0</v>
      </c>
      <c r="Z215"/>
    </row>
    <row r="216" spans="1:56" x14ac:dyDescent="0.2">
      <c r="A216" s="159">
        <v>615155</v>
      </c>
      <c r="B216" s="160" t="s">
        <v>113</v>
      </c>
      <c r="C216" s="148" t="s">
        <v>156</v>
      </c>
      <c r="D216" s="148" t="s">
        <v>179</v>
      </c>
      <c r="E216" s="240">
        <v>-315.19</v>
      </c>
      <c r="F216" s="240">
        <v>539.55999999999995</v>
      </c>
      <c r="G216" s="240">
        <v>539.55999999999995</v>
      </c>
      <c r="H216" s="240">
        <v>539.55999999999995</v>
      </c>
      <c r="I216" s="240">
        <v>539.55999999999995</v>
      </c>
      <c r="J216" s="240">
        <v>539.55999999999995</v>
      </c>
      <c r="K216" s="240">
        <v>539.55999999999995</v>
      </c>
      <c r="L216" s="240">
        <v>539.55999999999995</v>
      </c>
      <c r="M216" s="240">
        <v>539.55999999999995</v>
      </c>
      <c r="N216" s="240">
        <v>539.55999999999995</v>
      </c>
      <c r="O216" s="240">
        <v>539.55999999999995</v>
      </c>
      <c r="P216" s="240">
        <v>539.55999999999995</v>
      </c>
      <c r="Q216" s="240">
        <v>539.55999999999995</v>
      </c>
      <c r="R216" s="240">
        <v>0</v>
      </c>
      <c r="S216" s="242">
        <f>SUM(E216:Q216)</f>
        <v>6159.5299999999988</v>
      </c>
      <c r="Z216"/>
    </row>
    <row r="217" spans="1:56" x14ac:dyDescent="0.2">
      <c r="A217" s="270"/>
      <c r="B217" s="235"/>
      <c r="C217" s="148"/>
      <c r="D217" s="148"/>
      <c r="E217" s="240"/>
      <c r="F217" s="240"/>
      <c r="G217" s="240"/>
      <c r="H217" s="240"/>
      <c r="I217" s="240"/>
      <c r="J217" s="240"/>
      <c r="K217" s="240"/>
      <c r="L217" s="240"/>
      <c r="M217" s="240"/>
      <c r="N217" s="240"/>
      <c r="O217" s="240"/>
      <c r="P217" s="240"/>
      <c r="Q217" s="240"/>
      <c r="R217" s="240"/>
      <c r="S217" s="242"/>
      <c r="Z217"/>
    </row>
    <row r="218" spans="1:56" x14ac:dyDescent="0.2">
      <c r="A218" s="159">
        <v>615155</v>
      </c>
      <c r="B218" s="160" t="s">
        <v>113</v>
      </c>
      <c r="C218" s="148" t="s">
        <v>172</v>
      </c>
      <c r="D218" s="148" t="s">
        <v>192</v>
      </c>
      <c r="E218" s="240">
        <v>0</v>
      </c>
      <c r="F218" s="240">
        <v>0</v>
      </c>
      <c r="G218" s="240">
        <v>0</v>
      </c>
      <c r="H218" s="240">
        <v>0</v>
      </c>
      <c r="I218" s="240">
        <v>0</v>
      </c>
      <c r="J218" s="240">
        <v>0</v>
      </c>
      <c r="K218" s="240">
        <v>0</v>
      </c>
      <c r="L218" s="240">
        <v>0</v>
      </c>
      <c r="M218" s="240">
        <v>0</v>
      </c>
      <c r="N218" s="240">
        <v>0</v>
      </c>
      <c r="O218" s="240">
        <v>0</v>
      </c>
      <c r="P218" s="240">
        <v>0</v>
      </c>
      <c r="Q218" s="240">
        <v>135.13999999999999</v>
      </c>
      <c r="R218" s="240">
        <v>0</v>
      </c>
      <c r="S218" s="242">
        <f t="shared" ref="S218:S223" si="16">SUM(E218:Q218)</f>
        <v>135.13999999999999</v>
      </c>
      <c r="Z218"/>
    </row>
    <row r="219" spans="1:56" x14ac:dyDescent="0.2">
      <c r="A219" s="159">
        <v>615155</v>
      </c>
      <c r="B219" s="160" t="s">
        <v>113</v>
      </c>
      <c r="C219" s="148" t="s">
        <v>172</v>
      </c>
      <c r="D219" s="148" t="s">
        <v>179</v>
      </c>
      <c r="E219" s="240">
        <v>-22.72</v>
      </c>
      <c r="F219" s="240">
        <v>278.80999999999995</v>
      </c>
      <c r="G219" s="240">
        <v>278.80999999999995</v>
      </c>
      <c r="H219" s="240">
        <v>278.80999999999995</v>
      </c>
      <c r="I219" s="240">
        <v>278.80999999999995</v>
      </c>
      <c r="J219" s="240">
        <v>279.38</v>
      </c>
      <c r="K219" s="240">
        <v>279.38</v>
      </c>
      <c r="L219" s="240">
        <v>279.38</v>
      </c>
      <c r="M219" s="240">
        <v>256.08999999999997</v>
      </c>
      <c r="N219" s="240">
        <v>256.08999999999997</v>
      </c>
      <c r="O219" s="240">
        <v>256.08999999999997</v>
      </c>
      <c r="P219" s="240">
        <v>279.38</v>
      </c>
      <c r="Q219" s="240">
        <v>279.40000000000003</v>
      </c>
      <c r="R219" s="240">
        <v>0</v>
      </c>
      <c r="S219" s="242">
        <f t="shared" si="16"/>
        <v>3257.7100000000005</v>
      </c>
      <c r="Z219"/>
    </row>
    <row r="220" spans="1:56" x14ac:dyDescent="0.2">
      <c r="A220" s="270"/>
      <c r="B220" s="235"/>
      <c r="C220" s="148"/>
      <c r="D220" s="148"/>
      <c r="E220" s="240"/>
      <c r="F220" s="240"/>
      <c r="G220" s="240"/>
      <c r="H220" s="240"/>
      <c r="I220" s="240"/>
      <c r="J220" s="240"/>
      <c r="K220" s="240"/>
      <c r="L220" s="240"/>
      <c r="M220" s="240"/>
      <c r="N220" s="240"/>
      <c r="O220" s="240"/>
      <c r="P220" s="240"/>
      <c r="Q220" s="240"/>
      <c r="R220" s="240"/>
      <c r="S220" s="242">
        <f t="shared" si="16"/>
        <v>0</v>
      </c>
      <c r="Z220"/>
    </row>
    <row r="221" spans="1:56" x14ac:dyDescent="0.2">
      <c r="A221" s="159">
        <v>615155</v>
      </c>
      <c r="B221" s="160" t="s">
        <v>113</v>
      </c>
      <c r="C221" s="148" t="s">
        <v>79</v>
      </c>
      <c r="D221" s="148" t="s">
        <v>192</v>
      </c>
      <c r="E221" s="240">
        <v>0</v>
      </c>
      <c r="F221" s="240">
        <v>0</v>
      </c>
      <c r="G221" s="240">
        <v>0</v>
      </c>
      <c r="H221" s="240">
        <v>0</v>
      </c>
      <c r="I221" s="240">
        <v>0</v>
      </c>
      <c r="J221" s="240">
        <v>0</v>
      </c>
      <c r="K221" s="240">
        <v>0</v>
      </c>
      <c r="L221" s="240">
        <v>0</v>
      </c>
      <c r="M221" s="240">
        <v>0</v>
      </c>
      <c r="N221" s="240">
        <v>0</v>
      </c>
      <c r="O221" s="240">
        <v>0</v>
      </c>
      <c r="P221" s="240">
        <v>0</v>
      </c>
      <c r="Q221" s="240">
        <v>0</v>
      </c>
      <c r="R221" s="240">
        <v>0</v>
      </c>
      <c r="S221" s="242">
        <f t="shared" si="16"/>
        <v>0</v>
      </c>
      <c r="Z221"/>
    </row>
    <row r="222" spans="1:56" x14ac:dyDescent="0.2">
      <c r="A222" s="159"/>
      <c r="B222" s="160"/>
      <c r="C222" s="148"/>
      <c r="D222" s="148"/>
      <c r="E222" s="240"/>
      <c r="F222" s="240"/>
      <c r="G222" s="240"/>
      <c r="H222" s="240"/>
      <c r="I222" s="240"/>
      <c r="J222" s="240"/>
      <c r="K222" s="240"/>
      <c r="L222" s="240"/>
      <c r="M222" s="240"/>
      <c r="N222" s="240"/>
      <c r="O222" s="240"/>
      <c r="P222" s="240"/>
      <c r="Q222" s="240"/>
      <c r="R222" s="240"/>
      <c r="S222" s="242">
        <f t="shared" si="16"/>
        <v>0</v>
      </c>
      <c r="Z222"/>
    </row>
    <row r="223" spans="1:56" x14ac:dyDescent="0.2">
      <c r="A223" s="159">
        <v>615155</v>
      </c>
      <c r="B223" s="160" t="s">
        <v>113</v>
      </c>
      <c r="C223" s="148" t="s">
        <v>367</v>
      </c>
      <c r="D223" s="148"/>
      <c r="E223" s="240"/>
      <c r="F223" s="240">
        <v>253.24</v>
      </c>
      <c r="G223" s="240">
        <f>-253.24+181.23</f>
        <v>-72.010000000000019</v>
      </c>
      <c r="H223" s="240">
        <f>-181.23+805.83</f>
        <v>624.6</v>
      </c>
      <c r="I223" s="240">
        <f>-805.83+1168.18</f>
        <v>362.35</v>
      </c>
      <c r="J223" s="240">
        <f>-1168.18+1507.24</f>
        <v>339.05999999999995</v>
      </c>
      <c r="K223" s="240">
        <f>-1507.24+1273.02</f>
        <v>-234.22000000000003</v>
      </c>
      <c r="L223" s="240">
        <f>-1273.02+737.08</f>
        <v>-535.93999999999994</v>
      </c>
      <c r="M223" s="240">
        <f>-737.08+572.14</f>
        <v>-164.94000000000005</v>
      </c>
      <c r="N223" s="240">
        <f>-572.14-196.8</f>
        <v>-768.94</v>
      </c>
      <c r="O223" s="240">
        <f>196.8+98.26</f>
        <v>295.06</v>
      </c>
      <c r="P223" s="240">
        <f>-98.26+0.19</f>
        <v>-98.070000000000007</v>
      </c>
      <c r="Q223" s="240"/>
      <c r="R223" s="240"/>
      <c r="S223" s="242">
        <f t="shared" si="16"/>
        <v>0.18999999999992667</v>
      </c>
      <c r="Z223"/>
    </row>
    <row r="224" spans="1:56" s="185" customFormat="1" ht="24" customHeight="1" x14ac:dyDescent="0.2">
      <c r="A224" s="267"/>
      <c r="B224" s="268"/>
      <c r="C224" s="267" t="s">
        <v>66</v>
      </c>
      <c r="D224" s="267"/>
      <c r="E224" s="269">
        <f t="shared" ref="E224:S224" si="17">SUM(E197:E223)</f>
        <v>-337.90999999999997</v>
      </c>
      <c r="F224" s="269">
        <f t="shared" si="17"/>
        <v>3698.24</v>
      </c>
      <c r="G224" s="269">
        <f t="shared" si="17"/>
        <v>3806.26</v>
      </c>
      <c r="H224" s="269">
        <f t="shared" si="17"/>
        <v>4036.9700000000003</v>
      </c>
      <c r="I224" s="269">
        <f t="shared" si="17"/>
        <v>3774.7200000000003</v>
      </c>
      <c r="J224" s="269">
        <f t="shared" si="17"/>
        <v>3752.0000000000005</v>
      </c>
      <c r="K224" s="269">
        <f t="shared" si="17"/>
        <v>4642.72</v>
      </c>
      <c r="L224" s="269">
        <f t="shared" si="17"/>
        <v>2877</v>
      </c>
      <c r="M224" s="269">
        <f t="shared" si="17"/>
        <v>3360.71</v>
      </c>
      <c r="N224" s="269">
        <f t="shared" si="17"/>
        <v>3540.7100000000005</v>
      </c>
      <c r="O224" s="269">
        <f t="shared" si="17"/>
        <v>3684.71</v>
      </c>
      <c r="P224" s="269">
        <f t="shared" si="17"/>
        <v>3450.87</v>
      </c>
      <c r="Q224" s="269">
        <f t="shared" si="17"/>
        <v>3548.13</v>
      </c>
      <c r="R224" s="269">
        <f>SUM(R197:R223)</f>
        <v>0</v>
      </c>
      <c r="S224" s="269">
        <f t="shared" si="17"/>
        <v>43835.13</v>
      </c>
      <c r="T224" s="689" t="e">
        <f>IF(Ctrl($A223)+S223+S222=S224,"Ok","Erreur somme")</f>
        <v>#VALUE!</v>
      </c>
      <c r="U224" s="212">
        <v>40287</v>
      </c>
      <c r="V224" s="334">
        <f>U224-S224</f>
        <v>-3548.1299999999974</v>
      </c>
      <c r="W224" s="185" t="s">
        <v>853</v>
      </c>
      <c r="Z224"/>
    </row>
    <row r="225" spans="1:26" x14ac:dyDescent="0.2">
      <c r="A225" s="159">
        <v>615160</v>
      </c>
      <c r="B225" s="160" t="s">
        <v>114</v>
      </c>
      <c r="C225" s="148" t="s">
        <v>78</v>
      </c>
      <c r="D225" s="148" t="s">
        <v>192</v>
      </c>
      <c r="E225" s="240">
        <v>0</v>
      </c>
      <c r="F225" s="240">
        <v>0</v>
      </c>
      <c r="G225" s="240">
        <v>0</v>
      </c>
      <c r="H225" s="240">
        <v>0</v>
      </c>
      <c r="I225" s="240">
        <v>0</v>
      </c>
      <c r="J225" s="240">
        <v>0</v>
      </c>
      <c r="K225" s="240">
        <v>0</v>
      </c>
      <c r="L225" s="240">
        <v>0</v>
      </c>
      <c r="M225" s="240">
        <v>0</v>
      </c>
      <c r="N225" s="240">
        <v>0</v>
      </c>
      <c r="O225" s="240">
        <v>0</v>
      </c>
      <c r="P225" s="240">
        <v>0</v>
      </c>
      <c r="Q225" s="240">
        <v>0</v>
      </c>
      <c r="R225" s="240">
        <v>0</v>
      </c>
      <c r="S225" s="242">
        <f t="shared" ref="S225:S235" si="18">SUM(E225:Q225)</f>
        <v>0</v>
      </c>
      <c r="Z225"/>
    </row>
    <row r="226" spans="1:26" x14ac:dyDescent="0.2">
      <c r="A226" s="270"/>
      <c r="B226" s="235"/>
      <c r="C226" s="148"/>
      <c r="D226" s="148"/>
      <c r="E226" s="240"/>
      <c r="F226" s="240"/>
      <c r="G226" s="240"/>
      <c r="H226" s="240"/>
      <c r="I226" s="240"/>
      <c r="J226" s="240"/>
      <c r="K226" s="240"/>
      <c r="L226" s="240"/>
      <c r="M226" s="240"/>
      <c r="N226" s="240"/>
      <c r="O226" s="240"/>
      <c r="P226" s="240"/>
      <c r="Q226" s="240"/>
      <c r="R226" s="240"/>
      <c r="S226" s="242">
        <f t="shared" si="18"/>
        <v>0</v>
      </c>
      <c r="Z226"/>
    </row>
    <row r="227" spans="1:26" x14ac:dyDescent="0.2">
      <c r="A227" s="159">
        <v>615160</v>
      </c>
      <c r="B227" s="160" t="s">
        <v>114</v>
      </c>
      <c r="C227" s="148" t="s">
        <v>71</v>
      </c>
      <c r="D227" s="148" t="s">
        <v>192</v>
      </c>
      <c r="E227" s="240">
        <v>0</v>
      </c>
      <c r="F227" s="240">
        <v>0</v>
      </c>
      <c r="G227" s="240">
        <v>8.9600000000000009</v>
      </c>
      <c r="H227" s="240">
        <v>0</v>
      </c>
      <c r="I227" s="240">
        <v>0</v>
      </c>
      <c r="J227" s="240">
        <v>0</v>
      </c>
      <c r="K227" s="240">
        <v>0</v>
      </c>
      <c r="L227" s="240">
        <v>0</v>
      </c>
      <c r="M227" s="240">
        <v>0</v>
      </c>
      <c r="N227" s="240">
        <v>0</v>
      </c>
      <c r="O227" s="240">
        <v>0</v>
      </c>
      <c r="P227" s="240">
        <v>0</v>
      </c>
      <c r="Q227" s="240">
        <v>0</v>
      </c>
      <c r="R227" s="240">
        <v>0</v>
      </c>
      <c r="S227" s="242">
        <f t="shared" si="18"/>
        <v>8.9600000000000009</v>
      </c>
      <c r="Z227"/>
    </row>
    <row r="228" spans="1:26" x14ac:dyDescent="0.2">
      <c r="A228" s="270"/>
      <c r="B228" s="235"/>
      <c r="C228" s="148"/>
      <c r="D228" s="148"/>
      <c r="E228" s="240"/>
      <c r="F228" s="240"/>
      <c r="G228" s="240"/>
      <c r="H228" s="240"/>
      <c r="I228" s="240"/>
      <c r="J228" s="240"/>
      <c r="K228" s="240"/>
      <c r="L228" s="240"/>
      <c r="M228" s="240"/>
      <c r="N228" s="240"/>
      <c r="O228" s="240"/>
      <c r="P228" s="240"/>
      <c r="Q228" s="240"/>
      <c r="R228" s="240"/>
      <c r="S228" s="242">
        <f t="shared" si="18"/>
        <v>0</v>
      </c>
      <c r="Z228"/>
    </row>
    <row r="229" spans="1:26" x14ac:dyDescent="0.2">
      <c r="A229" s="159">
        <v>615160</v>
      </c>
      <c r="B229" s="160" t="s">
        <v>114</v>
      </c>
      <c r="C229" s="148" t="s">
        <v>67</v>
      </c>
      <c r="D229" s="148" t="s">
        <v>192</v>
      </c>
      <c r="E229" s="240">
        <v>0</v>
      </c>
      <c r="F229" s="240">
        <v>0</v>
      </c>
      <c r="G229" s="240">
        <v>0</v>
      </c>
      <c r="H229" s="240">
        <v>0</v>
      </c>
      <c r="I229" s="240">
        <v>0</v>
      </c>
      <c r="J229" s="240">
        <v>0</v>
      </c>
      <c r="K229" s="240">
        <v>0</v>
      </c>
      <c r="L229" s="240">
        <v>0</v>
      </c>
      <c r="M229" s="240">
        <v>0</v>
      </c>
      <c r="N229" s="240">
        <v>0</v>
      </c>
      <c r="O229" s="240">
        <v>0</v>
      </c>
      <c r="P229" s="240">
        <v>0</v>
      </c>
      <c r="Q229" s="240">
        <v>0</v>
      </c>
      <c r="R229" s="240">
        <v>0</v>
      </c>
      <c r="S229" s="242">
        <f t="shared" si="18"/>
        <v>0</v>
      </c>
      <c r="Z229"/>
    </row>
    <row r="230" spans="1:26" x14ac:dyDescent="0.2">
      <c r="A230" s="270"/>
      <c r="B230" s="235"/>
      <c r="C230" s="148"/>
      <c r="D230" s="148"/>
      <c r="E230" s="240"/>
      <c r="F230" s="240"/>
      <c r="G230" s="240"/>
      <c r="H230" s="240"/>
      <c r="I230" s="240"/>
      <c r="J230" s="240"/>
      <c r="K230" s="240"/>
      <c r="L230" s="240"/>
      <c r="M230" s="240"/>
      <c r="N230" s="240"/>
      <c r="O230" s="240"/>
      <c r="P230" s="240"/>
      <c r="Q230" s="240"/>
      <c r="R230" s="240"/>
      <c r="S230" s="242">
        <f t="shared" si="18"/>
        <v>0</v>
      </c>
      <c r="Z230"/>
    </row>
    <row r="231" spans="1:26" x14ac:dyDescent="0.2">
      <c r="A231" s="159">
        <v>615160</v>
      </c>
      <c r="B231" s="160" t="s">
        <v>114</v>
      </c>
      <c r="C231" s="148" t="s">
        <v>80</v>
      </c>
      <c r="D231" s="148" t="s">
        <v>192</v>
      </c>
      <c r="E231" s="240">
        <v>0</v>
      </c>
      <c r="F231" s="240">
        <v>0</v>
      </c>
      <c r="G231" s="240">
        <v>0</v>
      </c>
      <c r="H231" s="240">
        <v>0</v>
      </c>
      <c r="I231" s="240">
        <v>0</v>
      </c>
      <c r="J231" s="240">
        <v>0</v>
      </c>
      <c r="K231" s="240">
        <v>0</v>
      </c>
      <c r="L231" s="240">
        <v>0</v>
      </c>
      <c r="M231" s="240">
        <v>0</v>
      </c>
      <c r="N231" s="240">
        <v>230.5</v>
      </c>
      <c r="O231" s="240">
        <v>0</v>
      </c>
      <c r="P231" s="240">
        <v>0</v>
      </c>
      <c r="Q231" s="240">
        <v>0</v>
      </c>
      <c r="R231" s="240">
        <v>0</v>
      </c>
      <c r="S231" s="242">
        <f t="shared" si="18"/>
        <v>230.5</v>
      </c>
      <c r="Z231"/>
    </row>
    <row r="232" spans="1:26" x14ac:dyDescent="0.2">
      <c r="A232" s="270"/>
      <c r="B232" s="235"/>
      <c r="C232" s="148"/>
      <c r="D232" s="148"/>
      <c r="E232" s="240"/>
      <c r="F232" s="240"/>
      <c r="G232" s="240"/>
      <c r="H232" s="240"/>
      <c r="I232" s="240"/>
      <c r="J232" s="240"/>
      <c r="K232" s="240"/>
      <c r="L232" s="240"/>
      <c r="M232" s="240"/>
      <c r="N232" s="240"/>
      <c r="O232" s="240"/>
      <c r="P232" s="240"/>
      <c r="Q232" s="240"/>
      <c r="R232" s="240"/>
      <c r="S232" s="242">
        <f t="shared" si="18"/>
        <v>0</v>
      </c>
      <c r="Z232"/>
    </row>
    <row r="233" spans="1:26" x14ac:dyDescent="0.2">
      <c r="A233" s="159">
        <v>615160</v>
      </c>
      <c r="B233" s="160" t="s">
        <v>114</v>
      </c>
      <c r="C233" s="148" t="s">
        <v>156</v>
      </c>
      <c r="D233" s="148" t="s">
        <v>192</v>
      </c>
      <c r="E233" s="240">
        <v>0</v>
      </c>
      <c r="F233" s="240">
        <v>0</v>
      </c>
      <c r="G233" s="240">
        <v>0</v>
      </c>
      <c r="H233" s="240">
        <v>0</v>
      </c>
      <c r="I233" s="240">
        <v>0</v>
      </c>
      <c r="J233" s="240">
        <v>0</v>
      </c>
      <c r="K233" s="240">
        <v>0</v>
      </c>
      <c r="L233" s="240">
        <v>0</v>
      </c>
      <c r="M233" s="240">
        <v>0</v>
      </c>
      <c r="N233" s="240">
        <v>0</v>
      </c>
      <c r="O233" s="240">
        <v>0</v>
      </c>
      <c r="P233" s="240">
        <v>0</v>
      </c>
      <c r="Q233" s="240">
        <v>0</v>
      </c>
      <c r="R233" s="240">
        <v>0</v>
      </c>
      <c r="S233" s="242">
        <f t="shared" si="18"/>
        <v>0</v>
      </c>
      <c r="Z233"/>
    </row>
    <row r="234" spans="1:26" x14ac:dyDescent="0.2">
      <c r="A234" s="159"/>
      <c r="B234" s="160"/>
      <c r="C234" s="148"/>
      <c r="D234" s="148"/>
      <c r="E234" s="240"/>
      <c r="F234" s="240"/>
      <c r="G234" s="240"/>
      <c r="H234" s="240"/>
      <c r="I234" s="240"/>
      <c r="J234" s="240"/>
      <c r="K234" s="240"/>
      <c r="L234" s="240"/>
      <c r="M234" s="240"/>
      <c r="N234" s="240"/>
      <c r="O234" s="240"/>
      <c r="P234" s="240"/>
      <c r="Q234" s="240"/>
      <c r="R234" s="240"/>
      <c r="S234" s="242">
        <f t="shared" si="18"/>
        <v>0</v>
      </c>
      <c r="Z234"/>
    </row>
    <row r="235" spans="1:26" x14ac:dyDescent="0.2">
      <c r="A235" s="159">
        <v>615160</v>
      </c>
      <c r="B235" s="160" t="s">
        <v>114</v>
      </c>
      <c r="C235" s="148" t="s">
        <v>367</v>
      </c>
      <c r="D235" s="148"/>
      <c r="E235" s="240"/>
      <c r="F235" s="240">
        <v>244</v>
      </c>
      <c r="G235" s="240">
        <f>-244+479.04</f>
        <v>235.04000000000002</v>
      </c>
      <c r="H235" s="240">
        <f>-479.04+724.04</f>
        <v>244.99999999999994</v>
      </c>
      <c r="I235" s="240">
        <f>-724.04+968.04</f>
        <v>244</v>
      </c>
      <c r="J235" s="240">
        <f>-968.04+1212.04</f>
        <v>244</v>
      </c>
      <c r="K235" s="240">
        <f>-1212.04+1457.04</f>
        <v>245</v>
      </c>
      <c r="L235" s="240">
        <f>-1457.04+1701.04</f>
        <v>244</v>
      </c>
      <c r="M235" s="240">
        <f>-1701.04+1945.04</f>
        <v>244</v>
      </c>
      <c r="N235" s="240">
        <f>-1945.04+1959.54</f>
        <v>14.5</v>
      </c>
      <c r="O235" s="240">
        <f>+-1959.54+2203.54</f>
        <v>244</v>
      </c>
      <c r="P235" s="240">
        <f>-2203.54+407.54</f>
        <v>-1796</v>
      </c>
      <c r="Q235" s="240"/>
      <c r="R235" s="240"/>
      <c r="S235" s="242">
        <f t="shared" si="18"/>
        <v>407.53999999999996</v>
      </c>
      <c r="Z235"/>
    </row>
    <row r="236" spans="1:26" s="185" customFormat="1" ht="24" customHeight="1" x14ac:dyDescent="0.2">
      <c r="A236" s="267"/>
      <c r="B236" s="268"/>
      <c r="C236" s="267" t="s">
        <v>66</v>
      </c>
      <c r="D236" s="267"/>
      <c r="E236" s="269">
        <f>SUM(E225:E235)</f>
        <v>0</v>
      </c>
      <c r="F236" s="269">
        <f>SUM(F225:F235)</f>
        <v>244</v>
      </c>
      <c r="G236" s="269">
        <f t="shared" ref="G236:Q236" si="19">SUM(G225:G235)</f>
        <v>244.00000000000003</v>
      </c>
      <c r="H236" s="269">
        <f t="shared" si="19"/>
        <v>244.99999999999994</v>
      </c>
      <c r="I236" s="269">
        <f t="shared" si="19"/>
        <v>244</v>
      </c>
      <c r="J236" s="269">
        <f t="shared" si="19"/>
        <v>244</v>
      </c>
      <c r="K236" s="269">
        <f t="shared" si="19"/>
        <v>245</v>
      </c>
      <c r="L236" s="269">
        <f t="shared" si="19"/>
        <v>244</v>
      </c>
      <c r="M236" s="269">
        <f t="shared" si="19"/>
        <v>244</v>
      </c>
      <c r="N236" s="269">
        <f t="shared" si="19"/>
        <v>245</v>
      </c>
      <c r="O236" s="269">
        <f t="shared" si="19"/>
        <v>244</v>
      </c>
      <c r="P236" s="269">
        <f t="shared" si="19"/>
        <v>-1796</v>
      </c>
      <c r="Q236" s="269">
        <f t="shared" si="19"/>
        <v>0</v>
      </c>
      <c r="R236" s="269">
        <f>SUM(R225:R235)</f>
        <v>0</v>
      </c>
      <c r="S236" s="269">
        <f>SUM(S225:S235)</f>
        <v>647</v>
      </c>
      <c r="T236" s="689" t="e">
        <f>IF(Ctrl($A235)+S235+S234=S236,"Ok","Erreur somme")</f>
        <v>#VALUE!</v>
      </c>
      <c r="U236" s="212">
        <v>647</v>
      </c>
      <c r="V236" s="334">
        <f>U236-S236</f>
        <v>0</v>
      </c>
      <c r="W236" s="185" t="s">
        <v>853</v>
      </c>
      <c r="Z236"/>
    </row>
    <row r="237" spans="1:26" ht="12" customHeight="1" x14ac:dyDescent="0.2">
      <c r="A237" s="159">
        <v>615170</v>
      </c>
      <c r="B237" s="160" t="s">
        <v>115</v>
      </c>
      <c r="C237" s="148" t="s">
        <v>78</v>
      </c>
      <c r="D237" s="148" t="s">
        <v>192</v>
      </c>
      <c r="E237" s="240">
        <v>0</v>
      </c>
      <c r="F237" s="240">
        <v>773.8</v>
      </c>
      <c r="G237" s="240">
        <v>87.3</v>
      </c>
      <c r="H237" s="240">
        <v>87.29</v>
      </c>
      <c r="I237" s="240">
        <v>1465.3</v>
      </c>
      <c r="J237" s="240">
        <v>1523.29</v>
      </c>
      <c r="K237" s="240">
        <v>87.29</v>
      </c>
      <c r="L237" s="240">
        <v>-1378.9399999999998</v>
      </c>
      <c r="M237" s="240">
        <v>725</v>
      </c>
      <c r="N237" s="240">
        <v>867.29</v>
      </c>
      <c r="O237" s="240">
        <v>1808.03</v>
      </c>
      <c r="P237" s="240">
        <v>2432.8000000000002</v>
      </c>
      <c r="Q237" s="240">
        <v>87.29</v>
      </c>
      <c r="R237" s="240">
        <v>0</v>
      </c>
      <c r="S237" s="242">
        <f t="shared" ref="S237:S247" si="20">SUM(E237:Q237)</f>
        <v>8565.7400000000016</v>
      </c>
      <c r="Z237"/>
    </row>
    <row r="238" spans="1:26" ht="12" customHeight="1" x14ac:dyDescent="0.2">
      <c r="A238" s="270"/>
      <c r="B238" s="235"/>
      <c r="C238" s="148"/>
      <c r="D238" s="148"/>
      <c r="E238" s="240"/>
      <c r="F238" s="240"/>
      <c r="G238" s="240"/>
      <c r="H238" s="240"/>
      <c r="I238" s="240"/>
      <c r="J238" s="240"/>
      <c r="K238" s="240"/>
      <c r="L238" s="240"/>
      <c r="M238" s="240"/>
      <c r="N238" s="240"/>
      <c r="O238" s="240"/>
      <c r="P238" s="240"/>
      <c r="Q238" s="240"/>
      <c r="R238" s="240"/>
      <c r="S238" s="242">
        <f t="shared" si="20"/>
        <v>0</v>
      </c>
      <c r="Z238"/>
    </row>
    <row r="239" spans="1:26" ht="12" customHeight="1" x14ac:dyDescent="0.2">
      <c r="A239" s="159">
        <v>615170</v>
      </c>
      <c r="B239" s="160" t="s">
        <v>115</v>
      </c>
      <c r="C239" s="148" t="s">
        <v>71</v>
      </c>
      <c r="D239" s="148" t="s">
        <v>192</v>
      </c>
      <c r="E239" s="240">
        <v>0</v>
      </c>
      <c r="F239" s="240">
        <v>0</v>
      </c>
      <c r="G239" s="240">
        <v>0</v>
      </c>
      <c r="H239" s="240">
        <v>0</v>
      </c>
      <c r="I239" s="240">
        <v>0</v>
      </c>
      <c r="J239" s="240">
        <v>0</v>
      </c>
      <c r="K239" s="240">
        <v>0</v>
      </c>
      <c r="L239" s="240">
        <v>0</v>
      </c>
      <c r="M239" s="240">
        <v>0</v>
      </c>
      <c r="N239" s="240">
        <v>0</v>
      </c>
      <c r="O239" s="240">
        <v>0</v>
      </c>
      <c r="P239" s="240">
        <v>0</v>
      </c>
      <c r="Q239" s="240">
        <v>680</v>
      </c>
      <c r="R239" s="240">
        <v>0</v>
      </c>
      <c r="S239" s="242">
        <f t="shared" si="20"/>
        <v>680</v>
      </c>
      <c r="Z239"/>
    </row>
    <row r="240" spans="1:26" ht="15.6" customHeight="1" x14ac:dyDescent="0.2">
      <c r="A240" s="270"/>
      <c r="B240" s="235"/>
      <c r="C240" s="148"/>
      <c r="D240" s="148"/>
      <c r="E240" s="240"/>
      <c r="F240" s="240"/>
      <c r="G240" s="240"/>
      <c r="H240" s="240"/>
      <c r="I240" s="240"/>
      <c r="J240" s="240"/>
      <c r="K240" s="240"/>
      <c r="L240" s="240"/>
      <c r="M240" s="240"/>
      <c r="N240" s="240"/>
      <c r="O240" s="240"/>
      <c r="P240" s="240"/>
      <c r="Q240" s="240"/>
      <c r="R240" s="240"/>
      <c r="S240" s="242">
        <f t="shared" si="20"/>
        <v>0</v>
      </c>
      <c r="Z240"/>
    </row>
    <row r="241" spans="1:26" ht="12" customHeight="1" x14ac:dyDescent="0.2">
      <c r="A241" s="159">
        <v>615170</v>
      </c>
      <c r="B241" s="160" t="s">
        <v>115</v>
      </c>
      <c r="C241" s="148" t="s">
        <v>73</v>
      </c>
      <c r="D241" s="148" t="s">
        <v>192</v>
      </c>
      <c r="E241" s="240">
        <v>0</v>
      </c>
      <c r="F241" s="240">
        <v>0</v>
      </c>
      <c r="G241" s="240">
        <v>239.85</v>
      </c>
      <c r="H241" s="240">
        <v>385</v>
      </c>
      <c r="I241" s="240">
        <v>0</v>
      </c>
      <c r="J241" s="240">
        <v>4391.8999999999996</v>
      </c>
      <c r="K241" s="240">
        <v>0</v>
      </c>
      <c r="L241" s="240">
        <v>239.85</v>
      </c>
      <c r="M241" s="240">
        <v>0</v>
      </c>
      <c r="N241" s="240">
        <v>1052.03</v>
      </c>
      <c r="O241" s="240">
        <v>0</v>
      </c>
      <c r="P241" s="240">
        <v>1020.55</v>
      </c>
      <c r="Q241" s="240">
        <v>0</v>
      </c>
      <c r="R241" s="240">
        <v>0</v>
      </c>
      <c r="S241" s="242">
        <f t="shared" si="20"/>
        <v>7329.18</v>
      </c>
      <c r="Z241"/>
    </row>
    <row r="242" spans="1:26" ht="12" customHeight="1" x14ac:dyDescent="0.2">
      <c r="A242" s="270"/>
      <c r="B242" s="235"/>
      <c r="C242" s="148"/>
      <c r="D242" s="148"/>
      <c r="E242" s="240"/>
      <c r="F242" s="240"/>
      <c r="G242" s="240"/>
      <c r="H242" s="240"/>
      <c r="I242" s="240"/>
      <c r="J242" s="240"/>
      <c r="K242" s="240"/>
      <c r="L242" s="240"/>
      <c r="M242" s="240"/>
      <c r="N242" s="240"/>
      <c r="O242" s="240"/>
      <c r="P242" s="240"/>
      <c r="Q242" s="240"/>
      <c r="R242" s="240"/>
      <c r="S242" s="242">
        <f>SUM(E242:Q242)</f>
        <v>0</v>
      </c>
      <c r="Z242"/>
    </row>
    <row r="243" spans="1:26" ht="12" customHeight="1" x14ac:dyDescent="0.2">
      <c r="A243" s="159">
        <v>615170</v>
      </c>
      <c r="B243" s="160" t="s">
        <v>115</v>
      </c>
      <c r="C243" s="148" t="s">
        <v>67</v>
      </c>
      <c r="D243" s="148" t="s">
        <v>192</v>
      </c>
      <c r="E243" s="240">
        <v>0</v>
      </c>
      <c r="F243" s="240">
        <v>0</v>
      </c>
      <c r="G243" s="240">
        <v>0</v>
      </c>
      <c r="H243" s="240">
        <v>0</v>
      </c>
      <c r="I243" s="240">
        <v>0</v>
      </c>
      <c r="J243" s="240">
        <v>0</v>
      </c>
      <c r="K243" s="240">
        <v>0</v>
      </c>
      <c r="L243" s="240">
        <v>1369.6</v>
      </c>
      <c r="M243" s="240">
        <v>0</v>
      </c>
      <c r="N243" s="240">
        <v>3503.1</v>
      </c>
      <c r="O243" s="240">
        <v>0</v>
      </c>
      <c r="P243" s="240">
        <v>0</v>
      </c>
      <c r="Q243" s="240">
        <v>505</v>
      </c>
      <c r="R243" s="240">
        <v>0</v>
      </c>
      <c r="S243" s="242">
        <f>SUM(E243:Q243)</f>
        <v>5377.7</v>
      </c>
      <c r="Z243"/>
    </row>
    <row r="244" spans="1:26" ht="12" customHeight="1" x14ac:dyDescent="0.2">
      <c r="A244" s="270"/>
      <c r="B244" s="235"/>
      <c r="C244" s="148"/>
      <c r="D244" s="148"/>
      <c r="E244" s="240"/>
      <c r="F244" s="240"/>
      <c r="G244" s="240"/>
      <c r="H244" s="240"/>
      <c r="I244" s="240"/>
      <c r="J244" s="240"/>
      <c r="K244" s="240"/>
      <c r="L244" s="240"/>
      <c r="M244" s="240"/>
      <c r="N244" s="240"/>
      <c r="O244" s="240"/>
      <c r="P244" s="240"/>
      <c r="Q244" s="240"/>
      <c r="R244" s="240"/>
      <c r="S244" s="242">
        <f t="shared" si="20"/>
        <v>0</v>
      </c>
      <c r="Z244"/>
    </row>
    <row r="245" spans="1:26" ht="12" customHeight="1" x14ac:dyDescent="0.2">
      <c r="A245" s="159">
        <v>615170</v>
      </c>
      <c r="B245" s="160" t="s">
        <v>115</v>
      </c>
      <c r="C245" s="148" t="s">
        <v>156</v>
      </c>
      <c r="D245" s="148" t="s">
        <v>192</v>
      </c>
      <c r="E245" s="240">
        <v>0</v>
      </c>
      <c r="F245" s="240">
        <v>0</v>
      </c>
      <c r="G245" s="240">
        <v>0</v>
      </c>
      <c r="H245" s="240">
        <v>0</v>
      </c>
      <c r="I245" s="240">
        <v>0</v>
      </c>
      <c r="J245" s="240">
        <v>0</v>
      </c>
      <c r="K245" s="240">
        <v>0</v>
      </c>
      <c r="L245" s="240">
        <v>0</v>
      </c>
      <c r="M245" s="240">
        <v>280.89999999999998</v>
      </c>
      <c r="N245" s="240">
        <v>0</v>
      </c>
      <c r="O245" s="240">
        <v>0</v>
      </c>
      <c r="P245" s="240">
        <v>0</v>
      </c>
      <c r="Q245" s="240">
        <v>0</v>
      </c>
      <c r="R245" s="240">
        <v>0</v>
      </c>
      <c r="S245" s="242">
        <f t="shared" si="20"/>
        <v>280.89999999999998</v>
      </c>
      <c r="Z245"/>
    </row>
    <row r="246" spans="1:26" ht="12" customHeight="1" x14ac:dyDescent="0.2">
      <c r="A246" s="159"/>
      <c r="B246" s="160"/>
      <c r="C246" s="148"/>
      <c r="D246" s="148"/>
      <c r="E246" s="240"/>
      <c r="F246" s="240"/>
      <c r="G246" s="240"/>
      <c r="H246" s="240"/>
      <c r="I246" s="240"/>
      <c r="J246" s="240"/>
      <c r="K246" s="240"/>
      <c r="L246" s="240"/>
      <c r="M246" s="240"/>
      <c r="N246" s="240"/>
      <c r="O246" s="240"/>
      <c r="P246" s="240"/>
      <c r="Q246" s="240"/>
      <c r="R246" s="240"/>
      <c r="S246" s="242">
        <f t="shared" si="20"/>
        <v>0</v>
      </c>
      <c r="Z246"/>
    </row>
    <row r="247" spans="1:26" ht="12" customHeight="1" x14ac:dyDescent="0.2">
      <c r="A247" s="159">
        <v>615170</v>
      </c>
      <c r="B247" s="160" t="s">
        <v>115</v>
      </c>
      <c r="C247" s="148" t="s">
        <v>367</v>
      </c>
      <c r="D247" s="148"/>
      <c r="E247" s="240"/>
      <c r="F247" s="240">
        <v>353</v>
      </c>
      <c r="G247" s="240">
        <f>-353+1839.15</f>
        <v>1486.15</v>
      </c>
      <c r="H247" s="240">
        <f>-1839.15+3577.26</f>
        <v>1738.1100000000001</v>
      </c>
      <c r="I247" s="240">
        <f>-3577.26+3540.26</f>
        <v>-37</v>
      </c>
      <c r="J247" s="240">
        <f>-3540.26+651.49</f>
        <v>-2888.7700000000004</v>
      </c>
      <c r="K247" s="240">
        <f>-651.49+2389.6</f>
        <v>1738.11</v>
      </c>
      <c r="L247" s="240">
        <f>-2389.6+3931.97</f>
        <v>1542.37</v>
      </c>
      <c r="M247" s="240">
        <f>-3931.97+3566.67</f>
        <v>-365.29999999999973</v>
      </c>
      <c r="N247" s="240">
        <f>-3566.67+3664.64</f>
        <v>97.9699999999998</v>
      </c>
      <c r="O247" s="240">
        <f>-3664.64+174.93</f>
        <v>-3489.71</v>
      </c>
      <c r="P247" s="240">
        <f>-174.93+0.37</f>
        <v>-174.56</v>
      </c>
      <c r="Q247" s="240"/>
      <c r="R247" s="240"/>
      <c r="S247" s="242">
        <f t="shared" si="20"/>
        <v>0.36999999999937927</v>
      </c>
      <c r="Z247"/>
    </row>
    <row r="248" spans="1:26" s="185" customFormat="1" ht="24" customHeight="1" x14ac:dyDescent="0.2">
      <c r="A248" s="267"/>
      <c r="B248" s="268"/>
      <c r="C248" s="267" t="s">
        <v>66</v>
      </c>
      <c r="D248" s="267"/>
      <c r="E248" s="269">
        <f>SUM(E237:E247)</f>
        <v>0</v>
      </c>
      <c r="F248" s="269">
        <f t="shared" ref="F248:S248" si="21">SUM(F237:F247)</f>
        <v>1126.8</v>
      </c>
      <c r="G248" s="269">
        <f t="shared" si="21"/>
        <v>1813.3000000000002</v>
      </c>
      <c r="H248" s="269">
        <f t="shared" si="21"/>
        <v>2210.4</v>
      </c>
      <c r="I248" s="269">
        <f t="shared" si="21"/>
        <v>1428.3</v>
      </c>
      <c r="J248" s="269">
        <f t="shared" si="21"/>
        <v>3026.4199999999992</v>
      </c>
      <c r="K248" s="269">
        <f t="shared" si="21"/>
        <v>1825.3999999999999</v>
      </c>
      <c r="L248" s="269">
        <f t="shared" si="21"/>
        <v>1772.8799999999999</v>
      </c>
      <c r="M248" s="269">
        <f t="shared" si="21"/>
        <v>640.60000000000025</v>
      </c>
      <c r="N248" s="269">
        <f t="shared" si="21"/>
        <v>5520.3899999999994</v>
      </c>
      <c r="O248" s="269">
        <f t="shared" si="21"/>
        <v>-1681.68</v>
      </c>
      <c r="P248" s="269">
        <f t="shared" si="21"/>
        <v>3278.7900000000004</v>
      </c>
      <c r="Q248" s="269">
        <f t="shared" si="21"/>
        <v>1272.29</v>
      </c>
      <c r="R248" s="269">
        <f>SUM(R237:R247)</f>
        <v>0</v>
      </c>
      <c r="S248" s="269">
        <f t="shared" si="21"/>
        <v>22233.890000000003</v>
      </c>
      <c r="T248" s="689" t="e">
        <f>IF(Ctrl($A247)+S247+S246=S248,"Ok","Erreur somme")</f>
        <v>#VALUE!</v>
      </c>
      <c r="U248" s="212">
        <v>20967</v>
      </c>
      <c r="V248" s="334">
        <f>U248-S248</f>
        <v>-1266.8900000000031</v>
      </c>
      <c r="W248" s="185" t="s">
        <v>853</v>
      </c>
      <c r="Z248"/>
    </row>
    <row r="249" spans="1:26" s="185" customFormat="1" ht="12" customHeight="1" x14ac:dyDescent="0.2">
      <c r="A249" s="181">
        <v>615175</v>
      </c>
      <c r="B249" s="182" t="s">
        <v>331</v>
      </c>
      <c r="C249" s="183" t="s">
        <v>145</v>
      </c>
      <c r="D249" s="183" t="s">
        <v>179</v>
      </c>
      <c r="E249" s="240">
        <v>0</v>
      </c>
      <c r="F249" s="240">
        <v>1197.45</v>
      </c>
      <c r="G249" s="240">
        <v>1197.45</v>
      </c>
      <c r="H249" s="240">
        <v>908.52</v>
      </c>
      <c r="I249" s="240">
        <v>908.52</v>
      </c>
      <c r="J249" s="240">
        <v>908.52</v>
      </c>
      <c r="K249" s="240">
        <v>908.52</v>
      </c>
      <c r="L249" s="240">
        <v>908.52</v>
      </c>
      <c r="M249" s="240">
        <v>908.52</v>
      </c>
      <c r="N249" s="240">
        <v>908.52</v>
      </c>
      <c r="O249" s="240">
        <v>908.52</v>
      </c>
      <c r="P249" s="240">
        <v>908.52</v>
      </c>
      <c r="Q249" s="240">
        <v>908.46</v>
      </c>
      <c r="R249" s="244">
        <v>0</v>
      </c>
      <c r="S249" s="242">
        <f t="shared" ref="S249:S265" si="22">SUM(E249:Q249)</f>
        <v>11480.040000000005</v>
      </c>
      <c r="T249"/>
      <c r="V249" s="332"/>
      <c r="Z249"/>
    </row>
    <row r="250" spans="1:26" s="185" customFormat="1" ht="12" customHeight="1" x14ac:dyDescent="0.2">
      <c r="A250" s="181"/>
      <c r="B250" s="182"/>
      <c r="C250" s="183"/>
      <c r="D250" s="183"/>
      <c r="E250" s="240"/>
      <c r="F250" s="240"/>
      <c r="G250" s="240"/>
      <c r="H250" s="240"/>
      <c r="I250" s="240"/>
      <c r="J250" s="240"/>
      <c r="K250" s="240"/>
      <c r="L250" s="240"/>
      <c r="M250" s="240"/>
      <c r="N250" s="240"/>
      <c r="O250" s="240"/>
      <c r="P250" s="240"/>
      <c r="Q250" s="240"/>
      <c r="R250" s="243"/>
      <c r="S250" s="242">
        <f t="shared" si="22"/>
        <v>0</v>
      </c>
      <c r="T250"/>
      <c r="V250" s="332"/>
      <c r="Z250"/>
    </row>
    <row r="251" spans="1:26" s="185" customFormat="1" ht="12" customHeight="1" x14ac:dyDescent="0.2">
      <c r="A251" s="181">
        <v>615175</v>
      </c>
      <c r="B251" s="182" t="s">
        <v>331</v>
      </c>
      <c r="C251" s="183" t="s">
        <v>108</v>
      </c>
      <c r="D251" s="183" t="s">
        <v>192</v>
      </c>
      <c r="E251" s="240">
        <v>0</v>
      </c>
      <c r="F251" s="240">
        <v>0</v>
      </c>
      <c r="G251" s="240">
        <v>0</v>
      </c>
      <c r="H251" s="240">
        <v>0</v>
      </c>
      <c r="I251" s="240">
        <v>0</v>
      </c>
      <c r="J251" s="240">
        <v>0</v>
      </c>
      <c r="K251" s="240">
        <v>0</v>
      </c>
      <c r="L251" s="240">
        <v>0</v>
      </c>
      <c r="M251" s="240">
        <v>0</v>
      </c>
      <c r="N251" s="240">
        <v>0</v>
      </c>
      <c r="O251" s="240">
        <v>0</v>
      </c>
      <c r="P251" s="240">
        <v>0</v>
      </c>
      <c r="Q251" s="240">
        <v>0</v>
      </c>
      <c r="R251" s="243">
        <v>0</v>
      </c>
      <c r="S251" s="242">
        <f t="shared" si="22"/>
        <v>0</v>
      </c>
      <c r="T251"/>
      <c r="V251" s="332"/>
      <c r="Z251"/>
    </row>
    <row r="252" spans="1:26" s="185" customFormat="1" ht="12" customHeight="1" x14ac:dyDescent="0.2">
      <c r="A252" s="181">
        <v>615175</v>
      </c>
      <c r="B252" s="182" t="s">
        <v>331</v>
      </c>
      <c r="C252" s="183" t="s">
        <v>108</v>
      </c>
      <c r="D252" s="183" t="s">
        <v>179</v>
      </c>
      <c r="E252" s="240">
        <v>0</v>
      </c>
      <c r="F252" s="240">
        <v>589.56999999999994</v>
      </c>
      <c r="G252" s="240">
        <v>589.55999999999995</v>
      </c>
      <c r="H252" s="240">
        <v>461.14</v>
      </c>
      <c r="I252" s="240">
        <v>461.14</v>
      </c>
      <c r="J252" s="240">
        <v>461.14</v>
      </c>
      <c r="K252" s="240">
        <v>461.14</v>
      </c>
      <c r="L252" s="240">
        <v>461.14</v>
      </c>
      <c r="M252" s="240">
        <v>461.14</v>
      </c>
      <c r="N252" s="240">
        <v>461.14</v>
      </c>
      <c r="O252" s="240">
        <v>461.14</v>
      </c>
      <c r="P252" s="240">
        <v>461.14</v>
      </c>
      <c r="Q252" s="240">
        <v>461.12</v>
      </c>
      <c r="R252" s="244">
        <v>0</v>
      </c>
      <c r="S252" s="242">
        <f t="shared" si="22"/>
        <v>5790.51</v>
      </c>
      <c r="T252"/>
      <c r="V252" s="332"/>
      <c r="Z252"/>
    </row>
    <row r="253" spans="1:26" s="185" customFormat="1" ht="12" customHeight="1" x14ac:dyDescent="0.2">
      <c r="A253" s="181"/>
      <c r="B253" s="182"/>
      <c r="C253" s="183"/>
      <c r="D253" s="183"/>
      <c r="E253" s="240"/>
      <c r="F253" s="240"/>
      <c r="G253" s="240"/>
      <c r="H253" s="240"/>
      <c r="I253" s="240"/>
      <c r="J253" s="240"/>
      <c r="K253" s="240"/>
      <c r="L253" s="240"/>
      <c r="M253" s="240"/>
      <c r="N253" s="240"/>
      <c r="O253" s="240"/>
      <c r="P253" s="240"/>
      <c r="Q253" s="240"/>
      <c r="R253" s="243"/>
      <c r="S253" s="242">
        <f t="shared" si="22"/>
        <v>0</v>
      </c>
      <c r="T253"/>
      <c r="V253" s="332"/>
      <c r="Z253"/>
    </row>
    <row r="254" spans="1:26" s="185" customFormat="1" ht="12" customHeight="1" x14ac:dyDescent="0.2">
      <c r="A254" s="181">
        <v>615175</v>
      </c>
      <c r="B254" s="182" t="s">
        <v>331</v>
      </c>
      <c r="C254" s="183" t="s">
        <v>163</v>
      </c>
      <c r="D254" s="183" t="s">
        <v>192</v>
      </c>
      <c r="E254" s="240">
        <v>-32</v>
      </c>
      <c r="F254" s="240">
        <v>0</v>
      </c>
      <c r="G254" s="240">
        <v>0</v>
      </c>
      <c r="H254" s="240">
        <v>0</v>
      </c>
      <c r="I254" s="240">
        <v>0</v>
      </c>
      <c r="J254" s="240">
        <v>0</v>
      </c>
      <c r="K254" s="240">
        <v>0</v>
      </c>
      <c r="L254" s="240">
        <v>0</v>
      </c>
      <c r="M254" s="240">
        <v>0</v>
      </c>
      <c r="N254" s="240">
        <v>0</v>
      </c>
      <c r="O254" s="240">
        <v>0</v>
      </c>
      <c r="P254" s="240">
        <v>0</v>
      </c>
      <c r="Q254" s="240">
        <v>0</v>
      </c>
      <c r="R254" s="243">
        <v>0</v>
      </c>
      <c r="S254" s="242">
        <f t="shared" si="22"/>
        <v>-32</v>
      </c>
      <c r="T254"/>
      <c r="V254" s="332"/>
      <c r="Z254"/>
    </row>
    <row r="255" spans="1:26" s="185" customFormat="1" ht="12" customHeight="1" x14ac:dyDescent="0.2">
      <c r="A255" s="181">
        <v>615175</v>
      </c>
      <c r="B255" s="182" t="s">
        <v>331</v>
      </c>
      <c r="C255" s="183" t="s">
        <v>163</v>
      </c>
      <c r="D255" s="183" t="s">
        <v>179</v>
      </c>
      <c r="E255" s="240">
        <v>0</v>
      </c>
      <c r="F255" s="240">
        <v>690.93000000000006</v>
      </c>
      <c r="G255" s="240">
        <v>690.89</v>
      </c>
      <c r="H255" s="240">
        <v>694.16000000000008</v>
      </c>
      <c r="I255" s="240">
        <v>694.16000000000008</v>
      </c>
      <c r="J255" s="240">
        <v>694.16000000000008</v>
      </c>
      <c r="K255" s="240">
        <v>694.16000000000008</v>
      </c>
      <c r="L255" s="240">
        <v>694.16000000000008</v>
      </c>
      <c r="M255" s="240">
        <v>694.16000000000008</v>
      </c>
      <c r="N255" s="240">
        <v>694.16000000000008</v>
      </c>
      <c r="O255" s="240">
        <v>694.16000000000008</v>
      </c>
      <c r="P255" s="240">
        <v>-2305.84</v>
      </c>
      <c r="Q255" s="240">
        <v>394.16</v>
      </c>
      <c r="R255" s="244">
        <v>0</v>
      </c>
      <c r="S255" s="242">
        <f t="shared" si="22"/>
        <v>5023.4199999999992</v>
      </c>
      <c r="T255"/>
      <c r="V255" s="332"/>
      <c r="Z255"/>
    </row>
    <row r="256" spans="1:26" s="185" customFormat="1" ht="12" customHeight="1" x14ac:dyDescent="0.2">
      <c r="A256" s="181"/>
      <c r="B256" s="182"/>
      <c r="C256" s="183"/>
      <c r="D256" s="183"/>
      <c r="E256" s="240"/>
      <c r="F256" s="240"/>
      <c r="G256" s="240"/>
      <c r="H256" s="240"/>
      <c r="I256" s="240"/>
      <c r="J256" s="240"/>
      <c r="K256" s="240"/>
      <c r="L256" s="240"/>
      <c r="M256" s="240"/>
      <c r="N256" s="240"/>
      <c r="O256" s="240"/>
      <c r="P256" s="240"/>
      <c r="Q256" s="240"/>
      <c r="R256" s="243"/>
      <c r="S256" s="242">
        <f t="shared" si="22"/>
        <v>0</v>
      </c>
      <c r="T256"/>
      <c r="V256" s="332"/>
      <c r="Z256"/>
    </row>
    <row r="257" spans="1:26" s="185" customFormat="1" ht="12" customHeight="1" x14ac:dyDescent="0.2">
      <c r="A257" s="181">
        <v>615175</v>
      </c>
      <c r="B257" s="182" t="s">
        <v>331</v>
      </c>
      <c r="C257" s="183" t="s">
        <v>130</v>
      </c>
      <c r="D257" s="183" t="s">
        <v>179</v>
      </c>
      <c r="E257" s="240">
        <v>0</v>
      </c>
      <c r="F257" s="240">
        <v>382.06</v>
      </c>
      <c r="G257" s="240">
        <v>382.06</v>
      </c>
      <c r="H257" s="240">
        <v>345.36</v>
      </c>
      <c r="I257" s="240">
        <v>345.36</v>
      </c>
      <c r="J257" s="240">
        <v>345.36</v>
      </c>
      <c r="K257" s="240">
        <v>345.36</v>
      </c>
      <c r="L257" s="240">
        <v>345.36</v>
      </c>
      <c r="M257" s="240">
        <v>345.36</v>
      </c>
      <c r="N257" s="240">
        <v>345.36</v>
      </c>
      <c r="O257" s="240">
        <v>345.36</v>
      </c>
      <c r="P257" s="240">
        <v>345.36</v>
      </c>
      <c r="Q257" s="240">
        <v>345.28000000000003</v>
      </c>
      <c r="R257" s="244">
        <v>0</v>
      </c>
      <c r="S257" s="242">
        <f t="shared" si="22"/>
        <v>4217.6400000000012</v>
      </c>
      <c r="T257"/>
      <c r="V257" s="332"/>
      <c r="Z257"/>
    </row>
    <row r="258" spans="1:26" s="185" customFormat="1" ht="12" customHeight="1" x14ac:dyDescent="0.2">
      <c r="A258" s="181"/>
      <c r="B258" s="182"/>
      <c r="C258" s="183"/>
      <c r="D258" s="183"/>
      <c r="E258" s="240"/>
      <c r="F258" s="240"/>
      <c r="G258" s="240"/>
      <c r="H258" s="240"/>
      <c r="I258" s="240"/>
      <c r="J258" s="240"/>
      <c r="K258" s="240"/>
      <c r="L258" s="240"/>
      <c r="M258" s="240"/>
      <c r="N258" s="240"/>
      <c r="O258" s="240"/>
      <c r="P258" s="240"/>
      <c r="Q258" s="240"/>
      <c r="R258" s="243"/>
      <c r="S258" s="242">
        <f t="shared" si="22"/>
        <v>0</v>
      </c>
      <c r="T258"/>
      <c r="V258" s="332"/>
      <c r="Z258"/>
    </row>
    <row r="259" spans="1:26" s="185" customFormat="1" ht="12" customHeight="1" x14ac:dyDescent="0.2">
      <c r="A259" s="181">
        <v>615175</v>
      </c>
      <c r="B259" s="182" t="s">
        <v>331</v>
      </c>
      <c r="C259" s="183" t="s">
        <v>153</v>
      </c>
      <c r="D259" s="183" t="s">
        <v>179</v>
      </c>
      <c r="E259" s="240">
        <v>0</v>
      </c>
      <c r="F259" s="240">
        <v>313.54000000000002</v>
      </c>
      <c r="G259" s="240">
        <v>313.54000000000002</v>
      </c>
      <c r="H259" s="240">
        <v>313.54000000000002</v>
      </c>
      <c r="I259" s="240">
        <v>313.54000000000002</v>
      </c>
      <c r="J259" s="240">
        <v>313.54000000000002</v>
      </c>
      <c r="K259" s="240">
        <v>313.54000000000002</v>
      </c>
      <c r="L259" s="240">
        <v>313.54000000000002</v>
      </c>
      <c r="M259" s="240">
        <v>313.54000000000002</v>
      </c>
      <c r="N259" s="240">
        <v>313.54000000000002</v>
      </c>
      <c r="O259" s="240">
        <v>313.54000000000002</v>
      </c>
      <c r="P259" s="240">
        <v>313.54000000000002</v>
      </c>
      <c r="Q259" s="240">
        <v>313.47000000000003</v>
      </c>
      <c r="R259" s="243">
        <v>0</v>
      </c>
      <c r="S259" s="242">
        <f t="shared" si="22"/>
        <v>3762.41</v>
      </c>
      <c r="T259"/>
      <c r="V259" s="332"/>
      <c r="Z259"/>
    </row>
    <row r="260" spans="1:26" s="185" customFormat="1" ht="12" customHeight="1" x14ac:dyDescent="0.2">
      <c r="A260" s="181"/>
      <c r="B260" s="182"/>
      <c r="C260" s="183"/>
      <c r="D260" s="183"/>
      <c r="E260" s="240"/>
      <c r="F260" s="240"/>
      <c r="G260" s="240"/>
      <c r="H260" s="240"/>
      <c r="I260" s="240"/>
      <c r="J260" s="240"/>
      <c r="K260" s="240"/>
      <c r="L260" s="240"/>
      <c r="M260" s="240"/>
      <c r="N260" s="240"/>
      <c r="O260" s="240"/>
      <c r="P260" s="240"/>
      <c r="Q260" s="240"/>
      <c r="R260" s="243"/>
      <c r="S260" s="242">
        <f t="shared" si="22"/>
        <v>0</v>
      </c>
      <c r="T260"/>
      <c r="V260" s="332"/>
      <c r="Z260"/>
    </row>
    <row r="261" spans="1:26" s="185" customFormat="1" ht="12" customHeight="1" x14ac:dyDescent="0.2">
      <c r="A261" s="181">
        <v>615175</v>
      </c>
      <c r="B261" s="182" t="s">
        <v>331</v>
      </c>
      <c r="C261" s="183" t="s">
        <v>143</v>
      </c>
      <c r="D261" s="183" t="s">
        <v>179</v>
      </c>
      <c r="E261" s="240">
        <v>0</v>
      </c>
      <c r="F261" s="240">
        <v>444.54</v>
      </c>
      <c r="G261" s="240">
        <v>444.49</v>
      </c>
      <c r="H261" s="240">
        <v>426.19</v>
      </c>
      <c r="I261" s="240">
        <v>426.19</v>
      </c>
      <c r="J261" s="240">
        <v>426.19</v>
      </c>
      <c r="K261" s="240">
        <v>426.19</v>
      </c>
      <c r="L261" s="240">
        <v>426.19</v>
      </c>
      <c r="M261" s="240">
        <v>426.19</v>
      </c>
      <c r="N261" s="240">
        <v>426.19</v>
      </c>
      <c r="O261" s="240">
        <v>426.19</v>
      </c>
      <c r="P261" s="240">
        <v>426.19</v>
      </c>
      <c r="Q261" s="240">
        <v>426.12</v>
      </c>
      <c r="R261" s="244">
        <v>0</v>
      </c>
      <c r="S261" s="242">
        <f t="shared" si="22"/>
        <v>5150.8599999999997</v>
      </c>
      <c r="T261"/>
      <c r="V261" s="332"/>
      <c r="Z261"/>
    </row>
    <row r="262" spans="1:26" s="185" customFormat="1" ht="12" customHeight="1" x14ac:dyDescent="0.2">
      <c r="A262" s="181"/>
      <c r="B262" s="182"/>
      <c r="C262" s="183"/>
      <c r="D262" s="183"/>
      <c r="E262" s="240"/>
      <c r="F262" s="240"/>
      <c r="G262" s="240"/>
      <c r="H262" s="240"/>
      <c r="I262" s="240"/>
      <c r="J262" s="240"/>
      <c r="K262" s="240"/>
      <c r="L262" s="240"/>
      <c r="M262" s="240"/>
      <c r="N262" s="240"/>
      <c r="O262" s="240"/>
      <c r="P262" s="240"/>
      <c r="Q262" s="240"/>
      <c r="R262" s="243"/>
      <c r="S262" s="242">
        <f t="shared" si="22"/>
        <v>0</v>
      </c>
      <c r="T262"/>
      <c r="V262" s="332"/>
      <c r="Z262"/>
    </row>
    <row r="263" spans="1:26" s="185" customFormat="1" ht="12" customHeight="1" x14ac:dyDescent="0.2">
      <c r="A263" s="181">
        <v>615175</v>
      </c>
      <c r="B263" s="182" t="s">
        <v>331</v>
      </c>
      <c r="C263" s="183" t="s">
        <v>157</v>
      </c>
      <c r="D263" s="183" t="s">
        <v>179</v>
      </c>
      <c r="E263" s="240">
        <v>0</v>
      </c>
      <c r="F263" s="240">
        <v>689.86999999999989</v>
      </c>
      <c r="G263" s="240">
        <v>689.86999999999989</v>
      </c>
      <c r="H263" s="240">
        <v>488.12</v>
      </c>
      <c r="I263" s="240">
        <v>488.07</v>
      </c>
      <c r="J263" s="240">
        <v>488.07</v>
      </c>
      <c r="K263" s="240">
        <v>488.07</v>
      </c>
      <c r="L263" s="240">
        <v>488.07</v>
      </c>
      <c r="M263" s="240">
        <v>488.07</v>
      </c>
      <c r="N263" s="240">
        <v>488.07</v>
      </c>
      <c r="O263" s="240">
        <v>488.07</v>
      </c>
      <c r="P263" s="240">
        <v>488.07</v>
      </c>
      <c r="Q263" s="240">
        <v>488</v>
      </c>
      <c r="R263" s="244">
        <v>0</v>
      </c>
      <c r="S263" s="242">
        <f t="shared" si="22"/>
        <v>6260.4199999999992</v>
      </c>
      <c r="T263"/>
      <c r="V263" s="332"/>
      <c r="Z263"/>
    </row>
    <row r="264" spans="1:26" s="185" customFormat="1" ht="12" customHeight="1" x14ac:dyDescent="0.2">
      <c r="A264" s="181"/>
      <c r="B264" s="182"/>
      <c r="C264" s="183"/>
      <c r="D264" s="183"/>
      <c r="E264" s="240"/>
      <c r="F264" s="240"/>
      <c r="G264" s="240"/>
      <c r="H264" s="240"/>
      <c r="I264" s="240"/>
      <c r="J264" s="240"/>
      <c r="K264" s="240"/>
      <c r="L264" s="240"/>
      <c r="M264" s="240"/>
      <c r="N264" s="240"/>
      <c r="O264" s="240"/>
      <c r="P264" s="240"/>
      <c r="Q264" s="240"/>
      <c r="R264" s="243"/>
      <c r="S264" s="242">
        <f t="shared" si="22"/>
        <v>0</v>
      </c>
      <c r="T264"/>
      <c r="V264" s="332"/>
      <c r="Z264"/>
    </row>
    <row r="265" spans="1:26" s="185" customFormat="1" ht="12" customHeight="1" x14ac:dyDescent="0.2">
      <c r="A265" s="181">
        <v>615175</v>
      </c>
      <c r="B265" s="182" t="s">
        <v>331</v>
      </c>
      <c r="C265" s="183" t="s">
        <v>205</v>
      </c>
      <c r="D265" s="183" t="s">
        <v>179</v>
      </c>
      <c r="E265" s="240">
        <v>-243.76</v>
      </c>
      <c r="F265" s="240">
        <v>151.01</v>
      </c>
      <c r="G265" s="240">
        <v>151.01</v>
      </c>
      <c r="H265" s="240">
        <v>77.61</v>
      </c>
      <c r="I265" s="240">
        <v>77.61</v>
      </c>
      <c r="J265" s="240">
        <v>77.61</v>
      </c>
      <c r="K265" s="240">
        <v>77.61</v>
      </c>
      <c r="L265" s="240">
        <v>77.61</v>
      </c>
      <c r="M265" s="240">
        <v>77.61</v>
      </c>
      <c r="N265" s="240">
        <v>77.61</v>
      </c>
      <c r="O265" s="240">
        <v>77.61</v>
      </c>
      <c r="P265" s="240">
        <v>77.61</v>
      </c>
      <c r="Q265" s="240">
        <v>77.61</v>
      </c>
      <c r="R265" s="244">
        <v>0</v>
      </c>
      <c r="S265" s="242">
        <f t="shared" si="22"/>
        <v>834.36000000000013</v>
      </c>
      <c r="T265"/>
      <c r="V265" s="332"/>
      <c r="Z265"/>
    </row>
    <row r="266" spans="1:26" s="185" customFormat="1" ht="12" customHeight="1" x14ac:dyDescent="0.2">
      <c r="A266" s="181"/>
      <c r="B266" s="182"/>
      <c r="C266" s="183"/>
      <c r="D266" s="183"/>
      <c r="E266" s="240"/>
      <c r="F266" s="240"/>
      <c r="G266" s="240"/>
      <c r="H266" s="240"/>
      <c r="I266" s="240"/>
      <c r="J266" s="240"/>
      <c r="K266" s="240"/>
      <c r="L266" s="240"/>
      <c r="M266" s="240"/>
      <c r="N266" s="240"/>
      <c r="O266" s="240"/>
      <c r="P266" s="240"/>
      <c r="Q266" s="240"/>
      <c r="R266" s="244"/>
      <c r="S266" s="242"/>
      <c r="T266"/>
      <c r="V266" s="332"/>
      <c r="Z266"/>
    </row>
    <row r="267" spans="1:26" s="185" customFormat="1" ht="12" customHeight="1" x14ac:dyDescent="0.2">
      <c r="A267" s="181">
        <v>615175</v>
      </c>
      <c r="B267" s="182" t="s">
        <v>331</v>
      </c>
      <c r="C267" s="183" t="s">
        <v>79</v>
      </c>
      <c r="D267" s="183" t="s">
        <v>179</v>
      </c>
      <c r="E267" s="240">
        <v>0</v>
      </c>
      <c r="F267" s="240">
        <v>0</v>
      </c>
      <c r="G267" s="240">
        <v>0</v>
      </c>
      <c r="H267" s="240">
        <v>0</v>
      </c>
      <c r="I267" s="240">
        <v>0</v>
      </c>
      <c r="J267" s="240">
        <v>0</v>
      </c>
      <c r="K267" s="240">
        <v>28</v>
      </c>
      <c r="L267" s="240">
        <v>0</v>
      </c>
      <c r="M267" s="240">
        <v>0</v>
      </c>
      <c r="N267" s="240">
        <v>0</v>
      </c>
      <c r="O267" s="240">
        <v>0</v>
      </c>
      <c r="P267" s="240">
        <v>0</v>
      </c>
      <c r="Q267" s="240">
        <v>0</v>
      </c>
      <c r="R267" s="244">
        <v>0</v>
      </c>
      <c r="S267" s="242">
        <f>SUM(E267:Q267)</f>
        <v>28</v>
      </c>
      <c r="T267"/>
      <c r="V267" s="332"/>
      <c r="Z267"/>
    </row>
    <row r="268" spans="1:26" s="185" customFormat="1" ht="12" customHeight="1" x14ac:dyDescent="0.2">
      <c r="A268" s="181"/>
      <c r="B268" s="182"/>
      <c r="C268" s="183"/>
      <c r="D268" s="183"/>
      <c r="E268" s="244"/>
      <c r="F268" s="244"/>
      <c r="G268" s="244"/>
      <c r="H268" s="244"/>
      <c r="I268" s="244"/>
      <c r="J268" s="244"/>
      <c r="K268" s="244"/>
      <c r="L268" s="244"/>
      <c r="M268" s="244"/>
      <c r="N268" s="244"/>
      <c r="O268" s="244"/>
      <c r="P268" s="244"/>
      <c r="Q268" s="244"/>
      <c r="R268" s="244"/>
      <c r="S268" s="242"/>
      <c r="T268"/>
      <c r="V268" s="332"/>
      <c r="Z268"/>
    </row>
    <row r="269" spans="1:26" s="185" customFormat="1" ht="24" customHeight="1" x14ac:dyDescent="0.2">
      <c r="A269" s="267"/>
      <c r="B269" s="268"/>
      <c r="C269" s="267"/>
      <c r="D269" s="267"/>
      <c r="E269" s="269"/>
      <c r="F269" s="269"/>
      <c r="G269" s="269"/>
      <c r="H269" s="269"/>
      <c r="I269" s="269"/>
      <c r="J269" s="269"/>
      <c r="K269" s="269"/>
      <c r="L269" s="269"/>
      <c r="M269" s="269"/>
      <c r="N269" s="269"/>
      <c r="O269" s="269"/>
      <c r="P269" s="269"/>
      <c r="Q269" s="269"/>
      <c r="R269" s="269"/>
      <c r="S269" s="269">
        <f t="shared" ref="S269" si="23">+SUM(S249:S268)</f>
        <v>42515.659999999996</v>
      </c>
      <c r="T269" s="689" t="e">
        <f>IF(Ctrl($A267)+S268=S269,"Ok","Erreur somme")</f>
        <v>#VALUE!</v>
      </c>
      <c r="U269" s="212">
        <v>39101.440000000002</v>
      </c>
      <c r="V269" s="334">
        <f>U269-S269</f>
        <v>-3414.2199999999939</v>
      </c>
      <c r="W269" s="185" t="s">
        <v>853</v>
      </c>
      <c r="Z269"/>
    </row>
    <row r="270" spans="1:26" x14ac:dyDescent="0.2">
      <c r="A270" s="159">
        <v>615176</v>
      </c>
      <c r="B270" s="160" t="s">
        <v>227</v>
      </c>
      <c r="C270" s="148" t="s">
        <v>145</v>
      </c>
      <c r="D270" s="148" t="s">
        <v>192</v>
      </c>
      <c r="E270" s="240">
        <v>0</v>
      </c>
      <c r="F270" s="240">
        <v>0</v>
      </c>
      <c r="G270" s="240">
        <v>583.05999999999995</v>
      </c>
      <c r="H270" s="240">
        <v>0</v>
      </c>
      <c r="I270" s="240">
        <v>0</v>
      </c>
      <c r="J270" s="240">
        <v>497</v>
      </c>
      <c r="K270" s="240">
        <v>4443.7</v>
      </c>
      <c r="L270" s="240">
        <v>804</v>
      </c>
      <c r="M270" s="240">
        <v>1360</v>
      </c>
      <c r="N270" s="240">
        <v>0</v>
      </c>
      <c r="O270" s="240">
        <v>130</v>
      </c>
      <c r="P270" s="240">
        <v>2145.06</v>
      </c>
      <c r="Q270" s="240">
        <v>0</v>
      </c>
      <c r="R270" s="240">
        <v>0</v>
      </c>
      <c r="S270" s="242">
        <f>SUM(E270:Q270)</f>
        <v>9962.82</v>
      </c>
      <c r="Z270"/>
    </row>
    <row r="271" spans="1:26" x14ac:dyDescent="0.2">
      <c r="A271" s="159">
        <v>615176</v>
      </c>
      <c r="B271" s="160" t="s">
        <v>227</v>
      </c>
      <c r="C271" s="148" t="s">
        <v>145</v>
      </c>
      <c r="D271" s="148" t="s">
        <v>179</v>
      </c>
      <c r="E271" s="240">
        <v>-2208.36</v>
      </c>
      <c r="F271" s="240">
        <v>0</v>
      </c>
      <c r="G271" s="240">
        <v>0</v>
      </c>
      <c r="H271" s="240">
        <v>0</v>
      </c>
      <c r="I271" s="240">
        <v>0</v>
      </c>
      <c r="J271" s="240">
        <v>0</v>
      </c>
      <c r="K271" s="240">
        <v>0</v>
      </c>
      <c r="L271" s="240">
        <v>0</v>
      </c>
      <c r="M271" s="240">
        <v>0</v>
      </c>
      <c r="N271" s="240">
        <v>0</v>
      </c>
      <c r="O271" s="240">
        <v>0</v>
      </c>
      <c r="P271" s="240">
        <v>0</v>
      </c>
      <c r="Q271" s="240">
        <v>0</v>
      </c>
      <c r="R271" s="240">
        <v>0</v>
      </c>
      <c r="S271" s="242">
        <f>SUM(E271:Q271)</f>
        <v>-2208.36</v>
      </c>
      <c r="Z271"/>
    </row>
    <row r="272" spans="1:26" s="185" customFormat="1" ht="12" customHeight="1" x14ac:dyDescent="0.2">
      <c r="A272" s="181"/>
      <c r="B272" s="182"/>
      <c r="C272" s="183"/>
      <c r="D272" s="148"/>
      <c r="E272" s="240"/>
      <c r="F272" s="240"/>
      <c r="G272" s="240"/>
      <c r="H272" s="240"/>
      <c r="I272" s="240"/>
      <c r="J272" s="240"/>
      <c r="K272" s="240"/>
      <c r="L272" s="240"/>
      <c r="M272" s="240"/>
      <c r="N272" s="240"/>
      <c r="O272" s="240"/>
      <c r="P272" s="240"/>
      <c r="Q272" s="240"/>
      <c r="R272" s="244"/>
      <c r="S272" s="243"/>
      <c r="T272"/>
      <c r="V272" s="332"/>
      <c r="Z272"/>
    </row>
    <row r="273" spans="1:26" x14ac:dyDescent="0.2">
      <c r="A273" s="159">
        <v>615176</v>
      </c>
      <c r="B273" s="160" t="s">
        <v>227</v>
      </c>
      <c r="C273" s="148" t="s">
        <v>108</v>
      </c>
      <c r="D273" s="148" t="s">
        <v>192</v>
      </c>
      <c r="E273" s="240">
        <v>0</v>
      </c>
      <c r="F273" s="240">
        <v>0</v>
      </c>
      <c r="G273" s="240">
        <v>0</v>
      </c>
      <c r="H273" s="240">
        <v>0</v>
      </c>
      <c r="I273" s="240">
        <v>0</v>
      </c>
      <c r="J273" s="240">
        <v>0</v>
      </c>
      <c r="K273" s="240">
        <v>0</v>
      </c>
      <c r="L273" s="240">
        <v>0</v>
      </c>
      <c r="M273" s="240">
        <v>0</v>
      </c>
      <c r="N273" s="240">
        <v>0</v>
      </c>
      <c r="O273" s="240">
        <v>1274</v>
      </c>
      <c r="P273" s="240">
        <v>0</v>
      </c>
      <c r="Q273" s="240">
        <v>0</v>
      </c>
      <c r="R273" s="240">
        <v>0</v>
      </c>
      <c r="S273" s="242">
        <f>SUM(E273:Q273)</f>
        <v>1274</v>
      </c>
      <c r="Z273"/>
    </row>
    <row r="274" spans="1:26" x14ac:dyDescent="0.2">
      <c r="A274" s="159">
        <v>615176</v>
      </c>
      <c r="B274" s="160" t="s">
        <v>227</v>
      </c>
      <c r="C274" s="148" t="s">
        <v>108</v>
      </c>
      <c r="D274" s="148" t="s">
        <v>179</v>
      </c>
      <c r="E274" s="240">
        <v>0</v>
      </c>
      <c r="F274" s="240">
        <v>0</v>
      </c>
      <c r="G274" s="240">
        <v>0</v>
      </c>
      <c r="H274" s="240">
        <v>0</v>
      </c>
      <c r="I274" s="240">
        <v>0</v>
      </c>
      <c r="J274" s="240">
        <v>0</v>
      </c>
      <c r="K274" s="240">
        <v>0</v>
      </c>
      <c r="L274" s="240">
        <v>0</v>
      </c>
      <c r="M274" s="240">
        <v>0</v>
      </c>
      <c r="N274" s="240">
        <v>0</v>
      </c>
      <c r="O274" s="240">
        <v>0</v>
      </c>
      <c r="P274" s="240">
        <v>0</v>
      </c>
      <c r="Q274" s="240">
        <v>0</v>
      </c>
      <c r="R274" s="240">
        <v>0</v>
      </c>
      <c r="S274" s="242">
        <f>SUM(E274:Q274)</f>
        <v>0</v>
      </c>
      <c r="Z274"/>
    </row>
    <row r="275" spans="1:26" s="185" customFormat="1" ht="12" customHeight="1" x14ac:dyDescent="0.2">
      <c r="A275" s="181"/>
      <c r="B275" s="182"/>
      <c r="C275" s="183"/>
      <c r="D275" s="148"/>
      <c r="E275" s="240"/>
      <c r="F275" s="240"/>
      <c r="G275" s="240"/>
      <c r="H275" s="240"/>
      <c r="I275" s="240"/>
      <c r="J275" s="240"/>
      <c r="K275" s="240"/>
      <c r="L275" s="240"/>
      <c r="M275" s="240"/>
      <c r="N275" s="240"/>
      <c r="O275" s="240"/>
      <c r="P275" s="240"/>
      <c r="Q275" s="240"/>
      <c r="R275" s="244"/>
      <c r="S275" s="243"/>
      <c r="T275"/>
      <c r="V275" s="332"/>
      <c r="Z275"/>
    </row>
    <row r="276" spans="1:26" x14ac:dyDescent="0.2">
      <c r="A276" s="159">
        <v>615176</v>
      </c>
      <c r="B276" s="160" t="s">
        <v>227</v>
      </c>
      <c r="C276" s="148" t="s">
        <v>163</v>
      </c>
      <c r="D276" s="148" t="s">
        <v>192</v>
      </c>
      <c r="E276" s="240">
        <v>0</v>
      </c>
      <c r="F276" s="240">
        <v>0</v>
      </c>
      <c r="G276" s="240">
        <v>0</v>
      </c>
      <c r="H276" s="240">
        <v>0</v>
      </c>
      <c r="I276" s="240">
        <v>939.83999999999992</v>
      </c>
      <c r="J276" s="240">
        <v>530.17999999999995</v>
      </c>
      <c r="K276" s="240">
        <v>0</v>
      </c>
      <c r="L276" s="240">
        <v>0</v>
      </c>
      <c r="M276" s="240">
        <v>0</v>
      </c>
      <c r="N276" s="240">
        <v>399</v>
      </c>
      <c r="O276" s="240">
        <v>0</v>
      </c>
      <c r="P276" s="240">
        <v>5546.42</v>
      </c>
      <c r="Q276" s="240">
        <v>130</v>
      </c>
      <c r="R276" s="240">
        <v>0</v>
      </c>
      <c r="S276" s="242">
        <f>SUM(E276:Q276)</f>
        <v>7545.4400000000005</v>
      </c>
      <c r="Z276"/>
    </row>
    <row r="277" spans="1:26" x14ac:dyDescent="0.2">
      <c r="A277" s="159">
        <v>615176</v>
      </c>
      <c r="B277" s="160" t="s">
        <v>227</v>
      </c>
      <c r="C277" s="148" t="s">
        <v>163</v>
      </c>
      <c r="D277" s="148" t="s">
        <v>179</v>
      </c>
      <c r="E277" s="240">
        <v>0</v>
      </c>
      <c r="F277" s="240">
        <v>0</v>
      </c>
      <c r="G277" s="240">
        <v>0</v>
      </c>
      <c r="H277" s="240">
        <v>0</v>
      </c>
      <c r="I277" s="240">
        <v>0</v>
      </c>
      <c r="J277" s="240">
        <v>0</v>
      </c>
      <c r="K277" s="240">
        <v>0</v>
      </c>
      <c r="L277" s="240">
        <v>0</v>
      </c>
      <c r="M277" s="240">
        <v>0</v>
      </c>
      <c r="N277" s="240">
        <v>0</v>
      </c>
      <c r="O277" s="240">
        <v>0</v>
      </c>
      <c r="P277" s="240">
        <v>0</v>
      </c>
      <c r="Q277" s="240">
        <v>0</v>
      </c>
      <c r="R277" s="240">
        <v>0</v>
      </c>
      <c r="S277" s="242">
        <f>SUM(E277:Q277)</f>
        <v>0</v>
      </c>
      <c r="Z277"/>
    </row>
    <row r="278" spans="1:26" s="185" customFormat="1" ht="12" customHeight="1" x14ac:dyDescent="0.2">
      <c r="A278" s="181"/>
      <c r="B278" s="182"/>
      <c r="C278" s="183"/>
      <c r="D278" s="148"/>
      <c r="E278" s="240"/>
      <c r="F278" s="240"/>
      <c r="G278" s="240"/>
      <c r="H278" s="240"/>
      <c r="I278" s="240"/>
      <c r="J278" s="240"/>
      <c r="K278" s="240"/>
      <c r="L278" s="240"/>
      <c r="M278" s="240"/>
      <c r="N278" s="240"/>
      <c r="O278" s="240"/>
      <c r="P278" s="240"/>
      <c r="Q278" s="240"/>
      <c r="R278" s="244"/>
      <c r="S278" s="243"/>
      <c r="T278"/>
      <c r="V278" s="332"/>
      <c r="Z278"/>
    </row>
    <row r="279" spans="1:26" x14ac:dyDescent="0.2">
      <c r="A279" s="159">
        <v>615176</v>
      </c>
      <c r="B279" s="160" t="s">
        <v>227</v>
      </c>
      <c r="C279" s="148" t="s">
        <v>130</v>
      </c>
      <c r="D279" s="148" t="s">
        <v>192</v>
      </c>
      <c r="E279" s="240">
        <v>0</v>
      </c>
      <c r="F279" s="240">
        <v>0</v>
      </c>
      <c r="G279" s="240">
        <v>0</v>
      </c>
      <c r="H279" s="240">
        <v>0</v>
      </c>
      <c r="I279" s="240">
        <v>0</v>
      </c>
      <c r="J279" s="240">
        <v>438.56</v>
      </c>
      <c r="K279" s="240">
        <v>2582.42</v>
      </c>
      <c r="L279" s="240">
        <v>0</v>
      </c>
      <c r="M279" s="240">
        <v>0</v>
      </c>
      <c r="N279" s="240">
        <v>0</v>
      </c>
      <c r="O279" s="240">
        <v>130</v>
      </c>
      <c r="P279" s="240">
        <v>0</v>
      </c>
      <c r="Q279" s="240">
        <v>0</v>
      </c>
      <c r="R279" s="240">
        <v>0</v>
      </c>
      <c r="S279" s="242">
        <f>SUM(E279:Q279)</f>
        <v>3150.98</v>
      </c>
      <c r="Z279"/>
    </row>
    <row r="280" spans="1:26" x14ac:dyDescent="0.2">
      <c r="A280" s="159">
        <v>615176</v>
      </c>
      <c r="B280" s="160" t="s">
        <v>227</v>
      </c>
      <c r="C280" s="148" t="s">
        <v>130</v>
      </c>
      <c r="D280" s="148" t="s">
        <v>179</v>
      </c>
      <c r="E280" s="240">
        <v>0</v>
      </c>
      <c r="F280" s="240">
        <v>0</v>
      </c>
      <c r="G280" s="240">
        <v>0</v>
      </c>
      <c r="H280" s="240">
        <v>0</v>
      </c>
      <c r="I280" s="240">
        <v>0</v>
      </c>
      <c r="J280" s="240">
        <v>0</v>
      </c>
      <c r="K280" s="240">
        <v>0</v>
      </c>
      <c r="L280" s="240">
        <v>0</v>
      </c>
      <c r="M280" s="240">
        <v>0</v>
      </c>
      <c r="N280" s="240">
        <v>0</v>
      </c>
      <c r="O280" s="240">
        <v>0</v>
      </c>
      <c r="P280" s="240">
        <v>0</v>
      </c>
      <c r="Q280" s="240">
        <v>0</v>
      </c>
      <c r="R280" s="240">
        <v>0</v>
      </c>
      <c r="S280" s="242">
        <f>SUM(E280:Q280)</f>
        <v>0</v>
      </c>
      <c r="Z280"/>
    </row>
    <row r="281" spans="1:26" s="185" customFormat="1" ht="12" customHeight="1" x14ac:dyDescent="0.2">
      <c r="A281" s="181"/>
      <c r="B281" s="182"/>
      <c r="C281" s="183"/>
      <c r="D281" s="148"/>
      <c r="E281" s="240"/>
      <c r="F281" s="240"/>
      <c r="G281" s="240"/>
      <c r="H281" s="240"/>
      <c r="I281" s="240"/>
      <c r="J281" s="240"/>
      <c r="K281" s="240"/>
      <c r="L281" s="240"/>
      <c r="M281" s="240"/>
      <c r="N281" s="240"/>
      <c r="O281" s="240"/>
      <c r="P281" s="240"/>
      <c r="Q281" s="240"/>
      <c r="R281" s="244"/>
      <c r="S281" s="243"/>
      <c r="T281"/>
      <c r="V281" s="332"/>
      <c r="Z281"/>
    </row>
    <row r="282" spans="1:26" x14ac:dyDescent="0.2">
      <c r="A282" s="159">
        <v>615176</v>
      </c>
      <c r="B282" s="160" t="s">
        <v>227</v>
      </c>
      <c r="C282" s="148" t="s">
        <v>153</v>
      </c>
      <c r="D282" s="148" t="s">
        <v>192</v>
      </c>
      <c r="E282" s="240">
        <v>32</v>
      </c>
      <c r="F282" s="240">
        <v>0</v>
      </c>
      <c r="G282" s="240">
        <v>0</v>
      </c>
      <c r="H282" s="240">
        <v>0</v>
      </c>
      <c r="I282" s="240">
        <v>0</v>
      </c>
      <c r="J282" s="240">
        <v>0</v>
      </c>
      <c r="K282" s="240">
        <v>262</v>
      </c>
      <c r="L282" s="240">
        <v>0</v>
      </c>
      <c r="M282" s="240">
        <v>0</v>
      </c>
      <c r="N282" s="240">
        <v>679</v>
      </c>
      <c r="O282" s="240">
        <v>4740</v>
      </c>
      <c r="P282" s="240">
        <v>0</v>
      </c>
      <c r="Q282" s="240">
        <v>0</v>
      </c>
      <c r="R282" s="240">
        <v>0</v>
      </c>
      <c r="S282" s="242">
        <f>SUM(E282:Q282)</f>
        <v>5713</v>
      </c>
      <c r="Z282"/>
    </row>
    <row r="283" spans="1:26" x14ac:dyDescent="0.2">
      <c r="A283" s="159">
        <v>615176</v>
      </c>
      <c r="B283" s="160" t="s">
        <v>227</v>
      </c>
      <c r="C283" s="148" t="s">
        <v>153</v>
      </c>
      <c r="D283" s="148" t="s">
        <v>179</v>
      </c>
      <c r="E283" s="240">
        <v>0</v>
      </c>
      <c r="F283" s="240">
        <v>0</v>
      </c>
      <c r="G283" s="240">
        <v>0</v>
      </c>
      <c r="H283" s="240">
        <v>0</v>
      </c>
      <c r="I283" s="240">
        <v>0</v>
      </c>
      <c r="J283" s="240">
        <v>0</v>
      </c>
      <c r="K283" s="240">
        <v>0</v>
      </c>
      <c r="L283" s="240">
        <v>0</v>
      </c>
      <c r="M283" s="240">
        <v>0</v>
      </c>
      <c r="N283" s="240">
        <v>0</v>
      </c>
      <c r="O283" s="240">
        <v>0</v>
      </c>
      <c r="P283" s="240">
        <v>0</v>
      </c>
      <c r="Q283" s="240">
        <v>0</v>
      </c>
      <c r="R283" s="240">
        <v>0</v>
      </c>
      <c r="S283" s="242">
        <f>SUM(E283:Q283)</f>
        <v>0</v>
      </c>
      <c r="Z283"/>
    </row>
    <row r="284" spans="1:26" s="185" customFormat="1" ht="12" customHeight="1" x14ac:dyDescent="0.2">
      <c r="A284" s="181"/>
      <c r="B284" s="182"/>
      <c r="C284" s="183"/>
      <c r="D284" s="148"/>
      <c r="E284" s="240"/>
      <c r="F284" s="240"/>
      <c r="G284" s="240"/>
      <c r="H284" s="240"/>
      <c r="I284" s="240"/>
      <c r="J284" s="240"/>
      <c r="K284" s="240"/>
      <c r="L284" s="240"/>
      <c r="M284" s="240"/>
      <c r="N284" s="240"/>
      <c r="O284" s="240"/>
      <c r="P284" s="240"/>
      <c r="Q284" s="240"/>
      <c r="R284" s="244"/>
      <c r="S284" s="243"/>
      <c r="T284"/>
      <c r="V284" s="332"/>
      <c r="Z284"/>
    </row>
    <row r="285" spans="1:26" x14ac:dyDescent="0.2">
      <c r="A285" s="159">
        <v>615176</v>
      </c>
      <c r="B285" s="160" t="s">
        <v>227</v>
      </c>
      <c r="C285" s="148" t="s">
        <v>143</v>
      </c>
      <c r="D285" s="148" t="s">
        <v>192</v>
      </c>
      <c r="E285" s="240">
        <v>0</v>
      </c>
      <c r="F285" s="240">
        <v>0</v>
      </c>
      <c r="G285" s="240">
        <v>0</v>
      </c>
      <c r="H285" s="240">
        <v>0</v>
      </c>
      <c r="I285" s="240">
        <v>0</v>
      </c>
      <c r="J285" s="240">
        <v>0</v>
      </c>
      <c r="K285" s="240">
        <v>3295</v>
      </c>
      <c r="L285" s="240">
        <v>160</v>
      </c>
      <c r="M285" s="240">
        <v>0</v>
      </c>
      <c r="N285" s="240">
        <v>0</v>
      </c>
      <c r="O285" s="240">
        <v>0</v>
      </c>
      <c r="P285" s="240">
        <v>0</v>
      </c>
      <c r="Q285" s="240">
        <v>0</v>
      </c>
      <c r="R285" s="240">
        <v>0</v>
      </c>
      <c r="S285" s="242">
        <f>SUM(E285:Q285)</f>
        <v>3455</v>
      </c>
      <c r="Z285"/>
    </row>
    <row r="286" spans="1:26" x14ac:dyDescent="0.2">
      <c r="A286" s="159">
        <v>615176</v>
      </c>
      <c r="B286" s="160" t="s">
        <v>227</v>
      </c>
      <c r="C286" s="148" t="s">
        <v>143</v>
      </c>
      <c r="D286" s="148" t="s">
        <v>179</v>
      </c>
      <c r="E286" s="240">
        <v>0</v>
      </c>
      <c r="F286" s="240">
        <v>0</v>
      </c>
      <c r="G286" s="240">
        <v>0</v>
      </c>
      <c r="H286" s="240">
        <v>0</v>
      </c>
      <c r="I286" s="240">
        <v>0</v>
      </c>
      <c r="J286" s="240">
        <v>0</v>
      </c>
      <c r="K286" s="240">
        <v>0</v>
      </c>
      <c r="L286" s="240">
        <v>0</v>
      </c>
      <c r="M286" s="240">
        <v>0</v>
      </c>
      <c r="N286" s="240">
        <v>0</v>
      </c>
      <c r="O286" s="240">
        <v>0</v>
      </c>
      <c r="P286" s="240">
        <v>0</v>
      </c>
      <c r="Q286" s="240">
        <v>0</v>
      </c>
      <c r="R286" s="240">
        <v>0</v>
      </c>
      <c r="S286" s="242">
        <f>SUM(E286:Q286)</f>
        <v>0</v>
      </c>
      <c r="Z286"/>
    </row>
    <row r="287" spans="1:26" s="185" customFormat="1" ht="13.5" customHeight="1" x14ac:dyDescent="0.2">
      <c r="A287" s="181"/>
      <c r="B287" s="182"/>
      <c r="C287" s="183"/>
      <c r="D287" s="148"/>
      <c r="E287" s="240"/>
      <c r="F287" s="240"/>
      <c r="G287" s="240"/>
      <c r="H287" s="240"/>
      <c r="I287" s="240"/>
      <c r="J287" s="240"/>
      <c r="K287" s="240"/>
      <c r="L287" s="240"/>
      <c r="M287" s="240"/>
      <c r="N287" s="240"/>
      <c r="O287" s="240"/>
      <c r="P287" s="240"/>
      <c r="Q287" s="240"/>
      <c r="R287" s="244"/>
      <c r="S287" s="243"/>
      <c r="T287"/>
      <c r="V287" s="332"/>
      <c r="Z287"/>
    </row>
    <row r="288" spans="1:26" x14ac:dyDescent="0.2">
      <c r="A288" s="159">
        <v>615176</v>
      </c>
      <c r="B288" s="160" t="s">
        <v>227</v>
      </c>
      <c r="C288" s="148" t="s">
        <v>157</v>
      </c>
      <c r="D288" s="148" t="s">
        <v>192</v>
      </c>
      <c r="E288" s="240">
        <v>0</v>
      </c>
      <c r="F288" s="240">
        <v>0</v>
      </c>
      <c r="G288" s="240">
        <v>0</v>
      </c>
      <c r="H288" s="240">
        <v>0</v>
      </c>
      <c r="I288" s="240">
        <v>0</v>
      </c>
      <c r="J288" s="240">
        <v>428</v>
      </c>
      <c r="K288" s="240">
        <v>0</v>
      </c>
      <c r="L288" s="240">
        <v>0</v>
      </c>
      <c r="M288" s="240">
        <v>0</v>
      </c>
      <c r="N288" s="240">
        <v>0</v>
      </c>
      <c r="O288" s="240">
        <v>0</v>
      </c>
      <c r="P288" s="240">
        <v>0</v>
      </c>
      <c r="Q288" s="240">
        <v>0</v>
      </c>
      <c r="R288" s="240">
        <v>0</v>
      </c>
      <c r="S288" s="242">
        <f>SUM(E288:Q288)</f>
        <v>428</v>
      </c>
      <c r="Z288"/>
    </row>
    <row r="289" spans="1:27" x14ac:dyDescent="0.2">
      <c r="A289" s="159"/>
      <c r="B289" s="160"/>
      <c r="C289" s="148"/>
      <c r="D289" s="148"/>
      <c r="E289" s="240"/>
      <c r="F289" s="240"/>
      <c r="G289" s="240"/>
      <c r="H289" s="240"/>
      <c r="I289" s="240"/>
      <c r="J289" s="240"/>
      <c r="K289" s="240"/>
      <c r="L289" s="240"/>
      <c r="M289" s="240"/>
      <c r="N289" s="240"/>
      <c r="O289" s="240"/>
      <c r="P289" s="240"/>
      <c r="Q289" s="240"/>
      <c r="R289" s="240"/>
      <c r="S289" s="242"/>
      <c r="Z289"/>
    </row>
    <row r="290" spans="1:27" x14ac:dyDescent="0.2">
      <c r="A290" s="159">
        <v>615176</v>
      </c>
      <c r="B290" s="160" t="s">
        <v>227</v>
      </c>
      <c r="C290" s="148" t="s">
        <v>205</v>
      </c>
      <c r="D290" s="148" t="s">
        <v>192</v>
      </c>
      <c r="E290" s="240">
        <v>0</v>
      </c>
      <c r="F290" s="240">
        <v>0</v>
      </c>
      <c r="G290" s="240">
        <v>0</v>
      </c>
      <c r="H290" s="240">
        <v>0</v>
      </c>
      <c r="I290" s="240">
        <v>0</v>
      </c>
      <c r="J290" s="240">
        <v>0</v>
      </c>
      <c r="K290" s="240">
        <v>0</v>
      </c>
      <c r="L290" s="240">
        <v>0</v>
      </c>
      <c r="M290" s="240">
        <v>0</v>
      </c>
      <c r="N290" s="240">
        <v>0</v>
      </c>
      <c r="O290" s="240">
        <v>0</v>
      </c>
      <c r="P290" s="240">
        <v>0</v>
      </c>
      <c r="Q290" s="240">
        <v>0</v>
      </c>
      <c r="R290" s="240">
        <v>0</v>
      </c>
      <c r="S290" s="242">
        <f>SUM(E290:Q290)</f>
        <v>0</v>
      </c>
      <c r="Z290"/>
    </row>
    <row r="291" spans="1:27" x14ac:dyDescent="0.2">
      <c r="A291" s="159"/>
      <c r="B291" s="160"/>
      <c r="C291" s="148"/>
      <c r="D291" s="148"/>
      <c r="E291" s="240"/>
      <c r="F291" s="240"/>
      <c r="G291" s="240"/>
      <c r="H291" s="240"/>
      <c r="I291" s="240"/>
      <c r="J291" s="240"/>
      <c r="K291" s="240"/>
      <c r="L291" s="240"/>
      <c r="M291" s="240"/>
      <c r="N291" s="240"/>
      <c r="O291" s="240"/>
      <c r="P291" s="240"/>
      <c r="Q291" s="240"/>
      <c r="R291" s="240"/>
      <c r="S291" s="242"/>
      <c r="Z291"/>
    </row>
    <row r="292" spans="1:27" x14ac:dyDescent="0.2">
      <c r="A292" s="159">
        <v>615176</v>
      </c>
      <c r="B292" s="160" t="s">
        <v>227</v>
      </c>
      <c r="C292" s="148" t="s">
        <v>79</v>
      </c>
      <c r="D292" s="148" t="s">
        <v>192</v>
      </c>
      <c r="E292" s="240">
        <v>0</v>
      </c>
      <c r="F292" s="240">
        <v>0</v>
      </c>
      <c r="G292" s="240">
        <v>0</v>
      </c>
      <c r="H292" s="240">
        <v>0</v>
      </c>
      <c r="I292" s="240">
        <v>0</v>
      </c>
      <c r="J292" s="240">
        <v>2845</v>
      </c>
      <c r="K292" s="240">
        <v>0</v>
      </c>
      <c r="L292" s="240">
        <v>0</v>
      </c>
      <c r="M292" s="240">
        <v>0</v>
      </c>
      <c r="N292" s="240">
        <v>0</v>
      </c>
      <c r="O292" s="240">
        <v>0</v>
      </c>
      <c r="P292" s="240">
        <v>0</v>
      </c>
      <c r="Q292" s="240">
        <v>0</v>
      </c>
      <c r="R292" s="240">
        <v>0</v>
      </c>
      <c r="S292" s="242">
        <f>SUM(E292:Q292)</f>
        <v>2845</v>
      </c>
      <c r="Z292"/>
    </row>
    <row r="293" spans="1:27" x14ac:dyDescent="0.2">
      <c r="A293" s="159"/>
      <c r="B293" s="160"/>
      <c r="C293" s="148"/>
      <c r="D293" s="148"/>
      <c r="E293" s="240"/>
      <c r="F293" s="240"/>
      <c r="G293" s="240"/>
      <c r="H293" s="240"/>
      <c r="I293" s="240"/>
      <c r="J293" s="240"/>
      <c r="K293" s="240"/>
      <c r="L293" s="240"/>
      <c r="M293" s="240"/>
      <c r="N293" s="240"/>
      <c r="O293" s="240"/>
      <c r="P293" s="240"/>
      <c r="Q293" s="240"/>
      <c r="R293" s="240"/>
      <c r="S293" s="242"/>
      <c r="Z293"/>
    </row>
    <row r="294" spans="1:27" x14ac:dyDescent="0.2">
      <c r="A294" s="159">
        <v>615176</v>
      </c>
      <c r="B294" s="160" t="s">
        <v>227</v>
      </c>
      <c r="C294" s="148" t="s">
        <v>366</v>
      </c>
      <c r="D294" s="148"/>
      <c r="E294" s="240"/>
      <c r="F294" s="240"/>
      <c r="G294" s="240"/>
      <c r="H294" s="240"/>
      <c r="I294" s="240"/>
      <c r="J294" s="240"/>
      <c r="K294" s="240"/>
      <c r="L294" s="240"/>
      <c r="M294" s="240"/>
      <c r="N294" s="240"/>
      <c r="O294" s="240"/>
      <c r="P294" s="240"/>
      <c r="Q294" s="240"/>
      <c r="R294" s="240"/>
      <c r="S294" s="242">
        <f>SUM(E294:Q294)</f>
        <v>0</v>
      </c>
      <c r="Z294"/>
    </row>
    <row r="295" spans="1:27" s="185" customFormat="1" ht="24" customHeight="1" x14ac:dyDescent="0.2">
      <c r="A295" s="267"/>
      <c r="B295" s="268"/>
      <c r="C295" s="267"/>
      <c r="D295" s="267"/>
      <c r="E295" s="269"/>
      <c r="F295" s="269"/>
      <c r="G295" s="269"/>
      <c r="H295" s="269"/>
      <c r="I295" s="269"/>
      <c r="J295" s="269"/>
      <c r="K295" s="269"/>
      <c r="L295" s="269"/>
      <c r="M295" s="269"/>
      <c r="N295" s="269"/>
      <c r="O295" s="269"/>
      <c r="P295" s="269"/>
      <c r="Q295" s="269"/>
      <c r="R295" s="269"/>
      <c r="S295" s="269">
        <f>SUM(S270:S294)</f>
        <v>32165.88</v>
      </c>
      <c r="T295" s="689" t="str">
        <f>IF(Ctrl($A294)+S294=S295,"Ok","Erreur somme")</f>
        <v>Ok</v>
      </c>
      <c r="U295" s="212">
        <v>32035.88</v>
      </c>
      <c r="V295" s="334">
        <f>U295-S295</f>
        <v>-130</v>
      </c>
      <c r="W295" s="185" t="s">
        <v>853</v>
      </c>
      <c r="Z295"/>
    </row>
    <row r="296" spans="1:27" x14ac:dyDescent="0.2">
      <c r="A296" s="159">
        <v>615180</v>
      </c>
      <c r="B296" s="160" t="s">
        <v>116</v>
      </c>
      <c r="C296" s="148" t="s">
        <v>78</v>
      </c>
      <c r="D296" s="148" t="s">
        <v>192</v>
      </c>
      <c r="E296" s="240">
        <v>0</v>
      </c>
      <c r="F296" s="240">
        <v>0</v>
      </c>
      <c r="G296" s="240">
        <v>0</v>
      </c>
      <c r="H296" s="240">
        <v>0</v>
      </c>
      <c r="I296" s="240">
        <v>0</v>
      </c>
      <c r="J296" s="240">
        <v>0</v>
      </c>
      <c r="K296" s="240">
        <v>0</v>
      </c>
      <c r="L296" s="240">
        <v>0</v>
      </c>
      <c r="M296" s="240">
        <v>0</v>
      </c>
      <c r="N296" s="240">
        <v>0</v>
      </c>
      <c r="O296" s="240">
        <v>0</v>
      </c>
      <c r="P296" s="240">
        <v>0</v>
      </c>
      <c r="Q296" s="240">
        <v>0</v>
      </c>
      <c r="R296" s="240">
        <v>0</v>
      </c>
      <c r="S296" s="242">
        <f>SUM(E296:Q296)</f>
        <v>0</v>
      </c>
      <c r="Z296"/>
    </row>
    <row r="297" spans="1:27" x14ac:dyDescent="0.2">
      <c r="A297" s="159">
        <v>615180</v>
      </c>
      <c r="B297" s="160" t="s">
        <v>116</v>
      </c>
      <c r="C297" s="148" t="s">
        <v>78</v>
      </c>
      <c r="D297" s="148" t="s">
        <v>179</v>
      </c>
      <c r="E297" s="240">
        <v>0</v>
      </c>
      <c r="F297" s="240">
        <v>566.63</v>
      </c>
      <c r="G297" s="240">
        <v>566.66999999999996</v>
      </c>
      <c r="H297" s="240">
        <v>566.66999999999996</v>
      </c>
      <c r="I297" s="240">
        <v>566.66999999999996</v>
      </c>
      <c r="J297" s="240">
        <v>566.66999999999996</v>
      </c>
      <c r="K297" s="240">
        <v>566.66999999999996</v>
      </c>
      <c r="L297" s="240">
        <v>566.66999999999996</v>
      </c>
      <c r="M297" s="240">
        <v>566.66999999999996</v>
      </c>
      <c r="N297" s="240">
        <v>566.66999999999996</v>
      </c>
      <c r="O297" s="240">
        <v>566.66999999999996</v>
      </c>
      <c r="P297" s="240">
        <v>566.66999999999996</v>
      </c>
      <c r="Q297" s="240">
        <v>0</v>
      </c>
      <c r="R297" s="240">
        <v>0</v>
      </c>
      <c r="S297" s="242">
        <f>SUM(E297:Q297)</f>
        <v>6233.33</v>
      </c>
      <c r="Z297"/>
      <c r="AA297" s="273"/>
    </row>
    <row r="298" spans="1:27" x14ac:dyDescent="0.2">
      <c r="A298" s="270"/>
      <c r="B298" s="235"/>
      <c r="C298" s="148"/>
      <c r="D298" s="148"/>
      <c r="E298" s="240"/>
      <c r="F298" s="240"/>
      <c r="G298" s="240"/>
      <c r="H298" s="240"/>
      <c r="I298" s="240"/>
      <c r="J298" s="240"/>
      <c r="K298" s="240"/>
      <c r="L298" s="240"/>
      <c r="M298" s="240"/>
      <c r="N298" s="240"/>
      <c r="O298" s="240"/>
      <c r="P298" s="240"/>
      <c r="Q298" s="240"/>
      <c r="R298" s="240"/>
      <c r="S298" s="242"/>
      <c r="Z298"/>
    </row>
    <row r="299" spans="1:27" x14ac:dyDescent="0.2">
      <c r="A299" s="159">
        <v>615180</v>
      </c>
      <c r="B299" s="160" t="s">
        <v>116</v>
      </c>
      <c r="C299" s="148" t="s">
        <v>71</v>
      </c>
      <c r="D299" s="148" t="s">
        <v>192</v>
      </c>
      <c r="E299" s="240">
        <v>0</v>
      </c>
      <c r="F299" s="240">
        <v>0</v>
      </c>
      <c r="G299" s="240">
        <v>0</v>
      </c>
      <c r="H299" s="240">
        <v>0</v>
      </c>
      <c r="I299" s="240">
        <v>756.9</v>
      </c>
      <c r="J299" s="240">
        <v>0</v>
      </c>
      <c r="K299" s="240">
        <v>0</v>
      </c>
      <c r="L299" s="240">
        <v>0</v>
      </c>
      <c r="M299" s="240">
        <v>506.44</v>
      </c>
      <c r="N299" s="240">
        <v>358.25</v>
      </c>
      <c r="O299" s="240">
        <v>0</v>
      </c>
      <c r="P299" s="240">
        <v>0</v>
      </c>
      <c r="Q299" s="240">
        <v>0</v>
      </c>
      <c r="R299" s="240">
        <v>0</v>
      </c>
      <c r="S299" s="242">
        <f>SUM(E299:Q299)</f>
        <v>1621.59</v>
      </c>
      <c r="Z299"/>
    </row>
    <row r="300" spans="1:27" x14ac:dyDescent="0.2">
      <c r="A300" s="159">
        <v>615180</v>
      </c>
      <c r="B300" s="160" t="s">
        <v>116</v>
      </c>
      <c r="C300" s="148" t="s">
        <v>71</v>
      </c>
      <c r="D300" s="148" t="s">
        <v>179</v>
      </c>
      <c r="E300" s="240">
        <v>0</v>
      </c>
      <c r="F300" s="240">
        <v>344.72</v>
      </c>
      <c r="G300" s="240">
        <v>344.72</v>
      </c>
      <c r="H300" s="240">
        <v>344.72</v>
      </c>
      <c r="I300" s="240">
        <v>344.72</v>
      </c>
      <c r="J300" s="240">
        <v>344.72</v>
      </c>
      <c r="K300" s="240">
        <v>344.72</v>
      </c>
      <c r="L300" s="240">
        <v>344.72</v>
      </c>
      <c r="M300" s="240">
        <v>344.72</v>
      </c>
      <c r="N300" s="240">
        <v>344.72</v>
      </c>
      <c r="O300" s="240">
        <v>344.72</v>
      </c>
      <c r="P300" s="240">
        <v>344.72</v>
      </c>
      <c r="Q300" s="240">
        <v>344.72</v>
      </c>
      <c r="R300" s="240">
        <v>0</v>
      </c>
      <c r="S300" s="242">
        <f>SUM(E300:Q300)</f>
        <v>4136.6400000000012</v>
      </c>
      <c r="Z300"/>
    </row>
    <row r="301" spans="1:27" x14ac:dyDescent="0.2">
      <c r="A301" s="270"/>
      <c r="B301" s="235"/>
      <c r="C301" s="148"/>
      <c r="D301" s="148"/>
      <c r="E301" s="240"/>
      <c r="F301" s="240"/>
      <c r="G301" s="240"/>
      <c r="H301" s="240"/>
      <c r="I301" s="240"/>
      <c r="J301" s="240"/>
      <c r="K301" s="240"/>
      <c r="L301" s="240"/>
      <c r="M301" s="240"/>
      <c r="N301" s="240"/>
      <c r="O301" s="240"/>
      <c r="P301" s="240"/>
      <c r="Q301" s="240"/>
      <c r="R301" s="240"/>
      <c r="S301" s="242"/>
      <c r="Z301"/>
    </row>
    <row r="302" spans="1:27" x14ac:dyDescent="0.2">
      <c r="A302" s="159">
        <v>615180</v>
      </c>
      <c r="B302" s="160" t="s">
        <v>116</v>
      </c>
      <c r="C302" s="148" t="s">
        <v>73</v>
      </c>
      <c r="D302" s="148" t="s">
        <v>268</v>
      </c>
      <c r="E302" s="240">
        <v>0</v>
      </c>
      <c r="F302" s="240">
        <v>793</v>
      </c>
      <c r="G302" s="240">
        <v>793</v>
      </c>
      <c r="H302" s="240">
        <v>793</v>
      </c>
      <c r="I302" s="240">
        <v>793</v>
      </c>
      <c r="J302" s="240">
        <v>793</v>
      </c>
      <c r="K302" s="240">
        <v>793</v>
      </c>
      <c r="L302" s="240">
        <v>793</v>
      </c>
      <c r="M302" s="240">
        <v>793</v>
      </c>
      <c r="N302" s="240">
        <v>793</v>
      </c>
      <c r="O302" s="240">
        <v>793</v>
      </c>
      <c r="P302" s="240">
        <v>793</v>
      </c>
      <c r="Q302" s="240">
        <v>0</v>
      </c>
      <c r="R302" s="240">
        <v>0</v>
      </c>
      <c r="S302" s="242">
        <f>SUM(E302:Q302)</f>
        <v>8723</v>
      </c>
      <c r="Z302"/>
    </row>
    <row r="303" spans="1:27" x14ac:dyDescent="0.2">
      <c r="A303" s="270"/>
      <c r="B303" s="235"/>
      <c r="C303" s="148"/>
      <c r="D303" s="148"/>
      <c r="E303" s="240"/>
      <c r="F303" s="240"/>
      <c r="G303" s="240"/>
      <c r="H303" s="240"/>
      <c r="I303" s="240"/>
      <c r="J303" s="240"/>
      <c r="K303" s="240"/>
      <c r="L303" s="240"/>
      <c r="M303" s="240"/>
      <c r="N303" s="240"/>
      <c r="O303" s="240"/>
      <c r="P303" s="240"/>
      <c r="Q303" s="240"/>
      <c r="R303" s="240"/>
      <c r="S303" s="242"/>
      <c r="Z303"/>
    </row>
    <row r="304" spans="1:27" x14ac:dyDescent="0.2">
      <c r="A304" s="159">
        <v>615180</v>
      </c>
      <c r="B304" s="160" t="s">
        <v>116</v>
      </c>
      <c r="C304" s="148" t="s">
        <v>67</v>
      </c>
      <c r="D304" s="148" t="s">
        <v>179</v>
      </c>
      <c r="E304" s="240">
        <v>0</v>
      </c>
      <c r="F304" s="240">
        <v>0</v>
      </c>
      <c r="G304" s="240">
        <v>0</v>
      </c>
      <c r="H304" s="240">
        <v>590</v>
      </c>
      <c r="I304" s="240">
        <v>590</v>
      </c>
      <c r="J304" s="240">
        <v>590</v>
      </c>
      <c r="K304" s="240">
        <v>590</v>
      </c>
      <c r="L304" s="240">
        <v>590</v>
      </c>
      <c r="M304" s="240">
        <v>3790</v>
      </c>
      <c r="N304" s="240">
        <v>590</v>
      </c>
      <c r="O304" s="240">
        <v>590</v>
      </c>
      <c r="P304" s="240">
        <v>590</v>
      </c>
      <c r="Q304" s="240">
        <v>590</v>
      </c>
      <c r="R304" s="240">
        <v>0</v>
      </c>
      <c r="S304" s="242">
        <f>SUM(E304:Q304)</f>
        <v>9100</v>
      </c>
      <c r="W304" s="602"/>
      <c r="Z304"/>
    </row>
    <row r="305" spans="1:26" x14ac:dyDescent="0.2">
      <c r="A305" s="159">
        <v>615180</v>
      </c>
      <c r="B305" s="160" t="s">
        <v>116</v>
      </c>
      <c r="C305" s="148" t="s">
        <v>67</v>
      </c>
      <c r="D305" s="148" t="s">
        <v>268</v>
      </c>
      <c r="E305" s="240">
        <v>0</v>
      </c>
      <c r="F305" s="240">
        <v>0</v>
      </c>
      <c r="G305" s="240">
        <v>0</v>
      </c>
      <c r="H305" s="240">
        <v>0</v>
      </c>
      <c r="I305" s="240">
        <v>0</v>
      </c>
      <c r="J305" s="240">
        <v>0</v>
      </c>
      <c r="K305" s="240">
        <v>0</v>
      </c>
      <c r="L305" s="240">
        <v>0</v>
      </c>
      <c r="M305" s="240">
        <v>0</v>
      </c>
      <c r="N305" s="240">
        <v>0</v>
      </c>
      <c r="O305" s="240">
        <v>0</v>
      </c>
      <c r="P305" s="240">
        <v>0</v>
      </c>
      <c r="Q305" s="240">
        <v>0</v>
      </c>
      <c r="R305" s="240">
        <v>0</v>
      </c>
      <c r="S305" s="242">
        <f>SUM(E305:Q305)</f>
        <v>0</v>
      </c>
      <c r="Z305"/>
    </row>
    <row r="306" spans="1:26" x14ac:dyDescent="0.2">
      <c r="A306" s="270"/>
      <c r="B306" s="235"/>
      <c r="C306" s="148"/>
      <c r="D306" s="271"/>
      <c r="E306" s="240"/>
      <c r="F306" s="240"/>
      <c r="G306" s="240"/>
      <c r="H306" s="240"/>
      <c r="I306" s="240"/>
      <c r="J306" s="240"/>
      <c r="K306" s="240"/>
      <c r="L306" s="240"/>
      <c r="M306" s="240"/>
      <c r="N306" s="240"/>
      <c r="O306" s="240"/>
      <c r="P306" s="240"/>
      <c r="Q306" s="240"/>
      <c r="R306" s="240"/>
      <c r="S306" s="242"/>
      <c r="Z306"/>
    </row>
    <row r="307" spans="1:26" x14ac:dyDescent="0.2">
      <c r="A307" s="159">
        <v>615180</v>
      </c>
      <c r="B307" s="160" t="s">
        <v>116</v>
      </c>
      <c r="C307" s="148" t="s">
        <v>80</v>
      </c>
      <c r="D307" s="148" t="s">
        <v>192</v>
      </c>
      <c r="E307" s="240">
        <v>0</v>
      </c>
      <c r="F307" s="240">
        <v>0</v>
      </c>
      <c r="G307" s="240">
        <v>0</v>
      </c>
      <c r="H307" s="240">
        <v>0</v>
      </c>
      <c r="I307" s="240">
        <v>0</v>
      </c>
      <c r="J307" s="240">
        <v>0</v>
      </c>
      <c r="K307" s="240">
        <v>0</v>
      </c>
      <c r="L307" s="240">
        <v>0</v>
      </c>
      <c r="M307" s="240">
        <v>0</v>
      </c>
      <c r="N307" s="240">
        <v>0</v>
      </c>
      <c r="O307" s="240">
        <v>0</v>
      </c>
      <c r="P307" s="240">
        <v>0</v>
      </c>
      <c r="Q307" s="240">
        <v>1398</v>
      </c>
      <c r="R307" s="240">
        <v>0</v>
      </c>
      <c r="S307" s="242">
        <f>SUM(E307:Q307)</f>
        <v>1398</v>
      </c>
      <c r="Z307"/>
    </row>
    <row r="308" spans="1:26" x14ac:dyDescent="0.2">
      <c r="A308" s="159">
        <v>615180</v>
      </c>
      <c r="B308" s="160" t="s">
        <v>116</v>
      </c>
      <c r="C308" s="148" t="s">
        <v>80</v>
      </c>
      <c r="D308" s="148" t="s">
        <v>179</v>
      </c>
      <c r="E308" s="240">
        <v>0</v>
      </c>
      <c r="F308" s="240">
        <v>555.92999999999995</v>
      </c>
      <c r="G308" s="240">
        <v>555.92999999999995</v>
      </c>
      <c r="H308" s="240">
        <v>555.92999999999995</v>
      </c>
      <c r="I308" s="240">
        <v>555.92999999999995</v>
      </c>
      <c r="J308" s="240">
        <v>555.92999999999995</v>
      </c>
      <c r="K308" s="240">
        <v>555.92999999999995</v>
      </c>
      <c r="L308" s="240">
        <v>0</v>
      </c>
      <c r="M308" s="240">
        <v>306.67</v>
      </c>
      <c r="N308" s="240">
        <v>306.67</v>
      </c>
      <c r="O308" s="240">
        <v>306.67</v>
      </c>
      <c r="P308" s="240">
        <v>306.67</v>
      </c>
      <c r="Q308" s="240">
        <v>306.67</v>
      </c>
      <c r="R308" s="240">
        <v>0</v>
      </c>
      <c r="S308" s="242">
        <f>SUM(E308:Q308)</f>
        <v>4868.9299999999994</v>
      </c>
      <c r="Z308"/>
    </row>
    <row r="309" spans="1:26" x14ac:dyDescent="0.2">
      <c r="A309" s="270"/>
      <c r="B309" s="235"/>
      <c r="C309" s="148"/>
      <c r="D309" s="148"/>
      <c r="E309" s="240"/>
      <c r="F309" s="240"/>
      <c r="G309" s="240"/>
      <c r="H309" s="240"/>
      <c r="I309" s="240"/>
      <c r="J309" s="240"/>
      <c r="K309" s="240"/>
      <c r="L309" s="240"/>
      <c r="M309" s="240"/>
      <c r="N309" s="240"/>
      <c r="O309" s="240"/>
      <c r="P309" s="240"/>
      <c r="Q309" s="240"/>
      <c r="R309" s="240"/>
      <c r="S309" s="242"/>
      <c r="Z309"/>
    </row>
    <row r="310" spans="1:26" x14ac:dyDescent="0.2">
      <c r="A310" s="159">
        <v>615180</v>
      </c>
      <c r="B310" s="160" t="s">
        <v>116</v>
      </c>
      <c r="C310" s="148" t="s">
        <v>156</v>
      </c>
      <c r="D310" s="148" t="s">
        <v>192</v>
      </c>
      <c r="E310" s="240">
        <v>0</v>
      </c>
      <c r="F310" s="240">
        <v>0</v>
      </c>
      <c r="G310" s="240">
        <v>0</v>
      </c>
      <c r="H310" s="240">
        <v>0</v>
      </c>
      <c r="I310" s="240">
        <v>0</v>
      </c>
      <c r="J310" s="240">
        <v>0</v>
      </c>
      <c r="K310" s="240">
        <v>0</v>
      </c>
      <c r="L310" s="240">
        <v>0</v>
      </c>
      <c r="M310" s="240">
        <v>0</v>
      </c>
      <c r="N310" s="240">
        <v>0</v>
      </c>
      <c r="O310" s="240">
        <v>0</v>
      </c>
      <c r="P310" s="240">
        <v>0</v>
      </c>
      <c r="Q310" s="240">
        <v>0</v>
      </c>
      <c r="R310" s="240">
        <v>0</v>
      </c>
      <c r="S310" s="242">
        <f>SUM(E310:Q310)</f>
        <v>0</v>
      </c>
      <c r="Z310"/>
    </row>
    <row r="311" spans="1:26" x14ac:dyDescent="0.2">
      <c r="A311" s="159">
        <v>615180</v>
      </c>
      <c r="B311" s="160" t="s">
        <v>116</v>
      </c>
      <c r="C311" s="148" t="s">
        <v>156</v>
      </c>
      <c r="D311" s="148" t="s">
        <v>268</v>
      </c>
      <c r="E311" s="240">
        <v>-146.5</v>
      </c>
      <c r="F311" s="240">
        <v>1462.05</v>
      </c>
      <c r="G311" s="240">
        <v>1462.05</v>
      </c>
      <c r="H311" s="240">
        <v>1462.05</v>
      </c>
      <c r="I311" s="240">
        <v>1462.05</v>
      </c>
      <c r="J311" s="240">
        <v>1462.05</v>
      </c>
      <c r="K311" s="240">
        <v>1462.05</v>
      </c>
      <c r="L311" s="240">
        <v>1462.05</v>
      </c>
      <c r="M311" s="240">
        <v>1462.05</v>
      </c>
      <c r="N311" s="240">
        <v>1462.05</v>
      </c>
      <c r="O311" s="240">
        <v>1500</v>
      </c>
      <c r="P311" s="240">
        <v>1500</v>
      </c>
      <c r="Q311" s="240">
        <v>0</v>
      </c>
      <c r="R311" s="240">
        <v>0</v>
      </c>
      <c r="S311" s="242">
        <f>SUM(E311:Q311)</f>
        <v>16011.949999999997</v>
      </c>
      <c r="Z311"/>
    </row>
    <row r="312" spans="1:26" x14ac:dyDescent="0.2">
      <c r="A312" s="159"/>
      <c r="B312" s="160"/>
      <c r="C312" s="148"/>
      <c r="D312" s="148"/>
      <c r="E312" s="240"/>
      <c r="F312" s="240"/>
      <c r="G312" s="240"/>
      <c r="H312" s="240"/>
      <c r="I312" s="240"/>
      <c r="J312" s="240"/>
      <c r="K312" s="240"/>
      <c r="L312" s="240"/>
      <c r="M312" s="240"/>
      <c r="N312" s="240"/>
      <c r="O312" s="240"/>
      <c r="P312" s="240"/>
      <c r="Q312" s="240"/>
      <c r="R312" s="240"/>
      <c r="S312" s="242"/>
      <c r="Z312"/>
    </row>
    <row r="313" spans="1:26" x14ac:dyDescent="0.2">
      <c r="A313" s="159">
        <v>615180</v>
      </c>
      <c r="B313" s="160" t="s">
        <v>116</v>
      </c>
      <c r="C313" s="148" t="s">
        <v>367</v>
      </c>
      <c r="D313" s="148"/>
      <c r="E313" s="240"/>
      <c r="F313" s="240">
        <v>201.71</v>
      </c>
      <c r="G313" s="240">
        <f>-201.71+256.72</f>
        <v>55.010000000000019</v>
      </c>
      <c r="H313" s="240">
        <f>-256.72+339.8</f>
        <v>83.079999999999984</v>
      </c>
      <c r="I313" s="240">
        <f>-339.8+533.21</f>
        <v>193.41000000000003</v>
      </c>
      <c r="J313" s="240">
        <f>-533.21+494.89</f>
        <v>-38.32000000000005</v>
      </c>
      <c r="K313" s="240">
        <f>-494.89+459.57</f>
        <v>-35.319999999999993</v>
      </c>
      <c r="L313" s="240">
        <f>-459.57+535.1</f>
        <v>75.53000000000003</v>
      </c>
      <c r="M313" s="240">
        <f>-535.1-9.66</f>
        <v>-544.76</v>
      </c>
      <c r="N313" s="240">
        <f>9.66+605.14</f>
        <v>614.79999999999995</v>
      </c>
      <c r="O313" s="240">
        <f>-605.14+761.01</f>
        <v>155.87</v>
      </c>
      <c r="P313" s="240">
        <f>-761.01-0.05</f>
        <v>-761.06</v>
      </c>
      <c r="Q313" s="240"/>
      <c r="R313" s="240"/>
      <c r="S313" s="242">
        <f>SUM(E313:Q313)</f>
        <v>-4.9999999999954525E-2</v>
      </c>
      <c r="Z313"/>
    </row>
    <row r="314" spans="1:26" s="185" customFormat="1" ht="24" customHeight="1" x14ac:dyDescent="0.2">
      <c r="A314" s="267"/>
      <c r="B314" s="268"/>
      <c r="C314" s="267" t="s">
        <v>66</v>
      </c>
      <c r="D314" s="267"/>
      <c r="E314" s="269">
        <f>SUM(E296:E313)</f>
        <v>-146.5</v>
      </c>
      <c r="F314" s="269">
        <f t="shared" ref="F314:Q314" si="24">SUM(F296:F313)</f>
        <v>3924.04</v>
      </c>
      <c r="G314" s="269">
        <f t="shared" si="24"/>
        <v>3777.38</v>
      </c>
      <c r="H314" s="269">
        <f t="shared" si="24"/>
        <v>4395.45</v>
      </c>
      <c r="I314" s="269">
        <f t="shared" si="24"/>
        <v>5262.6799999999994</v>
      </c>
      <c r="J314" s="269">
        <f t="shared" si="24"/>
        <v>4274.05</v>
      </c>
      <c r="K314" s="269">
        <f t="shared" si="24"/>
        <v>4277.05</v>
      </c>
      <c r="L314" s="269">
        <f t="shared" si="24"/>
        <v>3831.97</v>
      </c>
      <c r="M314" s="269">
        <f t="shared" si="24"/>
        <v>7224.79</v>
      </c>
      <c r="N314" s="269">
        <f t="shared" si="24"/>
        <v>5036.16</v>
      </c>
      <c r="O314" s="269">
        <f t="shared" si="24"/>
        <v>4256.9299999999994</v>
      </c>
      <c r="P314" s="269">
        <f t="shared" si="24"/>
        <v>3339.9999999999995</v>
      </c>
      <c r="Q314" s="269">
        <f t="shared" si="24"/>
        <v>2639.3900000000003</v>
      </c>
      <c r="R314" s="269">
        <f>SUM(R296:R313)</f>
        <v>0</v>
      </c>
      <c r="S314" s="269">
        <f>SUM(S296:S313)</f>
        <v>52093.389999999992</v>
      </c>
      <c r="T314" s="689" t="str">
        <f>IF(Ctrl($A313)+S313=S314,"Ok","Erreur somme")</f>
        <v>Ok</v>
      </c>
      <c r="U314" s="212">
        <v>50044</v>
      </c>
      <c r="V314" s="334">
        <f>U314-S314</f>
        <v>-2049.3899999999921</v>
      </c>
      <c r="W314" s="185" t="s">
        <v>853</v>
      </c>
      <c r="X314" s="569"/>
      <c r="Z314"/>
    </row>
    <row r="315" spans="1:26" x14ac:dyDescent="0.2">
      <c r="A315" s="159">
        <v>615190</v>
      </c>
      <c r="B315" s="160" t="s">
        <v>117</v>
      </c>
      <c r="C315" s="148" t="s">
        <v>78</v>
      </c>
      <c r="D315" s="148" t="s">
        <v>181</v>
      </c>
      <c r="E315" s="240">
        <v>0</v>
      </c>
      <c r="F315" s="240">
        <v>0</v>
      </c>
      <c r="G315" s="240">
        <v>0</v>
      </c>
      <c r="H315" s="240">
        <v>0</v>
      </c>
      <c r="I315" s="240">
        <v>2980.06</v>
      </c>
      <c r="J315" s="240">
        <v>0</v>
      </c>
      <c r="K315" s="240">
        <v>-1254</v>
      </c>
      <c r="L315" s="240">
        <v>0</v>
      </c>
      <c r="M315" s="240">
        <v>0</v>
      </c>
      <c r="N315" s="240">
        <v>0</v>
      </c>
      <c r="O315" s="240">
        <v>112.6</v>
      </c>
      <c r="P315" s="240">
        <v>0</v>
      </c>
      <c r="Q315" s="240">
        <v>443.3</v>
      </c>
      <c r="R315" s="240">
        <v>0</v>
      </c>
      <c r="S315" s="245">
        <f t="shared" ref="S315:S320" si="25">SUM(E315:Q315)</f>
        <v>2281.96</v>
      </c>
      <c r="Z315"/>
    </row>
    <row r="316" spans="1:26" x14ac:dyDescent="0.2">
      <c r="A316" s="159">
        <v>615190</v>
      </c>
      <c r="B316" s="160" t="s">
        <v>117</v>
      </c>
      <c r="C316" s="148" t="s">
        <v>78</v>
      </c>
      <c r="D316" s="148" t="s">
        <v>199</v>
      </c>
      <c r="E316" s="240">
        <v>0</v>
      </c>
      <c r="F316" s="240">
        <v>0</v>
      </c>
      <c r="G316" s="240">
        <v>0</v>
      </c>
      <c r="H316" s="240">
        <v>1228.8800000000001</v>
      </c>
      <c r="I316" s="240">
        <v>0</v>
      </c>
      <c r="J316" s="240">
        <v>0</v>
      </c>
      <c r="K316" s="240">
        <v>0</v>
      </c>
      <c r="L316" s="240">
        <v>0</v>
      </c>
      <c r="M316" s="240">
        <v>0</v>
      </c>
      <c r="N316" s="240">
        <v>0</v>
      </c>
      <c r="O316" s="240">
        <v>0</v>
      </c>
      <c r="P316" s="240">
        <v>0</v>
      </c>
      <c r="Q316" s="240">
        <v>0</v>
      </c>
      <c r="R316" s="240">
        <v>0</v>
      </c>
      <c r="S316" s="245">
        <f t="shared" si="25"/>
        <v>1228.8800000000001</v>
      </c>
      <c r="Z316"/>
    </row>
    <row r="317" spans="1:26" x14ac:dyDescent="0.2">
      <c r="A317" s="159">
        <v>615190</v>
      </c>
      <c r="B317" s="160" t="s">
        <v>117</v>
      </c>
      <c r="C317" s="148" t="s">
        <v>78</v>
      </c>
      <c r="D317" s="148" t="s">
        <v>192</v>
      </c>
      <c r="E317" s="240">
        <v>0</v>
      </c>
      <c r="F317" s="240">
        <v>0</v>
      </c>
      <c r="G317" s="240">
        <v>0</v>
      </c>
      <c r="H317" s="240">
        <v>0</v>
      </c>
      <c r="I317" s="240">
        <v>0</v>
      </c>
      <c r="J317" s="240">
        <v>0</v>
      </c>
      <c r="K317" s="240">
        <v>1411</v>
      </c>
      <c r="L317" s="240">
        <v>0</v>
      </c>
      <c r="M317" s="240">
        <v>0</v>
      </c>
      <c r="N317" s="240">
        <v>0</v>
      </c>
      <c r="O317" s="240">
        <v>0</v>
      </c>
      <c r="P317" s="240">
        <v>0</v>
      </c>
      <c r="Q317" s="240">
        <v>0</v>
      </c>
      <c r="R317" s="240">
        <v>0</v>
      </c>
      <c r="S317" s="245">
        <f t="shared" si="25"/>
        <v>1411</v>
      </c>
      <c r="Z317"/>
    </row>
    <row r="318" spans="1:26" x14ac:dyDescent="0.2">
      <c r="A318" s="159">
        <v>615190</v>
      </c>
      <c r="B318" s="160" t="s">
        <v>117</v>
      </c>
      <c r="C318" s="148" t="s">
        <v>78</v>
      </c>
      <c r="D318" s="148" t="s">
        <v>198</v>
      </c>
      <c r="E318" s="240">
        <v>0</v>
      </c>
      <c r="F318" s="240">
        <v>0</v>
      </c>
      <c r="G318" s="240">
        <v>0</v>
      </c>
      <c r="H318" s="240">
        <v>0</v>
      </c>
      <c r="I318" s="240">
        <v>0</v>
      </c>
      <c r="J318" s="240">
        <v>0</v>
      </c>
      <c r="K318" s="240">
        <v>0</v>
      </c>
      <c r="L318" s="240">
        <v>0</v>
      </c>
      <c r="M318" s="240">
        <v>0</v>
      </c>
      <c r="N318" s="240">
        <v>0</v>
      </c>
      <c r="O318" s="240">
        <v>0</v>
      </c>
      <c r="P318" s="240">
        <v>0</v>
      </c>
      <c r="Q318" s="240">
        <v>0</v>
      </c>
      <c r="R318" s="240">
        <v>0</v>
      </c>
      <c r="S318" s="245">
        <f t="shared" si="25"/>
        <v>0</v>
      </c>
      <c r="Z318"/>
    </row>
    <row r="319" spans="1:26" x14ac:dyDescent="0.2">
      <c r="A319" s="159">
        <v>615190</v>
      </c>
      <c r="B319" s="160" t="s">
        <v>117</v>
      </c>
      <c r="C319" s="148" t="s">
        <v>78</v>
      </c>
      <c r="D319" s="148" t="s">
        <v>208</v>
      </c>
      <c r="E319" s="240">
        <v>-1800</v>
      </c>
      <c r="F319" s="240">
        <v>918.41000000000008</v>
      </c>
      <c r="G319" s="240">
        <v>918.41000000000008</v>
      </c>
      <c r="H319" s="240">
        <v>918.41000000000008</v>
      </c>
      <c r="I319" s="240">
        <v>918.41000000000008</v>
      </c>
      <c r="J319" s="240">
        <v>918.41000000000008</v>
      </c>
      <c r="K319" s="240">
        <v>918.41000000000008</v>
      </c>
      <c r="L319" s="240">
        <v>-341.58999999999992</v>
      </c>
      <c r="M319" s="240">
        <v>738.41000000000008</v>
      </c>
      <c r="N319" s="240">
        <v>738.40000000000009</v>
      </c>
      <c r="O319" s="240">
        <v>740.57</v>
      </c>
      <c r="P319" s="240">
        <v>740.49</v>
      </c>
      <c r="Q319" s="240">
        <v>749.2</v>
      </c>
      <c r="R319" s="240">
        <v>0</v>
      </c>
      <c r="S319" s="245">
        <f t="shared" si="25"/>
        <v>7075.94</v>
      </c>
      <c r="U319" s="273"/>
      <c r="Z319"/>
    </row>
    <row r="320" spans="1:26" x14ac:dyDescent="0.2">
      <c r="A320" s="159">
        <v>615190</v>
      </c>
      <c r="B320" s="160" t="s">
        <v>117</v>
      </c>
      <c r="C320" s="148" t="s">
        <v>78</v>
      </c>
      <c r="D320" s="148" t="s">
        <v>197</v>
      </c>
      <c r="E320" s="240">
        <v>0</v>
      </c>
      <c r="F320" s="240">
        <v>0</v>
      </c>
      <c r="G320" s="240">
        <v>0</v>
      </c>
      <c r="H320" s="240">
        <v>0</v>
      </c>
      <c r="I320" s="240">
        <v>0</v>
      </c>
      <c r="J320" s="240">
        <v>0</v>
      </c>
      <c r="K320" s="240">
        <v>298.5</v>
      </c>
      <c r="L320" s="240">
        <v>0</v>
      </c>
      <c r="M320" s="240">
        <v>0</v>
      </c>
      <c r="N320" s="240">
        <v>0</v>
      </c>
      <c r="O320" s="240">
        <v>0</v>
      </c>
      <c r="P320" s="240">
        <v>0</v>
      </c>
      <c r="Q320" s="240">
        <v>0</v>
      </c>
      <c r="R320" s="240">
        <v>0</v>
      </c>
      <c r="S320" s="245">
        <f t="shared" si="25"/>
        <v>298.5</v>
      </c>
      <c r="U320" s="273"/>
      <c r="Z320"/>
    </row>
    <row r="321" spans="1:26" ht="14.25" customHeight="1" x14ac:dyDescent="0.2">
      <c r="A321" s="270"/>
      <c r="B321" s="235"/>
      <c r="C321" s="148"/>
      <c r="D321" s="272"/>
      <c r="E321" s="240"/>
      <c r="F321" s="240"/>
      <c r="G321" s="240"/>
      <c r="H321" s="240"/>
      <c r="I321" s="240"/>
      <c r="J321" s="240"/>
      <c r="K321" s="240"/>
      <c r="L321" s="240"/>
      <c r="M321" s="240"/>
      <c r="N321" s="240"/>
      <c r="O321" s="240"/>
      <c r="P321" s="240"/>
      <c r="Q321" s="240"/>
      <c r="R321" s="240"/>
      <c r="S321" s="245"/>
      <c r="Z321"/>
    </row>
    <row r="322" spans="1:26" x14ac:dyDescent="0.2">
      <c r="A322" s="159">
        <v>615190</v>
      </c>
      <c r="B322" s="160" t="s">
        <v>117</v>
      </c>
      <c r="C322" s="148" t="s">
        <v>71</v>
      </c>
      <c r="D322" s="148" t="s">
        <v>181</v>
      </c>
      <c r="E322" s="240">
        <v>0</v>
      </c>
      <c r="F322" s="240">
        <v>0</v>
      </c>
      <c r="G322" s="240">
        <v>0</v>
      </c>
      <c r="H322" s="240">
        <v>322.88</v>
      </c>
      <c r="I322" s="240">
        <v>0</v>
      </c>
      <c r="J322" s="240">
        <v>0</v>
      </c>
      <c r="K322" s="240">
        <v>0</v>
      </c>
      <c r="L322" s="240">
        <v>0</v>
      </c>
      <c r="M322" s="240">
        <v>0</v>
      </c>
      <c r="N322" s="240">
        <v>0</v>
      </c>
      <c r="O322" s="240">
        <v>0</v>
      </c>
      <c r="P322" s="240">
        <v>0</v>
      </c>
      <c r="Q322" s="240">
        <v>0</v>
      </c>
      <c r="R322" s="240">
        <v>0</v>
      </c>
      <c r="S322" s="245">
        <f t="shared" ref="S322:S331" si="26">SUM(E322:Q322)</f>
        <v>322.88</v>
      </c>
      <c r="Z322"/>
    </row>
    <row r="323" spans="1:26" x14ac:dyDescent="0.2">
      <c r="A323" s="159">
        <v>615190</v>
      </c>
      <c r="B323" s="160" t="s">
        <v>117</v>
      </c>
      <c r="C323" s="148" t="s">
        <v>71</v>
      </c>
      <c r="D323" s="148" t="s">
        <v>199</v>
      </c>
      <c r="E323" s="240">
        <v>0</v>
      </c>
      <c r="F323" s="240">
        <v>0</v>
      </c>
      <c r="G323" s="240">
        <v>0</v>
      </c>
      <c r="H323" s="240">
        <v>0</v>
      </c>
      <c r="I323" s="240">
        <v>0</v>
      </c>
      <c r="J323" s="240">
        <v>0</v>
      </c>
      <c r="K323" s="240">
        <v>0</v>
      </c>
      <c r="L323" s="240">
        <v>0</v>
      </c>
      <c r="M323" s="240">
        <v>0</v>
      </c>
      <c r="N323" s="240">
        <v>0</v>
      </c>
      <c r="O323" s="240">
        <v>0</v>
      </c>
      <c r="P323" s="240">
        <v>292.91000000000003</v>
      </c>
      <c r="Q323" s="240">
        <v>0</v>
      </c>
      <c r="R323" s="240">
        <v>0</v>
      </c>
      <c r="S323" s="245">
        <f t="shared" si="26"/>
        <v>292.91000000000003</v>
      </c>
      <c r="Z323"/>
    </row>
    <row r="324" spans="1:26" x14ac:dyDescent="0.2">
      <c r="A324" s="159">
        <v>615190</v>
      </c>
      <c r="B324" s="160" t="s">
        <v>117</v>
      </c>
      <c r="C324" s="148" t="s">
        <v>71</v>
      </c>
      <c r="D324" s="148" t="s">
        <v>185</v>
      </c>
      <c r="E324" s="240">
        <v>0</v>
      </c>
      <c r="F324" s="240">
        <v>0</v>
      </c>
      <c r="G324" s="240">
        <v>0</v>
      </c>
      <c r="H324" s="240">
        <v>0</v>
      </c>
      <c r="I324" s="240">
        <v>0</v>
      </c>
      <c r="J324" s="240">
        <v>0</v>
      </c>
      <c r="K324" s="240">
        <v>0</v>
      </c>
      <c r="L324" s="240">
        <v>0</v>
      </c>
      <c r="M324" s="240">
        <v>0</v>
      </c>
      <c r="N324" s="240">
        <v>0</v>
      </c>
      <c r="O324" s="240">
        <v>0</v>
      </c>
      <c r="P324" s="240">
        <v>0</v>
      </c>
      <c r="Q324" s="240">
        <v>0</v>
      </c>
      <c r="R324" s="240">
        <v>0</v>
      </c>
      <c r="S324" s="245">
        <f t="shared" si="26"/>
        <v>0</v>
      </c>
      <c r="Z324"/>
    </row>
    <row r="325" spans="1:26" x14ac:dyDescent="0.2">
      <c r="A325" s="159">
        <v>615190</v>
      </c>
      <c r="B325" s="160" t="s">
        <v>117</v>
      </c>
      <c r="C325" s="148" t="s">
        <v>71</v>
      </c>
      <c r="D325" s="148" t="s">
        <v>200</v>
      </c>
      <c r="E325" s="240">
        <v>0</v>
      </c>
      <c r="F325" s="240">
        <v>0</v>
      </c>
      <c r="G325" s="240">
        <v>399</v>
      </c>
      <c r="H325" s="240">
        <v>0</v>
      </c>
      <c r="I325" s="240">
        <v>0</v>
      </c>
      <c r="J325" s="240">
        <v>0</v>
      </c>
      <c r="K325" s="240">
        <v>0</v>
      </c>
      <c r="L325" s="240">
        <v>0</v>
      </c>
      <c r="M325" s="240">
        <v>0</v>
      </c>
      <c r="N325" s="240">
        <v>0</v>
      </c>
      <c r="O325" s="240">
        <v>0</v>
      </c>
      <c r="P325" s="240">
        <v>0</v>
      </c>
      <c r="Q325" s="240">
        <v>0</v>
      </c>
      <c r="R325" s="240">
        <v>0</v>
      </c>
      <c r="S325" s="245">
        <f t="shared" si="26"/>
        <v>399</v>
      </c>
      <c r="Z325"/>
    </row>
    <row r="326" spans="1:26" x14ac:dyDescent="0.2">
      <c r="A326" s="159">
        <v>615190</v>
      </c>
      <c r="B326" s="160" t="s">
        <v>117</v>
      </c>
      <c r="C326" s="148" t="s">
        <v>71</v>
      </c>
      <c r="D326" s="148" t="s">
        <v>192</v>
      </c>
      <c r="E326" s="240">
        <v>-590.4</v>
      </c>
      <c r="F326" s="240">
        <v>482.09</v>
      </c>
      <c r="G326" s="240">
        <v>482.09</v>
      </c>
      <c r="H326" s="240">
        <v>482.1</v>
      </c>
      <c r="I326" s="240">
        <v>-972.9</v>
      </c>
      <c r="J326" s="240">
        <v>0</v>
      </c>
      <c r="K326" s="240">
        <v>0</v>
      </c>
      <c r="L326" s="240">
        <v>0</v>
      </c>
      <c r="M326" s="240">
        <v>0</v>
      </c>
      <c r="N326" s="240">
        <v>1691.33</v>
      </c>
      <c r="O326" s="240">
        <v>1078</v>
      </c>
      <c r="P326" s="240">
        <v>26.45</v>
      </c>
      <c r="Q326" s="240">
        <v>0</v>
      </c>
      <c r="R326" s="240">
        <v>0</v>
      </c>
      <c r="S326" s="245">
        <f t="shared" si="26"/>
        <v>2678.7599999999998</v>
      </c>
      <c r="Z326"/>
    </row>
    <row r="327" spans="1:26" x14ac:dyDescent="0.2">
      <c r="A327" s="159">
        <v>615190</v>
      </c>
      <c r="B327" s="160" t="s">
        <v>117</v>
      </c>
      <c r="C327" s="148" t="s">
        <v>71</v>
      </c>
      <c r="D327" s="148" t="s">
        <v>196</v>
      </c>
      <c r="E327" s="240">
        <v>0</v>
      </c>
      <c r="F327" s="240">
        <v>168.75</v>
      </c>
      <c r="G327" s="240">
        <v>311.75</v>
      </c>
      <c r="H327" s="240">
        <v>168.75</v>
      </c>
      <c r="I327" s="240">
        <v>168.75</v>
      </c>
      <c r="J327" s="240">
        <v>168.75</v>
      </c>
      <c r="K327" s="240">
        <v>168.75</v>
      </c>
      <c r="L327" s="240">
        <v>168.75</v>
      </c>
      <c r="M327" s="240">
        <v>168.75</v>
      </c>
      <c r="N327" s="240">
        <v>168.75</v>
      </c>
      <c r="O327" s="240">
        <v>168.75</v>
      </c>
      <c r="P327" s="240">
        <v>168.75</v>
      </c>
      <c r="Q327" s="240">
        <v>168.75</v>
      </c>
      <c r="R327" s="240">
        <v>0</v>
      </c>
      <c r="S327" s="245">
        <f t="shared" si="26"/>
        <v>2168</v>
      </c>
      <c r="Z327"/>
    </row>
    <row r="328" spans="1:26" x14ac:dyDescent="0.2">
      <c r="A328" s="159">
        <v>615190</v>
      </c>
      <c r="B328" s="160" t="s">
        <v>117</v>
      </c>
      <c r="C328" s="148" t="s">
        <v>71</v>
      </c>
      <c r="D328" s="148" t="s">
        <v>198</v>
      </c>
      <c r="E328" s="240">
        <v>0</v>
      </c>
      <c r="F328" s="240">
        <v>0</v>
      </c>
      <c r="G328" s="240">
        <v>538.16</v>
      </c>
      <c r="H328" s="240">
        <v>0</v>
      </c>
      <c r="I328" s="240">
        <v>0</v>
      </c>
      <c r="J328" s="240">
        <v>0</v>
      </c>
      <c r="K328" s="240">
        <v>0</v>
      </c>
      <c r="L328" s="240">
        <v>0</v>
      </c>
      <c r="M328" s="240">
        <v>0</v>
      </c>
      <c r="N328" s="240">
        <v>0</v>
      </c>
      <c r="O328" s="240">
        <v>0</v>
      </c>
      <c r="P328" s="240">
        <v>0</v>
      </c>
      <c r="Q328" s="240">
        <v>0</v>
      </c>
      <c r="R328" s="240">
        <v>0</v>
      </c>
      <c r="S328" s="245">
        <f>SUM(E328:Q328)</f>
        <v>538.16</v>
      </c>
      <c r="Z328"/>
    </row>
    <row r="329" spans="1:26" x14ac:dyDescent="0.2">
      <c r="A329" s="159">
        <v>615190</v>
      </c>
      <c r="B329" s="160" t="s">
        <v>117</v>
      </c>
      <c r="C329" s="148" t="s">
        <v>71</v>
      </c>
      <c r="D329" s="148" t="s">
        <v>184</v>
      </c>
      <c r="E329" s="240">
        <v>0</v>
      </c>
      <c r="F329" s="240">
        <v>0</v>
      </c>
      <c r="G329" s="240">
        <v>0</v>
      </c>
      <c r="H329" s="240">
        <v>0</v>
      </c>
      <c r="I329" s="240">
        <v>0</v>
      </c>
      <c r="J329" s="240">
        <v>0</v>
      </c>
      <c r="K329" s="240">
        <v>0</v>
      </c>
      <c r="L329" s="240">
        <v>0</v>
      </c>
      <c r="M329" s="240">
        <v>0</v>
      </c>
      <c r="N329" s="240">
        <v>0</v>
      </c>
      <c r="O329" s="240">
        <v>0</v>
      </c>
      <c r="P329" s="240">
        <v>0</v>
      </c>
      <c r="Q329" s="240">
        <v>0</v>
      </c>
      <c r="R329" s="240">
        <v>0</v>
      </c>
      <c r="S329" s="245">
        <f t="shared" si="26"/>
        <v>0</v>
      </c>
      <c r="Z329"/>
    </row>
    <row r="330" spans="1:26" x14ac:dyDescent="0.2">
      <c r="A330" s="159">
        <v>615190</v>
      </c>
      <c r="B330" s="160" t="s">
        <v>117</v>
      </c>
      <c r="C330" s="148" t="s">
        <v>71</v>
      </c>
      <c r="D330" s="148" t="s">
        <v>197</v>
      </c>
      <c r="E330" s="240">
        <v>0</v>
      </c>
      <c r="F330" s="240">
        <v>1411.98</v>
      </c>
      <c r="G330" s="240">
        <v>1411.98</v>
      </c>
      <c r="H330" s="240">
        <v>1411.98</v>
      </c>
      <c r="I330" s="240">
        <v>1411.98</v>
      </c>
      <c r="J330" s="240">
        <v>1411.98</v>
      </c>
      <c r="K330" s="240">
        <v>1411.98</v>
      </c>
      <c r="L330" s="240">
        <v>1411.98</v>
      </c>
      <c r="M330" s="240">
        <v>1411.98</v>
      </c>
      <c r="N330" s="240">
        <v>1411.98</v>
      </c>
      <c r="O330" s="240">
        <v>1411.98</v>
      </c>
      <c r="P330" s="240">
        <v>1411.98</v>
      </c>
      <c r="Q330" s="240">
        <v>1411.98</v>
      </c>
      <c r="R330" s="240">
        <v>0</v>
      </c>
      <c r="S330" s="245">
        <f t="shared" si="26"/>
        <v>16943.759999999998</v>
      </c>
      <c r="Z330"/>
    </row>
    <row r="331" spans="1:26" x14ac:dyDescent="0.2">
      <c r="A331" s="159">
        <v>615190</v>
      </c>
      <c r="B331" s="160" t="s">
        <v>117</v>
      </c>
      <c r="C331" s="148" t="s">
        <v>71</v>
      </c>
      <c r="D331" s="148" t="s">
        <v>179</v>
      </c>
      <c r="E331" s="240">
        <v>0</v>
      </c>
      <c r="F331" s="240">
        <v>0</v>
      </c>
      <c r="G331" s="240">
        <v>0</v>
      </c>
      <c r="H331" s="240">
        <v>0</v>
      </c>
      <c r="I331" s="240">
        <v>0</v>
      </c>
      <c r="J331" s="240">
        <v>0</v>
      </c>
      <c r="K331" s="240">
        <v>0</v>
      </c>
      <c r="L331" s="240">
        <v>0</v>
      </c>
      <c r="M331" s="240">
        <v>0</v>
      </c>
      <c r="N331" s="240">
        <v>0</v>
      </c>
      <c r="O331" s="240">
        <v>0</v>
      </c>
      <c r="P331" s="240">
        <v>0</v>
      </c>
      <c r="Q331" s="240">
        <v>0</v>
      </c>
      <c r="R331" s="240">
        <v>0</v>
      </c>
      <c r="S331" s="245">
        <f t="shared" si="26"/>
        <v>0</v>
      </c>
      <c r="Z331"/>
    </row>
    <row r="332" spans="1:26" x14ac:dyDescent="0.2">
      <c r="A332" s="270"/>
      <c r="B332" s="235"/>
      <c r="C332" s="148"/>
      <c r="D332" s="272"/>
      <c r="E332" s="240"/>
      <c r="F332" s="240"/>
      <c r="G332" s="240"/>
      <c r="H332" s="240"/>
      <c r="I332" s="240"/>
      <c r="J332" s="240"/>
      <c r="K332" s="240"/>
      <c r="L332" s="240"/>
      <c r="M332" s="240"/>
      <c r="N332" s="240"/>
      <c r="O332" s="240"/>
      <c r="P332" s="240"/>
      <c r="Q332" s="240"/>
      <c r="R332" s="240"/>
      <c r="S332" s="245"/>
      <c r="Z332"/>
    </row>
    <row r="333" spans="1:26" x14ac:dyDescent="0.2">
      <c r="A333" s="159">
        <v>615190</v>
      </c>
      <c r="B333" s="160" t="s">
        <v>117</v>
      </c>
      <c r="C333" s="148" t="s">
        <v>73</v>
      </c>
      <c r="D333" s="148" t="s">
        <v>199</v>
      </c>
      <c r="E333" s="240">
        <v>0</v>
      </c>
      <c r="F333" s="240">
        <v>0</v>
      </c>
      <c r="G333" s="240">
        <v>0</v>
      </c>
      <c r="H333" s="240">
        <v>0</v>
      </c>
      <c r="I333" s="240">
        <v>0</v>
      </c>
      <c r="J333" s="240">
        <v>0</v>
      </c>
      <c r="K333" s="240">
        <v>0</v>
      </c>
      <c r="L333" s="240">
        <v>0</v>
      </c>
      <c r="M333" s="240">
        <v>0</v>
      </c>
      <c r="N333" s="240">
        <v>0</v>
      </c>
      <c r="O333" s="240">
        <v>0</v>
      </c>
      <c r="P333" s="240">
        <v>0</v>
      </c>
      <c r="Q333" s="240">
        <v>0</v>
      </c>
      <c r="R333" s="240">
        <v>0</v>
      </c>
      <c r="S333" s="245">
        <f>SUM(E333:Q333)</f>
        <v>0</v>
      </c>
      <c r="Z333"/>
    </row>
    <row r="334" spans="1:26" x14ac:dyDescent="0.2">
      <c r="A334" s="159">
        <v>615190</v>
      </c>
      <c r="B334" s="160" t="s">
        <v>117</v>
      </c>
      <c r="C334" s="148" t="s">
        <v>73</v>
      </c>
      <c r="D334" s="148" t="s">
        <v>200</v>
      </c>
      <c r="E334" s="240">
        <v>0</v>
      </c>
      <c r="F334" s="240">
        <v>0</v>
      </c>
      <c r="G334" s="240">
        <v>0</v>
      </c>
      <c r="H334" s="240">
        <v>0</v>
      </c>
      <c r="I334" s="240">
        <v>0</v>
      </c>
      <c r="J334" s="240">
        <v>0</v>
      </c>
      <c r="K334" s="240">
        <v>0</v>
      </c>
      <c r="L334" s="240">
        <v>0</v>
      </c>
      <c r="M334" s="240">
        <v>0</v>
      </c>
      <c r="N334" s="240">
        <v>0</v>
      </c>
      <c r="O334" s="240">
        <v>0</v>
      </c>
      <c r="P334" s="240">
        <v>0</v>
      </c>
      <c r="Q334" s="240">
        <v>0</v>
      </c>
      <c r="R334" s="240">
        <v>0</v>
      </c>
      <c r="S334" s="245">
        <f>SUM(E334:Q334)</f>
        <v>0</v>
      </c>
      <c r="Z334"/>
    </row>
    <row r="335" spans="1:26" x14ac:dyDescent="0.2">
      <c r="A335" s="159">
        <v>615190</v>
      </c>
      <c r="B335" s="160" t="s">
        <v>117</v>
      </c>
      <c r="C335" s="148" t="s">
        <v>73</v>
      </c>
      <c r="D335" s="148" t="s">
        <v>181</v>
      </c>
      <c r="E335" s="240">
        <v>0</v>
      </c>
      <c r="F335" s="240">
        <v>0</v>
      </c>
      <c r="G335" s="240">
        <v>0</v>
      </c>
      <c r="H335" s="240">
        <v>0</v>
      </c>
      <c r="I335" s="240">
        <v>0</v>
      </c>
      <c r="J335" s="240">
        <v>0</v>
      </c>
      <c r="K335" s="240">
        <v>1028.58</v>
      </c>
      <c r="L335" s="240">
        <v>0</v>
      </c>
      <c r="M335" s="240">
        <v>0</v>
      </c>
      <c r="N335" s="240">
        <v>0</v>
      </c>
      <c r="O335" s="240">
        <v>0</v>
      </c>
      <c r="P335" s="240">
        <v>0</v>
      </c>
      <c r="Q335" s="240">
        <v>0</v>
      </c>
      <c r="R335" s="240">
        <v>0</v>
      </c>
      <c r="S335" s="245">
        <f>SUM(E335:Q335)</f>
        <v>1028.58</v>
      </c>
      <c r="Z335"/>
    </row>
    <row r="336" spans="1:26" x14ac:dyDescent="0.2">
      <c r="A336" s="159">
        <v>615190</v>
      </c>
      <c r="B336" s="160" t="s">
        <v>117</v>
      </c>
      <c r="C336" s="148" t="s">
        <v>73</v>
      </c>
      <c r="D336" s="148" t="s">
        <v>192</v>
      </c>
      <c r="E336" s="240">
        <v>-385.25</v>
      </c>
      <c r="F336" s="240">
        <v>2610</v>
      </c>
      <c r="G336" s="240">
        <v>0</v>
      </c>
      <c r="H336" s="240">
        <v>460</v>
      </c>
      <c r="I336" s="240">
        <v>1258.5</v>
      </c>
      <c r="J336" s="240">
        <v>0</v>
      </c>
      <c r="K336" s="240">
        <v>597</v>
      </c>
      <c r="L336" s="240">
        <v>0</v>
      </c>
      <c r="M336" s="240">
        <v>0</v>
      </c>
      <c r="N336" s="240">
        <v>920</v>
      </c>
      <c r="O336" s="240">
        <v>380</v>
      </c>
      <c r="P336" s="240">
        <v>1219.6099999999999</v>
      </c>
      <c r="Q336" s="240">
        <v>0</v>
      </c>
      <c r="R336" s="240">
        <v>0</v>
      </c>
      <c r="S336" s="245">
        <f>SUM(E336:Q336)</f>
        <v>7059.86</v>
      </c>
      <c r="Z336"/>
    </row>
    <row r="337" spans="1:26" x14ac:dyDescent="0.2">
      <c r="A337" s="159">
        <v>615190</v>
      </c>
      <c r="B337" s="160" t="s">
        <v>117</v>
      </c>
      <c r="C337" s="148" t="s">
        <v>73</v>
      </c>
      <c r="D337" s="148" t="s">
        <v>185</v>
      </c>
      <c r="E337" s="240">
        <v>0</v>
      </c>
      <c r="F337" s="240">
        <v>0</v>
      </c>
      <c r="G337" s="240">
        <v>0</v>
      </c>
      <c r="H337" s="240">
        <v>0</v>
      </c>
      <c r="I337" s="240">
        <v>0</v>
      </c>
      <c r="J337" s="240">
        <v>0</v>
      </c>
      <c r="K337" s="240">
        <v>0</v>
      </c>
      <c r="L337" s="240">
        <v>0</v>
      </c>
      <c r="M337" s="240">
        <v>0</v>
      </c>
      <c r="N337" s="240">
        <v>0</v>
      </c>
      <c r="O337" s="240">
        <v>0</v>
      </c>
      <c r="P337" s="240">
        <v>0</v>
      </c>
      <c r="Q337" s="240">
        <v>0</v>
      </c>
      <c r="R337" s="240">
        <v>0</v>
      </c>
      <c r="S337" s="245">
        <f>LYON!V84</f>
        <v>0</v>
      </c>
      <c r="Z337"/>
    </row>
    <row r="338" spans="1:26" x14ac:dyDescent="0.2">
      <c r="A338" s="159">
        <v>615190</v>
      </c>
      <c r="B338" s="160" t="s">
        <v>117</v>
      </c>
      <c r="C338" s="148" t="s">
        <v>73</v>
      </c>
      <c r="D338" s="148" t="s">
        <v>196</v>
      </c>
      <c r="E338" s="240">
        <v>0</v>
      </c>
      <c r="F338" s="240">
        <v>111.84</v>
      </c>
      <c r="G338" s="240">
        <v>111.84</v>
      </c>
      <c r="H338" s="240">
        <v>111.84</v>
      </c>
      <c r="I338" s="240">
        <v>111.84</v>
      </c>
      <c r="J338" s="240">
        <v>111.84</v>
      </c>
      <c r="K338" s="240">
        <v>111.84</v>
      </c>
      <c r="L338" s="240">
        <v>111.84</v>
      </c>
      <c r="M338" s="240">
        <v>111.84</v>
      </c>
      <c r="N338" s="240">
        <v>111.84</v>
      </c>
      <c r="O338" s="240">
        <v>111.84</v>
      </c>
      <c r="P338" s="240">
        <v>111.73</v>
      </c>
      <c r="Q338" s="240">
        <v>0</v>
      </c>
      <c r="R338" s="240">
        <v>0</v>
      </c>
      <c r="S338" s="245">
        <f>SUM(E338:Q338)</f>
        <v>1230.1300000000001</v>
      </c>
      <c r="Z338"/>
    </row>
    <row r="339" spans="1:26" x14ac:dyDescent="0.2">
      <c r="A339" s="159">
        <v>615190</v>
      </c>
      <c r="B339" s="160" t="s">
        <v>117</v>
      </c>
      <c r="C339" s="148" t="s">
        <v>73</v>
      </c>
      <c r="D339" s="148" t="s">
        <v>184</v>
      </c>
      <c r="E339" s="240">
        <v>0</v>
      </c>
      <c r="F339" s="240">
        <v>0</v>
      </c>
      <c r="G339" s="240">
        <v>0</v>
      </c>
      <c r="H339" s="240">
        <v>0</v>
      </c>
      <c r="I339" s="240">
        <v>0</v>
      </c>
      <c r="J339" s="240">
        <v>0</v>
      </c>
      <c r="K339" s="240">
        <v>0</v>
      </c>
      <c r="L339" s="240">
        <v>0</v>
      </c>
      <c r="M339" s="240">
        <v>0</v>
      </c>
      <c r="N339" s="240">
        <v>0</v>
      </c>
      <c r="O339" s="240">
        <v>0</v>
      </c>
      <c r="P339" s="240">
        <v>0</v>
      </c>
      <c r="Q339" s="240">
        <v>0</v>
      </c>
      <c r="R339" s="240">
        <v>0</v>
      </c>
      <c r="S339" s="245">
        <f>SUM(E339:Q339)</f>
        <v>0</v>
      </c>
      <c r="Z339"/>
    </row>
    <row r="340" spans="1:26" x14ac:dyDescent="0.2">
      <c r="A340" s="159">
        <v>615190</v>
      </c>
      <c r="B340" s="160" t="s">
        <v>117</v>
      </c>
      <c r="C340" s="148" t="s">
        <v>73</v>
      </c>
      <c r="D340" s="148" t="s">
        <v>198</v>
      </c>
      <c r="E340" s="240">
        <v>0</v>
      </c>
      <c r="F340" s="240">
        <v>0</v>
      </c>
      <c r="G340" s="240">
        <v>0</v>
      </c>
      <c r="H340" s="240">
        <v>0</v>
      </c>
      <c r="I340" s="240">
        <v>0</v>
      </c>
      <c r="J340" s="240">
        <v>0</v>
      </c>
      <c r="K340" s="240">
        <v>0</v>
      </c>
      <c r="L340" s="240">
        <v>0</v>
      </c>
      <c r="M340" s="240">
        <v>0</v>
      </c>
      <c r="N340" s="240">
        <v>0</v>
      </c>
      <c r="O340" s="240">
        <v>0</v>
      </c>
      <c r="P340" s="240">
        <v>0</v>
      </c>
      <c r="Q340" s="240">
        <v>0</v>
      </c>
      <c r="R340" s="240">
        <v>0</v>
      </c>
      <c r="S340" s="245">
        <f>SUM(E340:Q340)</f>
        <v>0</v>
      </c>
      <c r="Z340"/>
    </row>
    <row r="341" spans="1:26" x14ac:dyDescent="0.2">
      <c r="A341" s="159">
        <v>615190</v>
      </c>
      <c r="B341" s="160" t="s">
        <v>117</v>
      </c>
      <c r="C341" s="148" t="s">
        <v>73</v>
      </c>
      <c r="D341" s="148" t="s">
        <v>197</v>
      </c>
      <c r="E341" s="240">
        <v>0</v>
      </c>
      <c r="F341" s="240">
        <v>1460.8</v>
      </c>
      <c r="G341" s="240">
        <v>1460.8</v>
      </c>
      <c r="H341" s="240">
        <v>1460.78</v>
      </c>
      <c r="I341" s="240">
        <v>1460.78</v>
      </c>
      <c r="J341" s="240">
        <v>1460.78</v>
      </c>
      <c r="K341" s="240">
        <v>1460.78</v>
      </c>
      <c r="L341" s="240">
        <v>1460.78</v>
      </c>
      <c r="M341" s="240">
        <v>1460.78</v>
      </c>
      <c r="N341" s="240">
        <v>1460.78</v>
      </c>
      <c r="O341" s="240">
        <v>1460.78</v>
      </c>
      <c r="P341" s="240">
        <v>1460.78</v>
      </c>
      <c r="Q341" s="240">
        <v>1460.78</v>
      </c>
      <c r="R341" s="240">
        <v>0</v>
      </c>
      <c r="S341" s="245">
        <f>SUM(E341:Q341)</f>
        <v>17529.400000000001</v>
      </c>
      <c r="Z341"/>
    </row>
    <row r="342" spans="1:26" x14ac:dyDescent="0.2">
      <c r="A342" s="270"/>
      <c r="B342" s="235"/>
      <c r="C342" s="148"/>
      <c r="D342" s="272"/>
      <c r="E342" s="240"/>
      <c r="F342" s="240"/>
      <c r="G342" s="240"/>
      <c r="H342" s="240"/>
      <c r="I342" s="240"/>
      <c r="J342" s="240"/>
      <c r="K342" s="240"/>
      <c r="L342" s="240"/>
      <c r="M342" s="240"/>
      <c r="N342" s="240"/>
      <c r="O342" s="240"/>
      <c r="P342" s="240"/>
      <c r="Q342" s="240"/>
      <c r="R342" s="240"/>
      <c r="S342" s="242"/>
      <c r="Z342"/>
    </row>
    <row r="343" spans="1:26" x14ac:dyDescent="0.2">
      <c r="A343" s="159">
        <v>615190</v>
      </c>
      <c r="B343" s="160" t="s">
        <v>117</v>
      </c>
      <c r="C343" s="148" t="s">
        <v>67</v>
      </c>
      <c r="D343" s="148" t="s">
        <v>181</v>
      </c>
      <c r="E343" s="240">
        <v>0</v>
      </c>
      <c r="F343" s="240">
        <v>0</v>
      </c>
      <c r="G343" s="240">
        <v>0</v>
      </c>
      <c r="H343" s="240">
        <v>0</v>
      </c>
      <c r="I343" s="240">
        <v>0</v>
      </c>
      <c r="J343" s="240">
        <v>0</v>
      </c>
      <c r="K343" s="240">
        <v>0</v>
      </c>
      <c r="L343" s="240">
        <v>0</v>
      </c>
      <c r="M343" s="240">
        <v>0</v>
      </c>
      <c r="N343" s="240">
        <v>0</v>
      </c>
      <c r="O343" s="240">
        <v>0</v>
      </c>
      <c r="P343" s="240">
        <v>0</v>
      </c>
      <c r="Q343" s="240">
        <v>0</v>
      </c>
      <c r="R343" s="240">
        <v>0</v>
      </c>
      <c r="S343" s="242">
        <f t="shared" ref="S343:S352" si="27">SUM(E343:Q343)</f>
        <v>0</v>
      </c>
      <c r="Z343"/>
    </row>
    <row r="344" spans="1:26" x14ac:dyDescent="0.2">
      <c r="A344" s="159">
        <v>615190</v>
      </c>
      <c r="B344" s="160" t="s">
        <v>117</v>
      </c>
      <c r="C344" s="148" t="s">
        <v>67</v>
      </c>
      <c r="D344" s="148" t="s">
        <v>185</v>
      </c>
      <c r="E344" s="240">
        <v>0</v>
      </c>
      <c r="F344" s="240">
        <v>0</v>
      </c>
      <c r="G344" s="240">
        <v>0</v>
      </c>
      <c r="H344" s="240">
        <v>0</v>
      </c>
      <c r="I344" s="240">
        <v>0</v>
      </c>
      <c r="J344" s="240">
        <v>0</v>
      </c>
      <c r="K344" s="240">
        <v>0</v>
      </c>
      <c r="L344" s="240">
        <v>0</v>
      </c>
      <c r="M344" s="240">
        <v>0</v>
      </c>
      <c r="N344" s="240">
        <v>0</v>
      </c>
      <c r="O344" s="240">
        <v>0</v>
      </c>
      <c r="P344" s="240">
        <v>0</v>
      </c>
      <c r="Q344" s="240">
        <v>0</v>
      </c>
      <c r="R344" s="240">
        <v>0</v>
      </c>
      <c r="S344" s="242">
        <f t="shared" si="27"/>
        <v>0</v>
      </c>
      <c r="Z344"/>
    </row>
    <row r="345" spans="1:26" x14ac:dyDescent="0.2">
      <c r="A345" s="159">
        <v>615190</v>
      </c>
      <c r="B345" s="160" t="s">
        <v>117</v>
      </c>
      <c r="C345" s="148" t="s">
        <v>67</v>
      </c>
      <c r="D345" s="148" t="s">
        <v>199</v>
      </c>
      <c r="E345" s="240">
        <v>0</v>
      </c>
      <c r="F345" s="240">
        <v>0</v>
      </c>
      <c r="G345" s="240">
        <v>0</v>
      </c>
      <c r="H345" s="240">
        <v>0</v>
      </c>
      <c r="I345" s="240">
        <v>0</v>
      </c>
      <c r="J345" s="240">
        <v>0</v>
      </c>
      <c r="K345" s="240">
        <v>0</v>
      </c>
      <c r="L345" s="240">
        <v>0</v>
      </c>
      <c r="M345" s="240">
        <v>0</v>
      </c>
      <c r="N345" s="240">
        <v>941.94999999999993</v>
      </c>
      <c r="O345" s="240">
        <v>0</v>
      </c>
      <c r="P345" s="240">
        <v>0</v>
      </c>
      <c r="Q345" s="240">
        <v>122.4</v>
      </c>
      <c r="R345" s="240">
        <v>0</v>
      </c>
      <c r="S345" s="242">
        <f t="shared" si="27"/>
        <v>1064.3499999999999</v>
      </c>
      <c r="Z345"/>
    </row>
    <row r="346" spans="1:26" x14ac:dyDescent="0.2">
      <c r="A346" s="159">
        <v>615190</v>
      </c>
      <c r="B346" s="160" t="s">
        <v>117</v>
      </c>
      <c r="C346" s="148" t="s">
        <v>67</v>
      </c>
      <c r="D346" s="148" t="s">
        <v>200</v>
      </c>
      <c r="E346" s="240">
        <v>0</v>
      </c>
      <c r="F346" s="240">
        <v>0</v>
      </c>
      <c r="G346" s="240">
        <v>0</v>
      </c>
      <c r="H346" s="240">
        <v>0</v>
      </c>
      <c r="I346" s="240">
        <v>0</v>
      </c>
      <c r="J346" s="240">
        <v>0</v>
      </c>
      <c r="K346" s="240">
        <v>0</v>
      </c>
      <c r="L346" s="240">
        <v>0</v>
      </c>
      <c r="M346" s="240">
        <v>0</v>
      </c>
      <c r="N346" s="240">
        <v>0</v>
      </c>
      <c r="O346" s="240">
        <v>0</v>
      </c>
      <c r="P346" s="240">
        <v>0</v>
      </c>
      <c r="Q346" s="240">
        <v>0</v>
      </c>
      <c r="R346" s="240">
        <v>0</v>
      </c>
      <c r="S346" s="242">
        <f t="shared" si="27"/>
        <v>0</v>
      </c>
      <c r="Z346"/>
    </row>
    <row r="347" spans="1:26" x14ac:dyDescent="0.2">
      <c r="A347" s="159">
        <v>615190</v>
      </c>
      <c r="B347" s="160" t="s">
        <v>117</v>
      </c>
      <c r="C347" s="148" t="s">
        <v>67</v>
      </c>
      <c r="D347" s="148" t="s">
        <v>192</v>
      </c>
      <c r="E347" s="240">
        <v>0</v>
      </c>
      <c r="F347" s="240">
        <v>0</v>
      </c>
      <c r="G347" s="240">
        <v>0</v>
      </c>
      <c r="H347" s="240">
        <v>0</v>
      </c>
      <c r="I347" s="240">
        <v>0</v>
      </c>
      <c r="J347" s="240">
        <v>0</v>
      </c>
      <c r="K347" s="240">
        <v>0</v>
      </c>
      <c r="L347" s="240">
        <v>0</v>
      </c>
      <c r="M347" s="240">
        <v>0</v>
      </c>
      <c r="N347" s="240">
        <v>0</v>
      </c>
      <c r="O347" s="240">
        <v>29586</v>
      </c>
      <c r="P347" s="240">
        <v>0</v>
      </c>
      <c r="Q347" s="240">
        <v>1540.8</v>
      </c>
      <c r="R347" s="240">
        <v>0</v>
      </c>
      <c r="S347" s="242">
        <f t="shared" si="27"/>
        <v>31126.799999999999</v>
      </c>
      <c r="Z347"/>
    </row>
    <row r="348" spans="1:26" x14ac:dyDescent="0.2">
      <c r="A348" s="159">
        <v>615190</v>
      </c>
      <c r="B348" s="160" t="s">
        <v>117</v>
      </c>
      <c r="C348" s="148" t="s">
        <v>67</v>
      </c>
      <c r="D348" s="148" t="s">
        <v>196</v>
      </c>
      <c r="E348" s="240">
        <v>0</v>
      </c>
      <c r="F348" s="240">
        <v>231.49</v>
      </c>
      <c r="G348" s="240">
        <v>231.44</v>
      </c>
      <c r="H348" s="240">
        <v>231.44</v>
      </c>
      <c r="I348" s="240">
        <v>231.44</v>
      </c>
      <c r="J348" s="240">
        <v>231.44</v>
      </c>
      <c r="K348" s="240">
        <v>231.44</v>
      </c>
      <c r="L348" s="240">
        <v>231.44</v>
      </c>
      <c r="M348" s="240">
        <v>231.44</v>
      </c>
      <c r="N348" s="240">
        <v>231.44</v>
      </c>
      <c r="O348" s="240">
        <v>231.44</v>
      </c>
      <c r="P348" s="240">
        <v>231.44</v>
      </c>
      <c r="Q348" s="240">
        <v>231.45</v>
      </c>
      <c r="R348" s="240">
        <v>0</v>
      </c>
      <c r="S348" s="242">
        <f t="shared" si="27"/>
        <v>2777.34</v>
      </c>
      <c r="Z348"/>
    </row>
    <row r="349" spans="1:26" x14ac:dyDescent="0.2">
      <c r="A349" s="159">
        <v>615190</v>
      </c>
      <c r="B349" s="160" t="s">
        <v>117</v>
      </c>
      <c r="C349" s="148" t="s">
        <v>67</v>
      </c>
      <c r="D349" s="148" t="s">
        <v>184</v>
      </c>
      <c r="E349" s="240">
        <v>0</v>
      </c>
      <c r="F349" s="240">
        <v>0</v>
      </c>
      <c r="G349" s="240">
        <v>0</v>
      </c>
      <c r="H349" s="240">
        <v>0</v>
      </c>
      <c r="I349" s="240">
        <v>0</v>
      </c>
      <c r="J349" s="240">
        <v>0</v>
      </c>
      <c r="K349" s="240">
        <v>0</v>
      </c>
      <c r="L349" s="240">
        <v>0</v>
      </c>
      <c r="M349" s="240">
        <v>0</v>
      </c>
      <c r="N349" s="240">
        <v>0</v>
      </c>
      <c r="O349" s="240">
        <v>0</v>
      </c>
      <c r="P349" s="240">
        <v>0</v>
      </c>
      <c r="Q349" s="240">
        <v>0</v>
      </c>
      <c r="R349" s="240">
        <v>0</v>
      </c>
      <c r="S349" s="242">
        <f t="shared" si="27"/>
        <v>0</v>
      </c>
      <c r="Z349"/>
    </row>
    <row r="350" spans="1:26" x14ac:dyDescent="0.2">
      <c r="A350" s="159">
        <v>615190</v>
      </c>
      <c r="B350" s="160" t="s">
        <v>117</v>
      </c>
      <c r="C350" s="148" t="s">
        <v>67</v>
      </c>
      <c r="D350" s="148" t="s">
        <v>198</v>
      </c>
      <c r="E350" s="240">
        <v>0</v>
      </c>
      <c r="F350" s="240">
        <v>0</v>
      </c>
      <c r="G350" s="240">
        <v>0</v>
      </c>
      <c r="H350" s="240">
        <v>0</v>
      </c>
      <c r="I350" s="240">
        <v>0</v>
      </c>
      <c r="J350" s="240">
        <v>459.44</v>
      </c>
      <c r="K350" s="240">
        <v>36.07</v>
      </c>
      <c r="L350" s="240">
        <v>0</v>
      </c>
      <c r="M350" s="240">
        <v>0</v>
      </c>
      <c r="N350" s="240">
        <v>0</v>
      </c>
      <c r="O350" s="240">
        <v>0</v>
      </c>
      <c r="P350" s="240">
        <v>0</v>
      </c>
      <c r="Q350" s="240">
        <v>0</v>
      </c>
      <c r="R350" s="240">
        <v>0</v>
      </c>
      <c r="S350" s="242">
        <f t="shared" si="27"/>
        <v>495.51</v>
      </c>
      <c r="Z350"/>
    </row>
    <row r="351" spans="1:26" x14ac:dyDescent="0.2">
      <c r="A351" s="159">
        <v>615190</v>
      </c>
      <c r="B351" s="160" t="s">
        <v>117</v>
      </c>
      <c r="C351" s="148" t="s">
        <v>67</v>
      </c>
      <c r="D351" s="148" t="s">
        <v>197</v>
      </c>
      <c r="E351" s="240">
        <v>0</v>
      </c>
      <c r="F351" s="240">
        <v>482.09</v>
      </c>
      <c r="G351" s="240">
        <v>482.09</v>
      </c>
      <c r="H351" s="240">
        <v>482.1</v>
      </c>
      <c r="I351" s="240">
        <v>482.08</v>
      </c>
      <c r="J351" s="240">
        <v>482.08</v>
      </c>
      <c r="K351" s="240">
        <v>482.08</v>
      </c>
      <c r="L351" s="240">
        <v>482.08</v>
      </c>
      <c r="M351" s="240">
        <v>482.08</v>
      </c>
      <c r="N351" s="240">
        <v>482.08</v>
      </c>
      <c r="O351" s="240">
        <v>482.08</v>
      </c>
      <c r="P351" s="240">
        <v>482.08</v>
      </c>
      <c r="Q351" s="240">
        <v>482.08</v>
      </c>
      <c r="R351" s="240">
        <v>0</v>
      </c>
      <c r="S351" s="242">
        <f t="shared" si="27"/>
        <v>5785</v>
      </c>
      <c r="Z351"/>
    </row>
    <row r="352" spans="1:26" x14ac:dyDescent="0.2">
      <c r="A352" s="159">
        <v>615190</v>
      </c>
      <c r="B352" s="160" t="s">
        <v>117</v>
      </c>
      <c r="C352" s="148" t="s">
        <v>67</v>
      </c>
      <c r="D352" s="148" t="s">
        <v>179</v>
      </c>
      <c r="E352" s="240">
        <v>0</v>
      </c>
      <c r="F352" s="240">
        <v>0</v>
      </c>
      <c r="G352" s="240">
        <v>0</v>
      </c>
      <c r="H352" s="240">
        <v>0</v>
      </c>
      <c r="I352" s="240">
        <v>0</v>
      </c>
      <c r="J352" s="240">
        <v>0</v>
      </c>
      <c r="K352" s="240">
        <v>0</v>
      </c>
      <c r="L352" s="240">
        <v>0</v>
      </c>
      <c r="M352" s="240">
        <v>0</v>
      </c>
      <c r="N352" s="240">
        <v>0</v>
      </c>
      <c r="O352" s="240">
        <v>0</v>
      </c>
      <c r="P352" s="240">
        <v>0</v>
      </c>
      <c r="Q352" s="240">
        <v>0</v>
      </c>
      <c r="R352" s="240">
        <v>0</v>
      </c>
      <c r="S352" s="242">
        <f t="shared" si="27"/>
        <v>0</v>
      </c>
      <c r="Z352"/>
    </row>
    <row r="353" spans="1:26" x14ac:dyDescent="0.2">
      <c r="A353" s="270"/>
      <c r="B353" s="235"/>
      <c r="C353" s="148"/>
      <c r="D353" s="272"/>
      <c r="E353" s="240"/>
      <c r="F353" s="240"/>
      <c r="G353" s="240"/>
      <c r="H353" s="240"/>
      <c r="I353" s="240"/>
      <c r="J353" s="240"/>
      <c r="K353" s="240"/>
      <c r="L353" s="240"/>
      <c r="M353" s="240"/>
      <c r="N353" s="240"/>
      <c r="O353" s="240"/>
      <c r="P353" s="240"/>
      <c r="Q353" s="240"/>
      <c r="R353" s="240"/>
      <c r="S353" s="242"/>
      <c r="Z353"/>
    </row>
    <row r="354" spans="1:26" x14ac:dyDescent="0.2">
      <c r="A354" s="159">
        <v>615190</v>
      </c>
      <c r="B354" s="160" t="s">
        <v>117</v>
      </c>
      <c r="C354" s="148" t="s">
        <v>80</v>
      </c>
      <c r="D354" s="148" t="s">
        <v>181</v>
      </c>
      <c r="E354" s="240">
        <v>0</v>
      </c>
      <c r="F354" s="240">
        <v>0</v>
      </c>
      <c r="G354" s="240">
        <v>0</v>
      </c>
      <c r="H354" s="240">
        <v>0</v>
      </c>
      <c r="I354" s="240">
        <v>0</v>
      </c>
      <c r="J354" s="240">
        <v>0</v>
      </c>
      <c r="K354" s="240">
        <v>0</v>
      </c>
      <c r="L354" s="240">
        <v>0</v>
      </c>
      <c r="M354" s="240">
        <v>0</v>
      </c>
      <c r="N354" s="240">
        <v>68.36</v>
      </c>
      <c r="O354" s="240">
        <v>615.20000000000005</v>
      </c>
      <c r="P354" s="240">
        <v>0</v>
      </c>
      <c r="Q354" s="240">
        <v>0</v>
      </c>
      <c r="R354" s="240">
        <v>0</v>
      </c>
      <c r="S354" s="242">
        <f t="shared" ref="S354:S362" si="28">SUM(E354:Q354)</f>
        <v>683.56000000000006</v>
      </c>
      <c r="Z354"/>
    </row>
    <row r="355" spans="1:26" x14ac:dyDescent="0.2">
      <c r="A355" s="159">
        <v>615190</v>
      </c>
      <c r="B355" s="160" t="s">
        <v>117</v>
      </c>
      <c r="C355" s="148" t="s">
        <v>80</v>
      </c>
      <c r="D355" s="148" t="s">
        <v>199</v>
      </c>
      <c r="E355" s="240">
        <v>0</v>
      </c>
      <c r="F355" s="240">
        <v>0</v>
      </c>
      <c r="G355" s="240">
        <v>0</v>
      </c>
      <c r="H355" s="240">
        <v>0</v>
      </c>
      <c r="I355" s="240">
        <v>0</v>
      </c>
      <c r="J355" s="240">
        <v>0</v>
      </c>
      <c r="K355" s="240">
        <v>0</v>
      </c>
      <c r="L355" s="240">
        <v>0</v>
      </c>
      <c r="M355" s="240">
        <v>0</v>
      </c>
      <c r="N355" s="240">
        <v>0</v>
      </c>
      <c r="O355" s="240">
        <v>0</v>
      </c>
      <c r="P355" s="240">
        <v>0</v>
      </c>
      <c r="Q355" s="240">
        <v>0</v>
      </c>
      <c r="R355" s="240">
        <v>0</v>
      </c>
      <c r="S355" s="242">
        <f t="shared" si="28"/>
        <v>0</v>
      </c>
      <c r="Z355"/>
    </row>
    <row r="356" spans="1:26" x14ac:dyDescent="0.2">
      <c r="A356" s="159">
        <v>615190</v>
      </c>
      <c r="B356" s="160" t="s">
        <v>117</v>
      </c>
      <c r="C356" s="148" t="s">
        <v>80</v>
      </c>
      <c r="D356" s="148" t="s">
        <v>185</v>
      </c>
      <c r="E356" s="240">
        <v>0</v>
      </c>
      <c r="F356" s="240">
        <v>0</v>
      </c>
      <c r="G356" s="240">
        <v>0</v>
      </c>
      <c r="H356" s="240">
        <v>0</v>
      </c>
      <c r="I356" s="240">
        <v>0</v>
      </c>
      <c r="J356" s="240">
        <v>0</v>
      </c>
      <c r="K356" s="240">
        <v>0</v>
      </c>
      <c r="L356" s="240">
        <v>0</v>
      </c>
      <c r="M356" s="240">
        <v>0</v>
      </c>
      <c r="N356" s="240">
        <v>0</v>
      </c>
      <c r="O356" s="240">
        <v>0</v>
      </c>
      <c r="P356" s="240">
        <v>0</v>
      </c>
      <c r="Q356" s="240">
        <v>0</v>
      </c>
      <c r="R356" s="240">
        <v>0</v>
      </c>
      <c r="S356" s="242">
        <f t="shared" si="28"/>
        <v>0</v>
      </c>
      <c r="Z356"/>
    </row>
    <row r="357" spans="1:26" x14ac:dyDescent="0.2">
      <c r="A357" s="159">
        <v>615190</v>
      </c>
      <c r="B357" s="160" t="s">
        <v>117</v>
      </c>
      <c r="C357" s="148" t="s">
        <v>80</v>
      </c>
      <c r="D357" s="148" t="s">
        <v>200</v>
      </c>
      <c r="E357" s="240">
        <v>0</v>
      </c>
      <c r="F357" s="240">
        <v>0</v>
      </c>
      <c r="G357" s="240">
        <v>0</v>
      </c>
      <c r="H357" s="240">
        <v>0</v>
      </c>
      <c r="I357" s="240">
        <v>0</v>
      </c>
      <c r="J357" s="240">
        <v>0</v>
      </c>
      <c r="K357" s="240">
        <v>0</v>
      </c>
      <c r="L357" s="240">
        <v>0</v>
      </c>
      <c r="M357" s="240">
        <v>0</v>
      </c>
      <c r="N357" s="240">
        <v>0</v>
      </c>
      <c r="O357" s="240">
        <v>0</v>
      </c>
      <c r="P357" s="240">
        <v>0</v>
      </c>
      <c r="Q357" s="240">
        <v>0</v>
      </c>
      <c r="R357" s="240">
        <v>0</v>
      </c>
      <c r="S357" s="242">
        <f t="shared" si="28"/>
        <v>0</v>
      </c>
      <c r="Z357"/>
    </row>
    <row r="358" spans="1:26" x14ac:dyDescent="0.2">
      <c r="A358" s="159">
        <v>615190</v>
      </c>
      <c r="B358" s="160" t="s">
        <v>117</v>
      </c>
      <c r="C358" s="148" t="s">
        <v>80</v>
      </c>
      <c r="D358" s="148" t="s">
        <v>192</v>
      </c>
      <c r="E358" s="240">
        <v>0</v>
      </c>
      <c r="F358" s="240">
        <v>0</v>
      </c>
      <c r="G358" s="240">
        <v>0</v>
      </c>
      <c r="H358" s="240">
        <v>0</v>
      </c>
      <c r="I358" s="240">
        <v>0</v>
      </c>
      <c r="J358" s="240">
        <v>0</v>
      </c>
      <c r="K358" s="240">
        <v>0</v>
      </c>
      <c r="L358" s="240">
        <v>0</v>
      </c>
      <c r="M358" s="240">
        <v>0</v>
      </c>
      <c r="N358" s="240">
        <v>0</v>
      </c>
      <c r="O358" s="240">
        <v>0</v>
      </c>
      <c r="P358" s="240">
        <v>0</v>
      </c>
      <c r="Q358" s="240">
        <v>0</v>
      </c>
      <c r="R358" s="240">
        <v>0</v>
      </c>
      <c r="S358" s="242">
        <f t="shared" si="28"/>
        <v>0</v>
      </c>
      <c r="Z358"/>
    </row>
    <row r="359" spans="1:26" x14ac:dyDescent="0.2">
      <c r="A359" s="159">
        <v>615190</v>
      </c>
      <c r="B359" s="160" t="s">
        <v>117</v>
      </c>
      <c r="C359" s="148" t="s">
        <v>80</v>
      </c>
      <c r="D359" s="148" t="s">
        <v>196</v>
      </c>
      <c r="E359" s="240">
        <v>0</v>
      </c>
      <c r="F359" s="240">
        <v>458.43</v>
      </c>
      <c r="G359" s="240">
        <v>458.43</v>
      </c>
      <c r="H359" s="240">
        <v>458.43</v>
      </c>
      <c r="I359" s="240">
        <v>458.43</v>
      </c>
      <c r="J359" s="240">
        <v>458.43</v>
      </c>
      <c r="K359" s="240">
        <v>458.43</v>
      </c>
      <c r="L359" s="240">
        <v>458.43</v>
      </c>
      <c r="M359" s="240">
        <v>458.43</v>
      </c>
      <c r="N359" s="240">
        <v>458.43</v>
      </c>
      <c r="O359" s="240">
        <v>458.43</v>
      </c>
      <c r="P359" s="240">
        <v>458.43</v>
      </c>
      <c r="Q359" s="240">
        <v>0</v>
      </c>
      <c r="R359" s="240">
        <v>0</v>
      </c>
      <c r="S359" s="242">
        <f t="shared" si="28"/>
        <v>5042.7300000000005</v>
      </c>
      <c r="Z359"/>
    </row>
    <row r="360" spans="1:26" x14ac:dyDescent="0.2">
      <c r="A360" s="159">
        <v>615190</v>
      </c>
      <c r="B360" s="160" t="s">
        <v>117</v>
      </c>
      <c r="C360" s="148" t="s">
        <v>80</v>
      </c>
      <c r="D360" s="148" t="s">
        <v>198</v>
      </c>
      <c r="E360" s="240">
        <v>0</v>
      </c>
      <c r="F360" s="240">
        <v>0</v>
      </c>
      <c r="G360" s="240">
        <v>0</v>
      </c>
      <c r="H360" s="240">
        <v>353.05</v>
      </c>
      <c r="I360" s="240">
        <v>0</v>
      </c>
      <c r="J360" s="240">
        <v>0</v>
      </c>
      <c r="K360" s="240">
        <v>0</v>
      </c>
      <c r="L360" s="240">
        <v>0</v>
      </c>
      <c r="M360" s="240">
        <v>0</v>
      </c>
      <c r="N360" s="240">
        <v>0</v>
      </c>
      <c r="O360" s="240">
        <v>0</v>
      </c>
      <c r="P360" s="240">
        <v>0</v>
      </c>
      <c r="Q360" s="240">
        <v>0</v>
      </c>
      <c r="R360" s="240">
        <v>0</v>
      </c>
      <c r="S360" s="242">
        <f t="shared" si="28"/>
        <v>353.05</v>
      </c>
      <c r="Z360"/>
    </row>
    <row r="361" spans="1:26" x14ac:dyDescent="0.2">
      <c r="A361" s="159">
        <v>615190</v>
      </c>
      <c r="B361" s="160" t="s">
        <v>117</v>
      </c>
      <c r="C361" s="148" t="s">
        <v>80</v>
      </c>
      <c r="D361" s="148" t="s">
        <v>184</v>
      </c>
      <c r="E361" s="240">
        <v>0</v>
      </c>
      <c r="F361" s="240">
        <v>0</v>
      </c>
      <c r="G361" s="240">
        <v>0</v>
      </c>
      <c r="H361" s="240">
        <v>0</v>
      </c>
      <c r="I361" s="240">
        <v>0</v>
      </c>
      <c r="J361" s="240">
        <v>0</v>
      </c>
      <c r="K361" s="240">
        <v>691.44</v>
      </c>
      <c r="L361" s="240">
        <v>0</v>
      </c>
      <c r="M361" s="240">
        <v>0</v>
      </c>
      <c r="N361" s="240">
        <v>0</v>
      </c>
      <c r="O361" s="240">
        <v>0</v>
      </c>
      <c r="P361" s="240">
        <v>0</v>
      </c>
      <c r="Q361" s="240">
        <v>0</v>
      </c>
      <c r="R361" s="240">
        <v>0</v>
      </c>
      <c r="S361" s="242">
        <f t="shared" si="28"/>
        <v>691.44</v>
      </c>
      <c r="Z361"/>
    </row>
    <row r="362" spans="1:26" x14ac:dyDescent="0.2">
      <c r="A362" s="159">
        <v>615190</v>
      </c>
      <c r="B362" s="160" t="s">
        <v>117</v>
      </c>
      <c r="C362" s="148" t="s">
        <v>80</v>
      </c>
      <c r="D362" s="148" t="s">
        <v>197</v>
      </c>
      <c r="E362" s="240">
        <v>0</v>
      </c>
      <c r="F362" s="240">
        <v>0</v>
      </c>
      <c r="G362" s="240">
        <v>0</v>
      </c>
      <c r="H362" s="240">
        <v>0</v>
      </c>
      <c r="I362" s="240">
        <v>0</v>
      </c>
      <c r="J362" s="240">
        <v>0</v>
      </c>
      <c r="K362" s="240">
        <v>0</v>
      </c>
      <c r="L362" s="240">
        <v>0</v>
      </c>
      <c r="M362" s="240">
        <v>0</v>
      </c>
      <c r="N362" s="240">
        <v>0</v>
      </c>
      <c r="O362" s="240">
        <v>0</v>
      </c>
      <c r="P362" s="240">
        <v>0</v>
      </c>
      <c r="Q362" s="240">
        <v>0</v>
      </c>
      <c r="R362" s="240">
        <v>0</v>
      </c>
      <c r="S362" s="242">
        <f t="shared" si="28"/>
        <v>0</v>
      </c>
      <c r="Z362"/>
    </row>
    <row r="363" spans="1:26" x14ac:dyDescent="0.2">
      <c r="A363" s="270"/>
      <c r="B363" s="235"/>
      <c r="C363" s="148"/>
      <c r="D363" s="272"/>
      <c r="E363" s="240"/>
      <c r="F363" s="240"/>
      <c r="G363" s="240"/>
      <c r="H363" s="240"/>
      <c r="I363" s="240"/>
      <c r="J363" s="240"/>
      <c r="K363" s="240"/>
      <c r="L363" s="240"/>
      <c r="M363" s="240"/>
      <c r="N363" s="240"/>
      <c r="O363" s="240"/>
      <c r="P363" s="240"/>
      <c r="Q363" s="240"/>
      <c r="R363" s="240"/>
      <c r="S363" s="242"/>
      <c r="Z363"/>
    </row>
    <row r="364" spans="1:26" x14ac:dyDescent="0.2">
      <c r="A364" s="159">
        <v>615190</v>
      </c>
      <c r="B364" s="160" t="s">
        <v>117</v>
      </c>
      <c r="C364" s="148" t="s">
        <v>156</v>
      </c>
      <c r="D364" s="148" t="s">
        <v>181</v>
      </c>
      <c r="E364" s="240">
        <v>0</v>
      </c>
      <c r="F364" s="240">
        <v>0</v>
      </c>
      <c r="G364" s="240">
        <v>0</v>
      </c>
      <c r="H364" s="240">
        <v>0</v>
      </c>
      <c r="I364" s="240">
        <v>0</v>
      </c>
      <c r="J364" s="240">
        <v>0</v>
      </c>
      <c r="K364" s="240">
        <v>0</v>
      </c>
      <c r="L364" s="240">
        <v>0</v>
      </c>
      <c r="M364" s="240">
        <v>0</v>
      </c>
      <c r="N364" s="240">
        <v>0</v>
      </c>
      <c r="O364" s="240">
        <v>0</v>
      </c>
      <c r="P364" s="240">
        <v>0</v>
      </c>
      <c r="Q364" s="240">
        <v>0</v>
      </c>
      <c r="R364" s="240">
        <v>0</v>
      </c>
      <c r="S364" s="242">
        <f t="shared" ref="S364:S373" si="29">SUM(E364:Q364)</f>
        <v>0</v>
      </c>
      <c r="Z364"/>
    </row>
    <row r="365" spans="1:26" x14ac:dyDescent="0.2">
      <c r="A365" s="159">
        <v>615190</v>
      </c>
      <c r="B365" s="160" t="s">
        <v>117</v>
      </c>
      <c r="C365" s="148" t="s">
        <v>156</v>
      </c>
      <c r="D365" s="148" t="s">
        <v>199</v>
      </c>
      <c r="E365" s="240">
        <v>0</v>
      </c>
      <c r="F365" s="240">
        <v>0</v>
      </c>
      <c r="G365" s="240">
        <v>0</v>
      </c>
      <c r="H365" s="240">
        <v>0</v>
      </c>
      <c r="I365" s="240">
        <v>0</v>
      </c>
      <c r="J365" s="240">
        <v>52.99</v>
      </c>
      <c r="K365" s="240">
        <v>0</v>
      </c>
      <c r="L365" s="240">
        <v>2422.87</v>
      </c>
      <c r="M365" s="240">
        <v>0</v>
      </c>
      <c r="N365" s="240">
        <v>0</v>
      </c>
      <c r="O365" s="240">
        <v>0</v>
      </c>
      <c r="P365" s="240">
        <v>0</v>
      </c>
      <c r="Q365" s="240">
        <v>0</v>
      </c>
      <c r="R365" s="240">
        <v>0</v>
      </c>
      <c r="S365" s="242">
        <f t="shared" si="29"/>
        <v>2475.8599999999997</v>
      </c>
      <c r="Z365"/>
    </row>
    <row r="366" spans="1:26" x14ac:dyDescent="0.2">
      <c r="A366" s="159">
        <v>615190</v>
      </c>
      <c r="B366" s="160" t="s">
        <v>117</v>
      </c>
      <c r="C366" s="148" t="s">
        <v>156</v>
      </c>
      <c r="D366" s="148" t="s">
        <v>185</v>
      </c>
      <c r="E366" s="240">
        <v>0</v>
      </c>
      <c r="F366" s="240">
        <v>0</v>
      </c>
      <c r="G366" s="240">
        <v>0</v>
      </c>
      <c r="H366" s="240">
        <v>0</v>
      </c>
      <c r="I366" s="240">
        <v>0</v>
      </c>
      <c r="J366" s="240">
        <v>0</v>
      </c>
      <c r="K366" s="240">
        <v>0</v>
      </c>
      <c r="L366" s="240">
        <v>0</v>
      </c>
      <c r="M366" s="240">
        <v>0</v>
      </c>
      <c r="N366" s="240">
        <v>0</v>
      </c>
      <c r="O366" s="240">
        <v>0</v>
      </c>
      <c r="P366" s="240">
        <v>0</v>
      </c>
      <c r="Q366" s="240">
        <v>0</v>
      </c>
      <c r="R366" s="240">
        <v>0</v>
      </c>
      <c r="S366" s="242">
        <f t="shared" si="29"/>
        <v>0</v>
      </c>
      <c r="Z366"/>
    </row>
    <row r="367" spans="1:26" x14ac:dyDescent="0.2">
      <c r="A367" s="159">
        <v>615190</v>
      </c>
      <c r="B367" s="160" t="s">
        <v>117</v>
      </c>
      <c r="C367" s="148" t="s">
        <v>156</v>
      </c>
      <c r="D367" s="148" t="s">
        <v>200</v>
      </c>
      <c r="E367" s="240">
        <v>0</v>
      </c>
      <c r="F367" s="240">
        <v>0</v>
      </c>
      <c r="G367" s="240">
        <v>0</v>
      </c>
      <c r="H367" s="240">
        <v>0</v>
      </c>
      <c r="I367" s="240">
        <v>0</v>
      </c>
      <c r="J367" s="240">
        <v>0</v>
      </c>
      <c r="K367" s="240">
        <v>0</v>
      </c>
      <c r="L367" s="240">
        <v>0</v>
      </c>
      <c r="M367" s="240">
        <v>0</v>
      </c>
      <c r="N367" s="240">
        <v>1170</v>
      </c>
      <c r="O367" s="240">
        <v>0</v>
      </c>
      <c r="P367" s="240">
        <v>0</v>
      </c>
      <c r="Q367" s="240">
        <v>0</v>
      </c>
      <c r="R367" s="240">
        <v>0</v>
      </c>
      <c r="S367" s="242">
        <f t="shared" si="29"/>
        <v>1170</v>
      </c>
      <c r="Z367"/>
    </row>
    <row r="368" spans="1:26" x14ac:dyDescent="0.2">
      <c r="A368" s="159">
        <v>615190</v>
      </c>
      <c r="B368" s="160" t="s">
        <v>117</v>
      </c>
      <c r="C368" s="148" t="s">
        <v>156</v>
      </c>
      <c r="D368" s="148" t="s">
        <v>192</v>
      </c>
      <c r="E368" s="240">
        <v>0</v>
      </c>
      <c r="F368" s="240">
        <v>0</v>
      </c>
      <c r="G368" s="240">
        <v>0</v>
      </c>
      <c r="H368" s="240">
        <v>0</v>
      </c>
      <c r="I368" s="240">
        <v>0</v>
      </c>
      <c r="J368" s="240">
        <v>0</v>
      </c>
      <c r="K368" s="240">
        <v>0</v>
      </c>
      <c r="L368" s="240">
        <v>0</v>
      </c>
      <c r="M368" s="240">
        <v>0</v>
      </c>
      <c r="N368" s="240">
        <v>0</v>
      </c>
      <c r="O368" s="240">
        <v>0</v>
      </c>
      <c r="P368" s="240">
        <v>0</v>
      </c>
      <c r="Q368" s="240">
        <v>0</v>
      </c>
      <c r="R368" s="240">
        <v>0</v>
      </c>
      <c r="S368" s="242">
        <f t="shared" si="29"/>
        <v>0</v>
      </c>
      <c r="Z368"/>
    </row>
    <row r="369" spans="1:257" x14ac:dyDescent="0.2">
      <c r="A369" s="159">
        <v>615190</v>
      </c>
      <c r="B369" s="160" t="s">
        <v>117</v>
      </c>
      <c r="C369" s="148" t="s">
        <v>156</v>
      </c>
      <c r="D369" s="148" t="s">
        <v>196</v>
      </c>
      <c r="E369" s="240">
        <v>-2015.81</v>
      </c>
      <c r="F369" s="240">
        <v>342.25</v>
      </c>
      <c r="G369" s="240">
        <v>342.25</v>
      </c>
      <c r="H369" s="240">
        <v>342.25</v>
      </c>
      <c r="I369" s="240">
        <v>342.25</v>
      </c>
      <c r="J369" s="240">
        <v>342.25</v>
      </c>
      <c r="K369" s="240">
        <v>342.25</v>
      </c>
      <c r="L369" s="240">
        <v>342.25</v>
      </c>
      <c r="M369" s="240">
        <v>-897.75</v>
      </c>
      <c r="N369" s="240">
        <v>187.25</v>
      </c>
      <c r="O369" s="240">
        <v>187.25</v>
      </c>
      <c r="P369" s="240">
        <v>187.25</v>
      </c>
      <c r="Q369" s="240">
        <v>187.25</v>
      </c>
      <c r="R369" s="240">
        <v>0</v>
      </c>
      <c r="S369" s="242">
        <f t="shared" si="29"/>
        <v>231.19000000000005</v>
      </c>
      <c r="Z369"/>
    </row>
    <row r="370" spans="1:257" x14ac:dyDescent="0.2">
      <c r="A370" s="159">
        <v>615190</v>
      </c>
      <c r="B370" s="160" t="s">
        <v>117</v>
      </c>
      <c r="C370" s="148" t="s">
        <v>156</v>
      </c>
      <c r="D370" s="148" t="s">
        <v>179</v>
      </c>
      <c r="E370" s="240">
        <v>0</v>
      </c>
      <c r="F370" s="240">
        <v>1856.89</v>
      </c>
      <c r="G370" s="240">
        <v>1856.89</v>
      </c>
      <c r="H370" s="240">
        <v>1856.89</v>
      </c>
      <c r="I370" s="240">
        <v>1856.89</v>
      </c>
      <c r="J370" s="240">
        <v>1856.89</v>
      </c>
      <c r="K370" s="240">
        <v>1856.89</v>
      </c>
      <c r="L370" s="240">
        <v>1856.89</v>
      </c>
      <c r="M370" s="240">
        <v>1856.89</v>
      </c>
      <c r="N370" s="240">
        <v>1856.89</v>
      </c>
      <c r="O370" s="240">
        <v>1856.89</v>
      </c>
      <c r="P370" s="240">
        <v>1856.89</v>
      </c>
      <c r="Q370" s="240">
        <v>1856.83</v>
      </c>
      <c r="R370" s="240">
        <v>0</v>
      </c>
      <c r="S370" s="242">
        <f t="shared" si="29"/>
        <v>22282.619999999995</v>
      </c>
      <c r="Z370"/>
    </row>
    <row r="371" spans="1:257" x14ac:dyDescent="0.2">
      <c r="A371" s="159">
        <v>615190</v>
      </c>
      <c r="B371" s="160" t="s">
        <v>117</v>
      </c>
      <c r="C371" s="148" t="s">
        <v>156</v>
      </c>
      <c r="D371" s="148" t="s">
        <v>184</v>
      </c>
      <c r="E371" s="240">
        <v>0</v>
      </c>
      <c r="F371" s="240">
        <v>0</v>
      </c>
      <c r="G371" s="240">
        <v>0</v>
      </c>
      <c r="H371" s="240">
        <v>0</v>
      </c>
      <c r="I371" s="240">
        <v>0</v>
      </c>
      <c r="J371" s="240">
        <v>0</v>
      </c>
      <c r="K371" s="240">
        <v>0</v>
      </c>
      <c r="L371" s="240">
        <v>0</v>
      </c>
      <c r="M371" s="240">
        <v>0</v>
      </c>
      <c r="N371" s="240">
        <v>0</v>
      </c>
      <c r="O371" s="240">
        <v>0</v>
      </c>
      <c r="P371" s="240">
        <v>0</v>
      </c>
      <c r="Q371" s="240">
        <v>0</v>
      </c>
      <c r="R371" s="240">
        <v>0</v>
      </c>
      <c r="S371" s="242">
        <f t="shared" si="29"/>
        <v>0</v>
      </c>
      <c r="Z371"/>
    </row>
    <row r="372" spans="1:257" x14ac:dyDescent="0.2">
      <c r="A372" s="159">
        <v>615190</v>
      </c>
      <c r="B372" s="160" t="s">
        <v>117</v>
      </c>
      <c r="C372" s="148" t="s">
        <v>156</v>
      </c>
      <c r="D372" s="148" t="s">
        <v>198</v>
      </c>
      <c r="E372" s="240">
        <v>0</v>
      </c>
      <c r="F372" s="240">
        <v>0</v>
      </c>
      <c r="G372" s="240">
        <v>0</v>
      </c>
      <c r="H372" s="240">
        <v>0</v>
      </c>
      <c r="I372" s="240">
        <v>0</v>
      </c>
      <c r="J372" s="240">
        <v>0</v>
      </c>
      <c r="K372" s="240">
        <v>0</v>
      </c>
      <c r="L372" s="240">
        <v>0</v>
      </c>
      <c r="M372" s="240">
        <v>0</v>
      </c>
      <c r="N372" s="240">
        <v>0</v>
      </c>
      <c r="O372" s="240">
        <v>0</v>
      </c>
      <c r="P372" s="240">
        <v>0</v>
      </c>
      <c r="Q372" s="240">
        <v>0</v>
      </c>
      <c r="R372" s="240">
        <v>0</v>
      </c>
      <c r="S372" s="242">
        <f t="shared" si="29"/>
        <v>0</v>
      </c>
      <c r="Z372"/>
    </row>
    <row r="373" spans="1:257" x14ac:dyDescent="0.2">
      <c r="A373" s="159">
        <v>615190</v>
      </c>
      <c r="B373" s="160" t="s">
        <v>117</v>
      </c>
      <c r="C373" s="148" t="s">
        <v>156</v>
      </c>
      <c r="D373" s="148" t="s">
        <v>197</v>
      </c>
      <c r="E373" s="240">
        <v>0</v>
      </c>
      <c r="F373" s="240">
        <v>0</v>
      </c>
      <c r="G373" s="240">
        <v>0</v>
      </c>
      <c r="H373" s="240">
        <v>0</v>
      </c>
      <c r="I373" s="240">
        <v>0</v>
      </c>
      <c r="J373" s="240">
        <v>0</v>
      </c>
      <c r="K373" s="240">
        <v>0</v>
      </c>
      <c r="L373" s="240">
        <v>0</v>
      </c>
      <c r="M373" s="240">
        <v>0</v>
      </c>
      <c r="N373" s="240">
        <v>0</v>
      </c>
      <c r="O373" s="240">
        <v>0</v>
      </c>
      <c r="P373" s="240">
        <v>0</v>
      </c>
      <c r="Q373" s="240">
        <v>0</v>
      </c>
      <c r="R373" s="240">
        <v>0</v>
      </c>
      <c r="S373" s="242">
        <f t="shared" si="29"/>
        <v>0</v>
      </c>
      <c r="Z373"/>
    </row>
    <row r="374" spans="1:257" x14ac:dyDescent="0.2">
      <c r="A374" s="270"/>
      <c r="B374" s="235"/>
      <c r="C374" s="148"/>
      <c r="D374" s="272"/>
      <c r="E374" s="240"/>
      <c r="F374" s="240"/>
      <c r="G374" s="240"/>
      <c r="H374" s="240"/>
      <c r="I374" s="240"/>
      <c r="J374" s="240"/>
      <c r="K374" s="240"/>
      <c r="L374" s="240"/>
      <c r="M374" s="240"/>
      <c r="N374" s="240"/>
      <c r="O374" s="240"/>
      <c r="P374" s="240"/>
      <c r="Q374" s="240"/>
      <c r="R374" s="240"/>
      <c r="S374" s="242"/>
      <c r="Z374"/>
    </row>
    <row r="375" spans="1:257" x14ac:dyDescent="0.2">
      <c r="A375" s="159">
        <v>615190</v>
      </c>
      <c r="B375" s="160" t="s">
        <v>117</v>
      </c>
      <c r="C375" s="148" t="s">
        <v>79</v>
      </c>
      <c r="D375" s="148" t="s">
        <v>192</v>
      </c>
      <c r="E375" s="240">
        <v>0</v>
      </c>
      <c r="F375" s="240">
        <v>0</v>
      </c>
      <c r="G375" s="240">
        <v>1659.06</v>
      </c>
      <c r="H375" s="240">
        <v>0</v>
      </c>
      <c r="I375" s="240">
        <v>0</v>
      </c>
      <c r="J375" s="240">
        <v>506.6</v>
      </c>
      <c r="K375" s="240">
        <v>148.4</v>
      </c>
      <c r="L375" s="240">
        <v>0</v>
      </c>
      <c r="M375" s="240">
        <v>0</v>
      </c>
      <c r="N375" s="240">
        <v>0</v>
      </c>
      <c r="O375" s="240">
        <v>0</v>
      </c>
      <c r="P375" s="240">
        <v>0</v>
      </c>
      <c r="Q375" s="240">
        <v>0</v>
      </c>
      <c r="R375" s="240">
        <v>0</v>
      </c>
      <c r="S375" s="242">
        <f>SUM(E375:Q375)</f>
        <v>2314.06</v>
      </c>
      <c r="Z375"/>
    </row>
    <row r="376" spans="1:257" x14ac:dyDescent="0.2">
      <c r="A376" s="159">
        <v>615190</v>
      </c>
      <c r="B376" s="160" t="s">
        <v>117</v>
      </c>
      <c r="C376" s="148" t="s">
        <v>79</v>
      </c>
      <c r="D376" s="148" t="s">
        <v>196</v>
      </c>
      <c r="E376" s="240">
        <v>0</v>
      </c>
      <c r="F376" s="240">
        <v>630.67000000000007</v>
      </c>
      <c r="G376" s="240">
        <v>630.67000000000007</v>
      </c>
      <c r="H376" s="240">
        <v>630.67000000000007</v>
      </c>
      <c r="I376" s="240">
        <v>630.67000000000007</v>
      </c>
      <c r="J376" s="240">
        <v>-1219.33</v>
      </c>
      <c r="K376" s="240">
        <v>260.67</v>
      </c>
      <c r="L376" s="240">
        <v>260.67</v>
      </c>
      <c r="M376" s="240">
        <v>260.67</v>
      </c>
      <c r="N376" s="240">
        <v>260.67</v>
      </c>
      <c r="O376" s="240">
        <v>260.67</v>
      </c>
      <c r="P376" s="240">
        <v>260.63</v>
      </c>
      <c r="Q376" s="240">
        <v>264.66000000000003</v>
      </c>
      <c r="R376" s="240">
        <v>0</v>
      </c>
      <c r="S376" s="242">
        <f>SUM(E376:Q376)</f>
        <v>3131.9900000000007</v>
      </c>
      <c r="Z376"/>
    </row>
    <row r="377" spans="1:257" x14ac:dyDescent="0.2">
      <c r="A377" s="159"/>
      <c r="B377" s="160"/>
      <c r="C377" s="148"/>
      <c r="D377" s="148"/>
      <c r="E377" s="240"/>
      <c r="F377" s="240"/>
      <c r="G377" s="240"/>
      <c r="H377" s="240"/>
      <c r="I377" s="240"/>
      <c r="J377" s="240"/>
      <c r="K377" s="240"/>
      <c r="L377" s="240"/>
      <c r="M377" s="240"/>
      <c r="N377" s="240"/>
      <c r="O377" s="240"/>
      <c r="P377" s="240"/>
      <c r="Q377" s="240"/>
      <c r="R377" s="240"/>
      <c r="S377" s="242">
        <f>SUM(E377:Q377)</f>
        <v>0</v>
      </c>
      <c r="Z377"/>
    </row>
    <row r="378" spans="1:257" x14ac:dyDescent="0.2">
      <c r="A378" s="159">
        <v>615190</v>
      </c>
      <c r="B378" s="160" t="s">
        <v>117</v>
      </c>
      <c r="C378" s="148" t="s">
        <v>367</v>
      </c>
      <c r="D378" s="148">
        <v>999999</v>
      </c>
      <c r="E378" s="240"/>
      <c r="F378" s="240">
        <v>1807.83</v>
      </c>
      <c r="G378" s="240">
        <f>-1807.83+3735.77</f>
        <v>1927.94</v>
      </c>
      <c r="H378" s="240">
        <f>-3735.77-2204.97</f>
        <v>-5940.74</v>
      </c>
      <c r="I378" s="240">
        <f>2204.97+2441.6</f>
        <v>4646.57</v>
      </c>
      <c r="J378" s="240">
        <f>-2441.6+2290.09</f>
        <v>-151.50999999999976</v>
      </c>
      <c r="K378" s="240">
        <f>-2290.09+6558.3</f>
        <v>4268.21</v>
      </c>
      <c r="L378" s="240">
        <f>-6558.3+9461.25</f>
        <v>2902.95</v>
      </c>
      <c r="M378" s="240">
        <f>-9461.25+12485.63</f>
        <v>3024.3799999999992</v>
      </c>
      <c r="N378" s="240">
        <f>-12485.63+11701.23</f>
        <v>-784.39999999999964</v>
      </c>
      <c r="O378" s="240">
        <f>-11701.23-17749.44</f>
        <v>-29450.67</v>
      </c>
      <c r="P378" s="240">
        <f>17749.44+0.61</f>
        <v>17750.05</v>
      </c>
      <c r="Q378" s="240"/>
      <c r="R378" s="240"/>
      <c r="S378" s="242">
        <f>SUM(E378:Q378)</f>
        <v>0.61000000000058208</v>
      </c>
      <c r="Z378"/>
    </row>
    <row r="379" spans="1:257" x14ac:dyDescent="0.2">
      <c r="A379" s="159">
        <v>615190</v>
      </c>
      <c r="B379" s="160" t="s">
        <v>117</v>
      </c>
      <c r="C379" s="148" t="s">
        <v>381</v>
      </c>
      <c r="D379" s="148">
        <v>999999</v>
      </c>
      <c r="E379" s="240">
        <v>0</v>
      </c>
      <c r="F379" s="240">
        <v>0</v>
      </c>
      <c r="G379" s="240">
        <v>0</v>
      </c>
      <c r="H379" s="240">
        <v>0</v>
      </c>
      <c r="I379" s="240">
        <v>0</v>
      </c>
      <c r="J379" s="240">
        <v>0</v>
      </c>
      <c r="K379" s="240">
        <v>0</v>
      </c>
      <c r="L379" s="240">
        <v>0</v>
      </c>
      <c r="M379" s="240">
        <v>0</v>
      </c>
      <c r="N379" s="240">
        <v>0</v>
      </c>
      <c r="O379" s="240">
        <v>0</v>
      </c>
      <c r="P379" s="240">
        <v>0</v>
      </c>
      <c r="Q379" s="240">
        <v>0</v>
      </c>
      <c r="R379" s="240">
        <v>0</v>
      </c>
      <c r="S379" s="242">
        <f>SUM(E379:Q379)</f>
        <v>0</v>
      </c>
      <c r="Z379"/>
    </row>
    <row r="380" spans="1:257" s="185" customFormat="1" ht="24" customHeight="1" x14ac:dyDescent="0.2">
      <c r="A380" s="267"/>
      <c r="B380" s="268"/>
      <c r="C380" s="267" t="s">
        <v>66</v>
      </c>
      <c r="D380" s="267"/>
      <c r="E380" s="269">
        <f t="shared" ref="E380:Q380" si="30">SUM(E315:E379)</f>
        <v>-4791.46</v>
      </c>
      <c r="F380" s="269">
        <f t="shared" si="30"/>
        <v>12973.519999999999</v>
      </c>
      <c r="G380" s="269">
        <f t="shared" si="30"/>
        <v>13222.8</v>
      </c>
      <c r="H380" s="269">
        <f t="shared" si="30"/>
        <v>4979.7099999999991</v>
      </c>
      <c r="I380" s="269">
        <f t="shared" si="30"/>
        <v>15985.749999999998</v>
      </c>
      <c r="J380" s="269">
        <f t="shared" si="30"/>
        <v>7091.0399999999991</v>
      </c>
      <c r="K380" s="269">
        <f t="shared" si="30"/>
        <v>14928.719999999998</v>
      </c>
      <c r="L380" s="269">
        <f t="shared" si="30"/>
        <v>11769.34</v>
      </c>
      <c r="M380" s="269">
        <f t="shared" si="30"/>
        <v>9307.9</v>
      </c>
      <c r="N380" s="269">
        <f t="shared" si="30"/>
        <v>11375.75</v>
      </c>
      <c r="O380" s="269">
        <f t="shared" si="30"/>
        <v>9691.8100000000049</v>
      </c>
      <c r="P380" s="269">
        <f t="shared" si="30"/>
        <v>26659.469999999998</v>
      </c>
      <c r="Q380" s="269">
        <f t="shared" si="30"/>
        <v>8919.48</v>
      </c>
      <c r="R380" s="269">
        <f>SUM(R315:R379)</f>
        <v>0</v>
      </c>
      <c r="S380" s="269">
        <f>SUM(S315:S379)</f>
        <v>142113.82999999996</v>
      </c>
      <c r="T380" s="689" t="e">
        <f>IF(Ctrl($A379)+S379+S378=S380,"Ok","Erreur somme")</f>
        <v>#VALUE!</v>
      </c>
      <c r="U380" s="212">
        <v>133465.70000000001</v>
      </c>
      <c r="V380" s="334">
        <f>U380-S380</f>
        <v>-8648.1299999999464</v>
      </c>
      <c r="W380" s="185" t="s">
        <v>853</v>
      </c>
      <c r="Z380"/>
    </row>
    <row r="381" spans="1:257" x14ac:dyDescent="0.2">
      <c r="A381" s="159">
        <v>615191</v>
      </c>
      <c r="B381" s="160" t="s">
        <v>134</v>
      </c>
      <c r="C381" s="148" t="s">
        <v>78</v>
      </c>
      <c r="D381" s="148" t="s">
        <v>192</v>
      </c>
      <c r="E381" s="240">
        <v>0</v>
      </c>
      <c r="F381" s="240">
        <v>0</v>
      </c>
      <c r="G381" s="240">
        <v>0</v>
      </c>
      <c r="H381" s="240">
        <v>229</v>
      </c>
      <c r="I381" s="240">
        <v>0</v>
      </c>
      <c r="J381" s="240">
        <v>0</v>
      </c>
      <c r="K381" s="240">
        <v>605</v>
      </c>
      <c r="L381" s="240">
        <v>0</v>
      </c>
      <c r="M381" s="240">
        <v>0</v>
      </c>
      <c r="N381" s="240">
        <v>0</v>
      </c>
      <c r="O381" s="240">
        <v>0</v>
      </c>
      <c r="P381" s="240">
        <v>0</v>
      </c>
      <c r="Q381" s="240">
        <v>0</v>
      </c>
      <c r="R381" s="240">
        <v>0</v>
      </c>
      <c r="S381" s="242">
        <f>SUM(E381:Q381)</f>
        <v>834</v>
      </c>
      <c r="Z381"/>
    </row>
    <row r="382" spans="1:257" s="175" customFormat="1" x14ac:dyDescent="0.2">
      <c r="A382" s="270"/>
      <c r="B382" s="235"/>
      <c r="C382" s="148"/>
      <c r="D382" s="148"/>
      <c r="E382" s="240"/>
      <c r="F382" s="240"/>
      <c r="G382" s="240"/>
      <c r="H382" s="240"/>
      <c r="I382" s="240"/>
      <c r="J382" s="240"/>
      <c r="K382" s="240"/>
      <c r="L382" s="240"/>
      <c r="M382" s="240"/>
      <c r="N382" s="240"/>
      <c r="O382" s="240"/>
      <c r="P382" s="240"/>
      <c r="Q382" s="240"/>
      <c r="R382" s="240"/>
      <c r="S382" s="242"/>
      <c r="T382"/>
      <c r="U382" s="184"/>
      <c r="V382" s="332"/>
      <c r="X382" s="184"/>
      <c r="Y382" s="184"/>
      <c r="Z382"/>
      <c r="AA382" s="184"/>
      <c r="AB382" s="184"/>
      <c r="AC382" s="184"/>
      <c r="AD382" s="184"/>
      <c r="AE382" s="184"/>
      <c r="AF382" s="184"/>
      <c r="AG382" s="184"/>
      <c r="AH382" s="184"/>
      <c r="AI382" s="184"/>
      <c r="AJ382" s="184"/>
      <c r="AK382" s="184"/>
      <c r="AL382" s="184"/>
      <c r="AM382" s="184"/>
      <c r="AN382" s="184"/>
      <c r="AO382" s="184"/>
      <c r="AP382" s="184"/>
      <c r="AQ382" s="184"/>
      <c r="AR382" s="184"/>
      <c r="AS382" s="184"/>
      <c r="AT382" s="184"/>
      <c r="AU382" s="184"/>
      <c r="AV382" s="184"/>
      <c r="AW382" s="184"/>
      <c r="AX382" s="184"/>
      <c r="AY382" s="184"/>
      <c r="AZ382" s="184"/>
      <c r="BA382" s="184"/>
      <c r="BB382" s="184"/>
      <c r="BC382" s="184"/>
      <c r="BD382" s="184"/>
      <c r="BE382" s="184"/>
      <c r="BF382" s="184"/>
      <c r="BG382" s="184"/>
      <c r="BH382" s="184"/>
      <c r="BI382" s="184"/>
      <c r="BJ382" s="184"/>
      <c r="BK382" s="184"/>
      <c r="BL382" s="184"/>
      <c r="BM382" s="184"/>
      <c r="BN382" s="184"/>
      <c r="BO382" s="184"/>
      <c r="BP382" s="184"/>
      <c r="BQ382" s="184"/>
      <c r="BR382" s="184"/>
      <c r="BS382" s="184"/>
      <c r="BT382" s="184"/>
      <c r="BU382" s="184"/>
      <c r="BV382" s="184"/>
      <c r="BW382" s="184"/>
      <c r="BX382" s="184"/>
      <c r="BY382" s="184"/>
      <c r="BZ382" s="184"/>
      <c r="CA382" s="184"/>
      <c r="CB382" s="184"/>
      <c r="CC382" s="184"/>
      <c r="CD382" s="184"/>
      <c r="CE382" s="184"/>
      <c r="CF382" s="184"/>
      <c r="CG382" s="184"/>
      <c r="CH382" s="184"/>
      <c r="CI382" s="184"/>
      <c r="CJ382" s="184"/>
      <c r="CK382" s="184"/>
      <c r="CL382" s="184"/>
      <c r="CM382" s="184"/>
      <c r="CN382" s="184"/>
      <c r="CO382" s="184"/>
      <c r="CP382" s="184"/>
      <c r="CQ382" s="184"/>
      <c r="CR382" s="184"/>
      <c r="CS382" s="184"/>
      <c r="CT382" s="184"/>
      <c r="CU382" s="184"/>
      <c r="CV382" s="184"/>
      <c r="CW382" s="184"/>
      <c r="CX382" s="184"/>
      <c r="CY382" s="184"/>
      <c r="CZ382" s="184"/>
      <c r="DA382" s="184"/>
      <c r="DB382" s="184"/>
      <c r="DC382" s="184"/>
      <c r="DD382" s="184"/>
      <c r="DE382" s="184"/>
      <c r="DF382" s="184"/>
      <c r="DG382" s="184"/>
      <c r="DH382" s="184"/>
      <c r="DI382" s="184"/>
      <c r="DJ382" s="184"/>
      <c r="DK382" s="184"/>
      <c r="DL382" s="184"/>
      <c r="DM382" s="184"/>
      <c r="DN382" s="184"/>
      <c r="DO382" s="184"/>
      <c r="DP382" s="184"/>
      <c r="DQ382" s="184"/>
      <c r="DR382" s="184"/>
      <c r="DS382" s="184"/>
      <c r="DT382" s="184"/>
      <c r="DU382" s="184"/>
      <c r="DV382" s="184"/>
      <c r="DW382" s="184"/>
      <c r="DX382" s="184"/>
      <c r="DY382" s="184"/>
      <c r="DZ382" s="184"/>
      <c r="EA382" s="184"/>
      <c r="EB382" s="184"/>
      <c r="EC382" s="184"/>
      <c r="ED382" s="184"/>
      <c r="EE382" s="184"/>
      <c r="EF382" s="184"/>
      <c r="EG382" s="184"/>
      <c r="EH382" s="184"/>
      <c r="EI382" s="184"/>
      <c r="EJ382" s="184"/>
      <c r="EK382" s="184"/>
      <c r="EL382" s="184"/>
      <c r="EM382" s="184"/>
      <c r="EN382" s="184"/>
      <c r="EO382" s="184"/>
      <c r="EP382" s="184"/>
      <c r="EQ382" s="184"/>
      <c r="ER382" s="184"/>
      <c r="ES382" s="184"/>
      <c r="ET382" s="184"/>
      <c r="EU382" s="184"/>
      <c r="EV382" s="184"/>
      <c r="EW382" s="184"/>
      <c r="EX382" s="184"/>
      <c r="EY382" s="184"/>
      <c r="EZ382" s="184"/>
      <c r="FA382" s="184"/>
      <c r="FB382" s="184"/>
      <c r="FC382" s="184"/>
      <c r="FD382" s="184"/>
      <c r="FE382" s="184"/>
      <c r="FF382" s="184"/>
      <c r="FG382" s="184"/>
      <c r="FH382" s="184"/>
      <c r="FI382" s="184"/>
      <c r="FJ382" s="184"/>
      <c r="FK382" s="184"/>
      <c r="FL382" s="184"/>
      <c r="FM382" s="184"/>
      <c r="FN382" s="184"/>
      <c r="FO382" s="184"/>
      <c r="FP382" s="184"/>
      <c r="FQ382" s="184"/>
      <c r="FR382" s="184"/>
      <c r="FS382" s="184"/>
      <c r="FT382" s="184"/>
      <c r="FU382" s="184"/>
      <c r="FV382" s="184"/>
      <c r="FW382" s="184"/>
      <c r="FX382" s="184"/>
      <c r="FY382" s="184"/>
      <c r="FZ382" s="184"/>
      <c r="GA382" s="184"/>
      <c r="GB382" s="184"/>
      <c r="GC382" s="184"/>
      <c r="GD382" s="184"/>
      <c r="GE382" s="184"/>
      <c r="GF382" s="184"/>
      <c r="GG382" s="184"/>
      <c r="GH382" s="184"/>
      <c r="GI382" s="184"/>
      <c r="GJ382" s="184"/>
      <c r="GK382" s="184"/>
      <c r="GL382" s="184"/>
      <c r="GM382" s="184"/>
      <c r="GN382" s="184"/>
      <c r="GO382" s="184"/>
      <c r="GP382" s="184"/>
      <c r="GQ382" s="184"/>
      <c r="GR382" s="184"/>
      <c r="GS382" s="184"/>
      <c r="GT382" s="184"/>
      <c r="GU382" s="184"/>
      <c r="GV382" s="184"/>
      <c r="GW382" s="184"/>
      <c r="GX382" s="184"/>
      <c r="GY382" s="184"/>
      <c r="GZ382" s="184"/>
      <c r="HA382" s="184"/>
      <c r="HB382" s="184"/>
      <c r="HC382" s="184"/>
      <c r="HD382" s="184"/>
      <c r="HE382" s="184"/>
      <c r="HF382" s="184"/>
      <c r="HG382" s="184"/>
      <c r="HH382" s="184"/>
      <c r="HI382" s="184"/>
      <c r="HJ382" s="184"/>
      <c r="HK382" s="184"/>
      <c r="HL382" s="184"/>
      <c r="HM382" s="184"/>
      <c r="HN382" s="184"/>
      <c r="HO382" s="184"/>
      <c r="HP382" s="184"/>
      <c r="HQ382" s="184"/>
      <c r="HR382" s="184"/>
      <c r="HS382" s="184"/>
      <c r="HT382" s="184"/>
      <c r="HU382" s="184"/>
      <c r="HV382" s="184"/>
      <c r="HW382" s="184"/>
      <c r="HX382" s="184"/>
      <c r="HY382" s="184"/>
      <c r="HZ382" s="184"/>
      <c r="IA382" s="184"/>
      <c r="IB382" s="184"/>
      <c r="IC382" s="184"/>
      <c r="ID382" s="184"/>
      <c r="IE382" s="184"/>
      <c r="IF382" s="184"/>
      <c r="IG382" s="184"/>
      <c r="IH382" s="184"/>
      <c r="II382" s="184"/>
      <c r="IJ382" s="184"/>
      <c r="IK382" s="184"/>
      <c r="IL382" s="184"/>
      <c r="IM382" s="184"/>
      <c r="IN382" s="184"/>
      <c r="IO382" s="184"/>
      <c r="IP382" s="184"/>
      <c r="IQ382" s="184"/>
      <c r="IR382" s="184"/>
      <c r="IS382" s="184"/>
      <c r="IT382" s="184"/>
      <c r="IU382" s="184"/>
      <c r="IV382" s="184"/>
      <c r="IW382" s="184"/>
    </row>
    <row r="383" spans="1:257" x14ac:dyDescent="0.2">
      <c r="A383" s="159">
        <v>615191</v>
      </c>
      <c r="B383" s="160" t="s">
        <v>134</v>
      </c>
      <c r="C383" s="148" t="s">
        <v>71</v>
      </c>
      <c r="D383" s="148" t="s">
        <v>192</v>
      </c>
      <c r="E383" s="240">
        <v>-325</v>
      </c>
      <c r="F383" s="240">
        <v>0</v>
      </c>
      <c r="G383" s="240">
        <v>0</v>
      </c>
      <c r="H383" s="240">
        <v>411</v>
      </c>
      <c r="I383" s="240">
        <v>891</v>
      </c>
      <c r="J383" s="240">
        <v>1881</v>
      </c>
      <c r="K383" s="240">
        <v>0</v>
      </c>
      <c r="L383" s="240">
        <v>0</v>
      </c>
      <c r="M383" s="240">
        <v>0</v>
      </c>
      <c r="N383" s="240">
        <v>3396.52</v>
      </c>
      <c r="O383" s="240">
        <v>260.51</v>
      </c>
      <c r="P383" s="240">
        <v>0</v>
      </c>
      <c r="Q383" s="240">
        <v>0</v>
      </c>
      <c r="R383" s="240">
        <v>0</v>
      </c>
      <c r="S383" s="242">
        <f>SUM(E383:Q383)</f>
        <v>6515.0300000000007</v>
      </c>
      <c r="Z383"/>
    </row>
    <row r="384" spans="1:257" x14ac:dyDescent="0.2">
      <c r="A384" s="159">
        <v>615191</v>
      </c>
      <c r="B384" s="160" t="s">
        <v>134</v>
      </c>
      <c r="C384" s="148" t="s">
        <v>71</v>
      </c>
      <c r="D384" s="148" t="s">
        <v>179</v>
      </c>
      <c r="E384" s="240">
        <v>0</v>
      </c>
      <c r="F384" s="240">
        <v>70.09</v>
      </c>
      <c r="G384" s="240">
        <v>70.09</v>
      </c>
      <c r="H384" s="240">
        <v>70.09</v>
      </c>
      <c r="I384" s="240">
        <v>70.09</v>
      </c>
      <c r="J384" s="240">
        <v>70.09</v>
      </c>
      <c r="K384" s="240">
        <v>70.09</v>
      </c>
      <c r="L384" s="240">
        <v>70.09</v>
      </c>
      <c r="M384" s="240">
        <v>70.09</v>
      </c>
      <c r="N384" s="240">
        <v>70.09</v>
      </c>
      <c r="O384" s="240">
        <v>70.09</v>
      </c>
      <c r="P384" s="240">
        <v>70.010000000000005</v>
      </c>
      <c r="Q384" s="240">
        <v>70.92</v>
      </c>
      <c r="R384" s="240">
        <v>0</v>
      </c>
      <c r="S384" s="242">
        <f>SUM(E384:Q384)</f>
        <v>841.83000000000015</v>
      </c>
      <c r="Z384"/>
    </row>
    <row r="385" spans="1:257" s="175" customFormat="1" x14ac:dyDescent="0.2">
      <c r="A385" s="270"/>
      <c r="B385" s="235"/>
      <c r="C385" s="148"/>
      <c r="D385" s="148"/>
      <c r="E385" s="240"/>
      <c r="F385" s="240"/>
      <c r="G385" s="240"/>
      <c r="H385" s="240"/>
      <c r="I385" s="240"/>
      <c r="J385" s="240"/>
      <c r="K385" s="240"/>
      <c r="L385" s="240"/>
      <c r="M385" s="240"/>
      <c r="N385" s="240"/>
      <c r="O385" s="240"/>
      <c r="P385" s="240"/>
      <c r="Q385" s="240"/>
      <c r="R385" s="240"/>
      <c r="S385" s="242"/>
      <c r="T385"/>
      <c r="U385" s="184"/>
      <c r="V385" s="332"/>
      <c r="X385" s="184"/>
      <c r="Y385" s="184"/>
      <c r="Z385"/>
      <c r="AA385" s="184"/>
      <c r="AB385" s="184"/>
      <c r="AC385" s="184"/>
      <c r="AD385" s="184"/>
      <c r="AE385" s="184"/>
      <c r="AF385" s="184"/>
      <c r="AG385" s="184"/>
      <c r="AH385" s="184"/>
      <c r="AI385" s="184"/>
      <c r="AJ385" s="184"/>
      <c r="AK385" s="184"/>
      <c r="AL385" s="184"/>
      <c r="AM385" s="184"/>
      <c r="AN385" s="184"/>
      <c r="AO385" s="184"/>
      <c r="AP385" s="184"/>
      <c r="AQ385" s="184"/>
      <c r="AR385" s="184"/>
      <c r="AS385" s="184"/>
      <c r="AT385" s="184"/>
      <c r="AU385" s="184"/>
      <c r="AV385" s="184"/>
      <c r="AW385" s="184"/>
      <c r="AX385" s="184"/>
      <c r="AY385" s="184"/>
      <c r="AZ385" s="184"/>
      <c r="BA385" s="184"/>
      <c r="BB385" s="184"/>
      <c r="BC385" s="184"/>
      <c r="BD385" s="184"/>
      <c r="BE385" s="184"/>
      <c r="BF385" s="184"/>
      <c r="BG385" s="184"/>
      <c r="BH385" s="184"/>
      <c r="BI385" s="184"/>
      <c r="BJ385" s="184"/>
      <c r="BK385" s="184"/>
      <c r="BL385" s="184"/>
      <c r="BM385" s="184"/>
      <c r="BN385" s="184"/>
      <c r="BO385" s="184"/>
      <c r="BP385" s="184"/>
      <c r="BQ385" s="184"/>
      <c r="BR385" s="184"/>
      <c r="BS385" s="184"/>
      <c r="BT385" s="184"/>
      <c r="BU385" s="184"/>
      <c r="BV385" s="184"/>
      <c r="BW385" s="184"/>
      <c r="BX385" s="184"/>
      <c r="BY385" s="184"/>
      <c r="BZ385" s="184"/>
      <c r="CA385" s="184"/>
      <c r="CB385" s="184"/>
      <c r="CC385" s="184"/>
      <c r="CD385" s="184"/>
      <c r="CE385" s="184"/>
      <c r="CF385" s="184"/>
      <c r="CG385" s="184"/>
      <c r="CH385" s="184"/>
      <c r="CI385" s="184"/>
      <c r="CJ385" s="184"/>
      <c r="CK385" s="184"/>
      <c r="CL385" s="184"/>
      <c r="CM385" s="184"/>
      <c r="CN385" s="184"/>
      <c r="CO385" s="184"/>
      <c r="CP385" s="184"/>
      <c r="CQ385" s="184"/>
      <c r="CR385" s="184"/>
      <c r="CS385" s="184"/>
      <c r="CT385" s="184"/>
      <c r="CU385" s="184"/>
      <c r="CV385" s="184"/>
      <c r="CW385" s="184"/>
      <c r="CX385" s="184"/>
      <c r="CY385" s="184"/>
      <c r="CZ385" s="184"/>
      <c r="DA385" s="184"/>
      <c r="DB385" s="184"/>
      <c r="DC385" s="184"/>
      <c r="DD385" s="184"/>
      <c r="DE385" s="184"/>
      <c r="DF385" s="184"/>
      <c r="DG385" s="184"/>
      <c r="DH385" s="184"/>
      <c r="DI385" s="184"/>
      <c r="DJ385" s="184"/>
      <c r="DK385" s="184"/>
      <c r="DL385" s="184"/>
      <c r="DM385" s="184"/>
      <c r="DN385" s="184"/>
      <c r="DO385" s="184"/>
      <c r="DP385" s="184"/>
      <c r="DQ385" s="184"/>
      <c r="DR385" s="184"/>
      <c r="DS385" s="184"/>
      <c r="DT385" s="184"/>
      <c r="DU385" s="184"/>
      <c r="DV385" s="184"/>
      <c r="DW385" s="184"/>
      <c r="DX385" s="184"/>
      <c r="DY385" s="184"/>
      <c r="DZ385" s="184"/>
      <c r="EA385" s="184"/>
      <c r="EB385" s="184"/>
      <c r="EC385" s="184"/>
      <c r="ED385" s="184"/>
      <c r="EE385" s="184"/>
      <c r="EF385" s="184"/>
      <c r="EG385" s="184"/>
      <c r="EH385" s="184"/>
      <c r="EI385" s="184"/>
      <c r="EJ385" s="184"/>
      <c r="EK385" s="184"/>
      <c r="EL385" s="184"/>
      <c r="EM385" s="184"/>
      <c r="EN385" s="184"/>
      <c r="EO385" s="184"/>
      <c r="EP385" s="184"/>
      <c r="EQ385" s="184"/>
      <c r="ER385" s="184"/>
      <c r="ES385" s="184"/>
      <c r="ET385" s="184"/>
      <c r="EU385" s="184"/>
      <c r="EV385" s="184"/>
      <c r="EW385" s="184"/>
      <c r="EX385" s="184"/>
      <c r="EY385" s="184"/>
      <c r="EZ385" s="184"/>
      <c r="FA385" s="184"/>
      <c r="FB385" s="184"/>
      <c r="FC385" s="184"/>
      <c r="FD385" s="184"/>
      <c r="FE385" s="184"/>
      <c r="FF385" s="184"/>
      <c r="FG385" s="184"/>
      <c r="FH385" s="184"/>
      <c r="FI385" s="184"/>
      <c r="FJ385" s="184"/>
      <c r="FK385" s="184"/>
      <c r="FL385" s="184"/>
      <c r="FM385" s="184"/>
      <c r="FN385" s="184"/>
      <c r="FO385" s="184"/>
      <c r="FP385" s="184"/>
      <c r="FQ385" s="184"/>
      <c r="FR385" s="184"/>
      <c r="FS385" s="184"/>
      <c r="FT385" s="184"/>
      <c r="FU385" s="184"/>
      <c r="FV385" s="184"/>
      <c r="FW385" s="184"/>
      <c r="FX385" s="184"/>
      <c r="FY385" s="184"/>
      <c r="FZ385" s="184"/>
      <c r="GA385" s="184"/>
      <c r="GB385" s="184"/>
      <c r="GC385" s="184"/>
      <c r="GD385" s="184"/>
      <c r="GE385" s="184"/>
      <c r="GF385" s="184"/>
      <c r="GG385" s="184"/>
      <c r="GH385" s="184"/>
      <c r="GI385" s="184"/>
      <c r="GJ385" s="184"/>
      <c r="GK385" s="184"/>
      <c r="GL385" s="184"/>
      <c r="GM385" s="184"/>
      <c r="GN385" s="184"/>
      <c r="GO385" s="184"/>
      <c r="GP385" s="184"/>
      <c r="GQ385" s="184"/>
      <c r="GR385" s="184"/>
      <c r="GS385" s="184"/>
      <c r="GT385" s="184"/>
      <c r="GU385" s="184"/>
      <c r="GV385" s="184"/>
      <c r="GW385" s="184"/>
      <c r="GX385" s="184"/>
      <c r="GY385" s="184"/>
      <c r="GZ385" s="184"/>
      <c r="HA385" s="184"/>
      <c r="HB385" s="184"/>
      <c r="HC385" s="184"/>
      <c r="HD385" s="184"/>
      <c r="HE385" s="184"/>
      <c r="HF385" s="184"/>
      <c r="HG385" s="184"/>
      <c r="HH385" s="184"/>
      <c r="HI385" s="184"/>
      <c r="HJ385" s="184"/>
      <c r="HK385" s="184"/>
      <c r="HL385" s="184"/>
      <c r="HM385" s="184"/>
      <c r="HN385" s="184"/>
      <c r="HO385" s="184"/>
      <c r="HP385" s="184"/>
      <c r="HQ385" s="184"/>
      <c r="HR385" s="184"/>
      <c r="HS385" s="184"/>
      <c r="HT385" s="184"/>
      <c r="HU385" s="184"/>
      <c r="HV385" s="184"/>
      <c r="HW385" s="184"/>
      <c r="HX385" s="184"/>
      <c r="HY385" s="184"/>
      <c r="HZ385" s="184"/>
      <c r="IA385" s="184"/>
      <c r="IB385" s="184"/>
      <c r="IC385" s="184"/>
      <c r="ID385" s="184"/>
      <c r="IE385" s="184"/>
      <c r="IF385" s="184"/>
      <c r="IG385" s="184"/>
      <c r="IH385" s="184"/>
      <c r="II385" s="184"/>
      <c r="IJ385" s="184"/>
      <c r="IK385" s="184"/>
      <c r="IL385" s="184"/>
      <c r="IM385" s="184"/>
      <c r="IN385" s="184"/>
      <c r="IO385" s="184"/>
      <c r="IP385" s="184"/>
      <c r="IQ385" s="184"/>
      <c r="IR385" s="184"/>
      <c r="IS385" s="184"/>
      <c r="IT385" s="184"/>
      <c r="IU385" s="184"/>
      <c r="IV385" s="184"/>
      <c r="IW385" s="184"/>
    </row>
    <row r="386" spans="1:257" s="175" customFormat="1" x14ac:dyDescent="0.2">
      <c r="A386" s="159">
        <v>615191</v>
      </c>
      <c r="B386" s="160" t="s">
        <v>134</v>
      </c>
      <c r="C386" s="148" t="s">
        <v>73</v>
      </c>
      <c r="D386" s="148" t="s">
        <v>435</v>
      </c>
      <c r="E386" s="240">
        <v>0</v>
      </c>
      <c r="F386" s="240">
        <v>0</v>
      </c>
      <c r="G386" s="240">
        <v>0</v>
      </c>
      <c r="H386" s="240">
        <v>0</v>
      </c>
      <c r="I386" s="240">
        <v>0</v>
      </c>
      <c r="J386" s="240">
        <v>0</v>
      </c>
      <c r="K386" s="240">
        <v>0</v>
      </c>
      <c r="L386" s="240">
        <v>0</v>
      </c>
      <c r="M386" s="240">
        <v>1932</v>
      </c>
      <c r="N386" s="240">
        <v>0</v>
      </c>
      <c r="O386" s="240">
        <v>0</v>
      </c>
      <c r="P386" s="240">
        <v>0</v>
      </c>
      <c r="Q386" s="240">
        <v>0</v>
      </c>
      <c r="R386" s="240">
        <v>0</v>
      </c>
      <c r="S386" s="242">
        <f>SUM(E386:Q386)</f>
        <v>1932</v>
      </c>
      <c r="T386"/>
      <c r="U386" s="184"/>
      <c r="V386" s="332"/>
      <c r="X386" s="184"/>
      <c r="Y386" s="184"/>
      <c r="Z386"/>
      <c r="AA386" s="184"/>
      <c r="AB386" s="184"/>
      <c r="AC386" s="184"/>
      <c r="AD386" s="184"/>
      <c r="AE386" s="184"/>
      <c r="AF386" s="184"/>
      <c r="AG386" s="184"/>
      <c r="AH386" s="184"/>
      <c r="AI386" s="184"/>
      <c r="AJ386" s="184"/>
      <c r="AK386" s="184"/>
      <c r="AL386" s="184"/>
      <c r="AM386" s="184"/>
      <c r="AN386" s="184"/>
      <c r="AO386" s="184"/>
      <c r="AP386" s="184"/>
      <c r="AQ386" s="184"/>
      <c r="AR386" s="184"/>
      <c r="AS386" s="184"/>
      <c r="AT386" s="184"/>
      <c r="AU386" s="184"/>
      <c r="AV386" s="184"/>
      <c r="AW386" s="184"/>
      <c r="AX386" s="184"/>
      <c r="AY386" s="184"/>
      <c r="AZ386" s="184"/>
      <c r="BA386" s="184"/>
      <c r="BB386" s="184"/>
      <c r="BC386" s="184"/>
      <c r="BD386" s="184"/>
      <c r="BE386" s="184"/>
      <c r="BF386" s="184"/>
      <c r="BG386" s="184"/>
      <c r="BH386" s="184"/>
      <c r="BI386" s="184"/>
      <c r="BJ386" s="184"/>
      <c r="BK386" s="184"/>
      <c r="BL386" s="184"/>
      <c r="BM386" s="184"/>
      <c r="BN386" s="184"/>
      <c r="BO386" s="184"/>
      <c r="BP386" s="184"/>
      <c r="BQ386" s="184"/>
      <c r="BR386" s="184"/>
      <c r="BS386" s="184"/>
      <c r="BT386" s="184"/>
      <c r="BU386" s="184"/>
      <c r="BV386" s="184"/>
      <c r="BW386" s="184"/>
      <c r="BX386" s="184"/>
      <c r="BY386" s="184"/>
      <c r="BZ386" s="184"/>
      <c r="CA386" s="184"/>
      <c r="CB386" s="184"/>
      <c r="CC386" s="184"/>
      <c r="CD386" s="184"/>
      <c r="CE386" s="184"/>
      <c r="CF386" s="184"/>
      <c r="CG386" s="184"/>
      <c r="CH386" s="184"/>
      <c r="CI386" s="184"/>
      <c r="CJ386" s="184"/>
      <c r="CK386" s="184"/>
      <c r="CL386" s="184"/>
      <c r="CM386" s="184"/>
      <c r="CN386" s="184"/>
      <c r="CO386" s="184"/>
      <c r="CP386" s="184"/>
      <c r="CQ386" s="184"/>
      <c r="CR386" s="184"/>
      <c r="CS386" s="184"/>
      <c r="CT386" s="184"/>
      <c r="CU386" s="184"/>
      <c r="CV386" s="184"/>
      <c r="CW386" s="184"/>
      <c r="CX386" s="184"/>
      <c r="CY386" s="184"/>
      <c r="CZ386" s="184"/>
      <c r="DA386" s="184"/>
      <c r="DB386" s="184"/>
      <c r="DC386" s="184"/>
      <c r="DD386" s="184"/>
      <c r="DE386" s="184"/>
      <c r="DF386" s="184"/>
      <c r="DG386" s="184"/>
      <c r="DH386" s="184"/>
      <c r="DI386" s="184"/>
      <c r="DJ386" s="184"/>
      <c r="DK386" s="184"/>
      <c r="DL386" s="184"/>
      <c r="DM386" s="184"/>
      <c r="DN386" s="184"/>
      <c r="DO386" s="184"/>
      <c r="DP386" s="184"/>
      <c r="DQ386" s="184"/>
      <c r="DR386" s="184"/>
      <c r="DS386" s="184"/>
      <c r="DT386" s="184"/>
      <c r="DU386" s="184"/>
      <c r="DV386" s="184"/>
      <c r="DW386" s="184"/>
      <c r="DX386" s="184"/>
      <c r="DY386" s="184"/>
      <c r="DZ386" s="184"/>
      <c r="EA386" s="184"/>
      <c r="EB386" s="184"/>
      <c r="EC386" s="184"/>
      <c r="ED386" s="184"/>
      <c r="EE386" s="184"/>
      <c r="EF386" s="184"/>
      <c r="EG386" s="184"/>
      <c r="EH386" s="184"/>
      <c r="EI386" s="184"/>
      <c r="EJ386" s="184"/>
      <c r="EK386" s="184"/>
      <c r="EL386" s="184"/>
      <c r="EM386" s="184"/>
      <c r="EN386" s="184"/>
      <c r="EO386" s="184"/>
      <c r="EP386" s="184"/>
      <c r="EQ386" s="184"/>
      <c r="ER386" s="184"/>
      <c r="ES386" s="184"/>
      <c r="ET386" s="184"/>
      <c r="EU386" s="184"/>
      <c r="EV386" s="184"/>
      <c r="EW386" s="184"/>
      <c r="EX386" s="184"/>
      <c r="EY386" s="184"/>
      <c r="EZ386" s="184"/>
      <c r="FA386" s="184"/>
      <c r="FB386" s="184"/>
      <c r="FC386" s="184"/>
      <c r="FD386" s="184"/>
      <c r="FE386" s="184"/>
      <c r="FF386" s="184"/>
      <c r="FG386" s="184"/>
      <c r="FH386" s="184"/>
      <c r="FI386" s="184"/>
      <c r="FJ386" s="184"/>
      <c r="FK386" s="184"/>
      <c r="FL386" s="184"/>
      <c r="FM386" s="184"/>
      <c r="FN386" s="184"/>
      <c r="FO386" s="184"/>
      <c r="FP386" s="184"/>
      <c r="FQ386" s="184"/>
      <c r="FR386" s="184"/>
      <c r="FS386" s="184"/>
      <c r="FT386" s="184"/>
      <c r="FU386" s="184"/>
      <c r="FV386" s="184"/>
      <c r="FW386" s="184"/>
      <c r="FX386" s="184"/>
      <c r="FY386" s="184"/>
      <c r="FZ386" s="184"/>
      <c r="GA386" s="184"/>
      <c r="GB386" s="184"/>
      <c r="GC386" s="184"/>
      <c r="GD386" s="184"/>
      <c r="GE386" s="184"/>
      <c r="GF386" s="184"/>
      <c r="GG386" s="184"/>
      <c r="GH386" s="184"/>
      <c r="GI386" s="184"/>
      <c r="GJ386" s="184"/>
      <c r="GK386" s="184"/>
      <c r="GL386" s="184"/>
      <c r="GM386" s="184"/>
      <c r="GN386" s="184"/>
      <c r="GO386" s="184"/>
      <c r="GP386" s="184"/>
      <c r="GQ386" s="184"/>
      <c r="GR386" s="184"/>
      <c r="GS386" s="184"/>
      <c r="GT386" s="184"/>
      <c r="GU386" s="184"/>
      <c r="GV386" s="184"/>
      <c r="GW386" s="184"/>
      <c r="GX386" s="184"/>
      <c r="GY386" s="184"/>
      <c r="GZ386" s="184"/>
      <c r="HA386" s="184"/>
      <c r="HB386" s="184"/>
      <c r="HC386" s="184"/>
      <c r="HD386" s="184"/>
      <c r="HE386" s="184"/>
      <c r="HF386" s="184"/>
      <c r="HG386" s="184"/>
      <c r="HH386" s="184"/>
      <c r="HI386" s="184"/>
      <c r="HJ386" s="184"/>
      <c r="HK386" s="184"/>
      <c r="HL386" s="184"/>
      <c r="HM386" s="184"/>
      <c r="HN386" s="184"/>
      <c r="HO386" s="184"/>
      <c r="HP386" s="184"/>
      <c r="HQ386" s="184"/>
      <c r="HR386" s="184"/>
      <c r="HS386" s="184"/>
      <c r="HT386" s="184"/>
      <c r="HU386" s="184"/>
      <c r="HV386" s="184"/>
      <c r="HW386" s="184"/>
      <c r="HX386" s="184"/>
      <c r="HY386" s="184"/>
      <c r="HZ386" s="184"/>
      <c r="IA386" s="184"/>
      <c r="IB386" s="184"/>
      <c r="IC386" s="184"/>
      <c r="ID386" s="184"/>
      <c r="IE386" s="184"/>
      <c r="IF386" s="184"/>
      <c r="IG386" s="184"/>
      <c r="IH386" s="184"/>
      <c r="II386" s="184"/>
      <c r="IJ386" s="184"/>
      <c r="IK386" s="184"/>
      <c r="IL386" s="184"/>
      <c r="IM386" s="184"/>
      <c r="IN386" s="184"/>
      <c r="IO386" s="184"/>
      <c r="IP386" s="184"/>
      <c r="IQ386" s="184"/>
      <c r="IR386" s="184"/>
      <c r="IS386" s="184"/>
      <c r="IT386" s="184"/>
      <c r="IU386" s="184"/>
      <c r="IV386" s="184"/>
      <c r="IW386" s="184"/>
    </row>
    <row r="387" spans="1:257" x14ac:dyDescent="0.2">
      <c r="A387" s="159">
        <v>615191</v>
      </c>
      <c r="B387" s="160" t="s">
        <v>134</v>
      </c>
      <c r="C387" s="148" t="s">
        <v>73</v>
      </c>
      <c r="D387" s="148" t="s">
        <v>192</v>
      </c>
      <c r="E387" s="240">
        <v>1560</v>
      </c>
      <c r="F387" s="240">
        <v>2676</v>
      </c>
      <c r="G387" s="240">
        <v>1700</v>
      </c>
      <c r="H387" s="240">
        <v>210</v>
      </c>
      <c r="I387" s="240">
        <v>1095</v>
      </c>
      <c r="J387" s="240">
        <v>733.5</v>
      </c>
      <c r="K387" s="240">
        <v>733.5</v>
      </c>
      <c r="L387" s="240">
        <v>0</v>
      </c>
      <c r="M387" s="240">
        <v>140</v>
      </c>
      <c r="N387" s="240">
        <v>0</v>
      </c>
      <c r="O387" s="240">
        <v>1607.18</v>
      </c>
      <c r="P387" s="240">
        <v>566.14</v>
      </c>
      <c r="Q387" s="240">
        <v>0</v>
      </c>
      <c r="R387" s="240">
        <v>0</v>
      </c>
      <c r="S387" s="242">
        <f>SUM(E387:Q387)</f>
        <v>11021.32</v>
      </c>
      <c r="Z387"/>
    </row>
    <row r="388" spans="1:257" x14ac:dyDescent="0.2">
      <c r="A388" s="159">
        <v>615191</v>
      </c>
      <c r="B388" s="160" t="s">
        <v>134</v>
      </c>
      <c r="C388" s="148" t="s">
        <v>73</v>
      </c>
      <c r="D388" s="148" t="s">
        <v>191</v>
      </c>
      <c r="E388" s="240">
        <v>0</v>
      </c>
      <c r="F388" s="240">
        <v>0</v>
      </c>
      <c r="G388" s="240">
        <v>0</v>
      </c>
      <c r="H388" s="240">
        <v>0</v>
      </c>
      <c r="I388" s="240">
        <v>0</v>
      </c>
      <c r="J388" s="240">
        <v>300</v>
      </c>
      <c r="K388" s="240">
        <v>0</v>
      </c>
      <c r="L388" s="240">
        <v>0</v>
      </c>
      <c r="M388" s="240">
        <v>0</v>
      </c>
      <c r="N388" s="240">
        <v>0</v>
      </c>
      <c r="O388" s="240">
        <v>0</v>
      </c>
      <c r="P388" s="240">
        <v>0</v>
      </c>
      <c r="Q388" s="240">
        <v>774.08</v>
      </c>
      <c r="R388" s="240">
        <v>0</v>
      </c>
      <c r="S388" s="242">
        <f>SUM(E388:Q388)</f>
        <v>1074.08</v>
      </c>
      <c r="Z388"/>
    </row>
    <row r="389" spans="1:257" x14ac:dyDescent="0.2">
      <c r="A389" s="159">
        <v>615191</v>
      </c>
      <c r="B389" s="160" t="s">
        <v>134</v>
      </c>
      <c r="C389" s="148" t="s">
        <v>73</v>
      </c>
      <c r="D389" s="148" t="s">
        <v>179</v>
      </c>
      <c r="E389" s="240">
        <v>0</v>
      </c>
      <c r="F389" s="240">
        <v>70.09</v>
      </c>
      <c r="G389" s="240">
        <v>70.09</v>
      </c>
      <c r="H389" s="240">
        <v>70.09</v>
      </c>
      <c r="I389" s="240">
        <v>70.09</v>
      </c>
      <c r="J389" s="240">
        <v>70.09</v>
      </c>
      <c r="K389" s="240">
        <v>70.09</v>
      </c>
      <c r="L389" s="240">
        <v>70.09</v>
      </c>
      <c r="M389" s="240">
        <v>70.09</v>
      </c>
      <c r="N389" s="240">
        <v>70.09</v>
      </c>
      <c r="O389" s="240">
        <v>70.09</v>
      </c>
      <c r="P389" s="240">
        <v>70.010000000000005</v>
      </c>
      <c r="Q389" s="240">
        <v>70.92</v>
      </c>
      <c r="R389" s="240">
        <v>0</v>
      </c>
      <c r="S389" s="242">
        <f>SUM(E389:Q389)</f>
        <v>841.83000000000015</v>
      </c>
      <c r="Z389"/>
    </row>
    <row r="390" spans="1:257" s="175" customFormat="1" x14ac:dyDescent="0.2">
      <c r="A390" s="270"/>
      <c r="B390" s="235"/>
      <c r="C390" s="148"/>
      <c r="D390" s="148"/>
      <c r="E390" s="240"/>
      <c r="F390" s="240"/>
      <c r="G390" s="240"/>
      <c r="H390" s="240"/>
      <c r="I390" s="240"/>
      <c r="J390" s="240"/>
      <c r="K390" s="240"/>
      <c r="L390" s="240"/>
      <c r="M390" s="240"/>
      <c r="N390" s="240"/>
      <c r="O390" s="240"/>
      <c r="P390" s="240"/>
      <c r="Q390" s="240"/>
      <c r="R390" s="240"/>
      <c r="S390" s="242"/>
      <c r="T390"/>
      <c r="U390" s="184"/>
      <c r="V390" s="332"/>
      <c r="X390" s="184"/>
      <c r="Y390" s="184"/>
      <c r="Z390"/>
      <c r="AA390" s="184"/>
      <c r="AB390" s="184"/>
      <c r="AC390" s="184"/>
      <c r="AD390" s="184"/>
      <c r="AE390" s="184"/>
      <c r="AF390" s="184"/>
      <c r="AG390" s="184"/>
      <c r="AH390" s="184"/>
      <c r="AI390" s="184"/>
      <c r="AJ390" s="184"/>
      <c r="AK390" s="184"/>
      <c r="AL390" s="184"/>
      <c r="AM390" s="184"/>
      <c r="AN390" s="184"/>
      <c r="AO390" s="184"/>
      <c r="AP390" s="184"/>
      <c r="AQ390" s="184"/>
      <c r="AR390" s="184"/>
      <c r="AS390" s="184"/>
      <c r="AT390" s="184"/>
      <c r="AU390" s="184"/>
      <c r="AV390" s="184"/>
      <c r="AW390" s="184"/>
      <c r="AX390" s="184"/>
      <c r="AY390" s="184"/>
      <c r="AZ390" s="184"/>
      <c r="BA390" s="184"/>
      <c r="BB390" s="184"/>
      <c r="BC390" s="184"/>
      <c r="BD390" s="184"/>
      <c r="BE390" s="184"/>
      <c r="BF390" s="184"/>
      <c r="BG390" s="184"/>
      <c r="BH390" s="184"/>
      <c r="BI390" s="184"/>
      <c r="BJ390" s="184"/>
      <c r="BK390" s="184"/>
      <c r="BL390" s="184"/>
      <c r="BM390" s="184"/>
      <c r="BN390" s="184"/>
      <c r="BO390" s="184"/>
      <c r="BP390" s="184"/>
      <c r="BQ390" s="184"/>
      <c r="BR390" s="184"/>
      <c r="BS390" s="184"/>
      <c r="BT390" s="184"/>
      <c r="BU390" s="184"/>
      <c r="BV390" s="184"/>
      <c r="BW390" s="184"/>
      <c r="BX390" s="184"/>
      <c r="BY390" s="184"/>
      <c r="BZ390" s="184"/>
      <c r="CA390" s="184"/>
      <c r="CB390" s="184"/>
      <c r="CC390" s="184"/>
      <c r="CD390" s="184"/>
      <c r="CE390" s="184"/>
      <c r="CF390" s="184"/>
      <c r="CG390" s="184"/>
      <c r="CH390" s="184"/>
      <c r="CI390" s="184"/>
      <c r="CJ390" s="184"/>
      <c r="CK390" s="184"/>
      <c r="CL390" s="184"/>
      <c r="CM390" s="184"/>
      <c r="CN390" s="184"/>
      <c r="CO390" s="184"/>
      <c r="CP390" s="184"/>
      <c r="CQ390" s="184"/>
      <c r="CR390" s="184"/>
      <c r="CS390" s="184"/>
      <c r="CT390" s="184"/>
      <c r="CU390" s="184"/>
      <c r="CV390" s="184"/>
      <c r="CW390" s="184"/>
      <c r="CX390" s="184"/>
      <c r="CY390" s="184"/>
      <c r="CZ390" s="184"/>
      <c r="DA390" s="184"/>
      <c r="DB390" s="184"/>
      <c r="DC390" s="184"/>
      <c r="DD390" s="184"/>
      <c r="DE390" s="184"/>
      <c r="DF390" s="184"/>
      <c r="DG390" s="184"/>
      <c r="DH390" s="184"/>
      <c r="DI390" s="184"/>
      <c r="DJ390" s="184"/>
      <c r="DK390" s="184"/>
      <c r="DL390" s="184"/>
      <c r="DM390" s="184"/>
      <c r="DN390" s="184"/>
      <c r="DO390" s="184"/>
      <c r="DP390" s="184"/>
      <c r="DQ390" s="184"/>
      <c r="DR390" s="184"/>
      <c r="DS390" s="184"/>
      <c r="DT390" s="184"/>
      <c r="DU390" s="184"/>
      <c r="DV390" s="184"/>
      <c r="DW390" s="184"/>
      <c r="DX390" s="184"/>
      <c r="DY390" s="184"/>
      <c r="DZ390" s="184"/>
      <c r="EA390" s="184"/>
      <c r="EB390" s="184"/>
      <c r="EC390" s="184"/>
      <c r="ED390" s="184"/>
      <c r="EE390" s="184"/>
      <c r="EF390" s="184"/>
      <c r="EG390" s="184"/>
      <c r="EH390" s="184"/>
      <c r="EI390" s="184"/>
      <c r="EJ390" s="184"/>
      <c r="EK390" s="184"/>
      <c r="EL390" s="184"/>
      <c r="EM390" s="184"/>
      <c r="EN390" s="184"/>
      <c r="EO390" s="184"/>
      <c r="EP390" s="184"/>
      <c r="EQ390" s="184"/>
      <c r="ER390" s="184"/>
      <c r="ES390" s="184"/>
      <c r="ET390" s="184"/>
      <c r="EU390" s="184"/>
      <c r="EV390" s="184"/>
      <c r="EW390" s="184"/>
      <c r="EX390" s="184"/>
      <c r="EY390" s="184"/>
      <c r="EZ390" s="184"/>
      <c r="FA390" s="184"/>
      <c r="FB390" s="184"/>
      <c r="FC390" s="184"/>
      <c r="FD390" s="184"/>
      <c r="FE390" s="184"/>
      <c r="FF390" s="184"/>
      <c r="FG390" s="184"/>
      <c r="FH390" s="184"/>
      <c r="FI390" s="184"/>
      <c r="FJ390" s="184"/>
      <c r="FK390" s="184"/>
      <c r="FL390" s="184"/>
      <c r="FM390" s="184"/>
      <c r="FN390" s="184"/>
      <c r="FO390" s="184"/>
      <c r="FP390" s="184"/>
      <c r="FQ390" s="184"/>
      <c r="FR390" s="184"/>
      <c r="FS390" s="184"/>
      <c r="FT390" s="184"/>
      <c r="FU390" s="184"/>
      <c r="FV390" s="184"/>
      <c r="FW390" s="184"/>
      <c r="FX390" s="184"/>
      <c r="FY390" s="184"/>
      <c r="FZ390" s="184"/>
      <c r="GA390" s="184"/>
      <c r="GB390" s="184"/>
      <c r="GC390" s="184"/>
      <c r="GD390" s="184"/>
      <c r="GE390" s="184"/>
      <c r="GF390" s="184"/>
      <c r="GG390" s="184"/>
      <c r="GH390" s="184"/>
      <c r="GI390" s="184"/>
      <c r="GJ390" s="184"/>
      <c r="GK390" s="184"/>
      <c r="GL390" s="184"/>
      <c r="GM390" s="184"/>
      <c r="GN390" s="184"/>
      <c r="GO390" s="184"/>
      <c r="GP390" s="184"/>
      <c r="GQ390" s="184"/>
      <c r="GR390" s="184"/>
      <c r="GS390" s="184"/>
      <c r="GT390" s="184"/>
      <c r="GU390" s="184"/>
      <c r="GV390" s="184"/>
      <c r="GW390" s="184"/>
      <c r="GX390" s="184"/>
      <c r="GY390" s="184"/>
      <c r="GZ390" s="184"/>
      <c r="HA390" s="184"/>
      <c r="HB390" s="184"/>
      <c r="HC390" s="184"/>
      <c r="HD390" s="184"/>
      <c r="HE390" s="184"/>
      <c r="HF390" s="184"/>
      <c r="HG390" s="184"/>
      <c r="HH390" s="184"/>
      <c r="HI390" s="184"/>
      <c r="HJ390" s="184"/>
      <c r="HK390" s="184"/>
      <c r="HL390" s="184"/>
      <c r="HM390" s="184"/>
      <c r="HN390" s="184"/>
      <c r="HO390" s="184"/>
      <c r="HP390" s="184"/>
      <c r="HQ390" s="184"/>
      <c r="HR390" s="184"/>
      <c r="HS390" s="184"/>
      <c r="HT390" s="184"/>
      <c r="HU390" s="184"/>
      <c r="HV390" s="184"/>
      <c r="HW390" s="184"/>
      <c r="HX390" s="184"/>
      <c r="HY390" s="184"/>
      <c r="HZ390" s="184"/>
      <c r="IA390" s="184"/>
      <c r="IB390" s="184"/>
      <c r="IC390" s="184"/>
      <c r="ID390" s="184"/>
      <c r="IE390" s="184"/>
      <c r="IF390" s="184"/>
      <c r="IG390" s="184"/>
      <c r="IH390" s="184"/>
      <c r="II390" s="184"/>
      <c r="IJ390" s="184"/>
      <c r="IK390" s="184"/>
      <c r="IL390" s="184"/>
      <c r="IM390" s="184"/>
      <c r="IN390" s="184"/>
      <c r="IO390" s="184"/>
      <c r="IP390" s="184"/>
      <c r="IQ390" s="184"/>
      <c r="IR390" s="184"/>
      <c r="IS390" s="184"/>
      <c r="IT390" s="184"/>
      <c r="IU390" s="184"/>
      <c r="IV390" s="184"/>
      <c r="IW390" s="184"/>
    </row>
    <row r="391" spans="1:257" x14ac:dyDescent="0.2">
      <c r="A391" s="159">
        <v>615191</v>
      </c>
      <c r="B391" s="160" t="s">
        <v>134</v>
      </c>
      <c r="C391" s="148" t="s">
        <v>67</v>
      </c>
      <c r="D391" s="148" t="s">
        <v>179</v>
      </c>
      <c r="E391" s="240">
        <v>0</v>
      </c>
      <c r="F391" s="240">
        <v>0</v>
      </c>
      <c r="G391" s="240">
        <v>0</v>
      </c>
      <c r="H391" s="240">
        <v>0</v>
      </c>
      <c r="I391" s="240">
        <v>0</v>
      </c>
      <c r="J391" s="240">
        <v>0</v>
      </c>
      <c r="K391" s="240">
        <v>0</v>
      </c>
      <c r="L391" s="240">
        <v>0</v>
      </c>
      <c r="M391" s="240">
        <v>0</v>
      </c>
      <c r="N391" s="240">
        <v>3800</v>
      </c>
      <c r="O391" s="240">
        <v>0</v>
      </c>
      <c r="P391" s="240">
        <v>0</v>
      </c>
      <c r="Q391" s="240">
        <v>0</v>
      </c>
      <c r="R391" s="240">
        <v>0</v>
      </c>
      <c r="S391" s="242">
        <f>SUM(E391:Q391)</f>
        <v>3800</v>
      </c>
      <c r="Z391"/>
    </row>
    <row r="392" spans="1:257" x14ac:dyDescent="0.2">
      <c r="A392" s="159">
        <v>615191</v>
      </c>
      <c r="B392" s="160" t="s">
        <v>134</v>
      </c>
      <c r="C392" s="148" t="s">
        <v>67</v>
      </c>
      <c r="D392" s="148" t="s">
        <v>192</v>
      </c>
      <c r="E392" s="240">
        <v>0</v>
      </c>
      <c r="F392" s="240">
        <v>0</v>
      </c>
      <c r="G392" s="240">
        <v>0</v>
      </c>
      <c r="H392" s="240">
        <v>0</v>
      </c>
      <c r="I392" s="240">
        <v>0</v>
      </c>
      <c r="J392" s="240">
        <v>0</v>
      </c>
      <c r="K392" s="240">
        <v>0</v>
      </c>
      <c r="L392" s="240">
        <v>0</v>
      </c>
      <c r="M392" s="240">
        <v>0</v>
      </c>
      <c r="N392" s="240">
        <v>0</v>
      </c>
      <c r="O392" s="240">
        <v>0</v>
      </c>
      <c r="P392" s="240">
        <v>4605.2999999999993</v>
      </c>
      <c r="Q392" s="240">
        <v>0</v>
      </c>
      <c r="R392" s="240">
        <v>0</v>
      </c>
      <c r="S392" s="242">
        <f>SUM(E392:Q392)</f>
        <v>4605.2999999999993</v>
      </c>
      <c r="Z392"/>
    </row>
    <row r="393" spans="1:257" s="175" customFormat="1" x14ac:dyDescent="0.2">
      <c r="A393" s="270"/>
      <c r="B393" s="235"/>
      <c r="C393" s="148"/>
      <c r="D393" s="148"/>
      <c r="E393" s="240"/>
      <c r="F393" s="240"/>
      <c r="G393" s="240"/>
      <c r="H393" s="240"/>
      <c r="I393" s="240"/>
      <c r="J393" s="240"/>
      <c r="K393" s="240"/>
      <c r="L393" s="240"/>
      <c r="M393" s="240"/>
      <c r="N393" s="240"/>
      <c r="O393" s="240"/>
      <c r="P393" s="240"/>
      <c r="Q393" s="240"/>
      <c r="R393" s="240"/>
      <c r="S393" s="242"/>
      <c r="T393"/>
      <c r="U393" s="184"/>
      <c r="V393" s="332"/>
      <c r="X393" s="184"/>
      <c r="Y393" s="184"/>
      <c r="Z393"/>
      <c r="AA393" s="184"/>
      <c r="AB393" s="184"/>
      <c r="AC393" s="184"/>
      <c r="AD393" s="184"/>
      <c r="AE393" s="184"/>
      <c r="AF393" s="184"/>
      <c r="AG393" s="184"/>
      <c r="AH393" s="184"/>
      <c r="AI393" s="184"/>
      <c r="AJ393" s="184"/>
      <c r="AK393" s="184"/>
      <c r="AL393" s="184"/>
      <c r="AM393" s="184"/>
      <c r="AN393" s="184"/>
      <c r="AO393" s="184"/>
      <c r="AP393" s="184"/>
      <c r="AQ393" s="184"/>
      <c r="AR393" s="184"/>
      <c r="AS393" s="184"/>
      <c r="AT393" s="184"/>
      <c r="AU393" s="184"/>
      <c r="AV393" s="184"/>
      <c r="AW393" s="184"/>
      <c r="AX393" s="184"/>
      <c r="AY393" s="184"/>
      <c r="AZ393" s="184"/>
      <c r="BA393" s="184"/>
      <c r="BB393" s="184"/>
      <c r="BC393" s="184"/>
      <c r="BD393" s="184"/>
      <c r="BE393" s="184"/>
      <c r="BF393" s="184"/>
      <c r="BG393" s="184"/>
      <c r="BH393" s="184"/>
      <c r="BI393" s="184"/>
      <c r="BJ393" s="184"/>
      <c r="BK393" s="184"/>
      <c r="BL393" s="184"/>
      <c r="BM393" s="184"/>
      <c r="BN393" s="184"/>
      <c r="BO393" s="184"/>
      <c r="BP393" s="184"/>
      <c r="BQ393" s="184"/>
      <c r="BR393" s="184"/>
      <c r="BS393" s="184"/>
      <c r="BT393" s="184"/>
      <c r="BU393" s="184"/>
      <c r="BV393" s="184"/>
      <c r="BW393" s="184"/>
      <c r="BX393" s="184"/>
      <c r="BY393" s="184"/>
      <c r="BZ393" s="184"/>
      <c r="CA393" s="184"/>
      <c r="CB393" s="184"/>
      <c r="CC393" s="184"/>
      <c r="CD393" s="184"/>
      <c r="CE393" s="184"/>
      <c r="CF393" s="184"/>
      <c r="CG393" s="184"/>
      <c r="CH393" s="184"/>
      <c r="CI393" s="184"/>
      <c r="CJ393" s="184"/>
      <c r="CK393" s="184"/>
      <c r="CL393" s="184"/>
      <c r="CM393" s="184"/>
      <c r="CN393" s="184"/>
      <c r="CO393" s="184"/>
      <c r="CP393" s="184"/>
      <c r="CQ393" s="184"/>
      <c r="CR393" s="184"/>
      <c r="CS393" s="184"/>
      <c r="CT393" s="184"/>
      <c r="CU393" s="184"/>
      <c r="CV393" s="184"/>
      <c r="CW393" s="184"/>
      <c r="CX393" s="184"/>
      <c r="CY393" s="184"/>
      <c r="CZ393" s="184"/>
      <c r="DA393" s="184"/>
      <c r="DB393" s="184"/>
      <c r="DC393" s="184"/>
      <c r="DD393" s="184"/>
      <c r="DE393" s="184"/>
      <c r="DF393" s="184"/>
      <c r="DG393" s="184"/>
      <c r="DH393" s="184"/>
      <c r="DI393" s="184"/>
      <c r="DJ393" s="184"/>
      <c r="DK393" s="184"/>
      <c r="DL393" s="184"/>
      <c r="DM393" s="184"/>
      <c r="DN393" s="184"/>
      <c r="DO393" s="184"/>
      <c r="DP393" s="184"/>
      <c r="DQ393" s="184"/>
      <c r="DR393" s="184"/>
      <c r="DS393" s="184"/>
      <c r="DT393" s="184"/>
      <c r="DU393" s="184"/>
      <c r="DV393" s="184"/>
      <c r="DW393" s="184"/>
      <c r="DX393" s="184"/>
      <c r="DY393" s="184"/>
      <c r="DZ393" s="184"/>
      <c r="EA393" s="184"/>
      <c r="EB393" s="184"/>
      <c r="EC393" s="184"/>
      <c r="ED393" s="184"/>
      <c r="EE393" s="184"/>
      <c r="EF393" s="184"/>
      <c r="EG393" s="184"/>
      <c r="EH393" s="184"/>
      <c r="EI393" s="184"/>
      <c r="EJ393" s="184"/>
      <c r="EK393" s="184"/>
      <c r="EL393" s="184"/>
      <c r="EM393" s="184"/>
      <c r="EN393" s="184"/>
      <c r="EO393" s="184"/>
      <c r="EP393" s="184"/>
      <c r="EQ393" s="184"/>
      <c r="ER393" s="184"/>
      <c r="ES393" s="184"/>
      <c r="ET393" s="184"/>
      <c r="EU393" s="184"/>
      <c r="EV393" s="184"/>
      <c r="EW393" s="184"/>
      <c r="EX393" s="184"/>
      <c r="EY393" s="184"/>
      <c r="EZ393" s="184"/>
      <c r="FA393" s="184"/>
      <c r="FB393" s="184"/>
      <c r="FC393" s="184"/>
      <c r="FD393" s="184"/>
      <c r="FE393" s="184"/>
      <c r="FF393" s="184"/>
      <c r="FG393" s="184"/>
      <c r="FH393" s="184"/>
      <c r="FI393" s="184"/>
      <c r="FJ393" s="184"/>
      <c r="FK393" s="184"/>
      <c r="FL393" s="184"/>
      <c r="FM393" s="184"/>
      <c r="FN393" s="184"/>
      <c r="FO393" s="184"/>
      <c r="FP393" s="184"/>
      <c r="FQ393" s="184"/>
      <c r="FR393" s="184"/>
      <c r="FS393" s="184"/>
      <c r="FT393" s="184"/>
      <c r="FU393" s="184"/>
      <c r="FV393" s="184"/>
      <c r="FW393" s="184"/>
      <c r="FX393" s="184"/>
      <c r="FY393" s="184"/>
      <c r="FZ393" s="184"/>
      <c r="GA393" s="184"/>
      <c r="GB393" s="184"/>
      <c r="GC393" s="184"/>
      <c r="GD393" s="184"/>
      <c r="GE393" s="184"/>
      <c r="GF393" s="184"/>
      <c r="GG393" s="184"/>
      <c r="GH393" s="184"/>
      <c r="GI393" s="184"/>
      <c r="GJ393" s="184"/>
      <c r="GK393" s="184"/>
      <c r="GL393" s="184"/>
      <c r="GM393" s="184"/>
      <c r="GN393" s="184"/>
      <c r="GO393" s="184"/>
      <c r="GP393" s="184"/>
      <c r="GQ393" s="184"/>
      <c r="GR393" s="184"/>
      <c r="GS393" s="184"/>
      <c r="GT393" s="184"/>
      <c r="GU393" s="184"/>
      <c r="GV393" s="184"/>
      <c r="GW393" s="184"/>
      <c r="GX393" s="184"/>
      <c r="GY393" s="184"/>
      <c r="GZ393" s="184"/>
      <c r="HA393" s="184"/>
      <c r="HB393" s="184"/>
      <c r="HC393" s="184"/>
      <c r="HD393" s="184"/>
      <c r="HE393" s="184"/>
      <c r="HF393" s="184"/>
      <c r="HG393" s="184"/>
      <c r="HH393" s="184"/>
      <c r="HI393" s="184"/>
      <c r="HJ393" s="184"/>
      <c r="HK393" s="184"/>
      <c r="HL393" s="184"/>
      <c r="HM393" s="184"/>
      <c r="HN393" s="184"/>
      <c r="HO393" s="184"/>
      <c r="HP393" s="184"/>
      <c r="HQ393" s="184"/>
      <c r="HR393" s="184"/>
      <c r="HS393" s="184"/>
      <c r="HT393" s="184"/>
      <c r="HU393" s="184"/>
      <c r="HV393" s="184"/>
      <c r="HW393" s="184"/>
      <c r="HX393" s="184"/>
      <c r="HY393" s="184"/>
      <c r="HZ393" s="184"/>
      <c r="IA393" s="184"/>
      <c r="IB393" s="184"/>
      <c r="IC393" s="184"/>
      <c r="ID393" s="184"/>
      <c r="IE393" s="184"/>
      <c r="IF393" s="184"/>
      <c r="IG393" s="184"/>
      <c r="IH393" s="184"/>
      <c r="II393" s="184"/>
      <c r="IJ393" s="184"/>
      <c r="IK393" s="184"/>
      <c r="IL393" s="184"/>
      <c r="IM393" s="184"/>
      <c r="IN393" s="184"/>
      <c r="IO393" s="184"/>
      <c r="IP393" s="184"/>
      <c r="IQ393" s="184"/>
      <c r="IR393" s="184"/>
      <c r="IS393" s="184"/>
      <c r="IT393" s="184"/>
      <c r="IU393" s="184"/>
      <c r="IV393" s="184"/>
      <c r="IW393" s="184"/>
    </row>
    <row r="394" spans="1:257" x14ac:dyDescent="0.2">
      <c r="A394" s="159">
        <v>615191</v>
      </c>
      <c r="B394" s="160" t="s">
        <v>134</v>
      </c>
      <c r="C394" s="148" t="s">
        <v>62</v>
      </c>
      <c r="D394" s="148" t="s">
        <v>192</v>
      </c>
      <c r="E394" s="240">
        <v>0</v>
      </c>
      <c r="F394" s="240">
        <v>0</v>
      </c>
      <c r="G394" s="240">
        <v>0</v>
      </c>
      <c r="H394" s="240">
        <v>0</v>
      </c>
      <c r="I394" s="240">
        <v>0</v>
      </c>
      <c r="J394" s="240">
        <v>0</v>
      </c>
      <c r="K394" s="240">
        <v>0</v>
      </c>
      <c r="L394" s="240">
        <v>0</v>
      </c>
      <c r="M394" s="240">
        <v>0</v>
      </c>
      <c r="N394" s="240">
        <v>0</v>
      </c>
      <c r="O394" s="240">
        <v>0</v>
      </c>
      <c r="P394" s="240">
        <v>0</v>
      </c>
      <c r="Q394" s="240">
        <v>0</v>
      </c>
      <c r="R394" s="240">
        <v>0</v>
      </c>
      <c r="S394" s="242">
        <f>SUM(E394:Q394)</f>
        <v>0</v>
      </c>
      <c r="Z394"/>
    </row>
    <row r="395" spans="1:257" s="175" customFormat="1" x14ac:dyDescent="0.2">
      <c r="A395" s="270"/>
      <c r="B395" s="235"/>
      <c r="C395" s="148"/>
      <c r="D395" s="148"/>
      <c r="E395" s="240"/>
      <c r="F395" s="240"/>
      <c r="G395" s="240"/>
      <c r="H395" s="240"/>
      <c r="I395" s="240"/>
      <c r="J395" s="240"/>
      <c r="K395" s="240"/>
      <c r="L395" s="240"/>
      <c r="M395" s="240"/>
      <c r="N395" s="240"/>
      <c r="O395" s="240"/>
      <c r="P395" s="240"/>
      <c r="Q395" s="240"/>
      <c r="R395" s="240"/>
      <c r="S395" s="242"/>
      <c r="T395"/>
      <c r="U395" s="184"/>
      <c r="V395" s="332"/>
      <c r="X395" s="184"/>
      <c r="Y395" s="184"/>
      <c r="Z395"/>
      <c r="AA395" s="184"/>
      <c r="AB395" s="184"/>
      <c r="AC395" s="184"/>
      <c r="AD395" s="184"/>
      <c r="AE395" s="184"/>
      <c r="AF395" s="184"/>
      <c r="AG395" s="184"/>
      <c r="AH395" s="184"/>
      <c r="AI395" s="184"/>
      <c r="AJ395" s="184"/>
      <c r="AK395" s="184"/>
      <c r="AL395" s="184"/>
      <c r="AM395" s="184"/>
      <c r="AN395" s="184"/>
      <c r="AO395" s="184"/>
      <c r="AP395" s="184"/>
      <c r="AQ395" s="184"/>
      <c r="AR395" s="184"/>
      <c r="AS395" s="184"/>
      <c r="AT395" s="184"/>
      <c r="AU395" s="184"/>
      <c r="AV395" s="184"/>
      <c r="AW395" s="184"/>
      <c r="AX395" s="184"/>
      <c r="AY395" s="184"/>
      <c r="AZ395" s="184"/>
      <c r="BA395" s="184"/>
      <c r="BB395" s="184"/>
      <c r="BC395" s="184"/>
      <c r="BD395" s="184"/>
      <c r="BE395" s="184"/>
      <c r="BF395" s="184"/>
      <c r="BG395" s="184"/>
      <c r="BH395" s="184"/>
      <c r="BI395" s="184"/>
      <c r="BJ395" s="184"/>
      <c r="BK395" s="184"/>
      <c r="BL395" s="184"/>
      <c r="BM395" s="184"/>
      <c r="BN395" s="184"/>
      <c r="BO395" s="184"/>
      <c r="BP395" s="184"/>
      <c r="BQ395" s="184"/>
      <c r="BR395" s="184"/>
      <c r="BS395" s="184"/>
      <c r="BT395" s="184"/>
      <c r="BU395" s="184"/>
      <c r="BV395" s="184"/>
      <c r="BW395" s="184"/>
      <c r="BX395" s="184"/>
      <c r="BY395" s="184"/>
      <c r="BZ395" s="184"/>
      <c r="CA395" s="184"/>
      <c r="CB395" s="184"/>
      <c r="CC395" s="184"/>
      <c r="CD395" s="184"/>
      <c r="CE395" s="184"/>
      <c r="CF395" s="184"/>
      <c r="CG395" s="184"/>
      <c r="CH395" s="184"/>
      <c r="CI395" s="184"/>
      <c r="CJ395" s="184"/>
      <c r="CK395" s="184"/>
      <c r="CL395" s="184"/>
      <c r="CM395" s="184"/>
      <c r="CN395" s="184"/>
      <c r="CO395" s="184"/>
      <c r="CP395" s="184"/>
      <c r="CQ395" s="184"/>
      <c r="CR395" s="184"/>
      <c r="CS395" s="184"/>
      <c r="CT395" s="184"/>
      <c r="CU395" s="184"/>
      <c r="CV395" s="184"/>
      <c r="CW395" s="184"/>
      <c r="CX395" s="184"/>
      <c r="CY395" s="184"/>
      <c r="CZ395" s="184"/>
      <c r="DA395" s="184"/>
      <c r="DB395" s="184"/>
      <c r="DC395" s="184"/>
      <c r="DD395" s="184"/>
      <c r="DE395" s="184"/>
      <c r="DF395" s="184"/>
      <c r="DG395" s="184"/>
      <c r="DH395" s="184"/>
      <c r="DI395" s="184"/>
      <c r="DJ395" s="184"/>
      <c r="DK395" s="184"/>
      <c r="DL395" s="184"/>
      <c r="DM395" s="184"/>
      <c r="DN395" s="184"/>
      <c r="DO395" s="184"/>
      <c r="DP395" s="184"/>
      <c r="DQ395" s="184"/>
      <c r="DR395" s="184"/>
      <c r="DS395" s="184"/>
      <c r="DT395" s="184"/>
      <c r="DU395" s="184"/>
      <c r="DV395" s="184"/>
      <c r="DW395" s="184"/>
      <c r="DX395" s="184"/>
      <c r="DY395" s="184"/>
      <c r="DZ395" s="184"/>
      <c r="EA395" s="184"/>
      <c r="EB395" s="184"/>
      <c r="EC395" s="184"/>
      <c r="ED395" s="184"/>
      <c r="EE395" s="184"/>
      <c r="EF395" s="184"/>
      <c r="EG395" s="184"/>
      <c r="EH395" s="184"/>
      <c r="EI395" s="184"/>
      <c r="EJ395" s="184"/>
      <c r="EK395" s="184"/>
      <c r="EL395" s="184"/>
      <c r="EM395" s="184"/>
      <c r="EN395" s="184"/>
      <c r="EO395" s="184"/>
      <c r="EP395" s="184"/>
      <c r="EQ395" s="184"/>
      <c r="ER395" s="184"/>
      <c r="ES395" s="184"/>
      <c r="ET395" s="184"/>
      <c r="EU395" s="184"/>
      <c r="EV395" s="184"/>
      <c r="EW395" s="184"/>
      <c r="EX395" s="184"/>
      <c r="EY395" s="184"/>
      <c r="EZ395" s="184"/>
      <c r="FA395" s="184"/>
      <c r="FB395" s="184"/>
      <c r="FC395" s="184"/>
      <c r="FD395" s="184"/>
      <c r="FE395" s="184"/>
      <c r="FF395" s="184"/>
      <c r="FG395" s="184"/>
      <c r="FH395" s="184"/>
      <c r="FI395" s="184"/>
      <c r="FJ395" s="184"/>
      <c r="FK395" s="184"/>
      <c r="FL395" s="184"/>
      <c r="FM395" s="184"/>
      <c r="FN395" s="184"/>
      <c r="FO395" s="184"/>
      <c r="FP395" s="184"/>
      <c r="FQ395" s="184"/>
      <c r="FR395" s="184"/>
      <c r="FS395" s="184"/>
      <c r="FT395" s="184"/>
      <c r="FU395" s="184"/>
      <c r="FV395" s="184"/>
      <c r="FW395" s="184"/>
      <c r="FX395" s="184"/>
      <c r="FY395" s="184"/>
      <c r="FZ395" s="184"/>
      <c r="GA395" s="184"/>
      <c r="GB395" s="184"/>
      <c r="GC395" s="184"/>
      <c r="GD395" s="184"/>
      <c r="GE395" s="184"/>
      <c r="GF395" s="184"/>
      <c r="GG395" s="184"/>
      <c r="GH395" s="184"/>
      <c r="GI395" s="184"/>
      <c r="GJ395" s="184"/>
      <c r="GK395" s="184"/>
      <c r="GL395" s="184"/>
      <c r="GM395" s="184"/>
      <c r="GN395" s="184"/>
      <c r="GO395" s="184"/>
      <c r="GP395" s="184"/>
      <c r="GQ395" s="184"/>
      <c r="GR395" s="184"/>
      <c r="GS395" s="184"/>
      <c r="GT395" s="184"/>
      <c r="GU395" s="184"/>
      <c r="GV395" s="184"/>
      <c r="GW395" s="184"/>
      <c r="GX395" s="184"/>
      <c r="GY395" s="184"/>
      <c r="GZ395" s="184"/>
      <c r="HA395" s="184"/>
      <c r="HB395" s="184"/>
      <c r="HC395" s="184"/>
      <c r="HD395" s="184"/>
      <c r="HE395" s="184"/>
      <c r="HF395" s="184"/>
      <c r="HG395" s="184"/>
      <c r="HH395" s="184"/>
      <c r="HI395" s="184"/>
      <c r="HJ395" s="184"/>
      <c r="HK395" s="184"/>
      <c r="HL395" s="184"/>
      <c r="HM395" s="184"/>
      <c r="HN395" s="184"/>
      <c r="HO395" s="184"/>
      <c r="HP395" s="184"/>
      <c r="HQ395" s="184"/>
      <c r="HR395" s="184"/>
      <c r="HS395" s="184"/>
      <c r="HT395" s="184"/>
      <c r="HU395" s="184"/>
      <c r="HV395" s="184"/>
      <c r="HW395" s="184"/>
      <c r="HX395" s="184"/>
      <c r="HY395" s="184"/>
      <c r="HZ395" s="184"/>
      <c r="IA395" s="184"/>
      <c r="IB395" s="184"/>
      <c r="IC395" s="184"/>
      <c r="ID395" s="184"/>
      <c r="IE395" s="184"/>
      <c r="IF395" s="184"/>
      <c r="IG395" s="184"/>
      <c r="IH395" s="184"/>
      <c r="II395" s="184"/>
      <c r="IJ395" s="184"/>
      <c r="IK395" s="184"/>
      <c r="IL395" s="184"/>
      <c r="IM395" s="184"/>
      <c r="IN395" s="184"/>
      <c r="IO395" s="184"/>
      <c r="IP395" s="184"/>
      <c r="IQ395" s="184"/>
      <c r="IR395" s="184"/>
      <c r="IS395" s="184"/>
      <c r="IT395" s="184"/>
      <c r="IU395" s="184"/>
      <c r="IV395" s="184"/>
      <c r="IW395" s="184"/>
    </row>
    <row r="396" spans="1:257" x14ac:dyDescent="0.2">
      <c r="A396" s="159">
        <v>615191</v>
      </c>
      <c r="B396" s="160" t="s">
        <v>134</v>
      </c>
      <c r="C396" s="148" t="s">
        <v>80</v>
      </c>
      <c r="D396" s="148" t="s">
        <v>192</v>
      </c>
      <c r="E396" s="240">
        <v>0</v>
      </c>
      <c r="F396" s="240">
        <v>0</v>
      </c>
      <c r="G396" s="240">
        <v>0</v>
      </c>
      <c r="H396" s="240">
        <v>0</v>
      </c>
      <c r="I396" s="240">
        <v>0</v>
      </c>
      <c r="J396" s="240">
        <v>0</v>
      </c>
      <c r="K396" s="240">
        <v>0</v>
      </c>
      <c r="L396" s="240">
        <v>0</v>
      </c>
      <c r="M396" s="240">
        <v>0</v>
      </c>
      <c r="N396" s="240">
        <v>1328.5</v>
      </c>
      <c r="O396" s="240">
        <v>0</v>
      </c>
      <c r="P396" s="240">
        <v>99.45</v>
      </c>
      <c r="Q396" s="240">
        <v>0</v>
      </c>
      <c r="R396" s="240">
        <v>0</v>
      </c>
      <c r="S396" s="242">
        <f>SUM(E396:Q396)</f>
        <v>1427.95</v>
      </c>
      <c r="Z396"/>
    </row>
    <row r="397" spans="1:257" x14ac:dyDescent="0.2">
      <c r="A397" s="159">
        <v>615191</v>
      </c>
      <c r="B397" s="160" t="s">
        <v>134</v>
      </c>
      <c r="C397" s="148" t="s">
        <v>80</v>
      </c>
      <c r="D397" s="148" t="s">
        <v>696</v>
      </c>
      <c r="E397" s="240">
        <v>0</v>
      </c>
      <c r="F397" s="240">
        <v>0</v>
      </c>
      <c r="G397" s="240">
        <v>0</v>
      </c>
      <c r="H397" s="240">
        <v>274.5</v>
      </c>
      <c r="I397" s="240">
        <v>0</v>
      </c>
      <c r="J397" s="240">
        <v>0</v>
      </c>
      <c r="K397" s="240">
        <v>0</v>
      </c>
      <c r="L397" s="240">
        <v>0</v>
      </c>
      <c r="M397" s="240">
        <v>0</v>
      </c>
      <c r="N397" s="240">
        <v>0</v>
      </c>
      <c r="O397" s="240">
        <v>0</v>
      </c>
      <c r="P397" s="240">
        <v>0</v>
      </c>
      <c r="Q397" s="240">
        <v>0</v>
      </c>
      <c r="R397" s="240">
        <v>0</v>
      </c>
      <c r="S397" s="242">
        <f>SUM(E397:Q397)</f>
        <v>274.5</v>
      </c>
      <c r="Z397"/>
    </row>
    <row r="398" spans="1:257" s="175" customFormat="1" x14ac:dyDescent="0.2">
      <c r="A398" s="270"/>
      <c r="B398" s="235"/>
      <c r="C398" s="148"/>
      <c r="D398" s="148"/>
      <c r="E398" s="240"/>
      <c r="F398" s="240"/>
      <c r="G398" s="240"/>
      <c r="H398" s="240"/>
      <c r="I398" s="240"/>
      <c r="J398" s="240"/>
      <c r="K398" s="240"/>
      <c r="L398" s="240"/>
      <c r="M398" s="240"/>
      <c r="N398" s="240"/>
      <c r="O398" s="240"/>
      <c r="P398" s="240"/>
      <c r="Q398" s="240"/>
      <c r="R398" s="240"/>
      <c r="S398" s="242"/>
      <c r="T398"/>
      <c r="U398" s="184"/>
      <c r="V398" s="332"/>
      <c r="X398" s="184"/>
      <c r="Y398" s="184"/>
      <c r="Z398"/>
      <c r="AA398" s="184"/>
      <c r="AB398" s="184"/>
      <c r="AC398" s="184"/>
      <c r="AD398" s="184"/>
      <c r="AE398" s="184"/>
      <c r="AF398" s="184"/>
      <c r="AG398" s="184"/>
      <c r="AH398" s="184"/>
      <c r="AI398" s="184"/>
      <c r="AJ398" s="184"/>
      <c r="AK398" s="184"/>
      <c r="AL398" s="184"/>
      <c r="AM398" s="184"/>
      <c r="AN398" s="184"/>
      <c r="AO398" s="184"/>
      <c r="AP398" s="184"/>
      <c r="AQ398" s="184"/>
      <c r="AR398" s="184"/>
      <c r="AS398" s="184"/>
      <c r="AT398" s="184"/>
      <c r="AU398" s="184"/>
      <c r="AV398" s="184"/>
      <c r="AW398" s="184"/>
      <c r="AX398" s="184"/>
      <c r="AY398" s="184"/>
      <c r="AZ398" s="184"/>
      <c r="BA398" s="184"/>
      <c r="BB398" s="184"/>
      <c r="BC398" s="184"/>
      <c r="BD398" s="184"/>
      <c r="BE398" s="184"/>
      <c r="BF398" s="184"/>
      <c r="BG398" s="184"/>
      <c r="BH398" s="184"/>
      <c r="BI398" s="184"/>
      <c r="BJ398" s="184"/>
      <c r="BK398" s="184"/>
      <c r="BL398" s="184"/>
      <c r="BM398" s="184"/>
      <c r="BN398" s="184"/>
      <c r="BO398" s="184"/>
      <c r="BP398" s="184"/>
      <c r="BQ398" s="184"/>
      <c r="BR398" s="184"/>
      <c r="BS398" s="184"/>
      <c r="BT398" s="184"/>
      <c r="BU398" s="184"/>
      <c r="BV398" s="184"/>
      <c r="BW398" s="184"/>
      <c r="BX398" s="184"/>
      <c r="BY398" s="184"/>
      <c r="BZ398" s="184"/>
      <c r="CA398" s="184"/>
      <c r="CB398" s="184"/>
      <c r="CC398" s="184"/>
      <c r="CD398" s="184"/>
      <c r="CE398" s="184"/>
      <c r="CF398" s="184"/>
      <c r="CG398" s="184"/>
      <c r="CH398" s="184"/>
      <c r="CI398" s="184"/>
      <c r="CJ398" s="184"/>
      <c r="CK398" s="184"/>
      <c r="CL398" s="184"/>
      <c r="CM398" s="184"/>
      <c r="CN398" s="184"/>
      <c r="CO398" s="184"/>
      <c r="CP398" s="184"/>
      <c r="CQ398" s="184"/>
      <c r="CR398" s="184"/>
      <c r="CS398" s="184"/>
      <c r="CT398" s="184"/>
      <c r="CU398" s="184"/>
      <c r="CV398" s="184"/>
      <c r="CW398" s="184"/>
      <c r="CX398" s="184"/>
      <c r="CY398" s="184"/>
      <c r="CZ398" s="184"/>
      <c r="DA398" s="184"/>
      <c r="DB398" s="184"/>
      <c r="DC398" s="184"/>
      <c r="DD398" s="184"/>
      <c r="DE398" s="184"/>
      <c r="DF398" s="184"/>
      <c r="DG398" s="184"/>
      <c r="DH398" s="184"/>
      <c r="DI398" s="184"/>
      <c r="DJ398" s="184"/>
      <c r="DK398" s="184"/>
      <c r="DL398" s="184"/>
      <c r="DM398" s="184"/>
      <c r="DN398" s="184"/>
      <c r="DO398" s="184"/>
      <c r="DP398" s="184"/>
      <c r="DQ398" s="184"/>
      <c r="DR398" s="184"/>
      <c r="DS398" s="184"/>
      <c r="DT398" s="184"/>
      <c r="DU398" s="184"/>
      <c r="DV398" s="184"/>
      <c r="DW398" s="184"/>
      <c r="DX398" s="184"/>
      <c r="DY398" s="184"/>
      <c r="DZ398" s="184"/>
      <c r="EA398" s="184"/>
      <c r="EB398" s="184"/>
      <c r="EC398" s="184"/>
      <c r="ED398" s="184"/>
      <c r="EE398" s="184"/>
      <c r="EF398" s="184"/>
      <c r="EG398" s="184"/>
      <c r="EH398" s="184"/>
      <c r="EI398" s="184"/>
      <c r="EJ398" s="184"/>
      <c r="EK398" s="184"/>
      <c r="EL398" s="184"/>
      <c r="EM398" s="184"/>
      <c r="EN398" s="184"/>
      <c r="EO398" s="184"/>
      <c r="EP398" s="184"/>
      <c r="EQ398" s="184"/>
      <c r="ER398" s="184"/>
      <c r="ES398" s="184"/>
      <c r="ET398" s="184"/>
      <c r="EU398" s="184"/>
      <c r="EV398" s="184"/>
      <c r="EW398" s="184"/>
      <c r="EX398" s="184"/>
      <c r="EY398" s="184"/>
      <c r="EZ398" s="184"/>
      <c r="FA398" s="184"/>
      <c r="FB398" s="184"/>
      <c r="FC398" s="184"/>
      <c r="FD398" s="184"/>
      <c r="FE398" s="184"/>
      <c r="FF398" s="184"/>
      <c r="FG398" s="184"/>
      <c r="FH398" s="184"/>
      <c r="FI398" s="184"/>
      <c r="FJ398" s="184"/>
      <c r="FK398" s="184"/>
      <c r="FL398" s="184"/>
      <c r="FM398" s="184"/>
      <c r="FN398" s="184"/>
      <c r="FO398" s="184"/>
      <c r="FP398" s="184"/>
      <c r="FQ398" s="184"/>
      <c r="FR398" s="184"/>
      <c r="FS398" s="184"/>
      <c r="FT398" s="184"/>
      <c r="FU398" s="184"/>
      <c r="FV398" s="184"/>
      <c r="FW398" s="184"/>
      <c r="FX398" s="184"/>
      <c r="FY398" s="184"/>
      <c r="FZ398" s="184"/>
      <c r="GA398" s="184"/>
      <c r="GB398" s="184"/>
      <c r="GC398" s="184"/>
      <c r="GD398" s="184"/>
      <c r="GE398" s="184"/>
      <c r="GF398" s="184"/>
      <c r="GG398" s="184"/>
      <c r="GH398" s="184"/>
      <c r="GI398" s="184"/>
      <c r="GJ398" s="184"/>
      <c r="GK398" s="184"/>
      <c r="GL398" s="184"/>
      <c r="GM398" s="184"/>
      <c r="GN398" s="184"/>
      <c r="GO398" s="184"/>
      <c r="GP398" s="184"/>
      <c r="GQ398" s="184"/>
      <c r="GR398" s="184"/>
      <c r="GS398" s="184"/>
      <c r="GT398" s="184"/>
      <c r="GU398" s="184"/>
      <c r="GV398" s="184"/>
      <c r="GW398" s="184"/>
      <c r="GX398" s="184"/>
      <c r="GY398" s="184"/>
      <c r="GZ398" s="184"/>
      <c r="HA398" s="184"/>
      <c r="HB398" s="184"/>
      <c r="HC398" s="184"/>
      <c r="HD398" s="184"/>
      <c r="HE398" s="184"/>
      <c r="HF398" s="184"/>
      <c r="HG398" s="184"/>
      <c r="HH398" s="184"/>
      <c r="HI398" s="184"/>
      <c r="HJ398" s="184"/>
      <c r="HK398" s="184"/>
      <c r="HL398" s="184"/>
      <c r="HM398" s="184"/>
      <c r="HN398" s="184"/>
      <c r="HO398" s="184"/>
      <c r="HP398" s="184"/>
      <c r="HQ398" s="184"/>
      <c r="HR398" s="184"/>
      <c r="HS398" s="184"/>
      <c r="HT398" s="184"/>
      <c r="HU398" s="184"/>
      <c r="HV398" s="184"/>
      <c r="HW398" s="184"/>
      <c r="HX398" s="184"/>
      <c r="HY398" s="184"/>
      <c r="HZ398" s="184"/>
      <c r="IA398" s="184"/>
      <c r="IB398" s="184"/>
      <c r="IC398" s="184"/>
      <c r="ID398" s="184"/>
      <c r="IE398" s="184"/>
      <c r="IF398" s="184"/>
      <c r="IG398" s="184"/>
      <c r="IH398" s="184"/>
      <c r="II398" s="184"/>
      <c r="IJ398" s="184"/>
      <c r="IK398" s="184"/>
      <c r="IL398" s="184"/>
      <c r="IM398" s="184"/>
      <c r="IN398" s="184"/>
      <c r="IO398" s="184"/>
      <c r="IP398" s="184"/>
      <c r="IQ398" s="184"/>
      <c r="IR398" s="184"/>
      <c r="IS398" s="184"/>
      <c r="IT398" s="184"/>
      <c r="IU398" s="184"/>
      <c r="IV398" s="184"/>
      <c r="IW398" s="184"/>
    </row>
    <row r="399" spans="1:257" x14ac:dyDescent="0.2">
      <c r="A399" s="159">
        <v>615191</v>
      </c>
      <c r="B399" s="160" t="s">
        <v>134</v>
      </c>
      <c r="C399" s="148" t="s">
        <v>156</v>
      </c>
      <c r="D399" s="148" t="s">
        <v>192</v>
      </c>
      <c r="E399" s="240">
        <v>0</v>
      </c>
      <c r="F399" s="240">
        <v>0</v>
      </c>
      <c r="G399" s="240">
        <v>0</v>
      </c>
      <c r="H399" s="240">
        <v>0</v>
      </c>
      <c r="I399" s="240">
        <v>0</v>
      </c>
      <c r="J399" s="240">
        <v>0</v>
      </c>
      <c r="K399" s="240">
        <v>0</v>
      </c>
      <c r="L399" s="240">
        <v>0</v>
      </c>
      <c r="M399" s="240">
        <v>0</v>
      </c>
      <c r="N399" s="240">
        <v>0</v>
      </c>
      <c r="O399" s="240">
        <v>0</v>
      </c>
      <c r="P399" s="240">
        <v>0</v>
      </c>
      <c r="Q399" s="240">
        <v>0</v>
      </c>
      <c r="R399" s="240">
        <v>0</v>
      </c>
      <c r="S399" s="242">
        <f>SUM(E399:Q399)</f>
        <v>0</v>
      </c>
      <c r="Z399"/>
    </row>
    <row r="400" spans="1:257" x14ac:dyDescent="0.2">
      <c r="A400" s="159">
        <v>615191</v>
      </c>
      <c r="B400" s="160" t="s">
        <v>134</v>
      </c>
      <c r="C400" s="148" t="s">
        <v>156</v>
      </c>
      <c r="D400" s="148" t="s">
        <v>179</v>
      </c>
      <c r="E400" s="240">
        <v>0</v>
      </c>
      <c r="F400" s="240">
        <v>149.81</v>
      </c>
      <c r="G400" s="240">
        <v>149.81</v>
      </c>
      <c r="H400" s="240">
        <v>149.81</v>
      </c>
      <c r="I400" s="240">
        <v>149.81</v>
      </c>
      <c r="J400" s="240">
        <v>149.81</v>
      </c>
      <c r="K400" s="240">
        <v>0</v>
      </c>
      <c r="L400" s="240">
        <v>0</v>
      </c>
      <c r="M400" s="240">
        <v>0</v>
      </c>
      <c r="N400" s="240">
        <v>0</v>
      </c>
      <c r="O400" s="240">
        <v>0</v>
      </c>
      <c r="P400" s="240">
        <v>0</v>
      </c>
      <c r="Q400" s="240">
        <v>0</v>
      </c>
      <c r="R400" s="240">
        <v>0</v>
      </c>
      <c r="S400" s="242">
        <f>SUM(E400:Q400)</f>
        <v>749.05</v>
      </c>
      <c r="Z400"/>
    </row>
    <row r="401" spans="1:257" s="175" customFormat="1" x14ac:dyDescent="0.2">
      <c r="A401" s="270"/>
      <c r="B401" s="235"/>
      <c r="C401" s="148"/>
      <c r="D401" s="148"/>
      <c r="E401" s="240"/>
      <c r="F401" s="240"/>
      <c r="G401" s="240"/>
      <c r="H401" s="240"/>
      <c r="I401" s="240"/>
      <c r="J401" s="240"/>
      <c r="K401" s="240"/>
      <c r="L401" s="240"/>
      <c r="M401" s="240"/>
      <c r="N401" s="240"/>
      <c r="O401" s="240"/>
      <c r="P401" s="240"/>
      <c r="Q401" s="240"/>
      <c r="R401" s="240"/>
      <c r="S401" s="242"/>
      <c r="T401"/>
      <c r="U401" s="184"/>
      <c r="V401" s="332"/>
      <c r="X401" s="184"/>
      <c r="Y401" s="184"/>
      <c r="Z401"/>
      <c r="AA401" s="184"/>
      <c r="AB401" s="184"/>
      <c r="AC401" s="184"/>
      <c r="AD401" s="184"/>
      <c r="AE401" s="184"/>
      <c r="AF401" s="184"/>
      <c r="AG401" s="184"/>
      <c r="AH401" s="184"/>
      <c r="AI401" s="184"/>
      <c r="AJ401" s="184"/>
      <c r="AK401" s="184"/>
      <c r="AL401" s="184"/>
      <c r="AM401" s="184"/>
      <c r="AN401" s="184"/>
      <c r="AO401" s="184"/>
      <c r="AP401" s="184"/>
      <c r="AQ401" s="184"/>
      <c r="AR401" s="184"/>
      <c r="AS401" s="184"/>
      <c r="AT401" s="184"/>
      <c r="AU401" s="184"/>
      <c r="AV401" s="184"/>
      <c r="AW401" s="184"/>
      <c r="AX401" s="184"/>
      <c r="AY401" s="184"/>
      <c r="AZ401" s="184"/>
      <c r="BA401" s="184"/>
      <c r="BB401" s="184"/>
      <c r="BC401" s="184"/>
      <c r="BD401" s="184"/>
      <c r="BE401" s="184"/>
      <c r="BF401" s="184"/>
      <c r="BG401" s="184"/>
      <c r="BH401" s="184"/>
      <c r="BI401" s="184"/>
      <c r="BJ401" s="184"/>
      <c r="BK401" s="184"/>
      <c r="BL401" s="184"/>
      <c r="BM401" s="184"/>
      <c r="BN401" s="184"/>
      <c r="BO401" s="184"/>
      <c r="BP401" s="184"/>
      <c r="BQ401" s="184"/>
      <c r="BR401" s="184"/>
      <c r="BS401" s="184"/>
      <c r="BT401" s="184"/>
      <c r="BU401" s="184"/>
      <c r="BV401" s="184"/>
      <c r="BW401" s="184"/>
      <c r="BX401" s="184"/>
      <c r="BY401" s="184"/>
      <c r="BZ401" s="184"/>
      <c r="CA401" s="184"/>
      <c r="CB401" s="184"/>
      <c r="CC401" s="184"/>
      <c r="CD401" s="184"/>
      <c r="CE401" s="184"/>
      <c r="CF401" s="184"/>
      <c r="CG401" s="184"/>
      <c r="CH401" s="184"/>
      <c r="CI401" s="184"/>
      <c r="CJ401" s="184"/>
      <c r="CK401" s="184"/>
      <c r="CL401" s="184"/>
      <c r="CM401" s="184"/>
      <c r="CN401" s="184"/>
      <c r="CO401" s="184"/>
      <c r="CP401" s="184"/>
      <c r="CQ401" s="184"/>
      <c r="CR401" s="184"/>
      <c r="CS401" s="184"/>
      <c r="CT401" s="184"/>
      <c r="CU401" s="184"/>
      <c r="CV401" s="184"/>
      <c r="CW401" s="184"/>
      <c r="CX401" s="184"/>
      <c r="CY401" s="184"/>
      <c r="CZ401" s="184"/>
      <c r="DA401" s="184"/>
      <c r="DB401" s="184"/>
      <c r="DC401" s="184"/>
      <c r="DD401" s="184"/>
      <c r="DE401" s="184"/>
      <c r="DF401" s="184"/>
      <c r="DG401" s="184"/>
      <c r="DH401" s="184"/>
      <c r="DI401" s="184"/>
      <c r="DJ401" s="184"/>
      <c r="DK401" s="184"/>
      <c r="DL401" s="184"/>
      <c r="DM401" s="184"/>
      <c r="DN401" s="184"/>
      <c r="DO401" s="184"/>
      <c r="DP401" s="184"/>
      <c r="DQ401" s="184"/>
      <c r="DR401" s="184"/>
      <c r="DS401" s="184"/>
      <c r="DT401" s="184"/>
      <c r="DU401" s="184"/>
      <c r="DV401" s="184"/>
      <c r="DW401" s="184"/>
      <c r="DX401" s="184"/>
      <c r="DY401" s="184"/>
      <c r="DZ401" s="184"/>
      <c r="EA401" s="184"/>
      <c r="EB401" s="184"/>
      <c r="EC401" s="184"/>
      <c r="ED401" s="184"/>
      <c r="EE401" s="184"/>
      <c r="EF401" s="184"/>
      <c r="EG401" s="184"/>
      <c r="EH401" s="184"/>
      <c r="EI401" s="184"/>
      <c r="EJ401" s="184"/>
      <c r="EK401" s="184"/>
      <c r="EL401" s="184"/>
      <c r="EM401" s="184"/>
      <c r="EN401" s="184"/>
      <c r="EO401" s="184"/>
      <c r="EP401" s="184"/>
      <c r="EQ401" s="184"/>
      <c r="ER401" s="184"/>
      <c r="ES401" s="184"/>
      <c r="ET401" s="184"/>
      <c r="EU401" s="184"/>
      <c r="EV401" s="184"/>
      <c r="EW401" s="184"/>
      <c r="EX401" s="184"/>
      <c r="EY401" s="184"/>
      <c r="EZ401" s="184"/>
      <c r="FA401" s="184"/>
      <c r="FB401" s="184"/>
      <c r="FC401" s="184"/>
      <c r="FD401" s="184"/>
      <c r="FE401" s="184"/>
      <c r="FF401" s="184"/>
      <c r="FG401" s="184"/>
      <c r="FH401" s="184"/>
      <c r="FI401" s="184"/>
      <c r="FJ401" s="184"/>
      <c r="FK401" s="184"/>
      <c r="FL401" s="184"/>
      <c r="FM401" s="184"/>
      <c r="FN401" s="184"/>
      <c r="FO401" s="184"/>
      <c r="FP401" s="184"/>
      <c r="FQ401" s="184"/>
      <c r="FR401" s="184"/>
      <c r="FS401" s="184"/>
      <c r="FT401" s="184"/>
      <c r="FU401" s="184"/>
      <c r="FV401" s="184"/>
      <c r="FW401" s="184"/>
      <c r="FX401" s="184"/>
      <c r="FY401" s="184"/>
      <c r="FZ401" s="184"/>
      <c r="GA401" s="184"/>
      <c r="GB401" s="184"/>
      <c r="GC401" s="184"/>
      <c r="GD401" s="184"/>
      <c r="GE401" s="184"/>
      <c r="GF401" s="184"/>
      <c r="GG401" s="184"/>
      <c r="GH401" s="184"/>
      <c r="GI401" s="184"/>
      <c r="GJ401" s="184"/>
      <c r="GK401" s="184"/>
      <c r="GL401" s="184"/>
      <c r="GM401" s="184"/>
      <c r="GN401" s="184"/>
      <c r="GO401" s="184"/>
      <c r="GP401" s="184"/>
      <c r="GQ401" s="184"/>
      <c r="GR401" s="184"/>
      <c r="GS401" s="184"/>
      <c r="GT401" s="184"/>
      <c r="GU401" s="184"/>
      <c r="GV401" s="184"/>
      <c r="GW401" s="184"/>
      <c r="GX401" s="184"/>
      <c r="GY401" s="184"/>
      <c r="GZ401" s="184"/>
      <c r="HA401" s="184"/>
      <c r="HB401" s="184"/>
      <c r="HC401" s="184"/>
      <c r="HD401" s="184"/>
      <c r="HE401" s="184"/>
      <c r="HF401" s="184"/>
      <c r="HG401" s="184"/>
      <c r="HH401" s="184"/>
      <c r="HI401" s="184"/>
      <c r="HJ401" s="184"/>
      <c r="HK401" s="184"/>
      <c r="HL401" s="184"/>
      <c r="HM401" s="184"/>
      <c r="HN401" s="184"/>
      <c r="HO401" s="184"/>
      <c r="HP401" s="184"/>
      <c r="HQ401" s="184"/>
      <c r="HR401" s="184"/>
      <c r="HS401" s="184"/>
      <c r="HT401" s="184"/>
      <c r="HU401" s="184"/>
      <c r="HV401" s="184"/>
      <c r="HW401" s="184"/>
      <c r="HX401" s="184"/>
      <c r="HY401" s="184"/>
      <c r="HZ401" s="184"/>
      <c r="IA401" s="184"/>
      <c r="IB401" s="184"/>
      <c r="IC401" s="184"/>
      <c r="ID401" s="184"/>
      <c r="IE401" s="184"/>
      <c r="IF401" s="184"/>
      <c r="IG401" s="184"/>
      <c r="IH401" s="184"/>
      <c r="II401" s="184"/>
      <c r="IJ401" s="184"/>
      <c r="IK401" s="184"/>
      <c r="IL401" s="184"/>
      <c r="IM401" s="184"/>
      <c r="IN401" s="184"/>
      <c r="IO401" s="184"/>
      <c r="IP401" s="184"/>
      <c r="IQ401" s="184"/>
      <c r="IR401" s="184"/>
      <c r="IS401" s="184"/>
      <c r="IT401" s="184"/>
      <c r="IU401" s="184"/>
      <c r="IV401" s="184"/>
      <c r="IW401" s="184"/>
    </row>
    <row r="402" spans="1:257" x14ac:dyDescent="0.2">
      <c r="A402" s="159">
        <v>615191</v>
      </c>
      <c r="B402" s="160" t="s">
        <v>134</v>
      </c>
      <c r="C402" s="148" t="s">
        <v>79</v>
      </c>
      <c r="D402" s="148" t="s">
        <v>192</v>
      </c>
      <c r="E402" s="240">
        <v>0</v>
      </c>
      <c r="F402" s="240">
        <v>0</v>
      </c>
      <c r="G402" s="240">
        <v>0</v>
      </c>
      <c r="H402" s="240">
        <v>0</v>
      </c>
      <c r="I402" s="240">
        <v>0</v>
      </c>
      <c r="J402" s="240">
        <v>0</v>
      </c>
      <c r="K402" s="240">
        <v>0</v>
      </c>
      <c r="L402" s="240">
        <v>0</v>
      </c>
      <c r="M402" s="240">
        <v>0</v>
      </c>
      <c r="N402" s="240">
        <v>0</v>
      </c>
      <c r="O402" s="240">
        <v>2990</v>
      </c>
      <c r="P402" s="240">
        <v>872.19</v>
      </c>
      <c r="Q402" s="240">
        <v>1955</v>
      </c>
      <c r="R402" s="240">
        <v>0</v>
      </c>
      <c r="S402" s="242">
        <f t="shared" ref="S402:S407" si="31">SUM(E402:Q402)</f>
        <v>5817.1900000000005</v>
      </c>
      <c r="Z402"/>
    </row>
    <row r="403" spans="1:257" x14ac:dyDescent="0.2">
      <c r="A403" s="159">
        <v>615191</v>
      </c>
      <c r="B403" s="160" t="s">
        <v>134</v>
      </c>
      <c r="C403" s="148" t="s">
        <v>79</v>
      </c>
      <c r="D403" s="148" t="s">
        <v>179</v>
      </c>
      <c r="E403" s="240">
        <v>0</v>
      </c>
      <c r="F403" s="240">
        <v>304.08</v>
      </c>
      <c r="G403" s="240">
        <v>304.08</v>
      </c>
      <c r="H403" s="240">
        <v>304.08</v>
      </c>
      <c r="I403" s="240">
        <v>304.08</v>
      </c>
      <c r="J403" s="240">
        <v>304.08</v>
      </c>
      <c r="K403" s="240">
        <v>308.66000000000003</v>
      </c>
      <c r="L403" s="240">
        <v>308.64</v>
      </c>
      <c r="M403" s="240">
        <v>308.64</v>
      </c>
      <c r="N403" s="240">
        <v>308.64</v>
      </c>
      <c r="O403" s="240">
        <v>308.64</v>
      </c>
      <c r="P403" s="240">
        <v>308.64</v>
      </c>
      <c r="Q403" s="240">
        <v>308.64</v>
      </c>
      <c r="R403" s="240">
        <v>0</v>
      </c>
      <c r="S403" s="242">
        <f t="shared" si="31"/>
        <v>3680.8999999999992</v>
      </c>
      <c r="Z403"/>
    </row>
    <row r="404" spans="1:257" x14ac:dyDescent="0.2">
      <c r="A404" s="159"/>
      <c r="B404" s="160"/>
      <c r="C404" s="148"/>
      <c r="D404" s="148"/>
      <c r="E404" s="240"/>
      <c r="F404" s="240"/>
      <c r="G404" s="240"/>
      <c r="H404" s="240"/>
      <c r="I404" s="240"/>
      <c r="J404" s="240"/>
      <c r="K404" s="240"/>
      <c r="L404" s="240"/>
      <c r="M404" s="240"/>
      <c r="N404" s="240"/>
      <c r="O404" s="240"/>
      <c r="P404" s="240"/>
      <c r="Q404" s="240"/>
      <c r="R404" s="240"/>
      <c r="S404" s="242">
        <f t="shared" si="31"/>
        <v>0</v>
      </c>
      <c r="Z404"/>
    </row>
    <row r="405" spans="1:257" x14ac:dyDescent="0.2">
      <c r="A405" s="159">
        <v>615191</v>
      </c>
      <c r="B405" s="160" t="s">
        <v>134</v>
      </c>
      <c r="C405" s="148" t="s">
        <v>172</v>
      </c>
      <c r="D405" s="148" t="s">
        <v>192</v>
      </c>
      <c r="E405" s="240">
        <v>0</v>
      </c>
      <c r="F405" s="240">
        <v>0</v>
      </c>
      <c r="G405" s="240">
        <v>0</v>
      </c>
      <c r="H405" s="240">
        <v>0</v>
      </c>
      <c r="I405" s="240">
        <v>0</v>
      </c>
      <c r="J405" s="240">
        <v>0</v>
      </c>
      <c r="K405" s="240">
        <v>0</v>
      </c>
      <c r="L405" s="240">
        <v>1300</v>
      </c>
      <c r="M405" s="240">
        <v>0</v>
      </c>
      <c r="N405" s="240">
        <v>0</v>
      </c>
      <c r="O405" s="240">
        <v>0</v>
      </c>
      <c r="P405" s="240">
        <v>36</v>
      </c>
      <c r="Q405" s="240">
        <v>0</v>
      </c>
      <c r="R405" s="240">
        <v>0</v>
      </c>
      <c r="S405" s="242">
        <f t="shared" si="31"/>
        <v>1336</v>
      </c>
      <c r="Z405"/>
    </row>
    <row r="406" spans="1:257" x14ac:dyDescent="0.2">
      <c r="A406" s="159"/>
      <c r="B406" s="160"/>
      <c r="C406" s="148"/>
      <c r="D406" s="148"/>
      <c r="E406" s="240"/>
      <c r="F406" s="240"/>
      <c r="G406" s="240"/>
      <c r="H406" s="240"/>
      <c r="I406" s="240"/>
      <c r="J406" s="240"/>
      <c r="K406" s="240"/>
      <c r="L406" s="240"/>
      <c r="M406" s="240"/>
      <c r="N406" s="240"/>
      <c r="O406" s="240"/>
      <c r="P406" s="240"/>
      <c r="Q406" s="240"/>
      <c r="R406" s="240"/>
      <c r="S406" s="242">
        <f t="shared" si="31"/>
        <v>0</v>
      </c>
      <c r="Z406"/>
    </row>
    <row r="407" spans="1:257" x14ac:dyDescent="0.2">
      <c r="A407" s="159">
        <v>615191</v>
      </c>
      <c r="B407" s="160" t="s">
        <v>134</v>
      </c>
      <c r="C407" s="148" t="s">
        <v>367</v>
      </c>
      <c r="D407" s="148">
        <v>999999</v>
      </c>
      <c r="E407" s="240"/>
      <c r="F407" s="240">
        <v>3163.09</v>
      </c>
      <c r="G407" s="240">
        <f>-3163.09+2090.18</f>
        <v>-1072.9100000000003</v>
      </c>
      <c r="H407" s="240">
        <f>-2090.18+2644.77</f>
        <v>554.59000000000015</v>
      </c>
      <c r="I407" s="240">
        <f>-2644.77+4706.86</f>
        <v>2062.0899999999997</v>
      </c>
      <c r="J407" s="240">
        <f>-4706.86+6474.95</f>
        <v>1768.0900000000001</v>
      </c>
      <c r="K407" s="240">
        <f>-6474.95+6165.91</f>
        <v>-309.03999999999996</v>
      </c>
      <c r="L407" s="240">
        <f>-6165.91+7873.11</f>
        <v>1707.1999999999998</v>
      </c>
      <c r="M407" s="240">
        <f>-7873.11+11030.31</f>
        <v>3157.2</v>
      </c>
      <c r="N407" s="240">
        <f>-11030.31+3823.77</f>
        <v>-7206.5399999999991</v>
      </c>
      <c r="O407" s="240">
        <f>-3823.77+7858.54</f>
        <v>4034.77</v>
      </c>
      <c r="P407" s="240">
        <f>-7858.54+0.24</f>
        <v>-7858.3</v>
      </c>
      <c r="Q407" s="240"/>
      <c r="R407" s="240"/>
      <c r="S407" s="242">
        <f t="shared" si="31"/>
        <v>0.24000000000069122</v>
      </c>
      <c r="Z407"/>
    </row>
    <row r="408" spans="1:257" s="185" customFormat="1" ht="24" customHeight="1" x14ac:dyDescent="0.2">
      <c r="A408" s="267"/>
      <c r="B408" s="268"/>
      <c r="C408" s="267" t="s">
        <v>66</v>
      </c>
      <c r="D408" s="267"/>
      <c r="E408" s="269">
        <f t="shared" ref="E408:S408" si="32">SUM(E381:E407)</f>
        <v>1235</v>
      </c>
      <c r="F408" s="269">
        <f t="shared" si="32"/>
        <v>6433.16</v>
      </c>
      <c r="G408" s="269">
        <f t="shared" si="32"/>
        <v>1221.1599999999994</v>
      </c>
      <c r="H408" s="269">
        <f t="shared" si="32"/>
        <v>2273.16</v>
      </c>
      <c r="I408" s="269">
        <f t="shared" si="32"/>
        <v>4642.16</v>
      </c>
      <c r="J408" s="269">
        <f t="shared" si="32"/>
        <v>5276.66</v>
      </c>
      <c r="K408" s="269">
        <f t="shared" si="32"/>
        <v>1478.3000000000002</v>
      </c>
      <c r="L408" s="269">
        <f t="shared" si="32"/>
        <v>3456.0199999999995</v>
      </c>
      <c r="M408" s="269">
        <f t="shared" si="32"/>
        <v>5678.02</v>
      </c>
      <c r="N408" s="269">
        <f t="shared" si="32"/>
        <v>1767.3000000000011</v>
      </c>
      <c r="O408" s="269">
        <f t="shared" si="32"/>
        <v>9341.2800000000007</v>
      </c>
      <c r="P408" s="269">
        <f t="shared" si="32"/>
        <v>-1230.5600000000013</v>
      </c>
      <c r="Q408" s="269">
        <f t="shared" si="32"/>
        <v>3179.56</v>
      </c>
      <c r="R408" s="269">
        <f>SUM(R381:R407)</f>
        <v>0</v>
      </c>
      <c r="S408" s="269">
        <f t="shared" si="32"/>
        <v>44751.220000000008</v>
      </c>
      <c r="T408" s="689" t="e">
        <f>IF(Ctrl($A407)+S407+S406=S408,"Ok","Erreur somme")</f>
        <v>#VALUE!</v>
      </c>
      <c r="U408" s="212">
        <v>41059.89</v>
      </c>
      <c r="V408" s="334">
        <f>U408-S408</f>
        <v>-3691.330000000009</v>
      </c>
      <c r="W408" s="185" t="s">
        <v>853</v>
      </c>
      <c r="Z408"/>
    </row>
    <row r="409" spans="1:257" x14ac:dyDescent="0.2">
      <c r="A409" s="159">
        <v>615193</v>
      </c>
      <c r="B409" s="160" t="s">
        <v>118</v>
      </c>
      <c r="C409" s="148" t="s">
        <v>78</v>
      </c>
      <c r="D409" s="148" t="s">
        <v>203</v>
      </c>
      <c r="E409" s="240">
        <v>0</v>
      </c>
      <c r="F409" s="240">
        <v>0</v>
      </c>
      <c r="G409" s="240">
        <v>0</v>
      </c>
      <c r="H409" s="240">
        <v>0</v>
      </c>
      <c r="I409" s="240">
        <v>0</v>
      </c>
      <c r="J409" s="240">
        <v>0</v>
      </c>
      <c r="K409" s="240">
        <v>0</v>
      </c>
      <c r="L409" s="240">
        <v>0</v>
      </c>
      <c r="M409" s="240">
        <v>0</v>
      </c>
      <c r="N409" s="240">
        <v>0</v>
      </c>
      <c r="O409" s="240">
        <v>0</v>
      </c>
      <c r="P409" s="240">
        <v>0</v>
      </c>
      <c r="Q409" s="240">
        <v>0</v>
      </c>
      <c r="R409" s="240">
        <v>0</v>
      </c>
      <c r="S409" s="242">
        <f t="shared" ref="S409:S418" si="33">SUM(E409:Q409)</f>
        <v>0</v>
      </c>
      <c r="Z409"/>
    </row>
    <row r="410" spans="1:257" x14ac:dyDescent="0.2">
      <c r="A410" s="159">
        <v>615193</v>
      </c>
      <c r="B410" s="160" t="s">
        <v>118</v>
      </c>
      <c r="C410" s="148" t="s">
        <v>78</v>
      </c>
      <c r="D410" s="148" t="s">
        <v>435</v>
      </c>
      <c r="E410" s="240">
        <v>0</v>
      </c>
      <c r="F410" s="240">
        <v>0</v>
      </c>
      <c r="G410" s="240">
        <v>0</v>
      </c>
      <c r="H410" s="240">
        <v>0</v>
      </c>
      <c r="I410" s="240">
        <v>0</v>
      </c>
      <c r="J410" s="240">
        <v>0</v>
      </c>
      <c r="K410" s="240">
        <v>0</v>
      </c>
      <c r="L410" s="240">
        <v>0</v>
      </c>
      <c r="M410" s="240">
        <v>0</v>
      </c>
      <c r="N410" s="240">
        <v>0</v>
      </c>
      <c r="O410" s="240">
        <v>0</v>
      </c>
      <c r="P410" s="240">
        <v>0</v>
      </c>
      <c r="Q410" s="240">
        <v>0</v>
      </c>
      <c r="R410" s="240">
        <v>0</v>
      </c>
      <c r="S410" s="242">
        <f t="shared" si="33"/>
        <v>0</v>
      </c>
      <c r="T410" s="331"/>
      <c r="Z410"/>
    </row>
    <row r="411" spans="1:257" x14ac:dyDescent="0.2">
      <c r="A411" s="159">
        <v>615193</v>
      </c>
      <c r="B411" s="160" t="s">
        <v>118</v>
      </c>
      <c r="C411" s="148" t="s">
        <v>78</v>
      </c>
      <c r="D411" s="148" t="s">
        <v>192</v>
      </c>
      <c r="E411" s="240">
        <v>0</v>
      </c>
      <c r="F411" s="240">
        <v>0</v>
      </c>
      <c r="G411" s="240">
        <v>0</v>
      </c>
      <c r="H411" s="240">
        <v>0</v>
      </c>
      <c r="I411" s="240">
        <v>0</v>
      </c>
      <c r="J411" s="240">
        <v>0</v>
      </c>
      <c r="K411" s="240">
        <v>0</v>
      </c>
      <c r="L411" s="240">
        <v>0</v>
      </c>
      <c r="M411" s="240">
        <v>0</v>
      </c>
      <c r="N411" s="240">
        <v>0</v>
      </c>
      <c r="O411" s="240">
        <v>0</v>
      </c>
      <c r="P411" s="240">
        <v>0</v>
      </c>
      <c r="Q411" s="240">
        <v>780</v>
      </c>
      <c r="R411" s="240">
        <v>0</v>
      </c>
      <c r="S411" s="242">
        <f t="shared" si="33"/>
        <v>780</v>
      </c>
      <c r="Z411"/>
    </row>
    <row r="412" spans="1:257" x14ac:dyDescent="0.2">
      <c r="A412" s="159">
        <v>615193</v>
      </c>
      <c r="B412" s="160" t="s">
        <v>118</v>
      </c>
      <c r="C412" s="148" t="s">
        <v>78</v>
      </c>
      <c r="D412" s="148" t="s">
        <v>243</v>
      </c>
      <c r="E412" s="240">
        <v>0</v>
      </c>
      <c r="F412" s="240">
        <v>0</v>
      </c>
      <c r="G412" s="240">
        <v>2277.79</v>
      </c>
      <c r="H412" s="240">
        <v>0</v>
      </c>
      <c r="I412" s="240">
        <v>0</v>
      </c>
      <c r="J412" s="240">
        <v>0</v>
      </c>
      <c r="K412" s="240">
        <v>0</v>
      </c>
      <c r="L412" s="240">
        <v>0</v>
      </c>
      <c r="M412" s="240">
        <v>0</v>
      </c>
      <c r="N412" s="240">
        <v>0</v>
      </c>
      <c r="O412" s="240">
        <v>0</v>
      </c>
      <c r="P412" s="240">
        <v>0</v>
      </c>
      <c r="Q412" s="240">
        <v>0</v>
      </c>
      <c r="R412" s="240">
        <v>0</v>
      </c>
      <c r="S412" s="242">
        <f t="shared" si="33"/>
        <v>2277.79</v>
      </c>
      <c r="Z412"/>
    </row>
    <row r="413" spans="1:257" x14ac:dyDescent="0.2">
      <c r="A413" s="159">
        <v>615193</v>
      </c>
      <c r="B413" s="160" t="s">
        <v>118</v>
      </c>
      <c r="C413" s="148" t="s">
        <v>78</v>
      </c>
      <c r="D413" s="148" t="s">
        <v>189</v>
      </c>
      <c r="E413" s="240">
        <v>0</v>
      </c>
      <c r="F413" s="240">
        <v>0</v>
      </c>
      <c r="G413" s="240">
        <v>232.56</v>
      </c>
      <c r="H413" s="240">
        <v>0</v>
      </c>
      <c r="I413" s="240">
        <v>0</v>
      </c>
      <c r="J413" s="240">
        <v>0</v>
      </c>
      <c r="K413" s="240">
        <v>0</v>
      </c>
      <c r="L413" s="240">
        <v>0</v>
      </c>
      <c r="M413" s="240">
        <v>0</v>
      </c>
      <c r="N413" s="240">
        <v>0</v>
      </c>
      <c r="O413" s="240">
        <v>0</v>
      </c>
      <c r="P413" s="240">
        <v>0</v>
      </c>
      <c r="Q413" s="240">
        <v>0</v>
      </c>
      <c r="R413" s="240">
        <v>0</v>
      </c>
      <c r="S413" s="242">
        <f t="shared" si="33"/>
        <v>232.56</v>
      </c>
      <c r="Z413"/>
    </row>
    <row r="414" spans="1:257" x14ac:dyDescent="0.2">
      <c r="A414" s="159">
        <v>615193</v>
      </c>
      <c r="B414" s="160" t="s">
        <v>118</v>
      </c>
      <c r="C414" s="148" t="s">
        <v>78</v>
      </c>
      <c r="D414" s="148" t="s">
        <v>191</v>
      </c>
      <c r="E414" s="240">
        <v>0</v>
      </c>
      <c r="F414" s="240">
        <v>0</v>
      </c>
      <c r="G414" s="240">
        <v>433.2</v>
      </c>
      <c r="H414" s="240">
        <v>0</v>
      </c>
      <c r="I414" s="240">
        <v>1446.12</v>
      </c>
      <c r="J414" s="240">
        <v>0</v>
      </c>
      <c r="K414" s="240">
        <v>0</v>
      </c>
      <c r="L414" s="240">
        <v>0</v>
      </c>
      <c r="M414" s="240">
        <v>0</v>
      </c>
      <c r="N414" s="240">
        <v>0</v>
      </c>
      <c r="O414" s="240">
        <v>0</v>
      </c>
      <c r="P414" s="240">
        <v>0</v>
      </c>
      <c r="Q414" s="240">
        <v>0</v>
      </c>
      <c r="R414" s="240">
        <v>0</v>
      </c>
      <c r="S414" s="242">
        <f t="shared" si="33"/>
        <v>1879.32</v>
      </c>
      <c r="Z414"/>
    </row>
    <row r="415" spans="1:257" x14ac:dyDescent="0.2">
      <c r="A415" s="159">
        <v>615193</v>
      </c>
      <c r="B415" s="160" t="s">
        <v>118</v>
      </c>
      <c r="C415" s="148" t="s">
        <v>78</v>
      </c>
      <c r="D415" s="148" t="s">
        <v>179</v>
      </c>
      <c r="E415" s="240">
        <v>-3000</v>
      </c>
      <c r="F415" s="240">
        <v>0</v>
      </c>
      <c r="G415" s="240">
        <v>2463.92</v>
      </c>
      <c r="H415" s="240">
        <v>0</v>
      </c>
      <c r="I415" s="240">
        <v>0</v>
      </c>
      <c r="J415" s="240">
        <v>0</v>
      </c>
      <c r="K415" s="240">
        <v>0</v>
      </c>
      <c r="L415" s="240">
        <v>0</v>
      </c>
      <c r="M415" s="240">
        <v>0</v>
      </c>
      <c r="N415" s="240">
        <v>0</v>
      </c>
      <c r="O415" s="240">
        <v>0</v>
      </c>
      <c r="P415" s="240">
        <v>0</v>
      </c>
      <c r="Q415" s="240">
        <v>2700</v>
      </c>
      <c r="R415" s="240">
        <v>0</v>
      </c>
      <c r="S415" s="242">
        <f t="shared" si="33"/>
        <v>2163.92</v>
      </c>
      <c r="Z415"/>
    </row>
    <row r="416" spans="1:257" x14ac:dyDescent="0.2">
      <c r="A416" s="159">
        <v>615193</v>
      </c>
      <c r="B416" s="160" t="s">
        <v>118</v>
      </c>
      <c r="C416" s="148" t="s">
        <v>78</v>
      </c>
      <c r="D416" s="148" t="s">
        <v>201</v>
      </c>
      <c r="E416" s="240">
        <v>0</v>
      </c>
      <c r="F416" s="240">
        <v>0</v>
      </c>
      <c r="G416" s="240">
        <v>0</v>
      </c>
      <c r="H416" s="240">
        <v>0</v>
      </c>
      <c r="I416" s="240">
        <v>0</v>
      </c>
      <c r="J416" s="240">
        <v>0</v>
      </c>
      <c r="K416" s="240">
        <v>0</v>
      </c>
      <c r="L416" s="240">
        <v>0</v>
      </c>
      <c r="M416" s="240">
        <v>0</v>
      </c>
      <c r="N416" s="240">
        <v>0</v>
      </c>
      <c r="O416" s="240">
        <v>0</v>
      </c>
      <c r="P416" s="240">
        <v>0</v>
      </c>
      <c r="Q416" s="240">
        <v>0</v>
      </c>
      <c r="R416" s="240">
        <v>0</v>
      </c>
      <c r="S416" s="242">
        <f t="shared" si="33"/>
        <v>0</v>
      </c>
      <c r="Z416"/>
    </row>
    <row r="417" spans="1:257" x14ac:dyDescent="0.2">
      <c r="A417" s="159">
        <v>615193</v>
      </c>
      <c r="B417" s="160" t="s">
        <v>118</v>
      </c>
      <c r="C417" s="148" t="s">
        <v>78</v>
      </c>
      <c r="D417" s="148" t="s">
        <v>184</v>
      </c>
      <c r="E417" s="240">
        <v>0</v>
      </c>
      <c r="F417" s="240">
        <v>0</v>
      </c>
      <c r="G417" s="240">
        <v>1193.1300000000001</v>
      </c>
      <c r="H417" s="240">
        <v>0</v>
      </c>
      <c r="I417" s="240">
        <v>0</v>
      </c>
      <c r="J417" s="240">
        <v>0</v>
      </c>
      <c r="K417" s="240">
        <v>0</v>
      </c>
      <c r="L417" s="240">
        <v>0</v>
      </c>
      <c r="M417" s="240">
        <v>0</v>
      </c>
      <c r="N417" s="240">
        <v>0</v>
      </c>
      <c r="O417" s="240">
        <v>0</v>
      </c>
      <c r="P417" s="240">
        <v>0</v>
      </c>
      <c r="Q417" s="240">
        <v>0</v>
      </c>
      <c r="R417" s="240">
        <v>0</v>
      </c>
      <c r="S417" s="242">
        <f t="shared" si="33"/>
        <v>1193.1300000000001</v>
      </c>
      <c r="Z417"/>
    </row>
    <row r="418" spans="1:257" x14ac:dyDescent="0.2">
      <c r="A418" s="159">
        <v>615193</v>
      </c>
      <c r="B418" s="160" t="s">
        <v>118</v>
      </c>
      <c r="C418" s="148" t="s">
        <v>78</v>
      </c>
      <c r="D418" s="148" t="s">
        <v>204</v>
      </c>
      <c r="E418" s="240">
        <v>0</v>
      </c>
      <c r="F418" s="240">
        <v>0</v>
      </c>
      <c r="G418" s="240">
        <v>0</v>
      </c>
      <c r="H418" s="240">
        <v>0</v>
      </c>
      <c r="I418" s="240">
        <v>0</v>
      </c>
      <c r="J418" s="240">
        <v>0</v>
      </c>
      <c r="K418" s="240">
        <v>0</v>
      </c>
      <c r="L418" s="240">
        <v>0</v>
      </c>
      <c r="M418" s="240">
        <v>0</v>
      </c>
      <c r="N418" s="240">
        <v>0</v>
      </c>
      <c r="O418" s="240">
        <v>0</v>
      </c>
      <c r="P418" s="240">
        <v>0</v>
      </c>
      <c r="Q418" s="240">
        <v>0</v>
      </c>
      <c r="R418" s="240">
        <v>0</v>
      </c>
      <c r="S418" s="242">
        <f t="shared" si="33"/>
        <v>0</v>
      </c>
      <c r="Z418"/>
      <c r="BA418" s="184">
        <f>+FLEURY!AQ119</f>
        <v>0</v>
      </c>
      <c r="BB418" s="184">
        <f>+FLEURY!AR119</f>
        <v>0</v>
      </c>
      <c r="BC418" s="184">
        <f>+FLEURY!AS119</f>
        <v>0</v>
      </c>
      <c r="BD418" s="184">
        <f>+FLEURY!AT119</f>
        <v>0</v>
      </c>
      <c r="BE418" s="184">
        <f>+FLEURY!AU119</f>
        <v>0</v>
      </c>
      <c r="BF418" s="184">
        <f>+FLEURY!AV119</f>
        <v>0</v>
      </c>
      <c r="BG418" s="184">
        <f>+FLEURY!AW119</f>
        <v>0</v>
      </c>
      <c r="BH418" s="184">
        <f>+FLEURY!AX119</f>
        <v>0</v>
      </c>
      <c r="BI418" s="184">
        <f>+FLEURY!AY119</f>
        <v>0</v>
      </c>
      <c r="BJ418" s="184">
        <f>+FLEURY!AZ119</f>
        <v>0</v>
      </c>
      <c r="BK418" s="184">
        <f>+FLEURY!BA119</f>
        <v>0</v>
      </c>
      <c r="BL418" s="184">
        <f>+FLEURY!BB119</f>
        <v>0</v>
      </c>
      <c r="BM418" s="184">
        <f>+FLEURY!BC119</f>
        <v>0</v>
      </c>
      <c r="BN418" s="184">
        <f>+FLEURY!BD119</f>
        <v>0</v>
      </c>
      <c r="BO418" s="184">
        <f>+FLEURY!BE119</f>
        <v>0</v>
      </c>
      <c r="BP418" s="184">
        <f>+FLEURY!BF119</f>
        <v>0</v>
      </c>
      <c r="BQ418" s="184">
        <f>+FLEURY!BG119</f>
        <v>0</v>
      </c>
      <c r="BR418" s="184">
        <f>+FLEURY!BH119</f>
        <v>0</v>
      </c>
      <c r="BS418" s="184">
        <f>+FLEURY!BI119</f>
        <v>0</v>
      </c>
      <c r="BT418" s="184">
        <f>+FLEURY!BJ119</f>
        <v>0</v>
      </c>
      <c r="BU418" s="184">
        <f>+FLEURY!BK119</f>
        <v>0</v>
      </c>
      <c r="BV418" s="184">
        <f>+FLEURY!BL119</f>
        <v>0</v>
      </c>
      <c r="BW418" s="184">
        <f>+FLEURY!BM119</f>
        <v>0</v>
      </c>
      <c r="BX418" s="184">
        <f>+FLEURY!BN119</f>
        <v>0</v>
      </c>
      <c r="BY418" s="184">
        <f>+FLEURY!BO119</f>
        <v>0</v>
      </c>
      <c r="BZ418" s="184">
        <f>+FLEURY!BP119</f>
        <v>0</v>
      </c>
      <c r="CA418" s="184">
        <f>+FLEURY!BQ119</f>
        <v>0</v>
      </c>
      <c r="CB418" s="184">
        <f>+FLEURY!BR119</f>
        <v>0</v>
      </c>
      <c r="CC418" s="184">
        <f>+FLEURY!BS119</f>
        <v>0</v>
      </c>
      <c r="CD418" s="184">
        <f>+FLEURY!BT119</f>
        <v>0</v>
      </c>
      <c r="CE418" s="184">
        <f>+FLEURY!BU119</f>
        <v>0</v>
      </c>
      <c r="CF418" s="184">
        <f>+FLEURY!BV119</f>
        <v>0</v>
      </c>
      <c r="CG418" s="184">
        <f>+FLEURY!BW119</f>
        <v>0</v>
      </c>
      <c r="CH418" s="184">
        <f>+FLEURY!BX119</f>
        <v>0</v>
      </c>
      <c r="CI418" s="184">
        <f>+FLEURY!BY119</f>
        <v>0</v>
      </c>
      <c r="CJ418" s="184">
        <f>+FLEURY!BZ119</f>
        <v>0</v>
      </c>
      <c r="CK418" s="184">
        <f>+FLEURY!CA119</f>
        <v>0</v>
      </c>
      <c r="CL418" s="184">
        <f>+FLEURY!CB119</f>
        <v>0</v>
      </c>
      <c r="CM418" s="184">
        <f>+FLEURY!CC119</f>
        <v>0</v>
      </c>
      <c r="CN418" s="184">
        <f>+FLEURY!CD119</f>
        <v>0</v>
      </c>
      <c r="CO418" s="184">
        <f>+FLEURY!CE119</f>
        <v>0</v>
      </c>
      <c r="CP418" s="184">
        <f>+FLEURY!CF119</f>
        <v>0</v>
      </c>
      <c r="CQ418" s="184">
        <f>+FLEURY!CG119</f>
        <v>0</v>
      </c>
      <c r="CR418" s="184">
        <f>+FLEURY!CH119</f>
        <v>0</v>
      </c>
      <c r="CS418" s="184">
        <f>+FLEURY!CI119</f>
        <v>0</v>
      </c>
      <c r="CT418" s="184">
        <f>+FLEURY!CJ119</f>
        <v>0</v>
      </c>
      <c r="CU418" s="184">
        <f>+FLEURY!CK119</f>
        <v>0</v>
      </c>
      <c r="CV418" s="184">
        <f>+FLEURY!CL119</f>
        <v>0</v>
      </c>
      <c r="CW418" s="184">
        <f>+FLEURY!CM119</f>
        <v>0</v>
      </c>
      <c r="CX418" s="184">
        <f>+FLEURY!CN119</f>
        <v>0</v>
      </c>
      <c r="CY418" s="184">
        <f>+FLEURY!CO119</f>
        <v>0</v>
      </c>
      <c r="CZ418" s="184">
        <f>+FLEURY!CP119</f>
        <v>0</v>
      </c>
      <c r="DA418" s="184">
        <f>+FLEURY!CQ119</f>
        <v>0</v>
      </c>
      <c r="DB418" s="184">
        <f>+FLEURY!CR119</f>
        <v>0</v>
      </c>
      <c r="DC418" s="184">
        <f>+FLEURY!CS119</f>
        <v>0</v>
      </c>
      <c r="DD418" s="184">
        <f>+FLEURY!CT119</f>
        <v>0</v>
      </c>
      <c r="DE418" s="184">
        <f>+FLEURY!CU119</f>
        <v>0</v>
      </c>
      <c r="DF418" s="184">
        <f>+FLEURY!CV119</f>
        <v>0</v>
      </c>
      <c r="DG418" s="184">
        <f>+FLEURY!CW119</f>
        <v>0</v>
      </c>
      <c r="DH418" s="184">
        <f>+FLEURY!CX119</f>
        <v>0</v>
      </c>
      <c r="DI418" s="184">
        <f>+FLEURY!CY119</f>
        <v>0</v>
      </c>
      <c r="DJ418" s="184">
        <f>+FLEURY!CZ119</f>
        <v>0</v>
      </c>
      <c r="DK418" s="184">
        <f>+FLEURY!DA119</f>
        <v>0</v>
      </c>
      <c r="DL418" s="184">
        <f>+FLEURY!DB119</f>
        <v>0</v>
      </c>
      <c r="DM418" s="184">
        <f>+FLEURY!DC119</f>
        <v>0</v>
      </c>
      <c r="DN418" s="184">
        <f>+FLEURY!DD119</f>
        <v>0</v>
      </c>
      <c r="DO418" s="184">
        <f>+FLEURY!DE119</f>
        <v>0</v>
      </c>
      <c r="DP418" s="184">
        <f>+FLEURY!DF119</f>
        <v>0</v>
      </c>
      <c r="DQ418" s="184">
        <f>+FLEURY!DG119</f>
        <v>0</v>
      </c>
      <c r="DR418" s="184">
        <f>+FLEURY!DH119</f>
        <v>0</v>
      </c>
      <c r="DS418" s="184">
        <f>+FLEURY!DI119</f>
        <v>0</v>
      </c>
      <c r="DT418" s="184">
        <f>+FLEURY!DJ119</f>
        <v>0</v>
      </c>
      <c r="DU418" s="184">
        <f>+FLEURY!DK119</f>
        <v>0</v>
      </c>
      <c r="DV418" s="184">
        <f>+FLEURY!DL119</f>
        <v>0</v>
      </c>
      <c r="DW418" s="184">
        <f>+FLEURY!DM119</f>
        <v>0</v>
      </c>
      <c r="DX418" s="184">
        <f>+FLEURY!DN119</f>
        <v>0</v>
      </c>
      <c r="DY418" s="184">
        <f>+FLEURY!DO119</f>
        <v>0</v>
      </c>
      <c r="DZ418" s="184">
        <f>+FLEURY!DP119</f>
        <v>0</v>
      </c>
      <c r="EA418" s="184">
        <f>+FLEURY!DQ119</f>
        <v>0</v>
      </c>
      <c r="EB418" s="184">
        <f>+FLEURY!DR119</f>
        <v>0</v>
      </c>
      <c r="EC418" s="184">
        <f>+FLEURY!DS119</f>
        <v>0</v>
      </c>
      <c r="ED418" s="184">
        <f>+FLEURY!DT119</f>
        <v>0</v>
      </c>
      <c r="EE418" s="184">
        <f>+FLEURY!DU119</f>
        <v>0</v>
      </c>
      <c r="EF418" s="184">
        <f>+FLEURY!DV119</f>
        <v>0</v>
      </c>
      <c r="EG418" s="184">
        <f>+FLEURY!DW119</f>
        <v>0</v>
      </c>
      <c r="EH418" s="184">
        <f>+FLEURY!DX119</f>
        <v>0</v>
      </c>
      <c r="EI418" s="184">
        <f>+FLEURY!DY119</f>
        <v>0</v>
      </c>
      <c r="EJ418" s="184">
        <f>+FLEURY!DZ119</f>
        <v>0</v>
      </c>
      <c r="EK418" s="184">
        <f>+FLEURY!EA119</f>
        <v>0</v>
      </c>
      <c r="EL418" s="184">
        <f>+FLEURY!EB119</f>
        <v>0</v>
      </c>
      <c r="EM418" s="184">
        <f>+FLEURY!EC119</f>
        <v>0</v>
      </c>
      <c r="EN418" s="184">
        <f>+FLEURY!ED119</f>
        <v>0</v>
      </c>
      <c r="EO418" s="184">
        <f>+FLEURY!EE119</f>
        <v>0</v>
      </c>
      <c r="EP418" s="184">
        <f>+FLEURY!EF119</f>
        <v>0</v>
      </c>
      <c r="EQ418" s="184">
        <f>+FLEURY!EG119</f>
        <v>0</v>
      </c>
      <c r="ER418" s="184">
        <f>+FLEURY!EH119</f>
        <v>0</v>
      </c>
      <c r="ES418" s="184">
        <f>+FLEURY!EI119</f>
        <v>0</v>
      </c>
      <c r="ET418" s="184">
        <f>+FLEURY!EJ119</f>
        <v>0</v>
      </c>
      <c r="EU418" s="184">
        <f>+FLEURY!EK119</f>
        <v>0</v>
      </c>
      <c r="EV418" s="184">
        <f>+FLEURY!EL119</f>
        <v>0</v>
      </c>
      <c r="EW418" s="184">
        <f>+FLEURY!EM119</f>
        <v>0</v>
      </c>
      <c r="EX418" s="184">
        <f>+FLEURY!EN119</f>
        <v>0</v>
      </c>
      <c r="EY418" s="184">
        <f>+FLEURY!EO119</f>
        <v>0</v>
      </c>
      <c r="EZ418" s="184">
        <f>+FLEURY!EP119</f>
        <v>0</v>
      </c>
      <c r="FA418" s="184">
        <f>+FLEURY!EQ119</f>
        <v>0</v>
      </c>
      <c r="FB418" s="184">
        <f>+FLEURY!ER119</f>
        <v>0</v>
      </c>
      <c r="FC418" s="184">
        <f>+FLEURY!ES119</f>
        <v>0</v>
      </c>
      <c r="FD418" s="184">
        <f>+FLEURY!ET119</f>
        <v>0</v>
      </c>
      <c r="FE418" s="184">
        <f>+FLEURY!EU119</f>
        <v>0</v>
      </c>
      <c r="FF418" s="184">
        <f>+FLEURY!EV119</f>
        <v>0</v>
      </c>
      <c r="FG418" s="184">
        <f>+FLEURY!EW119</f>
        <v>0</v>
      </c>
      <c r="FH418" s="184">
        <f>+FLEURY!EX119</f>
        <v>0</v>
      </c>
      <c r="FI418" s="184">
        <f>+FLEURY!EY119</f>
        <v>0</v>
      </c>
      <c r="FJ418" s="184">
        <f>+FLEURY!EZ119</f>
        <v>0</v>
      </c>
      <c r="FK418" s="184">
        <f>+FLEURY!FA119</f>
        <v>0</v>
      </c>
      <c r="FL418" s="184">
        <f>+FLEURY!FB119</f>
        <v>0</v>
      </c>
      <c r="FM418" s="184">
        <f>+FLEURY!FC119</f>
        <v>0</v>
      </c>
      <c r="FN418" s="184">
        <f>+FLEURY!FD119</f>
        <v>0</v>
      </c>
      <c r="FO418" s="184">
        <f>+FLEURY!FE119</f>
        <v>0</v>
      </c>
      <c r="FP418" s="184">
        <f>+FLEURY!FF119</f>
        <v>0</v>
      </c>
      <c r="FQ418" s="184">
        <f>+FLEURY!FG119</f>
        <v>0</v>
      </c>
      <c r="FR418" s="184">
        <f>+FLEURY!FH119</f>
        <v>0</v>
      </c>
      <c r="FS418" s="184">
        <f>+FLEURY!FI119</f>
        <v>0</v>
      </c>
      <c r="FT418" s="184">
        <f>+FLEURY!FJ119</f>
        <v>0</v>
      </c>
      <c r="FU418" s="184">
        <f>+FLEURY!FK119</f>
        <v>0</v>
      </c>
      <c r="FV418" s="184">
        <f>+FLEURY!FL119</f>
        <v>0</v>
      </c>
      <c r="FW418" s="184">
        <f>+FLEURY!FM119</f>
        <v>0</v>
      </c>
      <c r="FX418" s="184">
        <f>+FLEURY!FN119</f>
        <v>0</v>
      </c>
      <c r="FY418" s="184">
        <f>+FLEURY!FO119</f>
        <v>0</v>
      </c>
      <c r="FZ418" s="184">
        <f>+FLEURY!FP119</f>
        <v>0</v>
      </c>
      <c r="GA418" s="184">
        <f>+FLEURY!FQ119</f>
        <v>0</v>
      </c>
      <c r="GB418" s="184">
        <f>+FLEURY!FR119</f>
        <v>0</v>
      </c>
      <c r="GC418" s="184">
        <f>+FLEURY!FS119</f>
        <v>0</v>
      </c>
      <c r="GD418" s="184">
        <f>+FLEURY!FT119</f>
        <v>0</v>
      </c>
      <c r="GE418" s="184">
        <f>+FLEURY!FU119</f>
        <v>0</v>
      </c>
      <c r="GF418" s="184">
        <f>+FLEURY!FV119</f>
        <v>0</v>
      </c>
      <c r="GG418" s="184">
        <f>+FLEURY!FW119</f>
        <v>0</v>
      </c>
      <c r="GH418" s="184">
        <f>+FLEURY!FX119</f>
        <v>0</v>
      </c>
      <c r="GI418" s="184">
        <f>+FLEURY!FY119</f>
        <v>0</v>
      </c>
      <c r="GJ418" s="184">
        <f>+FLEURY!FZ119</f>
        <v>0</v>
      </c>
      <c r="GK418" s="184">
        <f>+FLEURY!GA119</f>
        <v>0</v>
      </c>
      <c r="GL418" s="184">
        <f>+FLEURY!GB119</f>
        <v>0</v>
      </c>
      <c r="GM418" s="184">
        <f>+FLEURY!GC119</f>
        <v>0</v>
      </c>
      <c r="GN418" s="184">
        <f>+FLEURY!GD119</f>
        <v>0</v>
      </c>
      <c r="GO418" s="184">
        <f>+FLEURY!GE119</f>
        <v>0</v>
      </c>
      <c r="GP418" s="184">
        <f>+FLEURY!GF119</f>
        <v>0</v>
      </c>
      <c r="GQ418" s="184">
        <f>+FLEURY!GG119</f>
        <v>0</v>
      </c>
      <c r="GR418" s="184">
        <f>+FLEURY!GH119</f>
        <v>0</v>
      </c>
      <c r="GS418" s="184">
        <f>+FLEURY!GI119</f>
        <v>0</v>
      </c>
      <c r="GT418" s="184">
        <f>+FLEURY!GJ119</f>
        <v>0</v>
      </c>
      <c r="GU418" s="184">
        <f>+FLEURY!GK119</f>
        <v>0</v>
      </c>
      <c r="GV418" s="184">
        <f>+FLEURY!GL119</f>
        <v>0</v>
      </c>
      <c r="GW418" s="184">
        <f>+FLEURY!GM119</f>
        <v>0</v>
      </c>
      <c r="GX418" s="184">
        <f>+FLEURY!GN119</f>
        <v>0</v>
      </c>
      <c r="GY418" s="184">
        <f>+FLEURY!GO119</f>
        <v>0</v>
      </c>
      <c r="GZ418" s="184">
        <f>+FLEURY!GP119</f>
        <v>0</v>
      </c>
      <c r="HA418" s="184">
        <f>+FLEURY!GQ119</f>
        <v>0</v>
      </c>
      <c r="HB418" s="184">
        <f>+FLEURY!GR119</f>
        <v>0</v>
      </c>
      <c r="HC418" s="184">
        <f>+FLEURY!GS119</f>
        <v>0</v>
      </c>
      <c r="HD418" s="184">
        <f>+FLEURY!GT119</f>
        <v>0</v>
      </c>
      <c r="HE418" s="184">
        <f>+FLEURY!GU119</f>
        <v>0</v>
      </c>
      <c r="HF418" s="184">
        <f>+FLEURY!GV119</f>
        <v>0</v>
      </c>
      <c r="HG418" s="184">
        <f>+FLEURY!GW119</f>
        <v>0</v>
      </c>
      <c r="HH418" s="184">
        <f>+FLEURY!GX119</f>
        <v>0</v>
      </c>
      <c r="HI418" s="184">
        <f>+FLEURY!GY119</f>
        <v>0</v>
      </c>
      <c r="HJ418" s="184">
        <f>+FLEURY!GZ119</f>
        <v>0</v>
      </c>
      <c r="HK418" s="184">
        <f>+FLEURY!HA119</f>
        <v>0</v>
      </c>
      <c r="HL418" s="184">
        <f>+FLEURY!HB119</f>
        <v>0</v>
      </c>
      <c r="HM418" s="184">
        <f>+FLEURY!HC119</f>
        <v>0</v>
      </c>
      <c r="HN418" s="184">
        <f>+FLEURY!HD119</f>
        <v>0</v>
      </c>
      <c r="HO418" s="184">
        <f>+FLEURY!HE119</f>
        <v>0</v>
      </c>
      <c r="HP418" s="184">
        <f>+FLEURY!HF119</f>
        <v>0</v>
      </c>
      <c r="HQ418" s="184">
        <f>+FLEURY!HG119</f>
        <v>0</v>
      </c>
      <c r="HR418" s="184">
        <f>+FLEURY!HH119</f>
        <v>0</v>
      </c>
      <c r="HS418" s="184">
        <f>+FLEURY!HI119</f>
        <v>0</v>
      </c>
      <c r="HT418" s="184">
        <f>+FLEURY!HJ119</f>
        <v>0</v>
      </c>
      <c r="HU418" s="184">
        <f>+FLEURY!HK119</f>
        <v>0</v>
      </c>
      <c r="HV418" s="184">
        <f>+FLEURY!HL119</f>
        <v>0</v>
      </c>
      <c r="HW418" s="184">
        <f>+FLEURY!HM119</f>
        <v>0</v>
      </c>
      <c r="HX418" s="184">
        <f>+FLEURY!HN119</f>
        <v>0</v>
      </c>
      <c r="HY418" s="184">
        <f>+FLEURY!HO119</f>
        <v>0</v>
      </c>
      <c r="HZ418" s="184">
        <f>+FLEURY!HP119</f>
        <v>0</v>
      </c>
      <c r="IA418" s="184">
        <f>+FLEURY!HQ119</f>
        <v>0</v>
      </c>
      <c r="IB418" s="184">
        <f>+FLEURY!HR119</f>
        <v>0</v>
      </c>
      <c r="IC418" s="184">
        <f>+FLEURY!HS119</f>
        <v>0</v>
      </c>
      <c r="ID418" s="184">
        <f>+FLEURY!HT119</f>
        <v>0</v>
      </c>
      <c r="IE418" s="184">
        <f>+FLEURY!HU119</f>
        <v>0</v>
      </c>
      <c r="IF418" s="184">
        <f>+FLEURY!HV119</f>
        <v>0</v>
      </c>
      <c r="IG418" s="184">
        <f>+FLEURY!HW119</f>
        <v>0</v>
      </c>
      <c r="IH418" s="184">
        <f>+FLEURY!HX119</f>
        <v>0</v>
      </c>
      <c r="II418" s="184">
        <f>+FLEURY!HY119</f>
        <v>0</v>
      </c>
      <c r="IJ418" s="184">
        <f>+FLEURY!HZ119</f>
        <v>0</v>
      </c>
      <c r="IK418" s="184">
        <f>+FLEURY!IA119</f>
        <v>0</v>
      </c>
      <c r="IL418" s="184">
        <f>+FLEURY!IB119</f>
        <v>0</v>
      </c>
      <c r="IM418" s="184">
        <f>+FLEURY!IC119</f>
        <v>0</v>
      </c>
      <c r="IN418" s="184">
        <f>+FLEURY!ID119</f>
        <v>0</v>
      </c>
      <c r="IO418" s="184">
        <f>+FLEURY!IE119</f>
        <v>0</v>
      </c>
      <c r="IP418" s="184">
        <f>+FLEURY!IF119</f>
        <v>0</v>
      </c>
      <c r="IQ418" s="184">
        <f>+FLEURY!IG119</f>
        <v>0</v>
      </c>
      <c r="IR418" s="184">
        <f>+FLEURY!IH119</f>
        <v>0</v>
      </c>
      <c r="IS418" s="184">
        <f>+FLEURY!II119</f>
        <v>0</v>
      </c>
      <c r="IT418" s="184" t="e">
        <f>+FLEURY!#REF!</f>
        <v>#REF!</v>
      </c>
      <c r="IU418" s="184" t="e">
        <f>+FLEURY!#REF!</f>
        <v>#REF!</v>
      </c>
      <c r="IV418" s="184" t="e">
        <f>+FLEURY!#REF!</f>
        <v>#REF!</v>
      </c>
      <c r="IW418" s="184" t="e">
        <f>+FLEURY!#REF!</f>
        <v>#REF!</v>
      </c>
    </row>
    <row r="419" spans="1:257" s="175" customFormat="1" x14ac:dyDescent="0.2">
      <c r="A419" s="270"/>
      <c r="B419" s="235"/>
      <c r="C419" s="148"/>
      <c r="D419" s="148"/>
      <c r="E419" s="240"/>
      <c r="F419" s="240"/>
      <c r="G419" s="240"/>
      <c r="H419" s="240"/>
      <c r="I419" s="240"/>
      <c r="J419" s="240"/>
      <c r="K419" s="240"/>
      <c r="L419" s="240"/>
      <c r="M419" s="240"/>
      <c r="N419" s="240"/>
      <c r="O419" s="240"/>
      <c r="P419" s="240"/>
      <c r="Q419" s="240"/>
      <c r="R419" s="240"/>
      <c r="S419" s="245"/>
      <c r="T419"/>
      <c r="V419" s="332"/>
      <c r="Z419"/>
    </row>
    <row r="420" spans="1:257" x14ac:dyDescent="0.2">
      <c r="A420" s="159">
        <v>615193</v>
      </c>
      <c r="B420" s="160" t="s">
        <v>118</v>
      </c>
      <c r="C420" s="148" t="s">
        <v>71</v>
      </c>
      <c r="D420" s="148" t="s">
        <v>192</v>
      </c>
      <c r="E420" s="240">
        <v>0</v>
      </c>
      <c r="F420" s="240">
        <v>0</v>
      </c>
      <c r="G420" s="240">
        <v>1229.43</v>
      </c>
      <c r="H420" s="240">
        <v>0</v>
      </c>
      <c r="I420" s="240">
        <v>0</v>
      </c>
      <c r="J420" s="240">
        <v>0</v>
      </c>
      <c r="K420" s="240">
        <v>0</v>
      </c>
      <c r="L420" s="240">
        <v>0</v>
      </c>
      <c r="M420" s="240">
        <v>0</v>
      </c>
      <c r="N420" s="240">
        <v>0</v>
      </c>
      <c r="O420" s="240">
        <v>0</v>
      </c>
      <c r="P420" s="240">
        <v>0</v>
      </c>
      <c r="Q420" s="240">
        <v>0</v>
      </c>
      <c r="R420" s="240">
        <v>0</v>
      </c>
      <c r="S420" s="242">
        <f t="shared" ref="S420:S427" si="34">SUM(E420:Q420)</f>
        <v>1229.43</v>
      </c>
      <c r="Z420"/>
    </row>
    <row r="421" spans="1:257" x14ac:dyDescent="0.2">
      <c r="A421" s="159">
        <v>615193</v>
      </c>
      <c r="B421" s="160" t="s">
        <v>118</v>
      </c>
      <c r="C421" s="148" t="s">
        <v>71</v>
      </c>
      <c r="D421" s="148" t="s">
        <v>243</v>
      </c>
      <c r="E421" s="240">
        <v>0</v>
      </c>
      <c r="F421" s="240">
        <v>0</v>
      </c>
      <c r="G421" s="240">
        <v>0</v>
      </c>
      <c r="H421" s="240">
        <v>297.24</v>
      </c>
      <c r="I421" s="240">
        <v>0</v>
      </c>
      <c r="J421" s="240">
        <v>0</v>
      </c>
      <c r="K421" s="240">
        <v>0</v>
      </c>
      <c r="L421" s="240">
        <v>0</v>
      </c>
      <c r="M421" s="240">
        <v>0</v>
      </c>
      <c r="N421" s="240">
        <v>0</v>
      </c>
      <c r="O421" s="240">
        <v>0</v>
      </c>
      <c r="P421" s="240">
        <v>0</v>
      </c>
      <c r="Q421" s="240">
        <v>0</v>
      </c>
      <c r="R421" s="240">
        <v>0</v>
      </c>
      <c r="S421" s="242">
        <f>SUM(E421:Q421)</f>
        <v>297.24</v>
      </c>
      <c r="T421" s="331"/>
      <c r="Z421"/>
    </row>
    <row r="422" spans="1:257" x14ac:dyDescent="0.2">
      <c r="A422" s="159">
        <v>615193</v>
      </c>
      <c r="B422" s="160" t="s">
        <v>118</v>
      </c>
      <c r="C422" s="148" t="s">
        <v>71</v>
      </c>
      <c r="D422" s="148" t="s">
        <v>189</v>
      </c>
      <c r="E422" s="240">
        <v>0</v>
      </c>
      <c r="F422" s="240">
        <v>0</v>
      </c>
      <c r="G422" s="240">
        <v>0</v>
      </c>
      <c r="H422" s="240">
        <v>137.63999999999999</v>
      </c>
      <c r="I422" s="240">
        <v>0</v>
      </c>
      <c r="J422" s="240">
        <v>0</v>
      </c>
      <c r="K422" s="240">
        <v>137.63999999999999</v>
      </c>
      <c r="L422" s="240">
        <v>0</v>
      </c>
      <c r="M422" s="240">
        <v>0</v>
      </c>
      <c r="N422" s="240">
        <v>137.63999999999999</v>
      </c>
      <c r="O422" s="240">
        <v>0</v>
      </c>
      <c r="P422" s="240">
        <v>0</v>
      </c>
      <c r="Q422" s="240">
        <v>0</v>
      </c>
      <c r="R422" s="240">
        <v>0</v>
      </c>
      <c r="S422" s="242">
        <f t="shared" si="34"/>
        <v>412.91999999999996</v>
      </c>
      <c r="Z422"/>
    </row>
    <row r="423" spans="1:257" x14ac:dyDescent="0.2">
      <c r="A423" s="159">
        <v>615193</v>
      </c>
      <c r="B423" s="160" t="s">
        <v>118</v>
      </c>
      <c r="C423" s="148" t="s">
        <v>71</v>
      </c>
      <c r="D423" s="148" t="s">
        <v>187</v>
      </c>
      <c r="E423" s="240">
        <v>0</v>
      </c>
      <c r="F423" s="240">
        <v>0</v>
      </c>
      <c r="G423" s="240">
        <v>0</v>
      </c>
      <c r="H423" s="240">
        <v>0</v>
      </c>
      <c r="I423" s="240">
        <v>0</v>
      </c>
      <c r="J423" s="240">
        <v>0</v>
      </c>
      <c r="K423" s="240">
        <v>0</v>
      </c>
      <c r="L423" s="240">
        <v>0</v>
      </c>
      <c r="M423" s="240">
        <v>685</v>
      </c>
      <c r="N423" s="240">
        <v>0</v>
      </c>
      <c r="O423" s="240">
        <v>0</v>
      </c>
      <c r="P423" s="240">
        <v>0</v>
      </c>
      <c r="Q423" s="240">
        <v>0</v>
      </c>
      <c r="R423" s="240">
        <v>0</v>
      </c>
      <c r="S423" s="242">
        <f t="shared" si="34"/>
        <v>685</v>
      </c>
      <c r="Z423"/>
    </row>
    <row r="424" spans="1:257" x14ac:dyDescent="0.2">
      <c r="A424" s="159">
        <v>615193</v>
      </c>
      <c r="B424" s="160" t="s">
        <v>118</v>
      </c>
      <c r="C424" s="148" t="s">
        <v>71</v>
      </c>
      <c r="D424" s="148" t="s">
        <v>191</v>
      </c>
      <c r="E424" s="240">
        <v>0</v>
      </c>
      <c r="F424" s="240">
        <v>840.25</v>
      </c>
      <c r="G424" s="240">
        <v>0</v>
      </c>
      <c r="H424" s="240">
        <v>0</v>
      </c>
      <c r="I424" s="240">
        <v>0</v>
      </c>
      <c r="J424" s="240">
        <v>0</v>
      </c>
      <c r="K424" s="240">
        <v>0</v>
      </c>
      <c r="L424" s="240">
        <v>0</v>
      </c>
      <c r="M424" s="240">
        <v>0</v>
      </c>
      <c r="N424" s="240">
        <v>449.84</v>
      </c>
      <c r="O424" s="240">
        <v>0</v>
      </c>
      <c r="P424" s="240">
        <v>0</v>
      </c>
      <c r="Q424" s="240">
        <v>0</v>
      </c>
      <c r="R424" s="240">
        <v>0</v>
      </c>
      <c r="S424" s="242">
        <f t="shared" si="34"/>
        <v>1290.0899999999999</v>
      </c>
      <c r="Z424"/>
    </row>
    <row r="425" spans="1:257" x14ac:dyDescent="0.2">
      <c r="A425" s="159">
        <v>615193</v>
      </c>
      <c r="B425" s="160" t="s">
        <v>118</v>
      </c>
      <c r="C425" s="148" t="s">
        <v>71</v>
      </c>
      <c r="D425" s="148" t="s">
        <v>179</v>
      </c>
      <c r="E425" s="240">
        <v>0</v>
      </c>
      <c r="F425" s="240">
        <v>0</v>
      </c>
      <c r="G425" s="240">
        <v>0</v>
      </c>
      <c r="H425" s="240">
        <v>1213.7</v>
      </c>
      <c r="I425" s="240">
        <v>0</v>
      </c>
      <c r="J425" s="240">
        <v>0</v>
      </c>
      <c r="K425" s="240">
        <v>0</v>
      </c>
      <c r="L425" s="240">
        <v>0</v>
      </c>
      <c r="M425" s="240">
        <v>0</v>
      </c>
      <c r="N425" s="240">
        <v>2347.3000000000002</v>
      </c>
      <c r="O425" s="240">
        <v>0</v>
      </c>
      <c r="P425" s="240">
        <v>2025</v>
      </c>
      <c r="Q425" s="240">
        <v>0</v>
      </c>
      <c r="R425" s="240">
        <v>0</v>
      </c>
      <c r="S425" s="242">
        <f t="shared" si="34"/>
        <v>5586</v>
      </c>
      <c r="Z425"/>
    </row>
    <row r="426" spans="1:257" x14ac:dyDescent="0.2">
      <c r="A426" s="159">
        <v>615193</v>
      </c>
      <c r="B426" s="160" t="s">
        <v>118</v>
      </c>
      <c r="C426" s="148" t="s">
        <v>71</v>
      </c>
      <c r="D426" s="148" t="s">
        <v>201</v>
      </c>
      <c r="E426" s="240">
        <v>0</v>
      </c>
      <c r="F426" s="240">
        <v>0</v>
      </c>
      <c r="G426" s="240">
        <v>0</v>
      </c>
      <c r="H426" s="240">
        <v>24.77</v>
      </c>
      <c r="I426" s="240">
        <v>0</v>
      </c>
      <c r="J426" s="240">
        <v>0</v>
      </c>
      <c r="K426" s="240">
        <v>0</v>
      </c>
      <c r="L426" s="240">
        <v>0</v>
      </c>
      <c r="M426" s="240">
        <v>0</v>
      </c>
      <c r="N426" s="240">
        <v>0</v>
      </c>
      <c r="O426" s="240">
        <v>0</v>
      </c>
      <c r="P426" s="240">
        <v>0</v>
      </c>
      <c r="Q426" s="240">
        <v>0</v>
      </c>
      <c r="R426" s="240">
        <v>0</v>
      </c>
      <c r="S426" s="242">
        <f t="shared" si="34"/>
        <v>24.77</v>
      </c>
      <c r="Z426"/>
    </row>
    <row r="427" spans="1:257" x14ac:dyDescent="0.2">
      <c r="A427" s="159">
        <v>615193</v>
      </c>
      <c r="B427" s="160" t="s">
        <v>118</v>
      </c>
      <c r="C427" s="148" t="s">
        <v>71</v>
      </c>
      <c r="D427" s="148" t="s">
        <v>184</v>
      </c>
      <c r="E427" s="240">
        <v>0</v>
      </c>
      <c r="F427" s="240">
        <v>0</v>
      </c>
      <c r="G427" s="240">
        <v>0</v>
      </c>
      <c r="H427" s="240">
        <v>842.18</v>
      </c>
      <c r="I427" s="240">
        <v>0</v>
      </c>
      <c r="J427" s="240">
        <v>0</v>
      </c>
      <c r="K427" s="240">
        <v>0</v>
      </c>
      <c r="L427" s="240">
        <v>0</v>
      </c>
      <c r="M427" s="240">
        <v>0</v>
      </c>
      <c r="N427" s="240">
        <v>0</v>
      </c>
      <c r="O427" s="240">
        <v>0</v>
      </c>
      <c r="P427" s="240">
        <v>0</v>
      </c>
      <c r="Q427" s="240">
        <v>0</v>
      </c>
      <c r="R427" s="240">
        <v>0</v>
      </c>
      <c r="S427" s="242">
        <f t="shared" si="34"/>
        <v>842.18</v>
      </c>
      <c r="Z427"/>
    </row>
    <row r="428" spans="1:257" s="175" customFormat="1" x14ac:dyDescent="0.2">
      <c r="A428" s="270"/>
      <c r="B428" s="235"/>
      <c r="C428" s="148"/>
      <c r="D428" s="148"/>
      <c r="E428" s="240"/>
      <c r="F428" s="240"/>
      <c r="G428" s="240"/>
      <c r="H428" s="240"/>
      <c r="I428" s="240"/>
      <c r="J428" s="240"/>
      <c r="K428" s="240"/>
      <c r="L428" s="240"/>
      <c r="M428" s="240"/>
      <c r="N428" s="240"/>
      <c r="O428" s="240"/>
      <c r="P428" s="240"/>
      <c r="Q428" s="240"/>
      <c r="R428" s="240"/>
      <c r="S428" s="245"/>
      <c r="T428"/>
      <c r="U428" s="184"/>
      <c r="V428" s="332"/>
      <c r="X428" s="184"/>
      <c r="Y428" s="184"/>
      <c r="Z428"/>
      <c r="AA428" s="184"/>
      <c r="AB428" s="184"/>
      <c r="AC428" s="184"/>
      <c r="AD428" s="184"/>
      <c r="AE428" s="184"/>
      <c r="AF428" s="184"/>
      <c r="AG428" s="184"/>
      <c r="AH428" s="184"/>
      <c r="AI428" s="184"/>
      <c r="AJ428" s="184"/>
      <c r="AK428" s="184"/>
      <c r="AL428" s="184"/>
      <c r="AM428" s="184"/>
      <c r="AN428" s="184"/>
      <c r="AO428" s="184"/>
      <c r="AP428" s="184"/>
      <c r="AQ428" s="184"/>
      <c r="AR428" s="184"/>
      <c r="AS428" s="184"/>
      <c r="AT428" s="184"/>
      <c r="AU428" s="184"/>
      <c r="AV428" s="184"/>
      <c r="AW428" s="184"/>
      <c r="AX428" s="184"/>
      <c r="AY428" s="184"/>
      <c r="AZ428" s="184"/>
      <c r="BA428" s="184"/>
      <c r="BB428" s="184"/>
      <c r="BC428" s="184"/>
      <c r="BD428" s="184"/>
      <c r="BE428" s="184"/>
      <c r="BF428" s="184"/>
      <c r="BG428" s="184"/>
      <c r="BH428" s="184"/>
      <c r="BI428" s="184"/>
      <c r="BJ428" s="184"/>
      <c r="BK428" s="184"/>
      <c r="BL428" s="184"/>
      <c r="BM428" s="184"/>
      <c r="BN428" s="184"/>
      <c r="BO428" s="184"/>
      <c r="BP428" s="184"/>
      <c r="BQ428" s="184"/>
      <c r="BR428" s="184"/>
      <c r="BS428" s="184"/>
      <c r="BT428" s="184"/>
      <c r="BU428" s="184"/>
      <c r="BV428" s="184"/>
      <c r="BW428" s="184"/>
      <c r="BX428" s="184"/>
      <c r="BY428" s="184"/>
      <c r="BZ428" s="184"/>
      <c r="CA428" s="184"/>
      <c r="CB428" s="184"/>
      <c r="CC428" s="184"/>
      <c r="CD428" s="184"/>
      <c r="CE428" s="184"/>
      <c r="CF428" s="184"/>
      <c r="CG428" s="184"/>
      <c r="CH428" s="184"/>
      <c r="CI428" s="184"/>
      <c r="CJ428" s="184"/>
      <c r="CK428" s="184"/>
      <c r="CL428" s="184"/>
      <c r="CM428" s="184"/>
      <c r="CN428" s="184"/>
      <c r="CO428" s="184"/>
      <c r="CP428" s="184"/>
      <c r="CQ428" s="184"/>
      <c r="CR428" s="184"/>
      <c r="CS428" s="184"/>
      <c r="CT428" s="184"/>
      <c r="CU428" s="184"/>
      <c r="CV428" s="184"/>
      <c r="CW428" s="184"/>
      <c r="CX428" s="184"/>
      <c r="CY428" s="184"/>
      <c r="CZ428" s="184"/>
      <c r="DA428" s="184"/>
      <c r="DB428" s="184"/>
      <c r="DC428" s="184"/>
      <c r="DD428" s="184"/>
      <c r="DE428" s="184"/>
      <c r="DF428" s="184"/>
      <c r="DG428" s="184"/>
      <c r="DH428" s="184"/>
      <c r="DI428" s="184"/>
      <c r="DJ428" s="184"/>
      <c r="DK428" s="184"/>
      <c r="DL428" s="184"/>
      <c r="DM428" s="184"/>
      <c r="DN428" s="184"/>
      <c r="DO428" s="184"/>
      <c r="DP428" s="184"/>
      <c r="DQ428" s="184"/>
      <c r="DR428" s="184"/>
      <c r="DS428" s="184"/>
      <c r="DT428" s="184"/>
      <c r="DU428" s="184"/>
      <c r="DV428" s="184"/>
      <c r="DW428" s="184"/>
      <c r="DX428" s="184"/>
      <c r="DY428" s="184"/>
      <c r="DZ428" s="184"/>
      <c r="EA428" s="184"/>
      <c r="EB428" s="184"/>
      <c r="EC428" s="184"/>
      <c r="ED428" s="184"/>
      <c r="EE428" s="184"/>
      <c r="EF428" s="184"/>
      <c r="EG428" s="184"/>
      <c r="EH428" s="184"/>
      <c r="EI428" s="184"/>
      <c r="EJ428" s="184"/>
      <c r="EK428" s="184"/>
      <c r="EL428" s="184"/>
      <c r="EM428" s="184"/>
      <c r="EN428" s="184"/>
      <c r="EO428" s="184"/>
      <c r="EP428" s="184"/>
      <c r="EQ428" s="184"/>
      <c r="ER428" s="184"/>
      <c r="ES428" s="184"/>
      <c r="ET428" s="184"/>
      <c r="EU428" s="184"/>
      <c r="EV428" s="184"/>
      <c r="EW428" s="184"/>
      <c r="EX428" s="184"/>
      <c r="EY428" s="184"/>
      <c r="EZ428" s="184"/>
      <c r="FA428" s="184"/>
      <c r="FB428" s="184"/>
      <c r="FC428" s="184"/>
      <c r="FD428" s="184"/>
      <c r="FE428" s="184"/>
      <c r="FF428" s="184"/>
      <c r="FG428" s="184"/>
      <c r="FH428" s="184"/>
      <c r="FI428" s="184"/>
      <c r="FJ428" s="184"/>
      <c r="FK428" s="184"/>
      <c r="FL428" s="184"/>
      <c r="FM428" s="184"/>
      <c r="FN428" s="184"/>
      <c r="FO428" s="184"/>
      <c r="FP428" s="184"/>
      <c r="FQ428" s="184"/>
      <c r="FR428" s="184"/>
      <c r="FS428" s="184"/>
      <c r="FT428" s="184"/>
      <c r="FU428" s="184"/>
      <c r="FV428" s="184"/>
      <c r="FW428" s="184"/>
      <c r="FX428" s="184"/>
      <c r="FY428" s="184"/>
      <c r="FZ428" s="184"/>
      <c r="GA428" s="184"/>
      <c r="GB428" s="184"/>
      <c r="GC428" s="184"/>
      <c r="GD428" s="184"/>
      <c r="GE428" s="184"/>
      <c r="GF428" s="184"/>
      <c r="GG428" s="184"/>
      <c r="GH428" s="184"/>
      <c r="GI428" s="184"/>
      <c r="GJ428" s="184"/>
      <c r="GK428" s="184"/>
      <c r="GL428" s="184"/>
      <c r="GM428" s="184"/>
      <c r="GN428" s="184"/>
      <c r="GO428" s="184"/>
      <c r="GP428" s="184"/>
      <c r="GQ428" s="184"/>
      <c r="GR428" s="184"/>
      <c r="GS428" s="184"/>
      <c r="GT428" s="184"/>
      <c r="GU428" s="184"/>
      <c r="GV428" s="184"/>
      <c r="GW428" s="184"/>
      <c r="GX428" s="184"/>
      <c r="GY428" s="184"/>
      <c r="GZ428" s="184"/>
      <c r="HA428" s="184"/>
      <c r="HB428" s="184"/>
      <c r="HC428" s="184"/>
      <c r="HD428" s="184"/>
      <c r="HE428" s="184"/>
      <c r="HF428" s="184"/>
      <c r="HG428" s="184"/>
      <c r="HH428" s="184"/>
      <c r="HI428" s="184"/>
      <c r="HJ428" s="184"/>
      <c r="HK428" s="184"/>
      <c r="HL428" s="184"/>
      <c r="HM428" s="184"/>
      <c r="HN428" s="184"/>
      <c r="HO428" s="184"/>
      <c r="HP428" s="184"/>
      <c r="HQ428" s="184"/>
      <c r="HR428" s="184"/>
      <c r="HS428" s="184"/>
      <c r="HT428" s="184"/>
      <c r="HU428" s="184"/>
      <c r="HV428" s="184"/>
      <c r="HW428" s="184"/>
      <c r="HX428" s="184"/>
      <c r="HY428" s="184"/>
      <c r="HZ428" s="184"/>
      <c r="IA428" s="184"/>
      <c r="IB428" s="184"/>
      <c r="IC428" s="184"/>
      <c r="ID428" s="184"/>
      <c r="IE428" s="184"/>
      <c r="IF428" s="184"/>
      <c r="IG428" s="184"/>
      <c r="IH428" s="184"/>
      <c r="II428" s="184"/>
      <c r="IJ428" s="184"/>
      <c r="IK428" s="184"/>
      <c r="IL428" s="184"/>
      <c r="IM428" s="184"/>
      <c r="IN428" s="184"/>
      <c r="IO428" s="184"/>
      <c r="IP428" s="184"/>
      <c r="IQ428" s="184"/>
      <c r="IR428" s="184"/>
      <c r="IS428" s="184"/>
      <c r="IT428" s="184"/>
      <c r="IU428" s="184"/>
      <c r="IV428" s="184"/>
      <c r="IW428" s="184"/>
    </row>
    <row r="429" spans="1:257" x14ac:dyDescent="0.2">
      <c r="A429" s="159">
        <v>615193</v>
      </c>
      <c r="B429" s="160" t="s">
        <v>118</v>
      </c>
      <c r="C429" s="148" t="s">
        <v>73</v>
      </c>
      <c r="D429" s="148" t="s">
        <v>192</v>
      </c>
      <c r="E429" s="240">
        <v>0</v>
      </c>
      <c r="F429" s="240">
        <v>0</v>
      </c>
      <c r="G429" s="240">
        <v>0</v>
      </c>
      <c r="H429" s="240">
        <v>0</v>
      </c>
      <c r="I429" s="240">
        <v>0</v>
      </c>
      <c r="J429" s="240">
        <v>2335.77</v>
      </c>
      <c r="K429" s="240">
        <v>0</v>
      </c>
      <c r="L429" s="240">
        <v>0</v>
      </c>
      <c r="M429" s="240">
        <v>0</v>
      </c>
      <c r="N429" s="240">
        <v>2991.8900000000003</v>
      </c>
      <c r="O429" s="240">
        <v>0</v>
      </c>
      <c r="P429" s="240">
        <v>0</v>
      </c>
      <c r="Q429" s="240">
        <v>0</v>
      </c>
      <c r="R429" s="240">
        <v>0</v>
      </c>
      <c r="S429" s="245">
        <f>SUM(E429:Q429)</f>
        <v>5327.66</v>
      </c>
      <c r="Z429"/>
    </row>
    <row r="430" spans="1:257" x14ac:dyDescent="0.2">
      <c r="A430" s="159">
        <v>615193</v>
      </c>
      <c r="B430" s="160" t="s">
        <v>118</v>
      </c>
      <c r="C430" s="148" t="s">
        <v>73</v>
      </c>
      <c r="D430" s="148" t="s">
        <v>243</v>
      </c>
      <c r="E430" s="240">
        <v>0</v>
      </c>
      <c r="F430" s="240">
        <v>0</v>
      </c>
      <c r="G430" s="240">
        <v>0</v>
      </c>
      <c r="H430" s="240">
        <v>0</v>
      </c>
      <c r="I430" s="240">
        <v>813.36</v>
      </c>
      <c r="J430" s="240">
        <v>0</v>
      </c>
      <c r="K430" s="240">
        <v>0</v>
      </c>
      <c r="L430" s="240">
        <v>0</v>
      </c>
      <c r="M430" s="240">
        <v>0</v>
      </c>
      <c r="N430" s="240">
        <v>0</v>
      </c>
      <c r="O430" s="240">
        <v>0</v>
      </c>
      <c r="P430" s="240">
        <v>0</v>
      </c>
      <c r="Q430" s="240">
        <v>0</v>
      </c>
      <c r="R430" s="240">
        <v>0</v>
      </c>
      <c r="S430" s="574">
        <f t="shared" ref="S430:S444" si="35">SUM(E430:Q430)</f>
        <v>813.36</v>
      </c>
      <c r="T430" s="331"/>
      <c r="Z430"/>
    </row>
    <row r="431" spans="1:257" x14ac:dyDescent="0.2">
      <c r="A431" s="159">
        <v>615193</v>
      </c>
      <c r="B431" s="160" t="s">
        <v>118</v>
      </c>
      <c r="C431" s="148" t="s">
        <v>73</v>
      </c>
      <c r="D431" s="148" t="s">
        <v>189</v>
      </c>
      <c r="E431" s="240">
        <v>132.05000000000001</v>
      </c>
      <c r="F431" s="240">
        <v>0</v>
      </c>
      <c r="G431" s="240">
        <v>0</v>
      </c>
      <c r="H431" s="240">
        <v>0</v>
      </c>
      <c r="I431" s="240">
        <v>137.63999999999999</v>
      </c>
      <c r="J431" s="240">
        <v>0</v>
      </c>
      <c r="K431" s="240">
        <v>137.63999999999999</v>
      </c>
      <c r="L431" s="240">
        <v>0</v>
      </c>
      <c r="M431" s="240">
        <v>0</v>
      </c>
      <c r="N431" s="240">
        <v>137.63999999999999</v>
      </c>
      <c r="O431" s="240">
        <v>0</v>
      </c>
      <c r="P431" s="240">
        <v>0</v>
      </c>
      <c r="Q431" s="240">
        <v>0</v>
      </c>
      <c r="R431" s="240">
        <v>0</v>
      </c>
      <c r="S431" s="245">
        <f t="shared" si="35"/>
        <v>544.97</v>
      </c>
      <c r="Z431"/>
    </row>
    <row r="432" spans="1:257" x14ac:dyDescent="0.2">
      <c r="A432" s="159">
        <v>615193</v>
      </c>
      <c r="B432" s="160" t="s">
        <v>118</v>
      </c>
      <c r="C432" s="148" t="s">
        <v>73</v>
      </c>
      <c r="D432" s="148" t="s">
        <v>191</v>
      </c>
      <c r="E432" s="240">
        <v>0</v>
      </c>
      <c r="F432" s="240">
        <v>0</v>
      </c>
      <c r="G432" s="240">
        <v>840.25</v>
      </c>
      <c r="H432" s="240">
        <v>482.99</v>
      </c>
      <c r="I432" s="240">
        <v>0</v>
      </c>
      <c r="J432" s="240">
        <v>0</v>
      </c>
      <c r="K432" s="240">
        <v>0</v>
      </c>
      <c r="L432" s="240">
        <v>0</v>
      </c>
      <c r="M432" s="240">
        <v>0</v>
      </c>
      <c r="N432" s="240">
        <v>0</v>
      </c>
      <c r="O432" s="240">
        <v>0</v>
      </c>
      <c r="P432" s="240">
        <v>0</v>
      </c>
      <c r="Q432" s="240">
        <v>0</v>
      </c>
      <c r="R432" s="240">
        <v>0</v>
      </c>
      <c r="S432" s="245">
        <f t="shared" si="35"/>
        <v>1323.24</v>
      </c>
      <c r="Z432"/>
    </row>
    <row r="433" spans="1:257" x14ac:dyDescent="0.2">
      <c r="A433" s="159">
        <v>615193</v>
      </c>
      <c r="B433" s="160" t="s">
        <v>118</v>
      </c>
      <c r="C433" s="148" t="s">
        <v>73</v>
      </c>
      <c r="D433" s="148" t="s">
        <v>179</v>
      </c>
      <c r="E433" s="240">
        <v>0</v>
      </c>
      <c r="F433" s="240">
        <v>0</v>
      </c>
      <c r="G433" s="240">
        <v>0</v>
      </c>
      <c r="H433" s="240">
        <v>0</v>
      </c>
      <c r="I433" s="240">
        <v>430.58</v>
      </c>
      <c r="J433" s="240">
        <v>0</v>
      </c>
      <c r="K433" s="240">
        <v>0</v>
      </c>
      <c r="L433" s="240">
        <v>0</v>
      </c>
      <c r="M433" s="240">
        <v>0</v>
      </c>
      <c r="N433" s="240">
        <v>0</v>
      </c>
      <c r="O433" s="240">
        <v>0</v>
      </c>
      <c r="P433" s="240">
        <v>0</v>
      </c>
      <c r="Q433" s="240">
        <v>0</v>
      </c>
      <c r="R433" s="240">
        <v>0</v>
      </c>
      <c r="S433" s="245">
        <f t="shared" si="35"/>
        <v>430.58</v>
      </c>
      <c r="Z433"/>
    </row>
    <row r="434" spans="1:257" x14ac:dyDescent="0.2">
      <c r="A434" s="159">
        <v>615193</v>
      </c>
      <c r="B434" s="160" t="s">
        <v>118</v>
      </c>
      <c r="C434" s="148" t="s">
        <v>73</v>
      </c>
      <c r="D434" s="148" t="s">
        <v>201</v>
      </c>
      <c r="E434" s="240">
        <v>0</v>
      </c>
      <c r="F434" s="240">
        <v>0</v>
      </c>
      <c r="G434" s="240">
        <v>0</v>
      </c>
      <c r="H434" s="240">
        <v>0</v>
      </c>
      <c r="I434" s="240">
        <v>23.94</v>
      </c>
      <c r="J434" s="240">
        <v>0</v>
      </c>
      <c r="K434" s="240">
        <v>0</v>
      </c>
      <c r="L434" s="240">
        <v>0</v>
      </c>
      <c r="M434" s="240">
        <v>0</v>
      </c>
      <c r="N434" s="240">
        <v>0</v>
      </c>
      <c r="O434" s="240">
        <v>0</v>
      </c>
      <c r="P434" s="240">
        <v>0</v>
      </c>
      <c r="Q434" s="240">
        <v>0</v>
      </c>
      <c r="R434" s="240">
        <v>0</v>
      </c>
      <c r="S434" s="245">
        <f t="shared" si="35"/>
        <v>23.94</v>
      </c>
      <c r="Z434"/>
    </row>
    <row r="435" spans="1:257" x14ac:dyDescent="0.2">
      <c r="A435" s="159">
        <v>615193</v>
      </c>
      <c r="B435" s="160" t="s">
        <v>118</v>
      </c>
      <c r="C435" s="148" t="s">
        <v>73</v>
      </c>
      <c r="D435" s="148" t="s">
        <v>184</v>
      </c>
      <c r="E435" s="240">
        <v>0</v>
      </c>
      <c r="F435" s="240">
        <v>0</v>
      </c>
      <c r="G435" s="240">
        <v>0</v>
      </c>
      <c r="H435" s="240">
        <v>0</v>
      </c>
      <c r="I435" s="240">
        <v>502.37</v>
      </c>
      <c r="J435" s="240">
        <v>0</v>
      </c>
      <c r="K435" s="240">
        <v>0</v>
      </c>
      <c r="L435" s="240">
        <v>0</v>
      </c>
      <c r="M435" s="240">
        <v>0</v>
      </c>
      <c r="N435" s="240">
        <v>0</v>
      </c>
      <c r="O435" s="240">
        <v>0</v>
      </c>
      <c r="P435" s="240">
        <v>0</v>
      </c>
      <c r="Q435" s="240">
        <v>0</v>
      </c>
      <c r="R435" s="240">
        <v>0</v>
      </c>
      <c r="S435" s="245">
        <f t="shared" si="35"/>
        <v>502.37</v>
      </c>
      <c r="Z435"/>
    </row>
    <row r="436" spans="1:257" x14ac:dyDescent="0.2">
      <c r="A436" s="159">
        <v>615193</v>
      </c>
      <c r="B436" s="160" t="s">
        <v>118</v>
      </c>
      <c r="C436" s="148" t="s">
        <v>73</v>
      </c>
      <c r="D436" s="148" t="s">
        <v>204</v>
      </c>
      <c r="E436" s="240">
        <v>0</v>
      </c>
      <c r="F436" s="240">
        <v>0</v>
      </c>
      <c r="G436" s="240">
        <v>0</v>
      </c>
      <c r="H436" s="240">
        <v>0</v>
      </c>
      <c r="I436" s="240">
        <v>0</v>
      </c>
      <c r="J436" s="240">
        <v>0</v>
      </c>
      <c r="K436" s="240">
        <v>0</v>
      </c>
      <c r="L436" s="240">
        <v>0</v>
      </c>
      <c r="M436" s="240">
        <v>0</v>
      </c>
      <c r="N436" s="240">
        <v>0</v>
      </c>
      <c r="O436" s="240">
        <v>0</v>
      </c>
      <c r="P436" s="240">
        <v>0</v>
      </c>
      <c r="Q436" s="240">
        <v>0</v>
      </c>
      <c r="R436" s="240">
        <v>0</v>
      </c>
      <c r="S436" s="242">
        <f>SUM(E436:Q436)</f>
        <v>0</v>
      </c>
      <c r="Z436"/>
    </row>
    <row r="437" spans="1:257" s="175" customFormat="1" x14ac:dyDescent="0.2">
      <c r="A437" s="270"/>
      <c r="B437" s="235"/>
      <c r="C437" s="148"/>
      <c r="D437" s="148"/>
      <c r="E437" s="240"/>
      <c r="F437" s="240"/>
      <c r="G437" s="240"/>
      <c r="H437" s="240"/>
      <c r="I437" s="240"/>
      <c r="J437" s="240"/>
      <c r="K437" s="240"/>
      <c r="L437" s="240"/>
      <c r="M437" s="240"/>
      <c r="N437" s="240"/>
      <c r="O437" s="240"/>
      <c r="P437" s="240"/>
      <c r="Q437" s="240"/>
      <c r="R437" s="240"/>
      <c r="S437" s="242">
        <f t="shared" si="35"/>
        <v>0</v>
      </c>
      <c r="T437"/>
      <c r="U437" s="184"/>
      <c r="V437" s="332"/>
      <c r="X437" s="184"/>
      <c r="Y437" s="184"/>
      <c r="Z437"/>
      <c r="AA437" s="184"/>
      <c r="AB437" s="184"/>
      <c r="AC437" s="184"/>
      <c r="AD437" s="184"/>
      <c r="AE437" s="184"/>
      <c r="AF437" s="184"/>
      <c r="AG437" s="184"/>
      <c r="AH437" s="184"/>
      <c r="AI437" s="184"/>
      <c r="AJ437" s="184"/>
      <c r="AK437" s="184"/>
      <c r="AL437" s="184"/>
      <c r="AM437" s="184"/>
      <c r="AN437" s="184"/>
      <c r="AO437" s="184"/>
      <c r="AP437" s="184"/>
      <c r="AQ437" s="184"/>
      <c r="AR437" s="184"/>
      <c r="AS437" s="184"/>
      <c r="AT437" s="184"/>
      <c r="AU437" s="184"/>
      <c r="AV437" s="184"/>
      <c r="AW437" s="184"/>
      <c r="AX437" s="184"/>
      <c r="AY437" s="184"/>
      <c r="AZ437" s="184"/>
      <c r="BA437" s="184"/>
      <c r="BB437" s="184"/>
      <c r="BC437" s="184"/>
      <c r="BD437" s="184"/>
      <c r="BE437" s="184"/>
      <c r="BF437" s="184"/>
      <c r="BG437" s="184"/>
      <c r="BH437" s="184"/>
      <c r="BI437" s="184"/>
      <c r="BJ437" s="184"/>
      <c r="BK437" s="184"/>
      <c r="BL437" s="184"/>
      <c r="BM437" s="184"/>
      <c r="BN437" s="184"/>
      <c r="BO437" s="184"/>
      <c r="BP437" s="184"/>
      <c r="BQ437" s="184"/>
      <c r="BR437" s="184"/>
      <c r="BS437" s="184"/>
      <c r="BT437" s="184"/>
      <c r="BU437" s="184"/>
      <c r="BV437" s="184"/>
      <c r="BW437" s="184"/>
      <c r="BX437" s="184"/>
      <c r="BY437" s="184"/>
      <c r="BZ437" s="184"/>
      <c r="CA437" s="184"/>
      <c r="CB437" s="184"/>
      <c r="CC437" s="184"/>
      <c r="CD437" s="184"/>
      <c r="CE437" s="184"/>
      <c r="CF437" s="184"/>
      <c r="CG437" s="184"/>
      <c r="CH437" s="184"/>
      <c r="CI437" s="184"/>
      <c r="CJ437" s="184"/>
      <c r="CK437" s="184"/>
      <c r="CL437" s="184"/>
      <c r="CM437" s="184"/>
      <c r="CN437" s="184"/>
      <c r="CO437" s="184"/>
      <c r="CP437" s="184"/>
      <c r="CQ437" s="184"/>
      <c r="CR437" s="184"/>
      <c r="CS437" s="184"/>
      <c r="CT437" s="184"/>
      <c r="CU437" s="184"/>
      <c r="CV437" s="184"/>
      <c r="CW437" s="184"/>
      <c r="CX437" s="184"/>
      <c r="CY437" s="184"/>
      <c r="CZ437" s="184"/>
      <c r="DA437" s="184"/>
      <c r="DB437" s="184"/>
      <c r="DC437" s="184"/>
      <c r="DD437" s="184"/>
      <c r="DE437" s="184"/>
      <c r="DF437" s="184"/>
      <c r="DG437" s="184"/>
      <c r="DH437" s="184"/>
      <c r="DI437" s="184"/>
      <c r="DJ437" s="184"/>
      <c r="DK437" s="184"/>
      <c r="DL437" s="184"/>
      <c r="DM437" s="184"/>
      <c r="DN437" s="184"/>
      <c r="DO437" s="184"/>
      <c r="DP437" s="184"/>
      <c r="DQ437" s="184"/>
      <c r="DR437" s="184"/>
      <c r="DS437" s="184"/>
      <c r="DT437" s="184"/>
      <c r="DU437" s="184"/>
      <c r="DV437" s="184"/>
      <c r="DW437" s="184"/>
      <c r="DX437" s="184"/>
      <c r="DY437" s="184"/>
      <c r="DZ437" s="184"/>
      <c r="EA437" s="184"/>
      <c r="EB437" s="184"/>
      <c r="EC437" s="184"/>
      <c r="ED437" s="184"/>
      <c r="EE437" s="184"/>
      <c r="EF437" s="184"/>
      <c r="EG437" s="184"/>
      <c r="EH437" s="184"/>
      <c r="EI437" s="184"/>
      <c r="EJ437" s="184"/>
      <c r="EK437" s="184"/>
      <c r="EL437" s="184"/>
      <c r="EM437" s="184"/>
      <c r="EN437" s="184"/>
      <c r="EO437" s="184"/>
      <c r="EP437" s="184"/>
      <c r="EQ437" s="184"/>
      <c r="ER437" s="184"/>
      <c r="ES437" s="184"/>
      <c r="ET437" s="184"/>
      <c r="EU437" s="184"/>
      <c r="EV437" s="184"/>
      <c r="EW437" s="184"/>
      <c r="EX437" s="184"/>
      <c r="EY437" s="184"/>
      <c r="EZ437" s="184"/>
      <c r="FA437" s="184"/>
      <c r="FB437" s="184"/>
      <c r="FC437" s="184"/>
      <c r="FD437" s="184"/>
      <c r="FE437" s="184"/>
      <c r="FF437" s="184"/>
      <c r="FG437" s="184"/>
      <c r="FH437" s="184"/>
      <c r="FI437" s="184"/>
      <c r="FJ437" s="184"/>
      <c r="FK437" s="184"/>
      <c r="FL437" s="184"/>
      <c r="FM437" s="184"/>
      <c r="FN437" s="184"/>
      <c r="FO437" s="184"/>
      <c r="FP437" s="184"/>
      <c r="FQ437" s="184"/>
      <c r="FR437" s="184"/>
      <c r="FS437" s="184"/>
      <c r="FT437" s="184"/>
      <c r="FU437" s="184"/>
      <c r="FV437" s="184"/>
      <c r="FW437" s="184"/>
      <c r="FX437" s="184"/>
      <c r="FY437" s="184"/>
      <c r="FZ437" s="184"/>
      <c r="GA437" s="184"/>
      <c r="GB437" s="184"/>
      <c r="GC437" s="184"/>
      <c r="GD437" s="184"/>
      <c r="GE437" s="184"/>
      <c r="GF437" s="184"/>
      <c r="GG437" s="184"/>
      <c r="GH437" s="184"/>
      <c r="GI437" s="184"/>
      <c r="GJ437" s="184"/>
      <c r="GK437" s="184"/>
      <c r="GL437" s="184"/>
      <c r="GM437" s="184"/>
      <c r="GN437" s="184"/>
      <c r="GO437" s="184"/>
      <c r="GP437" s="184"/>
      <c r="GQ437" s="184"/>
      <c r="GR437" s="184"/>
      <c r="GS437" s="184"/>
      <c r="GT437" s="184"/>
      <c r="GU437" s="184"/>
      <c r="GV437" s="184"/>
      <c r="GW437" s="184"/>
      <c r="GX437" s="184"/>
      <c r="GY437" s="184"/>
      <c r="GZ437" s="184"/>
      <c r="HA437" s="184"/>
      <c r="HB437" s="184"/>
      <c r="HC437" s="184"/>
      <c r="HD437" s="184"/>
      <c r="HE437" s="184"/>
      <c r="HF437" s="184"/>
      <c r="HG437" s="184"/>
      <c r="HH437" s="184"/>
      <c r="HI437" s="184"/>
      <c r="HJ437" s="184"/>
      <c r="HK437" s="184"/>
      <c r="HL437" s="184"/>
      <c r="HM437" s="184"/>
      <c r="HN437" s="184"/>
      <c r="HO437" s="184"/>
      <c r="HP437" s="184"/>
      <c r="HQ437" s="184"/>
      <c r="HR437" s="184"/>
      <c r="HS437" s="184"/>
      <c r="HT437" s="184"/>
      <c r="HU437" s="184"/>
      <c r="HV437" s="184"/>
      <c r="HW437" s="184"/>
      <c r="HX437" s="184"/>
      <c r="HY437" s="184"/>
      <c r="HZ437" s="184"/>
      <c r="IA437" s="184"/>
      <c r="IB437" s="184"/>
      <c r="IC437" s="184"/>
      <c r="ID437" s="184"/>
      <c r="IE437" s="184"/>
      <c r="IF437" s="184"/>
      <c r="IG437" s="184"/>
      <c r="IH437" s="184"/>
      <c r="II437" s="184"/>
      <c r="IJ437" s="184"/>
      <c r="IK437" s="184"/>
      <c r="IL437" s="184"/>
      <c r="IM437" s="184"/>
      <c r="IN437" s="184"/>
      <c r="IO437" s="184"/>
      <c r="IP437" s="184"/>
      <c r="IQ437" s="184"/>
      <c r="IR437" s="184"/>
      <c r="IS437" s="184"/>
      <c r="IT437" s="184"/>
      <c r="IU437" s="184"/>
      <c r="IV437" s="184"/>
      <c r="IW437" s="184"/>
    </row>
    <row r="438" spans="1:257" x14ac:dyDescent="0.2">
      <c r="A438" s="159">
        <v>615193</v>
      </c>
      <c r="B438" s="160" t="s">
        <v>118</v>
      </c>
      <c r="C438" s="148" t="s">
        <v>67</v>
      </c>
      <c r="D438" s="148" t="s">
        <v>192</v>
      </c>
      <c r="E438" s="240">
        <v>0</v>
      </c>
      <c r="F438" s="240">
        <v>0</v>
      </c>
      <c r="G438" s="240">
        <v>0</v>
      </c>
      <c r="H438" s="240">
        <v>0</v>
      </c>
      <c r="I438" s="240">
        <v>0</v>
      </c>
      <c r="J438" s="240">
        <v>0</v>
      </c>
      <c r="K438" s="240">
        <v>0</v>
      </c>
      <c r="L438" s="240">
        <v>0</v>
      </c>
      <c r="M438" s="240">
        <v>0</v>
      </c>
      <c r="N438" s="240">
        <v>0</v>
      </c>
      <c r="O438" s="240">
        <v>0</v>
      </c>
      <c r="P438" s="240">
        <v>0</v>
      </c>
      <c r="Q438" s="240">
        <v>0</v>
      </c>
      <c r="R438" s="240">
        <v>0</v>
      </c>
      <c r="S438" s="242">
        <f t="shared" si="35"/>
        <v>0</v>
      </c>
      <c r="Z438"/>
    </row>
    <row r="439" spans="1:257" x14ac:dyDescent="0.2">
      <c r="A439" s="159">
        <v>615193</v>
      </c>
      <c r="B439" s="160" t="s">
        <v>118</v>
      </c>
      <c r="C439" s="148" t="s">
        <v>67</v>
      </c>
      <c r="D439" s="148" t="s">
        <v>243</v>
      </c>
      <c r="E439" s="240">
        <v>0</v>
      </c>
      <c r="F439" s="240">
        <v>0</v>
      </c>
      <c r="G439" s="240">
        <v>0</v>
      </c>
      <c r="H439" s="240">
        <v>0</v>
      </c>
      <c r="I439" s="240">
        <v>0</v>
      </c>
      <c r="J439" s="240">
        <v>0</v>
      </c>
      <c r="K439" s="240">
        <v>0</v>
      </c>
      <c r="L439" s="240">
        <v>0</v>
      </c>
      <c r="M439" s="240">
        <v>0</v>
      </c>
      <c r="N439" s="240">
        <v>0</v>
      </c>
      <c r="O439" s="240">
        <v>0</v>
      </c>
      <c r="P439" s="240">
        <v>0</v>
      </c>
      <c r="Q439" s="240">
        <v>0</v>
      </c>
      <c r="R439" s="240">
        <v>0</v>
      </c>
      <c r="S439" s="242">
        <f t="shared" si="35"/>
        <v>0</v>
      </c>
      <c r="T439" s="331"/>
      <c r="Z439"/>
    </row>
    <row r="440" spans="1:257" x14ac:dyDescent="0.2">
      <c r="A440" s="159">
        <v>615193</v>
      </c>
      <c r="B440" s="160" t="s">
        <v>118</v>
      </c>
      <c r="C440" s="148" t="s">
        <v>67</v>
      </c>
      <c r="D440" s="148" t="s">
        <v>189</v>
      </c>
      <c r="E440" s="240">
        <v>-50.96</v>
      </c>
      <c r="F440" s="240">
        <v>0</v>
      </c>
      <c r="G440" s="240">
        <v>20.399999999999999</v>
      </c>
      <c r="H440" s="240">
        <v>0</v>
      </c>
      <c r="I440" s="240">
        <v>0</v>
      </c>
      <c r="J440" s="240">
        <v>91.76</v>
      </c>
      <c r="K440" s="240">
        <v>0</v>
      </c>
      <c r="L440" s="240">
        <v>0</v>
      </c>
      <c r="M440" s="240">
        <v>91.76</v>
      </c>
      <c r="N440" s="240">
        <v>0</v>
      </c>
      <c r="O440" s="240">
        <v>0</v>
      </c>
      <c r="P440" s="240">
        <v>91.76</v>
      </c>
      <c r="Q440" s="240">
        <v>0</v>
      </c>
      <c r="R440" s="240">
        <v>0</v>
      </c>
      <c r="S440" s="242">
        <f t="shared" si="35"/>
        <v>244.72000000000003</v>
      </c>
      <c r="Z440"/>
    </row>
    <row r="441" spans="1:257" x14ac:dyDescent="0.2">
      <c r="A441" s="159">
        <v>615193</v>
      </c>
      <c r="B441" s="160" t="s">
        <v>118</v>
      </c>
      <c r="C441" s="148" t="s">
        <v>67</v>
      </c>
      <c r="D441" s="148" t="s">
        <v>191</v>
      </c>
      <c r="E441" s="240">
        <v>0</v>
      </c>
      <c r="F441" s="240">
        <v>0</v>
      </c>
      <c r="G441" s="240">
        <v>0</v>
      </c>
      <c r="H441" s="240">
        <v>0</v>
      </c>
      <c r="I441" s="240">
        <v>1531.22</v>
      </c>
      <c r="J441" s="240">
        <v>0</v>
      </c>
      <c r="K441" s="240">
        <v>0</v>
      </c>
      <c r="L441" s="240">
        <v>0</v>
      </c>
      <c r="M441" s="240">
        <v>0</v>
      </c>
      <c r="N441" s="240">
        <v>0</v>
      </c>
      <c r="O441" s="240">
        <v>0</v>
      </c>
      <c r="P441" s="240">
        <v>0</v>
      </c>
      <c r="Q441" s="240">
        <v>0</v>
      </c>
      <c r="R441" s="240">
        <v>0</v>
      </c>
      <c r="S441" s="242">
        <f t="shared" si="35"/>
        <v>1531.22</v>
      </c>
      <c r="Z441"/>
    </row>
    <row r="442" spans="1:257" x14ac:dyDescent="0.2">
      <c r="A442" s="159">
        <v>615193</v>
      </c>
      <c r="B442" s="160" t="s">
        <v>118</v>
      </c>
      <c r="C442" s="148" t="s">
        <v>67</v>
      </c>
      <c r="D442" s="148" t="s">
        <v>201</v>
      </c>
      <c r="E442" s="240">
        <v>0</v>
      </c>
      <c r="F442" s="240">
        <v>0</v>
      </c>
      <c r="G442" s="240">
        <v>0</v>
      </c>
      <c r="H442" s="240">
        <v>0</v>
      </c>
      <c r="I442" s="240">
        <v>0</v>
      </c>
      <c r="J442" s="240">
        <v>0</v>
      </c>
      <c r="K442" s="240">
        <v>0</v>
      </c>
      <c r="L442" s="240">
        <v>0</v>
      </c>
      <c r="M442" s="240">
        <v>0</v>
      </c>
      <c r="N442" s="240">
        <v>0</v>
      </c>
      <c r="O442" s="240">
        <v>0</v>
      </c>
      <c r="P442" s="240">
        <v>0</v>
      </c>
      <c r="Q442" s="240">
        <v>0</v>
      </c>
      <c r="R442" s="240">
        <v>0</v>
      </c>
      <c r="S442" s="242">
        <f t="shared" si="35"/>
        <v>0</v>
      </c>
      <c r="Z442"/>
    </row>
    <row r="443" spans="1:257" x14ac:dyDescent="0.2">
      <c r="A443" s="159">
        <v>615193</v>
      </c>
      <c r="B443" s="160" t="s">
        <v>118</v>
      </c>
      <c r="C443" s="148" t="s">
        <v>67</v>
      </c>
      <c r="D443" s="148" t="s">
        <v>179</v>
      </c>
      <c r="E443" s="240">
        <v>-25.48</v>
      </c>
      <c r="F443" s="240">
        <v>0</v>
      </c>
      <c r="G443" s="240">
        <v>727.6</v>
      </c>
      <c r="H443" s="240">
        <v>0</v>
      </c>
      <c r="I443" s="240">
        <v>0</v>
      </c>
      <c r="J443" s="240">
        <v>509.96</v>
      </c>
      <c r="K443" s="240">
        <v>0</v>
      </c>
      <c r="L443" s="240">
        <v>0</v>
      </c>
      <c r="M443" s="240">
        <v>0</v>
      </c>
      <c r="N443" s="240">
        <v>0</v>
      </c>
      <c r="O443" s="240">
        <v>1122.8800000000001</v>
      </c>
      <c r="P443" s="240">
        <v>6177.08</v>
      </c>
      <c r="Q443" s="240">
        <v>0</v>
      </c>
      <c r="R443" s="240">
        <v>0</v>
      </c>
      <c r="S443" s="242">
        <f t="shared" si="35"/>
        <v>8512.0400000000009</v>
      </c>
      <c r="Z443"/>
    </row>
    <row r="444" spans="1:257" x14ac:dyDescent="0.2">
      <c r="A444" s="159">
        <v>615193</v>
      </c>
      <c r="B444" s="160" t="s">
        <v>118</v>
      </c>
      <c r="C444" s="148" t="s">
        <v>67</v>
      </c>
      <c r="D444" s="148" t="s">
        <v>184</v>
      </c>
      <c r="E444" s="240">
        <v>0</v>
      </c>
      <c r="F444" s="240">
        <v>0</v>
      </c>
      <c r="G444" s="240">
        <v>0</v>
      </c>
      <c r="H444" s="240">
        <v>0</v>
      </c>
      <c r="I444" s="240">
        <v>0</v>
      </c>
      <c r="J444" s="240">
        <v>0</v>
      </c>
      <c r="K444" s="240">
        <v>0</v>
      </c>
      <c r="L444" s="240">
        <v>0</v>
      </c>
      <c r="M444" s="240">
        <v>0</v>
      </c>
      <c r="N444" s="240">
        <v>0</v>
      </c>
      <c r="O444" s="240">
        <v>0</v>
      </c>
      <c r="P444" s="240">
        <v>0</v>
      </c>
      <c r="Q444" s="240">
        <v>0</v>
      </c>
      <c r="R444" s="240">
        <v>0</v>
      </c>
      <c r="S444" s="242">
        <f t="shared" si="35"/>
        <v>0</v>
      </c>
      <c r="Z444"/>
    </row>
    <row r="445" spans="1:257" s="175" customFormat="1" x14ac:dyDescent="0.2">
      <c r="A445" s="270"/>
      <c r="B445" s="235"/>
      <c r="C445" s="148"/>
      <c r="D445" s="148"/>
      <c r="E445" s="240"/>
      <c r="F445" s="240"/>
      <c r="G445" s="240"/>
      <c r="H445" s="240"/>
      <c r="I445" s="240"/>
      <c r="J445" s="240"/>
      <c r="K445" s="240"/>
      <c r="L445" s="240"/>
      <c r="M445" s="240"/>
      <c r="N445" s="240"/>
      <c r="O445" s="240"/>
      <c r="P445" s="240"/>
      <c r="Q445" s="240"/>
      <c r="R445" s="240"/>
      <c r="S445" s="245"/>
      <c r="T445"/>
      <c r="U445" s="184"/>
      <c r="V445" s="332"/>
      <c r="X445" s="184"/>
      <c r="Y445" s="184"/>
      <c r="Z445"/>
      <c r="AA445" s="184"/>
      <c r="AB445" s="184"/>
      <c r="AC445" s="184"/>
      <c r="AD445" s="184"/>
      <c r="AE445" s="184"/>
      <c r="AF445" s="184"/>
      <c r="AG445" s="184"/>
      <c r="AH445" s="184"/>
      <c r="AI445" s="184"/>
      <c r="AJ445" s="184"/>
      <c r="AK445" s="184"/>
      <c r="AL445" s="184"/>
      <c r="AM445" s="184"/>
      <c r="AN445" s="184"/>
      <c r="AO445" s="184"/>
      <c r="AP445" s="184"/>
      <c r="AQ445" s="184"/>
      <c r="AR445" s="184"/>
      <c r="AS445" s="184"/>
      <c r="AT445" s="184"/>
      <c r="AU445" s="184"/>
      <c r="AV445" s="184"/>
      <c r="AW445" s="184"/>
      <c r="AX445" s="184"/>
      <c r="AY445" s="184"/>
      <c r="AZ445" s="184"/>
      <c r="BA445" s="184"/>
      <c r="BB445" s="184"/>
      <c r="BC445" s="184"/>
      <c r="BD445" s="184"/>
      <c r="BE445" s="184"/>
      <c r="BF445" s="184"/>
      <c r="BG445" s="184"/>
      <c r="BH445" s="184"/>
      <c r="BI445" s="184"/>
      <c r="BJ445" s="184"/>
      <c r="BK445" s="184"/>
      <c r="BL445" s="184"/>
      <c r="BM445" s="184"/>
      <c r="BN445" s="184"/>
      <c r="BO445" s="184"/>
      <c r="BP445" s="184"/>
      <c r="BQ445" s="184"/>
      <c r="BR445" s="184"/>
      <c r="BS445" s="184"/>
      <c r="BT445" s="184"/>
      <c r="BU445" s="184"/>
      <c r="BV445" s="184"/>
      <c r="BW445" s="184"/>
      <c r="BX445" s="184"/>
      <c r="BY445" s="184"/>
      <c r="BZ445" s="184"/>
      <c r="CA445" s="184"/>
      <c r="CB445" s="184"/>
      <c r="CC445" s="184"/>
      <c r="CD445" s="184"/>
      <c r="CE445" s="184"/>
      <c r="CF445" s="184"/>
      <c r="CG445" s="184"/>
      <c r="CH445" s="184"/>
      <c r="CI445" s="184"/>
      <c r="CJ445" s="184"/>
      <c r="CK445" s="184"/>
      <c r="CL445" s="184"/>
      <c r="CM445" s="184"/>
      <c r="CN445" s="184"/>
      <c r="CO445" s="184"/>
      <c r="CP445" s="184"/>
      <c r="CQ445" s="184"/>
      <c r="CR445" s="184"/>
      <c r="CS445" s="184"/>
      <c r="CT445" s="184"/>
      <c r="CU445" s="184"/>
      <c r="CV445" s="184"/>
      <c r="CW445" s="184"/>
      <c r="CX445" s="184"/>
      <c r="CY445" s="184"/>
      <c r="CZ445" s="184"/>
      <c r="DA445" s="184"/>
      <c r="DB445" s="184"/>
      <c r="DC445" s="184"/>
      <c r="DD445" s="184"/>
      <c r="DE445" s="184"/>
      <c r="DF445" s="184"/>
      <c r="DG445" s="184"/>
      <c r="DH445" s="184"/>
      <c r="DI445" s="184"/>
      <c r="DJ445" s="184"/>
      <c r="DK445" s="184"/>
      <c r="DL445" s="184"/>
      <c r="DM445" s="184"/>
      <c r="DN445" s="184"/>
      <c r="DO445" s="184"/>
      <c r="DP445" s="184"/>
      <c r="DQ445" s="184"/>
      <c r="DR445" s="184"/>
      <c r="DS445" s="184"/>
      <c r="DT445" s="184"/>
      <c r="DU445" s="184"/>
      <c r="DV445" s="184"/>
      <c r="DW445" s="184"/>
      <c r="DX445" s="184"/>
      <c r="DY445" s="184"/>
      <c r="DZ445" s="184"/>
      <c r="EA445" s="184"/>
      <c r="EB445" s="184"/>
      <c r="EC445" s="184"/>
      <c r="ED445" s="184"/>
      <c r="EE445" s="184"/>
      <c r="EF445" s="184"/>
      <c r="EG445" s="184"/>
      <c r="EH445" s="184"/>
      <c r="EI445" s="184"/>
      <c r="EJ445" s="184"/>
      <c r="EK445" s="184"/>
      <c r="EL445" s="184"/>
      <c r="EM445" s="184"/>
      <c r="EN445" s="184"/>
      <c r="EO445" s="184"/>
      <c r="EP445" s="184"/>
      <c r="EQ445" s="184"/>
      <c r="ER445" s="184"/>
      <c r="ES445" s="184"/>
      <c r="ET445" s="184"/>
      <c r="EU445" s="184"/>
      <c r="EV445" s="184"/>
      <c r="EW445" s="184"/>
      <c r="EX445" s="184"/>
      <c r="EY445" s="184"/>
      <c r="EZ445" s="184"/>
      <c r="FA445" s="184"/>
      <c r="FB445" s="184"/>
      <c r="FC445" s="184"/>
      <c r="FD445" s="184"/>
      <c r="FE445" s="184"/>
      <c r="FF445" s="184"/>
      <c r="FG445" s="184"/>
      <c r="FH445" s="184"/>
      <c r="FI445" s="184"/>
      <c r="FJ445" s="184"/>
      <c r="FK445" s="184"/>
      <c r="FL445" s="184"/>
      <c r="FM445" s="184"/>
      <c r="FN445" s="184"/>
      <c r="FO445" s="184"/>
      <c r="FP445" s="184"/>
      <c r="FQ445" s="184"/>
      <c r="FR445" s="184"/>
      <c r="FS445" s="184"/>
      <c r="FT445" s="184"/>
      <c r="FU445" s="184"/>
      <c r="FV445" s="184"/>
      <c r="FW445" s="184"/>
      <c r="FX445" s="184"/>
      <c r="FY445" s="184"/>
      <c r="FZ445" s="184"/>
      <c r="GA445" s="184"/>
      <c r="GB445" s="184"/>
      <c r="GC445" s="184"/>
      <c r="GD445" s="184"/>
      <c r="GE445" s="184"/>
      <c r="GF445" s="184"/>
      <c r="GG445" s="184"/>
      <c r="GH445" s="184"/>
      <c r="GI445" s="184"/>
      <c r="GJ445" s="184"/>
      <c r="GK445" s="184"/>
      <c r="GL445" s="184"/>
      <c r="GM445" s="184"/>
      <c r="GN445" s="184"/>
      <c r="GO445" s="184"/>
      <c r="GP445" s="184"/>
      <c r="GQ445" s="184"/>
      <c r="GR445" s="184"/>
      <c r="GS445" s="184"/>
      <c r="GT445" s="184"/>
      <c r="GU445" s="184"/>
      <c r="GV445" s="184"/>
      <c r="GW445" s="184"/>
      <c r="GX445" s="184"/>
      <c r="GY445" s="184"/>
      <c r="GZ445" s="184"/>
      <c r="HA445" s="184"/>
      <c r="HB445" s="184"/>
      <c r="HC445" s="184"/>
      <c r="HD445" s="184"/>
      <c r="HE445" s="184"/>
      <c r="HF445" s="184"/>
      <c r="HG445" s="184"/>
      <c r="HH445" s="184"/>
      <c r="HI445" s="184"/>
      <c r="HJ445" s="184"/>
      <c r="HK445" s="184"/>
      <c r="HL445" s="184"/>
      <c r="HM445" s="184"/>
      <c r="HN445" s="184"/>
      <c r="HO445" s="184"/>
      <c r="HP445" s="184"/>
      <c r="HQ445" s="184"/>
      <c r="HR445" s="184"/>
      <c r="HS445" s="184"/>
      <c r="HT445" s="184"/>
      <c r="HU445" s="184"/>
      <c r="HV445" s="184"/>
      <c r="HW445" s="184"/>
      <c r="HX445" s="184"/>
      <c r="HY445" s="184"/>
      <c r="HZ445" s="184"/>
      <c r="IA445" s="184"/>
      <c r="IB445" s="184"/>
      <c r="IC445" s="184"/>
      <c r="ID445" s="184"/>
      <c r="IE445" s="184"/>
      <c r="IF445" s="184"/>
      <c r="IG445" s="184"/>
      <c r="IH445" s="184"/>
      <c r="II445" s="184"/>
      <c r="IJ445" s="184"/>
      <c r="IK445" s="184"/>
      <c r="IL445" s="184"/>
      <c r="IM445" s="184"/>
      <c r="IN445" s="184"/>
      <c r="IO445" s="184"/>
      <c r="IP445" s="184"/>
      <c r="IQ445" s="184"/>
      <c r="IR445" s="184"/>
      <c r="IS445" s="184"/>
      <c r="IT445" s="184"/>
      <c r="IU445" s="184"/>
      <c r="IV445" s="184"/>
      <c r="IW445" s="184"/>
    </row>
    <row r="446" spans="1:257" x14ac:dyDescent="0.2">
      <c r="A446" s="159">
        <v>615193</v>
      </c>
      <c r="B446" s="160" t="s">
        <v>118</v>
      </c>
      <c r="C446" s="148" t="s">
        <v>62</v>
      </c>
      <c r="D446" s="148" t="s">
        <v>192</v>
      </c>
      <c r="E446" s="240">
        <v>0</v>
      </c>
      <c r="F446" s="240">
        <v>0</v>
      </c>
      <c r="G446" s="240">
        <v>0</v>
      </c>
      <c r="H446" s="240">
        <v>0</v>
      </c>
      <c r="I446" s="240">
        <v>0</v>
      </c>
      <c r="J446" s="240">
        <v>0</v>
      </c>
      <c r="K446" s="240">
        <v>0</v>
      </c>
      <c r="L446" s="240">
        <v>0</v>
      </c>
      <c r="M446" s="240">
        <v>0</v>
      </c>
      <c r="N446" s="240">
        <v>0</v>
      </c>
      <c r="O446" s="240">
        <v>0</v>
      </c>
      <c r="P446" s="240">
        <v>0</v>
      </c>
      <c r="Q446" s="240">
        <v>0</v>
      </c>
      <c r="R446" s="240">
        <v>0</v>
      </c>
      <c r="S446" s="242">
        <f t="shared" ref="S446:S451" si="36">SUM(E446:Q446)</f>
        <v>0</v>
      </c>
      <c r="Z446"/>
    </row>
    <row r="447" spans="1:257" x14ac:dyDescent="0.2">
      <c r="A447" s="159">
        <v>615193</v>
      </c>
      <c r="B447" s="160" t="s">
        <v>118</v>
      </c>
      <c r="C447" s="148" t="s">
        <v>62</v>
      </c>
      <c r="D447" s="148" t="s">
        <v>189</v>
      </c>
      <c r="E447" s="240">
        <v>0</v>
      </c>
      <c r="F447" s="240">
        <v>0</v>
      </c>
      <c r="G447" s="240">
        <v>0</v>
      </c>
      <c r="H447" s="240">
        <v>130.22999999999999</v>
      </c>
      <c r="I447" s="240">
        <v>0</v>
      </c>
      <c r="J447" s="240">
        <v>0</v>
      </c>
      <c r="K447" s="240">
        <v>130.22999999999999</v>
      </c>
      <c r="L447" s="240">
        <v>0</v>
      </c>
      <c r="M447" s="240">
        <v>0</v>
      </c>
      <c r="N447" s="240">
        <v>130.22999999999999</v>
      </c>
      <c r="O447" s="240">
        <v>45</v>
      </c>
      <c r="P447" s="240">
        <v>45</v>
      </c>
      <c r="Q447" s="240">
        <v>0</v>
      </c>
      <c r="R447" s="240">
        <v>0</v>
      </c>
      <c r="S447" s="242">
        <f t="shared" si="36"/>
        <v>480.68999999999994</v>
      </c>
      <c r="T447" s="331"/>
      <c r="Z447"/>
    </row>
    <row r="448" spans="1:257" x14ac:dyDescent="0.2">
      <c r="A448" s="159">
        <v>615193</v>
      </c>
      <c r="B448" s="160" t="s">
        <v>118</v>
      </c>
      <c r="C448" s="148" t="s">
        <v>62</v>
      </c>
      <c r="D448" s="148" t="s">
        <v>191</v>
      </c>
      <c r="E448" s="240">
        <v>0</v>
      </c>
      <c r="F448" s="240">
        <v>0</v>
      </c>
      <c r="G448" s="240">
        <v>0</v>
      </c>
      <c r="H448" s="240">
        <v>0</v>
      </c>
      <c r="I448" s="240">
        <v>0</v>
      </c>
      <c r="J448" s="240">
        <v>0</v>
      </c>
      <c r="K448" s="240">
        <v>177.51</v>
      </c>
      <c r="L448" s="240">
        <v>0</v>
      </c>
      <c r="M448" s="240">
        <v>0</v>
      </c>
      <c r="N448" s="240">
        <v>0</v>
      </c>
      <c r="O448" s="240">
        <v>0</v>
      </c>
      <c r="P448" s="240">
        <v>0</v>
      </c>
      <c r="Q448" s="240">
        <v>0</v>
      </c>
      <c r="R448" s="240">
        <v>0</v>
      </c>
      <c r="S448" s="242">
        <f t="shared" si="36"/>
        <v>177.51</v>
      </c>
      <c r="Z448"/>
    </row>
    <row r="449" spans="1:257" x14ac:dyDescent="0.2">
      <c r="A449" s="159">
        <v>615193</v>
      </c>
      <c r="B449" s="160" t="s">
        <v>118</v>
      </c>
      <c r="C449" s="148" t="s">
        <v>62</v>
      </c>
      <c r="D449" s="148" t="s">
        <v>201</v>
      </c>
      <c r="E449" s="240">
        <v>0</v>
      </c>
      <c r="F449" s="240">
        <v>0</v>
      </c>
      <c r="G449" s="240">
        <v>0</v>
      </c>
      <c r="H449" s="240">
        <v>0</v>
      </c>
      <c r="I449" s="240">
        <v>0</v>
      </c>
      <c r="J449" s="240">
        <v>0</v>
      </c>
      <c r="K449" s="240">
        <v>0</v>
      </c>
      <c r="L449" s="240">
        <v>0</v>
      </c>
      <c r="M449" s="240">
        <v>0</v>
      </c>
      <c r="N449" s="240">
        <v>0</v>
      </c>
      <c r="O449" s="240">
        <v>0</v>
      </c>
      <c r="P449" s="240">
        <v>0</v>
      </c>
      <c r="Q449" s="240">
        <v>0</v>
      </c>
      <c r="R449" s="240">
        <v>0</v>
      </c>
      <c r="S449" s="242">
        <f t="shared" si="36"/>
        <v>0</v>
      </c>
      <c r="Z449"/>
    </row>
    <row r="450" spans="1:257" x14ac:dyDescent="0.2">
      <c r="A450" s="159">
        <v>615193</v>
      </c>
      <c r="B450" s="160" t="s">
        <v>118</v>
      </c>
      <c r="C450" s="148" t="s">
        <v>62</v>
      </c>
      <c r="D450" s="148" t="s">
        <v>184</v>
      </c>
      <c r="E450" s="240">
        <v>0</v>
      </c>
      <c r="F450" s="240">
        <v>0</v>
      </c>
      <c r="G450" s="240">
        <v>0</v>
      </c>
      <c r="H450" s="240">
        <v>0</v>
      </c>
      <c r="I450" s="240">
        <v>0</v>
      </c>
      <c r="J450" s="240">
        <v>0</v>
      </c>
      <c r="K450" s="240">
        <v>0</v>
      </c>
      <c r="L450" s="240">
        <v>0</v>
      </c>
      <c r="M450" s="240">
        <v>0</v>
      </c>
      <c r="N450" s="240">
        <v>0</v>
      </c>
      <c r="O450" s="240">
        <v>0</v>
      </c>
      <c r="P450" s="240">
        <v>0</v>
      </c>
      <c r="Q450" s="240">
        <v>0</v>
      </c>
      <c r="R450" s="240">
        <v>0</v>
      </c>
      <c r="S450" s="242">
        <f t="shared" si="36"/>
        <v>0</v>
      </c>
      <c r="Z450"/>
    </row>
    <row r="451" spans="1:257" x14ac:dyDescent="0.2">
      <c r="A451" s="159">
        <v>615193</v>
      </c>
      <c r="B451" s="160" t="s">
        <v>118</v>
      </c>
      <c r="C451" s="148" t="s">
        <v>62</v>
      </c>
      <c r="D451" s="148" t="s">
        <v>179</v>
      </c>
      <c r="E451" s="240">
        <v>0</v>
      </c>
      <c r="F451" s="240">
        <v>0</v>
      </c>
      <c r="G451" s="240">
        <v>0</v>
      </c>
      <c r="H451" s="240">
        <v>0</v>
      </c>
      <c r="I451" s="240">
        <v>0</v>
      </c>
      <c r="J451" s="240">
        <v>0</v>
      </c>
      <c r="K451" s="240">
        <v>0</v>
      </c>
      <c r="L451" s="240">
        <v>0</v>
      </c>
      <c r="M451" s="240">
        <v>0</v>
      </c>
      <c r="N451" s="240">
        <v>0</v>
      </c>
      <c r="O451" s="240">
        <v>0</v>
      </c>
      <c r="P451" s="240">
        <v>0</v>
      </c>
      <c r="Q451" s="240">
        <v>0</v>
      </c>
      <c r="R451" s="240">
        <v>0</v>
      </c>
      <c r="S451" s="242">
        <f t="shared" si="36"/>
        <v>0</v>
      </c>
      <c r="Z451"/>
    </row>
    <row r="452" spans="1:257" s="175" customFormat="1" x14ac:dyDescent="0.2">
      <c r="A452" s="270"/>
      <c r="B452" s="235"/>
      <c r="C452" s="148"/>
      <c r="D452" s="148"/>
      <c r="E452" s="240"/>
      <c r="F452" s="240"/>
      <c r="G452" s="240"/>
      <c r="H452" s="240"/>
      <c r="I452" s="240"/>
      <c r="J452" s="240"/>
      <c r="K452" s="240"/>
      <c r="L452" s="240"/>
      <c r="M452" s="240"/>
      <c r="N452" s="240"/>
      <c r="O452" s="240"/>
      <c r="P452" s="240"/>
      <c r="Q452" s="240"/>
      <c r="R452" s="240"/>
      <c r="S452" s="245"/>
      <c r="T452"/>
      <c r="U452" s="184"/>
      <c r="V452" s="332"/>
      <c r="X452" s="184"/>
      <c r="Y452" s="184"/>
      <c r="Z452"/>
      <c r="AA452" s="184"/>
      <c r="AB452" s="184"/>
      <c r="AC452" s="184"/>
      <c r="AD452" s="184"/>
      <c r="AE452" s="184"/>
      <c r="AF452" s="184"/>
      <c r="AG452" s="184"/>
      <c r="AH452" s="184"/>
      <c r="AI452" s="184"/>
      <c r="AJ452" s="184"/>
      <c r="AK452" s="184"/>
      <c r="AL452" s="184"/>
      <c r="AM452" s="184"/>
      <c r="AN452" s="184"/>
      <c r="AO452" s="184"/>
      <c r="AP452" s="184"/>
      <c r="AQ452" s="184"/>
      <c r="AR452" s="184"/>
      <c r="AS452" s="184"/>
      <c r="AT452" s="184"/>
      <c r="AU452" s="184"/>
      <c r="AV452" s="184"/>
      <c r="AW452" s="184"/>
      <c r="AX452" s="184"/>
      <c r="AY452" s="184"/>
      <c r="AZ452" s="184"/>
      <c r="BA452" s="184"/>
      <c r="BB452" s="184"/>
      <c r="BC452" s="184"/>
      <c r="BD452" s="184"/>
      <c r="BE452" s="184"/>
      <c r="BF452" s="184"/>
      <c r="BG452" s="184"/>
      <c r="BH452" s="184"/>
      <c r="BI452" s="184"/>
      <c r="BJ452" s="184"/>
      <c r="BK452" s="184"/>
      <c r="BL452" s="184"/>
      <c r="BM452" s="184"/>
      <c r="BN452" s="184"/>
      <c r="BO452" s="184"/>
      <c r="BP452" s="184"/>
      <c r="BQ452" s="184"/>
      <c r="BR452" s="184"/>
      <c r="BS452" s="184"/>
      <c r="BT452" s="184"/>
      <c r="BU452" s="184"/>
      <c r="BV452" s="184"/>
      <c r="BW452" s="184"/>
      <c r="BX452" s="184"/>
      <c r="BY452" s="184"/>
      <c r="BZ452" s="184"/>
      <c r="CA452" s="184"/>
      <c r="CB452" s="184"/>
      <c r="CC452" s="184"/>
      <c r="CD452" s="184"/>
      <c r="CE452" s="184"/>
      <c r="CF452" s="184"/>
      <c r="CG452" s="184"/>
      <c r="CH452" s="184"/>
      <c r="CI452" s="184"/>
      <c r="CJ452" s="184"/>
      <c r="CK452" s="184"/>
      <c r="CL452" s="184"/>
      <c r="CM452" s="184"/>
      <c r="CN452" s="184"/>
      <c r="CO452" s="184"/>
      <c r="CP452" s="184"/>
      <c r="CQ452" s="184"/>
      <c r="CR452" s="184"/>
      <c r="CS452" s="184"/>
      <c r="CT452" s="184"/>
      <c r="CU452" s="184"/>
      <c r="CV452" s="184"/>
      <c r="CW452" s="184"/>
      <c r="CX452" s="184"/>
      <c r="CY452" s="184"/>
      <c r="CZ452" s="184"/>
      <c r="DA452" s="184"/>
      <c r="DB452" s="184"/>
      <c r="DC452" s="184"/>
      <c r="DD452" s="184"/>
      <c r="DE452" s="184"/>
      <c r="DF452" s="184"/>
      <c r="DG452" s="184"/>
      <c r="DH452" s="184"/>
      <c r="DI452" s="184"/>
      <c r="DJ452" s="184"/>
      <c r="DK452" s="184"/>
      <c r="DL452" s="184"/>
      <c r="DM452" s="184"/>
      <c r="DN452" s="184"/>
      <c r="DO452" s="184"/>
      <c r="DP452" s="184"/>
      <c r="DQ452" s="184"/>
      <c r="DR452" s="184"/>
      <c r="DS452" s="184"/>
      <c r="DT452" s="184"/>
      <c r="DU452" s="184"/>
      <c r="DV452" s="184"/>
      <c r="DW452" s="184"/>
      <c r="DX452" s="184"/>
      <c r="DY452" s="184"/>
      <c r="DZ452" s="184"/>
      <c r="EA452" s="184"/>
      <c r="EB452" s="184"/>
      <c r="EC452" s="184"/>
      <c r="ED452" s="184"/>
      <c r="EE452" s="184"/>
      <c r="EF452" s="184"/>
      <c r="EG452" s="184"/>
      <c r="EH452" s="184"/>
      <c r="EI452" s="184"/>
      <c r="EJ452" s="184"/>
      <c r="EK452" s="184"/>
      <c r="EL452" s="184"/>
      <c r="EM452" s="184"/>
      <c r="EN452" s="184"/>
      <c r="EO452" s="184"/>
      <c r="EP452" s="184"/>
      <c r="EQ452" s="184"/>
      <c r="ER452" s="184"/>
      <c r="ES452" s="184"/>
      <c r="ET452" s="184"/>
      <c r="EU452" s="184"/>
      <c r="EV452" s="184"/>
      <c r="EW452" s="184"/>
      <c r="EX452" s="184"/>
      <c r="EY452" s="184"/>
      <c r="EZ452" s="184"/>
      <c r="FA452" s="184"/>
      <c r="FB452" s="184"/>
      <c r="FC452" s="184"/>
      <c r="FD452" s="184"/>
      <c r="FE452" s="184"/>
      <c r="FF452" s="184"/>
      <c r="FG452" s="184"/>
      <c r="FH452" s="184"/>
      <c r="FI452" s="184"/>
      <c r="FJ452" s="184"/>
      <c r="FK452" s="184"/>
      <c r="FL452" s="184"/>
      <c r="FM452" s="184"/>
      <c r="FN452" s="184"/>
      <c r="FO452" s="184"/>
      <c r="FP452" s="184"/>
      <c r="FQ452" s="184"/>
      <c r="FR452" s="184"/>
      <c r="FS452" s="184"/>
      <c r="FT452" s="184"/>
      <c r="FU452" s="184"/>
      <c r="FV452" s="184"/>
      <c r="FW452" s="184"/>
      <c r="FX452" s="184"/>
      <c r="FY452" s="184"/>
      <c r="FZ452" s="184"/>
      <c r="GA452" s="184"/>
      <c r="GB452" s="184"/>
      <c r="GC452" s="184"/>
      <c r="GD452" s="184"/>
      <c r="GE452" s="184"/>
      <c r="GF452" s="184"/>
      <c r="GG452" s="184"/>
      <c r="GH452" s="184"/>
      <c r="GI452" s="184"/>
      <c r="GJ452" s="184"/>
      <c r="GK452" s="184"/>
      <c r="GL452" s="184"/>
      <c r="GM452" s="184"/>
      <c r="GN452" s="184"/>
      <c r="GO452" s="184"/>
      <c r="GP452" s="184"/>
      <c r="GQ452" s="184"/>
      <c r="GR452" s="184"/>
      <c r="GS452" s="184"/>
      <c r="GT452" s="184"/>
      <c r="GU452" s="184"/>
      <c r="GV452" s="184"/>
      <c r="GW452" s="184"/>
      <c r="GX452" s="184"/>
      <c r="GY452" s="184"/>
      <c r="GZ452" s="184"/>
      <c r="HA452" s="184"/>
      <c r="HB452" s="184"/>
      <c r="HC452" s="184"/>
      <c r="HD452" s="184"/>
      <c r="HE452" s="184"/>
      <c r="HF452" s="184"/>
      <c r="HG452" s="184"/>
      <c r="HH452" s="184"/>
      <c r="HI452" s="184"/>
      <c r="HJ452" s="184"/>
      <c r="HK452" s="184"/>
      <c r="HL452" s="184"/>
      <c r="HM452" s="184"/>
      <c r="HN452" s="184"/>
      <c r="HO452" s="184"/>
      <c r="HP452" s="184"/>
      <c r="HQ452" s="184"/>
      <c r="HR452" s="184"/>
      <c r="HS452" s="184"/>
      <c r="HT452" s="184"/>
      <c r="HU452" s="184"/>
      <c r="HV452" s="184"/>
      <c r="HW452" s="184"/>
      <c r="HX452" s="184"/>
      <c r="HY452" s="184"/>
      <c r="HZ452" s="184"/>
      <c r="IA452" s="184"/>
      <c r="IB452" s="184"/>
      <c r="IC452" s="184"/>
      <c r="ID452" s="184"/>
      <c r="IE452" s="184"/>
      <c r="IF452" s="184"/>
      <c r="IG452" s="184"/>
      <c r="IH452" s="184"/>
      <c r="II452" s="184"/>
      <c r="IJ452" s="184"/>
      <c r="IK452" s="184"/>
      <c r="IL452" s="184"/>
      <c r="IM452" s="184"/>
      <c r="IN452" s="184"/>
      <c r="IO452" s="184"/>
      <c r="IP452" s="184"/>
      <c r="IQ452" s="184"/>
      <c r="IR452" s="184"/>
      <c r="IS452" s="184"/>
      <c r="IT452" s="184"/>
      <c r="IU452" s="184"/>
      <c r="IV452" s="184"/>
      <c r="IW452" s="184"/>
    </row>
    <row r="453" spans="1:257" x14ac:dyDescent="0.2">
      <c r="A453" s="159">
        <v>615193</v>
      </c>
      <c r="B453" s="160" t="s">
        <v>118</v>
      </c>
      <c r="C453" s="148" t="s">
        <v>80</v>
      </c>
      <c r="D453" s="148" t="s">
        <v>192</v>
      </c>
      <c r="E453" s="240">
        <v>0</v>
      </c>
      <c r="F453" s="240">
        <v>0</v>
      </c>
      <c r="G453" s="240">
        <v>0</v>
      </c>
      <c r="H453" s="240">
        <v>0</v>
      </c>
      <c r="I453" s="240">
        <v>0</v>
      </c>
      <c r="J453" s="240">
        <v>0</v>
      </c>
      <c r="K453" s="240">
        <v>0</v>
      </c>
      <c r="L453" s="240">
        <v>130.21</v>
      </c>
      <c r="M453" s="240">
        <v>0</v>
      </c>
      <c r="N453" s="240">
        <v>0</v>
      </c>
      <c r="O453" s="240">
        <v>0</v>
      </c>
      <c r="P453" s="240">
        <v>0</v>
      </c>
      <c r="Q453" s="240">
        <v>0</v>
      </c>
      <c r="R453" s="240">
        <v>0</v>
      </c>
      <c r="S453" s="242">
        <f t="shared" ref="S453:S460" si="37">SUM(E453:Q453)</f>
        <v>130.21</v>
      </c>
      <c r="Z453"/>
    </row>
    <row r="454" spans="1:257" s="175" customFormat="1" x14ac:dyDescent="0.2">
      <c r="A454" s="159">
        <v>615193</v>
      </c>
      <c r="B454" s="160" t="s">
        <v>118</v>
      </c>
      <c r="C454" s="148" t="s">
        <v>80</v>
      </c>
      <c r="D454" s="148" t="s">
        <v>189</v>
      </c>
      <c r="E454" s="240">
        <v>0</v>
      </c>
      <c r="F454" s="240">
        <v>0</v>
      </c>
      <c r="G454" s="240">
        <v>0</v>
      </c>
      <c r="H454" s="240">
        <v>0</v>
      </c>
      <c r="I454" s="240">
        <v>0</v>
      </c>
      <c r="J454" s="240">
        <v>0</v>
      </c>
      <c r="K454" s="240">
        <v>0</v>
      </c>
      <c r="L454" s="240">
        <v>0</v>
      </c>
      <c r="M454" s="240">
        <v>0</v>
      </c>
      <c r="N454" s="240">
        <v>0</v>
      </c>
      <c r="O454" s="240">
        <v>0</v>
      </c>
      <c r="P454" s="240">
        <v>0</v>
      </c>
      <c r="Q454" s="240">
        <v>0</v>
      </c>
      <c r="R454" s="240">
        <v>0</v>
      </c>
      <c r="S454" s="242">
        <f t="shared" si="37"/>
        <v>0</v>
      </c>
      <c r="T454" s="331"/>
      <c r="U454" s="184"/>
      <c r="V454" s="332"/>
      <c r="X454" s="184"/>
      <c r="Y454" s="184"/>
      <c r="Z454"/>
      <c r="AA454" s="184"/>
      <c r="AB454" s="184"/>
      <c r="AC454" s="184"/>
      <c r="AD454" s="184"/>
      <c r="AE454" s="184"/>
      <c r="AF454" s="184"/>
      <c r="AG454" s="184"/>
      <c r="AH454" s="184"/>
      <c r="AI454" s="184"/>
      <c r="AJ454" s="184"/>
      <c r="AK454" s="184"/>
      <c r="AL454" s="184"/>
      <c r="AM454" s="184"/>
      <c r="AN454" s="184"/>
      <c r="AO454" s="184"/>
      <c r="AP454" s="184"/>
      <c r="AQ454" s="184"/>
      <c r="AR454" s="184"/>
      <c r="AS454" s="184"/>
      <c r="AT454" s="184"/>
      <c r="AU454" s="184"/>
      <c r="AV454" s="184"/>
      <c r="AW454" s="184"/>
      <c r="AX454" s="184"/>
      <c r="AY454" s="184"/>
      <c r="AZ454" s="184"/>
      <c r="BA454" s="184"/>
      <c r="BB454" s="184"/>
      <c r="BC454" s="184"/>
      <c r="BD454" s="184"/>
      <c r="BE454" s="184"/>
      <c r="BF454" s="184"/>
      <c r="BG454" s="184"/>
      <c r="BH454" s="184"/>
      <c r="BI454" s="184"/>
      <c r="BJ454" s="184"/>
      <c r="BK454" s="184"/>
      <c r="BL454" s="184"/>
      <c r="BM454" s="184"/>
      <c r="BN454" s="184"/>
      <c r="BO454" s="184"/>
      <c r="BP454" s="184"/>
      <c r="BQ454" s="184"/>
      <c r="BR454" s="184"/>
      <c r="BS454" s="184"/>
      <c r="BT454" s="184"/>
      <c r="BU454" s="184"/>
      <c r="BV454" s="184"/>
      <c r="BW454" s="184"/>
      <c r="BX454" s="184"/>
      <c r="BY454" s="184"/>
      <c r="BZ454" s="184"/>
      <c r="CA454" s="184"/>
      <c r="CB454" s="184"/>
      <c r="CC454" s="184"/>
      <c r="CD454" s="184"/>
      <c r="CE454" s="184"/>
      <c r="CF454" s="184"/>
      <c r="CG454" s="184"/>
      <c r="CH454" s="184"/>
      <c r="CI454" s="184"/>
      <c r="CJ454" s="184"/>
      <c r="CK454" s="184"/>
      <c r="CL454" s="184"/>
      <c r="CM454" s="184"/>
      <c r="CN454" s="184"/>
      <c r="CO454" s="184"/>
      <c r="CP454" s="184"/>
      <c r="CQ454" s="184"/>
      <c r="CR454" s="184"/>
      <c r="CS454" s="184"/>
      <c r="CT454" s="184"/>
      <c r="CU454" s="184"/>
      <c r="CV454" s="184"/>
      <c r="CW454" s="184"/>
      <c r="CX454" s="184"/>
      <c r="CY454" s="184"/>
      <c r="CZ454" s="184"/>
      <c r="DA454" s="184"/>
      <c r="DB454" s="184"/>
      <c r="DC454" s="184"/>
      <c r="DD454" s="184"/>
      <c r="DE454" s="184"/>
      <c r="DF454" s="184"/>
      <c r="DG454" s="184"/>
      <c r="DH454" s="184"/>
      <c r="DI454" s="184"/>
      <c r="DJ454" s="184"/>
      <c r="DK454" s="184"/>
      <c r="DL454" s="184"/>
      <c r="DM454" s="184"/>
      <c r="DN454" s="184"/>
      <c r="DO454" s="184"/>
      <c r="DP454" s="184"/>
      <c r="DQ454" s="184"/>
      <c r="DR454" s="184"/>
      <c r="DS454" s="184"/>
      <c r="DT454" s="184"/>
      <c r="DU454" s="184"/>
      <c r="DV454" s="184"/>
      <c r="DW454" s="184"/>
      <c r="DX454" s="184"/>
      <c r="DY454" s="184"/>
      <c r="DZ454" s="184"/>
      <c r="EA454" s="184"/>
      <c r="EB454" s="184"/>
      <c r="EC454" s="184"/>
      <c r="ED454" s="184"/>
      <c r="EE454" s="184"/>
      <c r="EF454" s="184"/>
      <c r="EG454" s="184"/>
      <c r="EH454" s="184"/>
      <c r="EI454" s="184"/>
      <c r="EJ454" s="184"/>
      <c r="EK454" s="184"/>
      <c r="EL454" s="184"/>
      <c r="EM454" s="184"/>
      <c r="EN454" s="184"/>
      <c r="EO454" s="184"/>
      <c r="EP454" s="184"/>
      <c r="EQ454" s="184"/>
      <c r="ER454" s="184"/>
      <c r="ES454" s="184"/>
      <c r="ET454" s="184"/>
      <c r="EU454" s="184"/>
      <c r="EV454" s="184"/>
      <c r="EW454" s="184"/>
      <c r="EX454" s="184"/>
      <c r="EY454" s="184"/>
      <c r="EZ454" s="184"/>
      <c r="FA454" s="184"/>
      <c r="FB454" s="184"/>
      <c r="FC454" s="184"/>
      <c r="FD454" s="184"/>
      <c r="FE454" s="184"/>
      <c r="FF454" s="184"/>
      <c r="FG454" s="184"/>
      <c r="FH454" s="184"/>
      <c r="FI454" s="184"/>
      <c r="FJ454" s="184"/>
      <c r="FK454" s="184"/>
      <c r="FL454" s="184"/>
      <c r="FM454" s="184"/>
      <c r="FN454" s="184"/>
      <c r="FO454" s="184"/>
      <c r="FP454" s="184"/>
      <c r="FQ454" s="184"/>
      <c r="FR454" s="184"/>
      <c r="FS454" s="184"/>
      <c r="FT454" s="184"/>
      <c r="FU454" s="184"/>
      <c r="FV454" s="184"/>
      <c r="FW454" s="184"/>
      <c r="FX454" s="184"/>
      <c r="FY454" s="184"/>
      <c r="FZ454" s="184"/>
      <c r="GA454" s="184"/>
      <c r="GB454" s="184"/>
      <c r="GC454" s="184"/>
      <c r="GD454" s="184"/>
      <c r="GE454" s="184"/>
      <c r="GF454" s="184"/>
      <c r="GG454" s="184"/>
      <c r="GH454" s="184"/>
      <c r="GI454" s="184"/>
      <c r="GJ454" s="184"/>
      <c r="GK454" s="184"/>
      <c r="GL454" s="184"/>
      <c r="GM454" s="184"/>
      <c r="GN454" s="184"/>
      <c r="GO454" s="184"/>
      <c r="GP454" s="184"/>
      <c r="GQ454" s="184"/>
      <c r="GR454" s="184"/>
      <c r="GS454" s="184"/>
      <c r="GT454" s="184"/>
      <c r="GU454" s="184"/>
      <c r="GV454" s="184"/>
      <c r="GW454" s="184"/>
      <c r="GX454" s="184"/>
      <c r="GY454" s="184"/>
      <c r="GZ454" s="184"/>
      <c r="HA454" s="184"/>
      <c r="HB454" s="184"/>
      <c r="HC454" s="184"/>
      <c r="HD454" s="184"/>
      <c r="HE454" s="184"/>
      <c r="HF454" s="184"/>
      <c r="HG454" s="184"/>
      <c r="HH454" s="184"/>
      <c r="HI454" s="184"/>
      <c r="HJ454" s="184"/>
      <c r="HK454" s="184"/>
      <c r="HL454" s="184"/>
      <c r="HM454" s="184"/>
      <c r="HN454" s="184"/>
      <c r="HO454" s="184"/>
      <c r="HP454" s="184"/>
      <c r="HQ454" s="184"/>
      <c r="HR454" s="184"/>
      <c r="HS454" s="184"/>
      <c r="HT454" s="184"/>
      <c r="HU454" s="184"/>
      <c r="HV454" s="184"/>
      <c r="HW454" s="184"/>
      <c r="HX454" s="184"/>
      <c r="HY454" s="184"/>
      <c r="HZ454" s="184"/>
      <c r="IA454" s="184"/>
      <c r="IB454" s="184"/>
      <c r="IC454" s="184"/>
      <c r="ID454" s="184"/>
      <c r="IE454" s="184"/>
      <c r="IF454" s="184"/>
      <c r="IG454" s="184"/>
      <c r="IH454" s="184"/>
      <c r="II454" s="184"/>
      <c r="IJ454" s="184"/>
      <c r="IK454" s="184"/>
      <c r="IL454" s="184"/>
      <c r="IM454" s="184"/>
      <c r="IN454" s="184"/>
      <c r="IO454" s="184"/>
      <c r="IP454" s="184"/>
      <c r="IQ454" s="184"/>
      <c r="IR454" s="184"/>
      <c r="IS454" s="184"/>
      <c r="IT454" s="184"/>
      <c r="IU454" s="184"/>
      <c r="IV454" s="184"/>
      <c r="IW454" s="184"/>
    </row>
    <row r="455" spans="1:257" x14ac:dyDescent="0.2">
      <c r="A455" s="159">
        <v>615193</v>
      </c>
      <c r="B455" s="160" t="s">
        <v>118</v>
      </c>
      <c r="C455" s="148" t="s">
        <v>80</v>
      </c>
      <c r="D455" s="148" t="s">
        <v>243</v>
      </c>
      <c r="E455" s="240">
        <v>0</v>
      </c>
      <c r="F455" s="240">
        <v>0</v>
      </c>
      <c r="G455" s="240">
        <v>0</v>
      </c>
      <c r="H455" s="240">
        <v>0</v>
      </c>
      <c r="I455" s="240">
        <v>0</v>
      </c>
      <c r="J455" s="240">
        <v>0</v>
      </c>
      <c r="K455" s="240">
        <v>0</v>
      </c>
      <c r="L455" s="240">
        <v>0</v>
      </c>
      <c r="M455" s="240">
        <v>0</v>
      </c>
      <c r="N455" s="240">
        <v>0</v>
      </c>
      <c r="O455" s="240">
        <v>0</v>
      </c>
      <c r="P455" s="240">
        <v>0</v>
      </c>
      <c r="Q455" s="240">
        <v>0</v>
      </c>
      <c r="R455" s="240">
        <v>0</v>
      </c>
      <c r="S455" s="242">
        <f t="shared" si="37"/>
        <v>0</v>
      </c>
      <c r="Z455"/>
    </row>
    <row r="456" spans="1:257" x14ac:dyDescent="0.2">
      <c r="A456" s="159">
        <v>615193</v>
      </c>
      <c r="B456" s="160" t="s">
        <v>118</v>
      </c>
      <c r="C456" s="148" t="s">
        <v>80</v>
      </c>
      <c r="D456" s="148" t="s">
        <v>191</v>
      </c>
      <c r="E456" s="240">
        <v>0</v>
      </c>
      <c r="F456" s="240">
        <v>0</v>
      </c>
      <c r="G456" s="240">
        <v>0</v>
      </c>
      <c r="H456" s="240">
        <v>0</v>
      </c>
      <c r="I456" s="240">
        <v>0</v>
      </c>
      <c r="J456" s="240">
        <v>1791.95</v>
      </c>
      <c r="K456" s="240">
        <v>0</v>
      </c>
      <c r="L456" s="240">
        <v>449.84</v>
      </c>
      <c r="M456" s="240">
        <v>0</v>
      </c>
      <c r="N456" s="240">
        <v>828.65</v>
      </c>
      <c r="O456" s="240">
        <v>0</v>
      </c>
      <c r="P456" s="240">
        <v>0</v>
      </c>
      <c r="Q456" s="240">
        <v>0</v>
      </c>
      <c r="R456" s="240">
        <v>0</v>
      </c>
      <c r="S456" s="242">
        <f t="shared" si="37"/>
        <v>3070.44</v>
      </c>
      <c r="Z456"/>
    </row>
    <row r="457" spans="1:257" x14ac:dyDescent="0.2">
      <c r="A457" s="159">
        <v>615193</v>
      </c>
      <c r="B457" s="160" t="s">
        <v>118</v>
      </c>
      <c r="C457" s="148" t="s">
        <v>80</v>
      </c>
      <c r="D457" s="148" t="s">
        <v>179</v>
      </c>
      <c r="E457" s="240">
        <v>0</v>
      </c>
      <c r="F457" s="240">
        <v>0</v>
      </c>
      <c r="G457" s="240">
        <v>0</v>
      </c>
      <c r="H457" s="240">
        <v>0</v>
      </c>
      <c r="I457" s="240">
        <v>1626.38</v>
      </c>
      <c r="J457" s="240">
        <v>0</v>
      </c>
      <c r="K457" s="240">
        <v>196.04</v>
      </c>
      <c r="L457" s="240">
        <v>1536.86</v>
      </c>
      <c r="M457" s="240">
        <v>0</v>
      </c>
      <c r="N457" s="240">
        <v>1895.97</v>
      </c>
      <c r="O457" s="240">
        <v>0</v>
      </c>
      <c r="P457" s="240">
        <v>0</v>
      </c>
      <c r="Q457" s="240">
        <v>1134</v>
      </c>
      <c r="R457" s="240">
        <v>0</v>
      </c>
      <c r="S457" s="242">
        <f t="shared" si="37"/>
        <v>6389.25</v>
      </c>
      <c r="Z457"/>
    </row>
    <row r="458" spans="1:257" x14ac:dyDescent="0.2">
      <c r="A458" s="159">
        <v>615193</v>
      </c>
      <c r="B458" s="160" t="s">
        <v>118</v>
      </c>
      <c r="C458" s="148" t="s">
        <v>80</v>
      </c>
      <c r="D458" s="148" t="s">
        <v>203</v>
      </c>
      <c r="E458" s="240">
        <v>0</v>
      </c>
      <c r="F458" s="240">
        <v>0</v>
      </c>
      <c r="G458" s="240">
        <v>0</v>
      </c>
      <c r="H458" s="240">
        <v>0</v>
      </c>
      <c r="I458" s="240">
        <v>0</v>
      </c>
      <c r="J458" s="240">
        <v>0</v>
      </c>
      <c r="K458" s="240">
        <v>0</v>
      </c>
      <c r="L458" s="240">
        <v>0</v>
      </c>
      <c r="M458" s="240">
        <v>0</v>
      </c>
      <c r="N458" s="240">
        <v>0</v>
      </c>
      <c r="O458" s="240">
        <v>0</v>
      </c>
      <c r="P458" s="240">
        <v>0</v>
      </c>
      <c r="Q458" s="240">
        <v>0</v>
      </c>
      <c r="R458" s="240">
        <v>0</v>
      </c>
      <c r="S458" s="242">
        <f t="shared" si="37"/>
        <v>0</v>
      </c>
      <c r="Z458"/>
    </row>
    <row r="459" spans="1:257" x14ac:dyDescent="0.2">
      <c r="A459" s="159">
        <v>615193</v>
      </c>
      <c r="B459" s="160" t="s">
        <v>118</v>
      </c>
      <c r="C459" s="148" t="s">
        <v>80</v>
      </c>
      <c r="D459" s="148" t="s">
        <v>201</v>
      </c>
      <c r="E459" s="240">
        <v>0</v>
      </c>
      <c r="F459" s="240">
        <v>0</v>
      </c>
      <c r="G459" s="240">
        <v>0</v>
      </c>
      <c r="H459" s="240">
        <v>0</v>
      </c>
      <c r="I459" s="240">
        <v>0</v>
      </c>
      <c r="J459" s="240">
        <v>0</v>
      </c>
      <c r="K459" s="240">
        <v>0</v>
      </c>
      <c r="L459" s="240">
        <v>0</v>
      </c>
      <c r="M459" s="240">
        <v>0</v>
      </c>
      <c r="N459" s="240">
        <v>0</v>
      </c>
      <c r="O459" s="240">
        <v>0</v>
      </c>
      <c r="P459" s="240">
        <v>0</v>
      </c>
      <c r="Q459" s="240">
        <v>0</v>
      </c>
      <c r="R459" s="240">
        <v>0</v>
      </c>
      <c r="S459" s="242">
        <f t="shared" si="37"/>
        <v>0</v>
      </c>
      <c r="Z459"/>
    </row>
    <row r="460" spans="1:257" x14ac:dyDescent="0.2">
      <c r="A460" s="159">
        <v>615193</v>
      </c>
      <c r="B460" s="160" t="s">
        <v>118</v>
      </c>
      <c r="C460" s="148" t="s">
        <v>80</v>
      </c>
      <c r="D460" s="148" t="s">
        <v>184</v>
      </c>
      <c r="E460" s="240">
        <v>0</v>
      </c>
      <c r="F460" s="240">
        <v>110.38</v>
      </c>
      <c r="G460" s="240">
        <v>110.38</v>
      </c>
      <c r="H460" s="240">
        <v>110.38</v>
      </c>
      <c r="I460" s="240">
        <v>110.38</v>
      </c>
      <c r="J460" s="240">
        <v>110.37</v>
      </c>
      <c r="K460" s="240">
        <v>112.69</v>
      </c>
      <c r="L460" s="240">
        <v>112.69</v>
      </c>
      <c r="M460" s="240">
        <v>112.69</v>
      </c>
      <c r="N460" s="240">
        <v>112.69</v>
      </c>
      <c r="O460" s="240">
        <v>112.69</v>
      </c>
      <c r="P460" s="240">
        <v>112.69</v>
      </c>
      <c r="Q460" s="240">
        <v>112.69</v>
      </c>
      <c r="R460" s="240">
        <v>0</v>
      </c>
      <c r="S460" s="242">
        <f t="shared" si="37"/>
        <v>1340.7200000000003</v>
      </c>
      <c r="Z460"/>
    </row>
    <row r="461" spans="1:257" s="175" customFormat="1" x14ac:dyDescent="0.2">
      <c r="A461" s="270"/>
      <c r="B461" s="235"/>
      <c r="C461" s="148"/>
      <c r="D461" s="148"/>
      <c r="E461" s="240"/>
      <c r="F461" s="240"/>
      <c r="G461" s="240"/>
      <c r="H461" s="240"/>
      <c r="I461" s="240"/>
      <c r="J461" s="240"/>
      <c r="K461" s="240"/>
      <c r="L461" s="240"/>
      <c r="M461" s="240"/>
      <c r="N461" s="240"/>
      <c r="O461" s="240"/>
      <c r="P461" s="240"/>
      <c r="Q461" s="240"/>
      <c r="R461" s="240"/>
      <c r="S461" s="245"/>
      <c r="T461"/>
      <c r="U461" s="184"/>
      <c r="V461" s="332"/>
      <c r="X461" s="184"/>
      <c r="Y461" s="184"/>
      <c r="Z461"/>
      <c r="AA461" s="184"/>
      <c r="AB461" s="184"/>
      <c r="AC461" s="184"/>
      <c r="AD461" s="184"/>
      <c r="AE461" s="184"/>
      <c r="AF461" s="184"/>
      <c r="AG461" s="184"/>
      <c r="AH461" s="184"/>
      <c r="AI461" s="184"/>
      <c r="AJ461" s="184"/>
      <c r="AK461" s="184"/>
      <c r="AL461" s="184"/>
      <c r="AM461" s="184"/>
      <c r="AN461" s="184"/>
      <c r="AO461" s="184"/>
      <c r="AP461" s="184"/>
      <c r="AQ461" s="184"/>
      <c r="AR461" s="184"/>
      <c r="AS461" s="184"/>
      <c r="AT461" s="184"/>
      <c r="AU461" s="184"/>
      <c r="AV461" s="184"/>
      <c r="AW461" s="184"/>
      <c r="AX461" s="184"/>
      <c r="AY461" s="184"/>
      <c r="AZ461" s="184"/>
      <c r="BA461" s="184"/>
      <c r="BB461" s="184"/>
      <c r="BC461" s="184"/>
      <c r="BD461" s="184"/>
      <c r="BE461" s="184"/>
      <c r="BF461" s="184"/>
      <c r="BG461" s="184"/>
      <c r="BH461" s="184"/>
      <c r="BI461" s="184"/>
      <c r="BJ461" s="184"/>
      <c r="BK461" s="184"/>
      <c r="BL461" s="184"/>
      <c r="BM461" s="184"/>
      <c r="BN461" s="184"/>
      <c r="BO461" s="184"/>
      <c r="BP461" s="184"/>
      <c r="BQ461" s="184"/>
      <c r="BR461" s="184"/>
      <c r="BS461" s="184"/>
      <c r="BT461" s="184"/>
      <c r="BU461" s="184"/>
      <c r="BV461" s="184"/>
      <c r="BW461" s="184"/>
      <c r="BX461" s="184"/>
      <c r="BY461" s="184"/>
      <c r="BZ461" s="184"/>
      <c r="CA461" s="184"/>
      <c r="CB461" s="184"/>
      <c r="CC461" s="184"/>
      <c r="CD461" s="184"/>
      <c r="CE461" s="184"/>
      <c r="CF461" s="184"/>
      <c r="CG461" s="184"/>
      <c r="CH461" s="184"/>
      <c r="CI461" s="184"/>
      <c r="CJ461" s="184"/>
      <c r="CK461" s="184"/>
      <c r="CL461" s="184"/>
      <c r="CM461" s="184"/>
      <c r="CN461" s="184"/>
      <c r="CO461" s="184"/>
      <c r="CP461" s="184"/>
      <c r="CQ461" s="184"/>
      <c r="CR461" s="184"/>
      <c r="CS461" s="184"/>
      <c r="CT461" s="184"/>
      <c r="CU461" s="184"/>
      <c r="CV461" s="184"/>
      <c r="CW461" s="184"/>
      <c r="CX461" s="184"/>
      <c r="CY461" s="184"/>
      <c r="CZ461" s="184"/>
      <c r="DA461" s="184"/>
      <c r="DB461" s="184"/>
      <c r="DC461" s="184"/>
      <c r="DD461" s="184"/>
      <c r="DE461" s="184"/>
      <c r="DF461" s="184"/>
      <c r="DG461" s="184"/>
      <c r="DH461" s="184"/>
      <c r="DI461" s="184"/>
      <c r="DJ461" s="184"/>
      <c r="DK461" s="184"/>
      <c r="DL461" s="184"/>
      <c r="DM461" s="184"/>
      <c r="DN461" s="184"/>
      <c r="DO461" s="184"/>
      <c r="DP461" s="184"/>
      <c r="DQ461" s="184"/>
      <c r="DR461" s="184"/>
      <c r="DS461" s="184"/>
      <c r="DT461" s="184"/>
      <c r="DU461" s="184"/>
      <c r="DV461" s="184"/>
      <c r="DW461" s="184"/>
      <c r="DX461" s="184"/>
      <c r="DY461" s="184"/>
      <c r="DZ461" s="184"/>
      <c r="EA461" s="184"/>
      <c r="EB461" s="184"/>
      <c r="EC461" s="184"/>
      <c r="ED461" s="184"/>
      <c r="EE461" s="184"/>
      <c r="EF461" s="184"/>
      <c r="EG461" s="184"/>
      <c r="EH461" s="184"/>
      <c r="EI461" s="184"/>
      <c r="EJ461" s="184"/>
      <c r="EK461" s="184"/>
      <c r="EL461" s="184"/>
      <c r="EM461" s="184"/>
      <c r="EN461" s="184"/>
      <c r="EO461" s="184"/>
      <c r="EP461" s="184"/>
      <c r="EQ461" s="184"/>
      <c r="ER461" s="184"/>
      <c r="ES461" s="184"/>
      <c r="ET461" s="184"/>
      <c r="EU461" s="184"/>
      <c r="EV461" s="184"/>
      <c r="EW461" s="184"/>
      <c r="EX461" s="184"/>
      <c r="EY461" s="184"/>
      <c r="EZ461" s="184"/>
      <c r="FA461" s="184"/>
      <c r="FB461" s="184"/>
      <c r="FC461" s="184"/>
      <c r="FD461" s="184"/>
      <c r="FE461" s="184"/>
      <c r="FF461" s="184"/>
      <c r="FG461" s="184"/>
      <c r="FH461" s="184"/>
      <c r="FI461" s="184"/>
      <c r="FJ461" s="184"/>
      <c r="FK461" s="184"/>
      <c r="FL461" s="184"/>
      <c r="FM461" s="184"/>
      <c r="FN461" s="184"/>
      <c r="FO461" s="184"/>
      <c r="FP461" s="184"/>
      <c r="FQ461" s="184"/>
      <c r="FR461" s="184"/>
      <c r="FS461" s="184"/>
      <c r="FT461" s="184"/>
      <c r="FU461" s="184"/>
      <c r="FV461" s="184"/>
      <c r="FW461" s="184"/>
      <c r="FX461" s="184"/>
      <c r="FY461" s="184"/>
      <c r="FZ461" s="184"/>
      <c r="GA461" s="184"/>
      <c r="GB461" s="184"/>
      <c r="GC461" s="184"/>
      <c r="GD461" s="184"/>
      <c r="GE461" s="184"/>
      <c r="GF461" s="184"/>
      <c r="GG461" s="184"/>
      <c r="GH461" s="184"/>
      <c r="GI461" s="184"/>
      <c r="GJ461" s="184"/>
      <c r="GK461" s="184"/>
      <c r="GL461" s="184"/>
      <c r="GM461" s="184"/>
      <c r="GN461" s="184"/>
      <c r="GO461" s="184"/>
      <c r="GP461" s="184"/>
      <c r="GQ461" s="184"/>
      <c r="GR461" s="184"/>
      <c r="GS461" s="184"/>
      <c r="GT461" s="184"/>
      <c r="GU461" s="184"/>
      <c r="GV461" s="184"/>
      <c r="GW461" s="184"/>
      <c r="GX461" s="184"/>
      <c r="GY461" s="184"/>
      <c r="GZ461" s="184"/>
      <c r="HA461" s="184"/>
      <c r="HB461" s="184"/>
      <c r="HC461" s="184"/>
      <c r="HD461" s="184"/>
      <c r="HE461" s="184"/>
      <c r="HF461" s="184"/>
      <c r="HG461" s="184"/>
      <c r="HH461" s="184"/>
      <c r="HI461" s="184"/>
      <c r="HJ461" s="184"/>
      <c r="HK461" s="184"/>
      <c r="HL461" s="184"/>
      <c r="HM461" s="184"/>
      <c r="HN461" s="184"/>
      <c r="HO461" s="184"/>
      <c r="HP461" s="184"/>
      <c r="HQ461" s="184"/>
      <c r="HR461" s="184"/>
      <c r="HS461" s="184"/>
      <c r="HT461" s="184"/>
      <c r="HU461" s="184"/>
      <c r="HV461" s="184"/>
      <c r="HW461" s="184"/>
      <c r="HX461" s="184"/>
      <c r="HY461" s="184"/>
      <c r="HZ461" s="184"/>
      <c r="IA461" s="184"/>
      <c r="IB461" s="184"/>
      <c r="IC461" s="184"/>
      <c r="ID461" s="184"/>
      <c r="IE461" s="184"/>
      <c r="IF461" s="184"/>
      <c r="IG461" s="184"/>
      <c r="IH461" s="184"/>
      <c r="II461" s="184"/>
      <c r="IJ461" s="184"/>
      <c r="IK461" s="184"/>
      <c r="IL461" s="184"/>
      <c r="IM461" s="184"/>
      <c r="IN461" s="184"/>
      <c r="IO461" s="184"/>
      <c r="IP461" s="184"/>
      <c r="IQ461" s="184"/>
      <c r="IR461" s="184"/>
      <c r="IS461" s="184"/>
      <c r="IT461" s="184"/>
      <c r="IU461" s="184"/>
      <c r="IV461" s="184"/>
      <c r="IW461" s="184"/>
    </row>
    <row r="462" spans="1:257" x14ac:dyDescent="0.2">
      <c r="A462" s="159">
        <v>615193</v>
      </c>
      <c r="B462" s="160" t="s">
        <v>118</v>
      </c>
      <c r="C462" s="148" t="s">
        <v>156</v>
      </c>
      <c r="D462" s="148" t="s">
        <v>192</v>
      </c>
      <c r="E462" s="240">
        <v>0</v>
      </c>
      <c r="F462" s="240">
        <v>0</v>
      </c>
      <c r="G462" s="240">
        <v>0</v>
      </c>
      <c r="H462" s="240">
        <v>238</v>
      </c>
      <c r="I462" s="240">
        <v>0</v>
      </c>
      <c r="J462" s="240">
        <v>0</v>
      </c>
      <c r="K462" s="240">
        <v>0</v>
      </c>
      <c r="L462" s="240">
        <v>0</v>
      </c>
      <c r="M462" s="240">
        <v>0</v>
      </c>
      <c r="N462" s="240">
        <v>0</v>
      </c>
      <c r="O462" s="240">
        <v>0</v>
      </c>
      <c r="P462" s="240">
        <v>2520</v>
      </c>
      <c r="Q462" s="240">
        <v>0</v>
      </c>
      <c r="R462" s="240">
        <v>0</v>
      </c>
      <c r="S462" s="242">
        <f t="shared" ref="S462:S478" si="38">SUM(E462:Q462)</f>
        <v>2758</v>
      </c>
      <c r="Z462"/>
    </row>
    <row r="463" spans="1:257" x14ac:dyDescent="0.2">
      <c r="A463" s="159">
        <v>615193</v>
      </c>
      <c r="B463" s="160" t="s">
        <v>118</v>
      </c>
      <c r="C463" s="148" t="s">
        <v>156</v>
      </c>
      <c r="D463" s="148" t="s">
        <v>404</v>
      </c>
      <c r="E463" s="240">
        <v>0</v>
      </c>
      <c r="F463" s="240">
        <v>0</v>
      </c>
      <c r="G463" s="240">
        <v>0</v>
      </c>
      <c r="H463" s="240">
        <v>0</v>
      </c>
      <c r="I463" s="240">
        <v>0</v>
      </c>
      <c r="J463" s="240">
        <v>0</v>
      </c>
      <c r="K463" s="240">
        <v>0</v>
      </c>
      <c r="L463" s="240">
        <v>0</v>
      </c>
      <c r="M463" s="240">
        <v>0</v>
      </c>
      <c r="N463" s="240">
        <v>0</v>
      </c>
      <c r="O463" s="240">
        <v>0</v>
      </c>
      <c r="P463" s="240">
        <v>0</v>
      </c>
      <c r="Q463" s="240">
        <v>0</v>
      </c>
      <c r="R463" s="240">
        <v>0</v>
      </c>
      <c r="S463" s="242">
        <f t="shared" si="38"/>
        <v>0</v>
      </c>
      <c r="Z463"/>
    </row>
    <row r="464" spans="1:257" x14ac:dyDescent="0.2">
      <c r="A464" s="159">
        <v>615193</v>
      </c>
      <c r="B464" s="160" t="s">
        <v>118</v>
      </c>
      <c r="C464" s="148" t="s">
        <v>156</v>
      </c>
      <c r="D464" s="148" t="s">
        <v>243</v>
      </c>
      <c r="E464" s="240">
        <v>0</v>
      </c>
      <c r="F464" s="240">
        <v>0</v>
      </c>
      <c r="G464" s="240">
        <v>0</v>
      </c>
      <c r="H464" s="240">
        <v>0</v>
      </c>
      <c r="I464" s="240">
        <v>0</v>
      </c>
      <c r="J464" s="240">
        <v>0</v>
      </c>
      <c r="K464" s="240">
        <v>0</v>
      </c>
      <c r="L464" s="240">
        <v>0</v>
      </c>
      <c r="M464" s="240">
        <v>0</v>
      </c>
      <c r="N464" s="240">
        <v>0</v>
      </c>
      <c r="O464" s="240">
        <v>0</v>
      </c>
      <c r="P464" s="240">
        <v>0</v>
      </c>
      <c r="Q464" s="240">
        <v>2464.79</v>
      </c>
      <c r="R464" s="240">
        <v>0</v>
      </c>
      <c r="S464" s="242">
        <f t="shared" si="38"/>
        <v>2464.79</v>
      </c>
      <c r="Z464"/>
    </row>
    <row r="465" spans="1:26" x14ac:dyDescent="0.2">
      <c r="A465" s="159">
        <v>615193</v>
      </c>
      <c r="B465" s="160" t="s">
        <v>118</v>
      </c>
      <c r="C465" s="148" t="s">
        <v>156</v>
      </c>
      <c r="D465" s="148" t="s">
        <v>189</v>
      </c>
      <c r="E465" s="240">
        <v>0</v>
      </c>
      <c r="F465" s="240">
        <v>0</v>
      </c>
      <c r="G465" s="240">
        <v>0</v>
      </c>
      <c r="H465" s="240">
        <v>0</v>
      </c>
      <c r="I465" s="240">
        <v>0</v>
      </c>
      <c r="J465" s="240">
        <v>0</v>
      </c>
      <c r="K465" s="240">
        <v>0</v>
      </c>
      <c r="L465" s="240">
        <v>0</v>
      </c>
      <c r="M465" s="240">
        <v>0</v>
      </c>
      <c r="N465" s="240">
        <v>0</v>
      </c>
      <c r="O465" s="240">
        <v>0</v>
      </c>
      <c r="P465" s="240">
        <v>0</v>
      </c>
      <c r="Q465" s="240">
        <v>0</v>
      </c>
      <c r="R465" s="240">
        <v>0</v>
      </c>
      <c r="S465" s="242">
        <f t="shared" si="38"/>
        <v>0</v>
      </c>
      <c r="Z465"/>
    </row>
    <row r="466" spans="1:26" x14ac:dyDescent="0.2">
      <c r="A466" s="159">
        <v>615193</v>
      </c>
      <c r="B466" s="160" t="s">
        <v>118</v>
      </c>
      <c r="C466" s="148" t="s">
        <v>156</v>
      </c>
      <c r="D466" s="148" t="s">
        <v>191</v>
      </c>
      <c r="E466" s="240">
        <v>0</v>
      </c>
      <c r="F466" s="240">
        <v>0</v>
      </c>
      <c r="G466" s="240">
        <v>0</v>
      </c>
      <c r="H466" s="240">
        <v>0</v>
      </c>
      <c r="I466" s="240">
        <v>1420.49</v>
      </c>
      <c r="J466" s="240">
        <v>0</v>
      </c>
      <c r="K466" s="240">
        <v>0</v>
      </c>
      <c r="L466" s="240">
        <v>0</v>
      </c>
      <c r="M466" s="240">
        <v>449.83</v>
      </c>
      <c r="N466" s="240">
        <v>0</v>
      </c>
      <c r="O466" s="240">
        <v>0</v>
      </c>
      <c r="P466" s="240">
        <v>0</v>
      </c>
      <c r="Q466" s="240">
        <v>0</v>
      </c>
      <c r="R466" s="240">
        <v>0</v>
      </c>
      <c r="S466" s="242">
        <f t="shared" si="38"/>
        <v>1870.32</v>
      </c>
      <c r="Z466"/>
    </row>
    <row r="467" spans="1:26" x14ac:dyDescent="0.2">
      <c r="A467" s="159">
        <v>615193</v>
      </c>
      <c r="B467" s="160" t="s">
        <v>118</v>
      </c>
      <c r="C467" s="148" t="s">
        <v>156</v>
      </c>
      <c r="D467" s="148" t="s">
        <v>201</v>
      </c>
      <c r="E467" s="240">
        <v>0</v>
      </c>
      <c r="F467" s="240">
        <v>0</v>
      </c>
      <c r="G467" s="240">
        <v>0</v>
      </c>
      <c r="H467" s="240">
        <v>0</v>
      </c>
      <c r="I467" s="240">
        <v>0</v>
      </c>
      <c r="J467" s="240">
        <v>0</v>
      </c>
      <c r="K467" s="240">
        <v>0</v>
      </c>
      <c r="L467" s="240">
        <v>0</v>
      </c>
      <c r="M467" s="240">
        <v>0</v>
      </c>
      <c r="N467" s="240">
        <v>0</v>
      </c>
      <c r="O467" s="240">
        <v>0</v>
      </c>
      <c r="P467" s="240">
        <v>0</v>
      </c>
      <c r="Q467" s="240">
        <v>0</v>
      </c>
      <c r="R467" s="240">
        <v>0</v>
      </c>
      <c r="S467" s="242">
        <f t="shared" si="38"/>
        <v>0</v>
      </c>
      <c r="Z467"/>
    </row>
    <row r="468" spans="1:26" x14ac:dyDescent="0.2">
      <c r="A468" s="159">
        <v>615193</v>
      </c>
      <c r="B468" s="160" t="s">
        <v>118</v>
      </c>
      <c r="C468" s="148" t="s">
        <v>156</v>
      </c>
      <c r="D468" s="148" t="s">
        <v>184</v>
      </c>
      <c r="E468" s="240">
        <v>0</v>
      </c>
      <c r="F468" s="240">
        <v>0</v>
      </c>
      <c r="G468" s="240">
        <v>0</v>
      </c>
      <c r="H468" s="240">
        <v>0</v>
      </c>
      <c r="I468" s="240">
        <v>0</v>
      </c>
      <c r="J468" s="240">
        <v>0</v>
      </c>
      <c r="K468" s="240">
        <v>0</v>
      </c>
      <c r="L468" s="240">
        <v>0</v>
      </c>
      <c r="M468" s="240">
        <v>0</v>
      </c>
      <c r="N468" s="240">
        <v>0</v>
      </c>
      <c r="O468" s="240">
        <v>0</v>
      </c>
      <c r="P468" s="240">
        <v>0</v>
      </c>
      <c r="Q468" s="240">
        <v>0</v>
      </c>
      <c r="R468" s="240">
        <v>0</v>
      </c>
      <c r="S468" s="242">
        <f t="shared" si="38"/>
        <v>0</v>
      </c>
      <c r="Z468"/>
    </row>
    <row r="469" spans="1:26" x14ac:dyDescent="0.2">
      <c r="A469" s="159">
        <v>615193</v>
      </c>
      <c r="B469" s="160" t="s">
        <v>118</v>
      </c>
      <c r="C469" s="148" t="s">
        <v>156</v>
      </c>
      <c r="D469" s="148" t="s">
        <v>179</v>
      </c>
      <c r="E469" s="240">
        <v>0</v>
      </c>
      <c r="F469" s="240">
        <v>135.72</v>
      </c>
      <c r="G469" s="240">
        <v>0</v>
      </c>
      <c r="H469" s="240">
        <v>0</v>
      </c>
      <c r="I469" s="240">
        <v>2592.5</v>
      </c>
      <c r="J469" s="240">
        <v>0</v>
      </c>
      <c r="K469" s="240">
        <v>0</v>
      </c>
      <c r="L469" s="240">
        <v>135.72</v>
      </c>
      <c r="M469" s="240">
        <v>0</v>
      </c>
      <c r="N469" s="240">
        <v>0</v>
      </c>
      <c r="O469" s="240">
        <v>0</v>
      </c>
      <c r="P469" s="240">
        <v>0</v>
      </c>
      <c r="Q469" s="240">
        <v>2819.25</v>
      </c>
      <c r="R469" s="240">
        <v>0</v>
      </c>
      <c r="S469" s="242">
        <f t="shared" si="38"/>
        <v>5683.19</v>
      </c>
      <c r="Z469"/>
    </row>
    <row r="470" spans="1:26" s="175" customFormat="1" x14ac:dyDescent="0.2">
      <c r="A470" s="270"/>
      <c r="B470" s="235"/>
      <c r="C470" s="148"/>
      <c r="D470" s="148"/>
      <c r="E470" s="240"/>
      <c r="F470" s="240"/>
      <c r="G470" s="240"/>
      <c r="H470" s="240"/>
      <c r="I470" s="240"/>
      <c r="J470" s="240"/>
      <c r="K470" s="240"/>
      <c r="L470" s="240"/>
      <c r="M470" s="240"/>
      <c r="N470" s="240"/>
      <c r="O470" s="240"/>
      <c r="P470" s="240"/>
      <c r="Q470" s="240"/>
      <c r="R470" s="240"/>
      <c r="S470" s="242">
        <f t="shared" si="38"/>
        <v>0</v>
      </c>
      <c r="T470"/>
      <c r="V470" s="332"/>
      <c r="Z470"/>
    </row>
    <row r="471" spans="1:26" x14ac:dyDescent="0.2">
      <c r="A471" s="159">
        <v>615193</v>
      </c>
      <c r="B471" s="160" t="s">
        <v>118</v>
      </c>
      <c r="C471" s="148" t="s">
        <v>79</v>
      </c>
      <c r="D471" s="148" t="s">
        <v>192</v>
      </c>
      <c r="E471" s="240">
        <v>0</v>
      </c>
      <c r="F471" s="240">
        <v>0</v>
      </c>
      <c r="G471" s="240">
        <v>0</v>
      </c>
      <c r="H471" s="240">
        <v>0</v>
      </c>
      <c r="I471" s="240">
        <v>0</v>
      </c>
      <c r="J471" s="240">
        <v>0</v>
      </c>
      <c r="K471" s="240">
        <v>0</v>
      </c>
      <c r="L471" s="240">
        <v>0</v>
      </c>
      <c r="M471" s="240">
        <v>0</v>
      </c>
      <c r="N471" s="240">
        <v>0</v>
      </c>
      <c r="O471" s="240">
        <v>0</v>
      </c>
      <c r="P471" s="240">
        <v>0</v>
      </c>
      <c r="Q471" s="240">
        <v>0</v>
      </c>
      <c r="R471" s="240">
        <v>0</v>
      </c>
      <c r="S471" s="242">
        <f t="shared" si="38"/>
        <v>0</v>
      </c>
      <c r="Z471"/>
    </row>
    <row r="472" spans="1:26" x14ac:dyDescent="0.2">
      <c r="A472" s="159">
        <v>615193</v>
      </c>
      <c r="B472" s="160" t="s">
        <v>118</v>
      </c>
      <c r="C472" s="148" t="s">
        <v>79</v>
      </c>
      <c r="D472" s="148" t="s">
        <v>191</v>
      </c>
      <c r="E472" s="240">
        <v>0</v>
      </c>
      <c r="F472" s="240">
        <v>0</v>
      </c>
      <c r="G472" s="240">
        <v>1084.24</v>
      </c>
      <c r="H472" s="240">
        <v>0</v>
      </c>
      <c r="I472" s="240">
        <v>0</v>
      </c>
      <c r="J472" s="240">
        <v>0</v>
      </c>
      <c r="K472" s="240">
        <v>0</v>
      </c>
      <c r="L472" s="240">
        <v>0</v>
      </c>
      <c r="M472" s="240">
        <v>0</v>
      </c>
      <c r="N472" s="240">
        <v>0</v>
      </c>
      <c r="O472" s="240">
        <v>0</v>
      </c>
      <c r="P472" s="240">
        <v>0</v>
      </c>
      <c r="Q472" s="240">
        <v>0</v>
      </c>
      <c r="R472" s="240">
        <v>0</v>
      </c>
      <c r="S472" s="242">
        <f t="shared" si="38"/>
        <v>1084.24</v>
      </c>
      <c r="Z472"/>
    </row>
    <row r="473" spans="1:26" x14ac:dyDescent="0.2">
      <c r="A473" s="159"/>
      <c r="B473" s="160"/>
      <c r="C473" s="148"/>
      <c r="D473" s="148"/>
      <c r="E473" s="240"/>
      <c r="F473" s="240"/>
      <c r="G473" s="240"/>
      <c r="H473" s="240"/>
      <c r="I473" s="240"/>
      <c r="J473" s="240"/>
      <c r="K473" s="240"/>
      <c r="L473" s="240"/>
      <c r="M473" s="240"/>
      <c r="N473" s="240"/>
      <c r="O473" s="240"/>
      <c r="P473" s="240"/>
      <c r="Q473" s="240"/>
      <c r="R473" s="240"/>
      <c r="S473" s="242">
        <f t="shared" si="38"/>
        <v>0</v>
      </c>
      <c r="Z473"/>
    </row>
    <row r="474" spans="1:26" s="175" customFormat="1" x14ac:dyDescent="0.2">
      <c r="A474" s="159">
        <v>615193</v>
      </c>
      <c r="B474" s="160" t="s">
        <v>118</v>
      </c>
      <c r="C474" s="148" t="s">
        <v>172</v>
      </c>
      <c r="D474" s="148" t="s">
        <v>243</v>
      </c>
      <c r="E474" s="240">
        <v>0</v>
      </c>
      <c r="F474" s="240">
        <v>0</v>
      </c>
      <c r="G474" s="240">
        <v>0</v>
      </c>
      <c r="H474" s="240">
        <v>0</v>
      </c>
      <c r="I474" s="240">
        <v>234.85</v>
      </c>
      <c r="J474" s="240">
        <v>0</v>
      </c>
      <c r="K474" s="240">
        <v>0</v>
      </c>
      <c r="L474" s="240">
        <v>0</v>
      </c>
      <c r="M474" s="240">
        <v>0</v>
      </c>
      <c r="N474" s="240">
        <v>0</v>
      </c>
      <c r="O474" s="240">
        <v>0</v>
      </c>
      <c r="P474" s="240">
        <v>0</v>
      </c>
      <c r="Q474" s="240">
        <v>0</v>
      </c>
      <c r="R474" s="240">
        <v>0</v>
      </c>
      <c r="S474" s="242">
        <f t="shared" si="38"/>
        <v>234.85</v>
      </c>
      <c r="T474"/>
      <c r="V474" s="332"/>
      <c r="W474" s="184"/>
      <c r="Z474"/>
    </row>
    <row r="475" spans="1:26" s="175" customFormat="1" x14ac:dyDescent="0.2">
      <c r="A475" s="159">
        <v>615193</v>
      </c>
      <c r="B475" s="160" t="s">
        <v>118</v>
      </c>
      <c r="C475" s="148" t="s">
        <v>172</v>
      </c>
      <c r="D475" s="148" t="s">
        <v>191</v>
      </c>
      <c r="E475" s="240">
        <v>0</v>
      </c>
      <c r="F475" s="240">
        <v>0</v>
      </c>
      <c r="G475" s="240">
        <v>179.99</v>
      </c>
      <c r="H475" s="240">
        <v>0</v>
      </c>
      <c r="I475" s="240">
        <v>0</v>
      </c>
      <c r="J475" s="240">
        <v>0</v>
      </c>
      <c r="K475" s="240">
        <v>0</v>
      </c>
      <c r="L475" s="240">
        <v>0</v>
      </c>
      <c r="M475" s="240">
        <v>0</v>
      </c>
      <c r="N475" s="240">
        <v>0</v>
      </c>
      <c r="O475" s="240">
        <v>0</v>
      </c>
      <c r="P475" s="240">
        <v>0</v>
      </c>
      <c r="Q475" s="240">
        <v>0</v>
      </c>
      <c r="R475" s="240">
        <v>0</v>
      </c>
      <c r="S475" s="242">
        <f>SUM(E475:Q475)</f>
        <v>179.99</v>
      </c>
      <c r="T475"/>
      <c r="V475" s="332"/>
      <c r="W475" s="184"/>
      <c r="Z475"/>
    </row>
    <row r="476" spans="1:26" s="175" customFormat="1" x14ac:dyDescent="0.2">
      <c r="A476" s="159">
        <v>615193</v>
      </c>
      <c r="B476" s="160" t="s">
        <v>118</v>
      </c>
      <c r="C476" s="148" t="s">
        <v>172</v>
      </c>
      <c r="D476" s="148" t="s">
        <v>201</v>
      </c>
      <c r="E476" s="240">
        <v>0</v>
      </c>
      <c r="F476" s="240">
        <v>252</v>
      </c>
      <c r="G476" s="240">
        <v>0</v>
      </c>
      <c r="H476" s="240">
        <v>0</v>
      </c>
      <c r="I476" s="240">
        <v>0</v>
      </c>
      <c r="J476" s="240">
        <v>0</v>
      </c>
      <c r="K476" s="240">
        <v>0</v>
      </c>
      <c r="L476" s="240">
        <v>0</v>
      </c>
      <c r="M476" s="240">
        <v>0</v>
      </c>
      <c r="N476" s="240">
        <v>0</v>
      </c>
      <c r="O476" s="240">
        <v>0</v>
      </c>
      <c r="P476" s="240">
        <v>0</v>
      </c>
      <c r="Q476" s="240">
        <v>0</v>
      </c>
      <c r="R476" s="240">
        <v>0</v>
      </c>
      <c r="S476" s="242">
        <f>SUM(E476:Q476)</f>
        <v>252</v>
      </c>
      <c r="T476"/>
      <c r="V476" s="332"/>
      <c r="W476" s="184"/>
      <c r="Z476"/>
    </row>
    <row r="477" spans="1:26" s="175" customFormat="1" x14ac:dyDescent="0.2">
      <c r="A477" s="159">
        <v>615193</v>
      </c>
      <c r="B477" s="160" t="s">
        <v>118</v>
      </c>
      <c r="C477" s="148" t="s">
        <v>172</v>
      </c>
      <c r="D477" s="148" t="s">
        <v>184</v>
      </c>
      <c r="E477" s="240">
        <v>0</v>
      </c>
      <c r="F477" s="240">
        <v>252</v>
      </c>
      <c r="G477" s="240">
        <v>0</v>
      </c>
      <c r="H477" s="240">
        <v>0</v>
      </c>
      <c r="I477" s="240">
        <v>0</v>
      </c>
      <c r="J477" s="240">
        <v>0</v>
      </c>
      <c r="K477" s="240">
        <v>0</v>
      </c>
      <c r="L477" s="240">
        <v>0</v>
      </c>
      <c r="M477" s="240">
        <v>0</v>
      </c>
      <c r="N477" s="240">
        <v>0</v>
      </c>
      <c r="O477" s="240">
        <v>0</v>
      </c>
      <c r="P477" s="240">
        <v>0</v>
      </c>
      <c r="Q477" s="240">
        <v>0</v>
      </c>
      <c r="R477" s="240">
        <v>0</v>
      </c>
      <c r="S477" s="242">
        <f>SUM(E477:Q477)</f>
        <v>252</v>
      </c>
      <c r="T477"/>
      <c r="V477" s="332"/>
      <c r="W477" s="184"/>
      <c r="Z477"/>
    </row>
    <row r="478" spans="1:26" s="175" customFormat="1" x14ac:dyDescent="0.2">
      <c r="A478" s="159">
        <v>615193</v>
      </c>
      <c r="B478" s="160" t="s">
        <v>118</v>
      </c>
      <c r="C478" s="148" t="s">
        <v>172</v>
      </c>
      <c r="D478" s="148" t="s">
        <v>179</v>
      </c>
      <c r="E478" s="240">
        <v>0</v>
      </c>
      <c r="F478" s="240">
        <v>0</v>
      </c>
      <c r="G478" s="240">
        <v>0</v>
      </c>
      <c r="H478" s="240">
        <v>0</v>
      </c>
      <c r="I478" s="240">
        <v>0</v>
      </c>
      <c r="J478" s="240">
        <v>0</v>
      </c>
      <c r="K478" s="240">
        <v>0</v>
      </c>
      <c r="L478" s="240">
        <v>0</v>
      </c>
      <c r="M478" s="240">
        <v>0</v>
      </c>
      <c r="N478" s="240">
        <v>0</v>
      </c>
      <c r="O478" s="240">
        <v>0</v>
      </c>
      <c r="P478" s="240">
        <v>850</v>
      </c>
      <c r="Q478" s="240">
        <v>0</v>
      </c>
      <c r="R478" s="240">
        <v>0</v>
      </c>
      <c r="S478" s="242">
        <f t="shared" si="38"/>
        <v>850</v>
      </c>
      <c r="T478"/>
      <c r="V478" s="332"/>
      <c r="W478" s="184"/>
      <c r="Z478"/>
    </row>
    <row r="479" spans="1:26" s="175" customFormat="1" x14ac:dyDescent="0.2">
      <c r="A479" s="270"/>
      <c r="B479" s="235"/>
      <c r="C479" s="148"/>
      <c r="D479" s="148"/>
      <c r="E479" s="240"/>
      <c r="F479" s="240"/>
      <c r="G479" s="240"/>
      <c r="H479" s="240"/>
      <c r="I479" s="240"/>
      <c r="J479" s="240"/>
      <c r="K479" s="240"/>
      <c r="L479" s="240"/>
      <c r="M479" s="240"/>
      <c r="N479" s="240"/>
      <c r="O479" s="240"/>
      <c r="P479" s="240"/>
      <c r="Q479" s="240"/>
      <c r="R479" s="240"/>
      <c r="S479" s="242"/>
      <c r="T479" s="331"/>
      <c r="V479" s="332"/>
      <c r="W479" s="184"/>
      <c r="Z479"/>
    </row>
    <row r="480" spans="1:26" x14ac:dyDescent="0.2">
      <c r="A480" s="159">
        <v>615193</v>
      </c>
      <c r="B480" s="160" t="s">
        <v>118</v>
      </c>
      <c r="C480" s="148" t="s">
        <v>367</v>
      </c>
      <c r="D480" s="148">
        <v>999999</v>
      </c>
      <c r="E480" s="240"/>
      <c r="F480" s="240">
        <v>4724.32</v>
      </c>
      <c r="G480" s="240">
        <f>-4724.32+9080.71</f>
        <v>4356.3899999999994</v>
      </c>
      <c r="H480" s="240">
        <f>-9080.71+6522.37</f>
        <v>-2558.3399999999992</v>
      </c>
      <c r="I480" s="240">
        <f>-6522.37+2918.34</f>
        <v>-3604.0299999999997</v>
      </c>
      <c r="J480" s="240">
        <f>-2918.34+2228.39</f>
        <v>-689.95000000000027</v>
      </c>
      <c r="K480" s="240">
        <f>-2228.39+5961.74</f>
        <v>3733.35</v>
      </c>
      <c r="L480" s="240">
        <f>-5961.74+11823.18</f>
        <v>5861.4400000000005</v>
      </c>
      <c r="M480" s="240">
        <f>-11823.18+16091.44</f>
        <v>4268.26</v>
      </c>
      <c r="N480" s="240">
        <f>-16091.44+23910.55</f>
        <v>7819.1099999999988</v>
      </c>
      <c r="O480" s="240">
        <f>-23910.55+19319.85</f>
        <v>-4590.7000000000007</v>
      </c>
      <c r="P480" s="240">
        <f>-19319.85+0.08</f>
        <v>-19319.769999999997</v>
      </c>
      <c r="Q480" s="240"/>
      <c r="R480" s="240"/>
      <c r="S480" s="242">
        <f>SUM(E480:Q480)</f>
        <v>8.000000000174623E-2</v>
      </c>
      <c r="W480" s="184"/>
      <c r="Z480"/>
    </row>
    <row r="481" spans="1:257" s="185" customFormat="1" ht="24" customHeight="1" x14ac:dyDescent="0.2">
      <c r="A481" s="267"/>
      <c r="B481" s="268"/>
      <c r="C481" s="267" t="s">
        <v>66</v>
      </c>
      <c r="D481" s="267"/>
      <c r="E481" s="269">
        <f t="shared" ref="E481:R481" si="39">SUM(E409:E480)</f>
        <v>-2944.39</v>
      </c>
      <c r="F481" s="269">
        <f t="shared" si="39"/>
        <v>6314.67</v>
      </c>
      <c r="G481" s="269">
        <f t="shared" si="39"/>
        <v>15149.279999999997</v>
      </c>
      <c r="H481" s="269">
        <f t="shared" si="39"/>
        <v>918.79000000000042</v>
      </c>
      <c r="I481" s="269">
        <f t="shared" si="39"/>
        <v>7265.8</v>
      </c>
      <c r="J481" s="269">
        <f t="shared" si="39"/>
        <v>4149.8600000000006</v>
      </c>
      <c r="K481" s="269">
        <f t="shared" si="39"/>
        <v>4625.1000000000004</v>
      </c>
      <c r="L481" s="269">
        <f t="shared" si="39"/>
        <v>8226.76</v>
      </c>
      <c r="M481" s="269">
        <f t="shared" si="39"/>
        <v>5607.54</v>
      </c>
      <c r="N481" s="269">
        <f t="shared" si="39"/>
        <v>16850.96</v>
      </c>
      <c r="O481" s="269">
        <f t="shared" si="39"/>
        <v>-3310.1300000000006</v>
      </c>
      <c r="P481" s="269">
        <f t="shared" si="39"/>
        <v>-7498.2399999999961</v>
      </c>
      <c r="Q481" s="269">
        <f t="shared" si="39"/>
        <v>10010.73</v>
      </c>
      <c r="R481" s="269">
        <f t="shared" si="39"/>
        <v>0</v>
      </c>
      <c r="S481" s="269">
        <f>SUM(S409:S480)</f>
        <v>65366.730000000018</v>
      </c>
      <c r="T481" s="689" t="e">
        <f>IF(Ctrl($A480)+S480+S479=S481,"Ok","Erreur somme")</f>
        <v>#VALUE!</v>
      </c>
      <c r="U481" s="212">
        <v>56044.24</v>
      </c>
      <c r="V481" s="334">
        <f>U481-S481</f>
        <v>-9322.4900000000198</v>
      </c>
      <c r="W481" s="185" t="s">
        <v>853</v>
      </c>
      <c r="X481" s="569"/>
      <c r="Z481"/>
    </row>
    <row r="482" spans="1:257" x14ac:dyDescent="0.2">
      <c r="A482" s="159">
        <v>615194</v>
      </c>
      <c r="B482" s="160" t="s">
        <v>135</v>
      </c>
      <c r="C482" s="148" t="s">
        <v>78</v>
      </c>
      <c r="D482" s="148" t="s">
        <v>192</v>
      </c>
      <c r="E482" s="240">
        <v>0</v>
      </c>
      <c r="F482" s="240">
        <v>0</v>
      </c>
      <c r="G482" s="240">
        <v>0</v>
      </c>
      <c r="H482" s="240">
        <v>0</v>
      </c>
      <c r="I482" s="240">
        <v>0</v>
      </c>
      <c r="J482" s="240">
        <v>0</v>
      </c>
      <c r="K482" s="240">
        <v>0</v>
      </c>
      <c r="L482" s="240">
        <v>0</v>
      </c>
      <c r="M482" s="240">
        <v>0</v>
      </c>
      <c r="N482" s="240">
        <v>0</v>
      </c>
      <c r="O482" s="240">
        <v>0</v>
      </c>
      <c r="P482" s="240">
        <v>0</v>
      </c>
      <c r="Q482" s="240">
        <v>0</v>
      </c>
      <c r="R482" s="240">
        <v>0</v>
      </c>
      <c r="S482" s="242">
        <f>SUM(E482:Q482)</f>
        <v>0</v>
      </c>
      <c r="Z482"/>
    </row>
    <row r="483" spans="1:257" x14ac:dyDescent="0.2">
      <c r="A483" s="159">
        <v>615194</v>
      </c>
      <c r="B483" s="160" t="s">
        <v>135</v>
      </c>
      <c r="C483" s="148" t="s">
        <v>78</v>
      </c>
      <c r="D483" s="148" t="s">
        <v>179</v>
      </c>
      <c r="E483" s="240">
        <v>0</v>
      </c>
      <c r="F483" s="240">
        <v>0</v>
      </c>
      <c r="G483" s="240">
        <v>0</v>
      </c>
      <c r="H483" s="240">
        <v>0</v>
      </c>
      <c r="I483" s="240">
        <v>0</v>
      </c>
      <c r="J483" s="240">
        <v>0</v>
      </c>
      <c r="K483" s="240">
        <v>0</v>
      </c>
      <c r="L483" s="240">
        <v>0</v>
      </c>
      <c r="M483" s="240">
        <v>0</v>
      </c>
      <c r="N483" s="240">
        <v>0</v>
      </c>
      <c r="O483" s="240">
        <v>0</v>
      </c>
      <c r="P483" s="240">
        <v>0</v>
      </c>
      <c r="Q483" s="240">
        <v>0</v>
      </c>
      <c r="R483" s="240">
        <v>0</v>
      </c>
      <c r="S483" s="242">
        <f>SUM(E483:Q483)</f>
        <v>0</v>
      </c>
      <c r="Z483"/>
    </row>
    <row r="484" spans="1:257" s="175" customFormat="1" x14ac:dyDescent="0.2">
      <c r="A484" s="270"/>
      <c r="B484" s="235"/>
      <c r="C484" s="148"/>
      <c r="D484" s="148"/>
      <c r="E484" s="240"/>
      <c r="F484" s="240"/>
      <c r="G484" s="240"/>
      <c r="H484" s="240"/>
      <c r="I484" s="240"/>
      <c r="J484" s="240"/>
      <c r="K484" s="240"/>
      <c r="L484" s="240"/>
      <c r="M484" s="240"/>
      <c r="N484" s="240"/>
      <c r="O484" s="240"/>
      <c r="P484" s="240"/>
      <c r="Q484" s="240"/>
      <c r="R484" s="240"/>
      <c r="S484" s="242"/>
      <c r="T484"/>
      <c r="V484" s="332"/>
      <c r="Z484"/>
    </row>
    <row r="485" spans="1:257" x14ac:dyDescent="0.2">
      <c r="A485" s="159">
        <v>615194</v>
      </c>
      <c r="B485" s="160" t="s">
        <v>135</v>
      </c>
      <c r="C485" s="148" t="s">
        <v>71</v>
      </c>
      <c r="D485" s="148" t="s">
        <v>192</v>
      </c>
      <c r="E485" s="240">
        <v>0</v>
      </c>
      <c r="F485" s="240">
        <v>0</v>
      </c>
      <c r="G485" s="240">
        <v>0</v>
      </c>
      <c r="H485" s="240">
        <v>0</v>
      </c>
      <c r="I485" s="240">
        <v>0</v>
      </c>
      <c r="J485" s="240">
        <v>0</v>
      </c>
      <c r="K485" s="240">
        <v>0</v>
      </c>
      <c r="L485" s="240">
        <v>0</v>
      </c>
      <c r="M485" s="240">
        <v>0</v>
      </c>
      <c r="N485" s="240">
        <v>0</v>
      </c>
      <c r="O485" s="240">
        <v>0</v>
      </c>
      <c r="P485" s="240">
        <v>0</v>
      </c>
      <c r="Q485" s="240">
        <v>0</v>
      </c>
      <c r="R485" s="240">
        <v>0</v>
      </c>
      <c r="S485" s="242">
        <f>SUM(E485:Q485)</f>
        <v>0</v>
      </c>
      <c r="Z485"/>
    </row>
    <row r="486" spans="1:257" x14ac:dyDescent="0.2">
      <c r="A486" s="159">
        <v>615194</v>
      </c>
      <c r="B486" s="160" t="s">
        <v>135</v>
      </c>
      <c r="C486" s="148" t="s">
        <v>71</v>
      </c>
      <c r="D486" s="148" t="s">
        <v>179</v>
      </c>
      <c r="E486" s="240">
        <v>0</v>
      </c>
      <c r="F486" s="240">
        <v>0</v>
      </c>
      <c r="G486" s="240">
        <v>0</v>
      </c>
      <c r="H486" s="240">
        <v>0</v>
      </c>
      <c r="I486" s="240">
        <v>0</v>
      </c>
      <c r="J486" s="240">
        <v>0</v>
      </c>
      <c r="K486" s="240">
        <v>0</v>
      </c>
      <c r="L486" s="240">
        <v>0</v>
      </c>
      <c r="M486" s="240">
        <v>0</v>
      </c>
      <c r="N486" s="240">
        <v>0</v>
      </c>
      <c r="O486" s="240">
        <v>0</v>
      </c>
      <c r="P486" s="240">
        <v>0</v>
      </c>
      <c r="Q486" s="240">
        <v>0</v>
      </c>
      <c r="R486" s="240">
        <v>0</v>
      </c>
      <c r="S486" s="242">
        <f>SUM(E486:Q486)</f>
        <v>0</v>
      </c>
      <c r="Z486"/>
    </row>
    <row r="487" spans="1:257" s="175" customFormat="1" x14ac:dyDescent="0.2">
      <c r="A487" s="270"/>
      <c r="B487" s="235"/>
      <c r="C487" s="148"/>
      <c r="D487" s="148"/>
      <c r="E487" s="240"/>
      <c r="F487" s="240"/>
      <c r="G487" s="240"/>
      <c r="H487" s="240"/>
      <c r="I487" s="240"/>
      <c r="J487" s="240"/>
      <c r="K487" s="240"/>
      <c r="L487" s="240"/>
      <c r="M487" s="240"/>
      <c r="N487" s="240"/>
      <c r="O487" s="240"/>
      <c r="P487" s="240"/>
      <c r="Q487" s="240"/>
      <c r="R487" s="240"/>
      <c r="S487" s="242"/>
      <c r="T487"/>
      <c r="V487" s="332"/>
      <c r="Z487"/>
    </row>
    <row r="488" spans="1:257" x14ac:dyDescent="0.2">
      <c r="A488" s="159">
        <v>615194</v>
      </c>
      <c r="B488" s="160" t="s">
        <v>135</v>
      </c>
      <c r="C488" s="148" t="s">
        <v>73</v>
      </c>
      <c r="D488" s="148" t="s">
        <v>192</v>
      </c>
      <c r="E488" s="240">
        <v>0</v>
      </c>
      <c r="F488" s="240">
        <v>0</v>
      </c>
      <c r="G488" s="240">
        <v>0</v>
      </c>
      <c r="H488" s="240">
        <v>0</v>
      </c>
      <c r="I488" s="240">
        <v>0</v>
      </c>
      <c r="J488" s="240">
        <v>0</v>
      </c>
      <c r="K488" s="240">
        <v>0</v>
      </c>
      <c r="L488" s="240">
        <v>0</v>
      </c>
      <c r="M488" s="240">
        <v>0</v>
      </c>
      <c r="N488" s="240">
        <v>0</v>
      </c>
      <c r="O488" s="240">
        <v>0</v>
      </c>
      <c r="P488" s="240">
        <v>0</v>
      </c>
      <c r="Q488" s="240">
        <v>0</v>
      </c>
      <c r="R488" s="240">
        <v>0</v>
      </c>
      <c r="S488" s="242">
        <f>SUM(E488:Q488)</f>
        <v>0</v>
      </c>
      <c r="Z488"/>
    </row>
    <row r="489" spans="1:257" x14ac:dyDescent="0.2">
      <c r="A489" s="159">
        <v>615194</v>
      </c>
      <c r="B489" s="160" t="s">
        <v>135</v>
      </c>
      <c r="C489" s="148" t="s">
        <v>73</v>
      </c>
      <c r="D489" s="148" t="s">
        <v>179</v>
      </c>
      <c r="E489" s="240">
        <v>0</v>
      </c>
      <c r="F489" s="240">
        <v>0</v>
      </c>
      <c r="G489" s="240">
        <v>0</v>
      </c>
      <c r="H489" s="240">
        <v>0</v>
      </c>
      <c r="I489" s="240">
        <v>0</v>
      </c>
      <c r="J489" s="240">
        <v>0</v>
      </c>
      <c r="K489" s="240">
        <v>0</v>
      </c>
      <c r="L489" s="240">
        <v>0</v>
      </c>
      <c r="M489" s="240">
        <v>0</v>
      </c>
      <c r="N489" s="240">
        <v>0</v>
      </c>
      <c r="O489" s="240">
        <v>0</v>
      </c>
      <c r="P489" s="240">
        <v>0</v>
      </c>
      <c r="Q489" s="240">
        <v>0</v>
      </c>
      <c r="R489" s="240">
        <v>0</v>
      </c>
      <c r="S489" s="242">
        <f>SUM(E489:Q489)</f>
        <v>0</v>
      </c>
      <c r="Z489"/>
    </row>
    <row r="490" spans="1:257" s="175" customFormat="1" x14ac:dyDescent="0.2">
      <c r="A490" s="270"/>
      <c r="B490" s="235"/>
      <c r="C490" s="148"/>
      <c r="D490" s="148"/>
      <c r="E490" s="240"/>
      <c r="F490" s="240"/>
      <c r="G490" s="240"/>
      <c r="H490" s="240"/>
      <c r="I490" s="240"/>
      <c r="J490" s="240"/>
      <c r="K490" s="240"/>
      <c r="L490" s="240"/>
      <c r="M490" s="240"/>
      <c r="N490" s="240"/>
      <c r="O490" s="240"/>
      <c r="P490" s="240"/>
      <c r="Q490" s="240"/>
      <c r="R490" s="240"/>
      <c r="S490" s="242"/>
      <c r="T490"/>
      <c r="V490" s="332"/>
      <c r="Z490"/>
    </row>
    <row r="491" spans="1:257" x14ac:dyDescent="0.2">
      <c r="A491" s="159">
        <v>615194</v>
      </c>
      <c r="B491" s="160" t="s">
        <v>135</v>
      </c>
      <c r="C491" s="148" t="s">
        <v>67</v>
      </c>
      <c r="D491" s="148" t="s">
        <v>192</v>
      </c>
      <c r="E491" s="240">
        <v>0</v>
      </c>
      <c r="F491" s="240">
        <v>0</v>
      </c>
      <c r="G491" s="240">
        <v>0</v>
      </c>
      <c r="H491" s="240">
        <v>0</v>
      </c>
      <c r="I491" s="240">
        <v>0</v>
      </c>
      <c r="J491" s="240">
        <v>0</v>
      </c>
      <c r="K491" s="240">
        <v>0</v>
      </c>
      <c r="L491" s="240">
        <v>0</v>
      </c>
      <c r="M491" s="240">
        <v>0</v>
      </c>
      <c r="N491" s="240">
        <v>0</v>
      </c>
      <c r="O491" s="240">
        <v>0</v>
      </c>
      <c r="P491" s="240">
        <v>0</v>
      </c>
      <c r="Q491" s="240">
        <v>0</v>
      </c>
      <c r="R491" s="240">
        <v>0</v>
      </c>
      <c r="S491" s="242">
        <f>SUM(E491:Q491)</f>
        <v>0</v>
      </c>
      <c r="Z491"/>
    </row>
    <row r="492" spans="1:257" x14ac:dyDescent="0.2">
      <c r="A492" s="159">
        <v>615194</v>
      </c>
      <c r="B492" s="160" t="s">
        <v>135</v>
      </c>
      <c r="C492" s="148" t="s">
        <v>67</v>
      </c>
      <c r="D492" s="148" t="s">
        <v>179</v>
      </c>
      <c r="E492" s="240">
        <v>0</v>
      </c>
      <c r="F492" s="240">
        <v>0</v>
      </c>
      <c r="G492" s="240">
        <v>0</v>
      </c>
      <c r="H492" s="240">
        <v>0</v>
      </c>
      <c r="I492" s="240">
        <v>0</v>
      </c>
      <c r="J492" s="240">
        <v>0</v>
      </c>
      <c r="K492" s="240">
        <v>0</v>
      </c>
      <c r="L492" s="240">
        <v>0</v>
      </c>
      <c r="M492" s="240">
        <v>0</v>
      </c>
      <c r="N492" s="240">
        <v>0</v>
      </c>
      <c r="O492" s="240">
        <v>0</v>
      </c>
      <c r="P492" s="240">
        <v>0</v>
      </c>
      <c r="Q492" s="240">
        <v>0</v>
      </c>
      <c r="R492" s="240">
        <v>0</v>
      </c>
      <c r="S492" s="242">
        <f>SUM(E492:Q492)</f>
        <v>0</v>
      </c>
      <c r="Z492"/>
    </row>
    <row r="493" spans="1:257" s="175" customFormat="1" x14ac:dyDescent="0.2">
      <c r="A493" s="270"/>
      <c r="B493" s="235"/>
      <c r="C493" s="148"/>
      <c r="D493" s="148"/>
      <c r="E493" s="240"/>
      <c r="F493" s="240"/>
      <c r="G493" s="240"/>
      <c r="H493" s="240"/>
      <c r="I493" s="240"/>
      <c r="J493" s="240"/>
      <c r="K493" s="240"/>
      <c r="L493" s="240"/>
      <c r="M493" s="240"/>
      <c r="N493" s="240"/>
      <c r="O493" s="240"/>
      <c r="P493" s="240"/>
      <c r="Q493" s="240"/>
      <c r="R493" s="240"/>
      <c r="S493" s="242"/>
      <c r="T493"/>
      <c r="V493" s="332"/>
      <c r="Z493"/>
    </row>
    <row r="494" spans="1:257" x14ac:dyDescent="0.2">
      <c r="A494" s="159">
        <v>615194</v>
      </c>
      <c r="B494" s="160" t="s">
        <v>135</v>
      </c>
      <c r="C494" s="148" t="s">
        <v>80</v>
      </c>
      <c r="D494" s="148" t="s">
        <v>192</v>
      </c>
      <c r="E494" s="240">
        <v>0</v>
      </c>
      <c r="F494" s="240">
        <v>0</v>
      </c>
      <c r="G494" s="240">
        <v>0</v>
      </c>
      <c r="H494" s="240">
        <v>0</v>
      </c>
      <c r="I494" s="240">
        <v>0</v>
      </c>
      <c r="J494" s="240">
        <v>0</v>
      </c>
      <c r="K494" s="240">
        <v>0</v>
      </c>
      <c r="L494" s="240">
        <v>0</v>
      </c>
      <c r="M494" s="240">
        <v>0</v>
      </c>
      <c r="N494" s="240">
        <v>0</v>
      </c>
      <c r="O494" s="240">
        <v>0</v>
      </c>
      <c r="P494" s="240">
        <v>0</v>
      </c>
      <c r="Q494" s="240">
        <v>0</v>
      </c>
      <c r="R494" s="240">
        <v>0</v>
      </c>
      <c r="S494" s="242">
        <f>SUM(E494:Q494)</f>
        <v>0</v>
      </c>
      <c r="Z494"/>
    </row>
    <row r="495" spans="1:257" x14ac:dyDescent="0.2">
      <c r="A495" s="159">
        <v>615194</v>
      </c>
      <c r="B495" s="160" t="s">
        <v>135</v>
      </c>
      <c r="C495" s="148" t="s">
        <v>80</v>
      </c>
      <c r="D495" s="148" t="s">
        <v>179</v>
      </c>
      <c r="E495" s="240">
        <v>0</v>
      </c>
      <c r="F495" s="240">
        <v>0</v>
      </c>
      <c r="G495" s="240">
        <v>0</v>
      </c>
      <c r="H495" s="240">
        <v>0</v>
      </c>
      <c r="I495" s="240">
        <v>0</v>
      </c>
      <c r="J495" s="240">
        <v>0</v>
      </c>
      <c r="K495" s="240">
        <v>0</v>
      </c>
      <c r="L495" s="240">
        <v>0</v>
      </c>
      <c r="M495" s="240">
        <v>0</v>
      </c>
      <c r="N495" s="240">
        <v>0</v>
      </c>
      <c r="O495" s="240">
        <v>0</v>
      </c>
      <c r="P495" s="240">
        <v>0</v>
      </c>
      <c r="Q495" s="240">
        <v>0</v>
      </c>
      <c r="R495" s="240">
        <v>0</v>
      </c>
      <c r="S495" s="242">
        <f>SUM(E495:Q495)</f>
        <v>0</v>
      </c>
      <c r="Z495"/>
    </row>
    <row r="496" spans="1:257" s="175" customFormat="1" x14ac:dyDescent="0.2">
      <c r="A496" s="270"/>
      <c r="B496" s="235"/>
      <c r="C496" s="148"/>
      <c r="D496" s="148"/>
      <c r="E496" s="240"/>
      <c r="F496" s="240"/>
      <c r="G496" s="240"/>
      <c r="H496" s="240"/>
      <c r="I496" s="240"/>
      <c r="J496" s="240"/>
      <c r="K496" s="240"/>
      <c r="L496" s="240"/>
      <c r="M496" s="240"/>
      <c r="N496" s="240"/>
      <c r="O496" s="240"/>
      <c r="P496" s="240"/>
      <c r="Q496" s="240"/>
      <c r="R496" s="240"/>
      <c r="S496" s="242"/>
      <c r="T496"/>
      <c r="U496" s="184"/>
      <c r="V496" s="332"/>
      <c r="X496" s="184"/>
      <c r="Y496" s="184"/>
      <c r="Z496"/>
      <c r="AA496" s="184"/>
      <c r="AB496" s="184"/>
      <c r="AC496" s="184"/>
      <c r="AD496" s="184"/>
      <c r="AE496" s="184"/>
      <c r="AF496" s="184"/>
      <c r="AG496" s="184"/>
      <c r="AH496" s="184"/>
      <c r="AI496" s="184"/>
      <c r="AJ496" s="184"/>
      <c r="AK496" s="184"/>
      <c r="AL496" s="184"/>
      <c r="AM496" s="184"/>
      <c r="AN496" s="184"/>
      <c r="AO496" s="184"/>
      <c r="AP496" s="184"/>
      <c r="AQ496" s="184"/>
      <c r="AR496" s="184"/>
      <c r="AS496" s="184"/>
      <c r="AT496" s="184"/>
      <c r="AU496" s="184"/>
      <c r="AV496" s="184"/>
      <c r="AW496" s="184"/>
      <c r="AX496" s="184"/>
      <c r="AY496" s="184"/>
      <c r="AZ496" s="184"/>
      <c r="BA496" s="184"/>
      <c r="BB496" s="184"/>
      <c r="BC496" s="184"/>
      <c r="BD496" s="184"/>
      <c r="BE496" s="184"/>
      <c r="BF496" s="184"/>
      <c r="BG496" s="184"/>
      <c r="BH496" s="184"/>
      <c r="BI496" s="184"/>
      <c r="BJ496" s="184"/>
      <c r="BK496" s="184"/>
      <c r="BL496" s="184"/>
      <c r="BM496" s="184"/>
      <c r="BN496" s="184"/>
      <c r="BO496" s="184"/>
      <c r="BP496" s="184"/>
      <c r="BQ496" s="184"/>
      <c r="BR496" s="184"/>
      <c r="BS496" s="184"/>
      <c r="BT496" s="184"/>
      <c r="BU496" s="184"/>
      <c r="BV496" s="184"/>
      <c r="BW496" s="184"/>
      <c r="BX496" s="184"/>
      <c r="BY496" s="184"/>
      <c r="BZ496" s="184"/>
      <c r="CA496" s="184"/>
      <c r="CB496" s="184"/>
      <c r="CC496" s="184"/>
      <c r="CD496" s="184"/>
      <c r="CE496" s="184"/>
      <c r="CF496" s="184"/>
      <c r="CG496" s="184"/>
      <c r="CH496" s="184"/>
      <c r="CI496" s="184"/>
      <c r="CJ496" s="184"/>
      <c r="CK496" s="184"/>
      <c r="CL496" s="184"/>
      <c r="CM496" s="184"/>
      <c r="CN496" s="184"/>
      <c r="CO496" s="184"/>
      <c r="CP496" s="184"/>
      <c r="CQ496" s="184"/>
      <c r="CR496" s="184"/>
      <c r="CS496" s="184"/>
      <c r="CT496" s="184"/>
      <c r="CU496" s="184"/>
      <c r="CV496" s="184"/>
      <c r="CW496" s="184"/>
      <c r="CX496" s="184"/>
      <c r="CY496" s="184"/>
      <c r="CZ496" s="184"/>
      <c r="DA496" s="184"/>
      <c r="DB496" s="184"/>
      <c r="DC496" s="184"/>
      <c r="DD496" s="184"/>
      <c r="DE496" s="184"/>
      <c r="DF496" s="184"/>
      <c r="DG496" s="184"/>
      <c r="DH496" s="184"/>
      <c r="DI496" s="184"/>
      <c r="DJ496" s="184"/>
      <c r="DK496" s="184"/>
      <c r="DL496" s="184"/>
      <c r="DM496" s="184"/>
      <c r="DN496" s="184"/>
      <c r="DO496" s="184"/>
      <c r="DP496" s="184"/>
      <c r="DQ496" s="184"/>
      <c r="DR496" s="184"/>
      <c r="DS496" s="184"/>
      <c r="DT496" s="184"/>
      <c r="DU496" s="184"/>
      <c r="DV496" s="184"/>
      <c r="DW496" s="184"/>
      <c r="DX496" s="184"/>
      <c r="DY496" s="184"/>
      <c r="DZ496" s="184"/>
      <c r="EA496" s="184"/>
      <c r="EB496" s="184"/>
      <c r="EC496" s="184"/>
      <c r="ED496" s="184"/>
      <c r="EE496" s="184"/>
      <c r="EF496" s="184"/>
      <c r="EG496" s="184"/>
      <c r="EH496" s="184"/>
      <c r="EI496" s="184"/>
      <c r="EJ496" s="184"/>
      <c r="EK496" s="184"/>
      <c r="EL496" s="184"/>
      <c r="EM496" s="184"/>
      <c r="EN496" s="184"/>
      <c r="EO496" s="184"/>
      <c r="EP496" s="184"/>
      <c r="EQ496" s="184"/>
      <c r="ER496" s="184"/>
      <c r="ES496" s="184"/>
      <c r="ET496" s="184"/>
      <c r="EU496" s="184"/>
      <c r="EV496" s="184"/>
      <c r="EW496" s="184"/>
      <c r="EX496" s="184"/>
      <c r="EY496" s="184"/>
      <c r="EZ496" s="184"/>
      <c r="FA496" s="184"/>
      <c r="FB496" s="184"/>
      <c r="FC496" s="184"/>
      <c r="FD496" s="184"/>
      <c r="FE496" s="184"/>
      <c r="FF496" s="184"/>
      <c r="FG496" s="184"/>
      <c r="FH496" s="184"/>
      <c r="FI496" s="184"/>
      <c r="FJ496" s="184"/>
      <c r="FK496" s="184"/>
      <c r="FL496" s="184"/>
      <c r="FM496" s="184"/>
      <c r="FN496" s="184"/>
      <c r="FO496" s="184"/>
      <c r="FP496" s="184"/>
      <c r="FQ496" s="184"/>
      <c r="FR496" s="184"/>
      <c r="FS496" s="184"/>
      <c r="FT496" s="184"/>
      <c r="FU496" s="184"/>
      <c r="FV496" s="184"/>
      <c r="FW496" s="184"/>
      <c r="FX496" s="184"/>
      <c r="FY496" s="184"/>
      <c r="FZ496" s="184"/>
      <c r="GA496" s="184"/>
      <c r="GB496" s="184"/>
      <c r="GC496" s="184"/>
      <c r="GD496" s="184"/>
      <c r="GE496" s="184"/>
      <c r="GF496" s="184"/>
      <c r="GG496" s="184"/>
      <c r="GH496" s="184"/>
      <c r="GI496" s="184"/>
      <c r="GJ496" s="184"/>
      <c r="GK496" s="184"/>
      <c r="GL496" s="184"/>
      <c r="GM496" s="184"/>
      <c r="GN496" s="184"/>
      <c r="GO496" s="184"/>
      <c r="GP496" s="184"/>
      <c r="GQ496" s="184"/>
      <c r="GR496" s="184"/>
      <c r="GS496" s="184"/>
      <c r="GT496" s="184"/>
      <c r="GU496" s="184"/>
      <c r="GV496" s="184"/>
      <c r="GW496" s="184"/>
      <c r="GX496" s="184"/>
      <c r="GY496" s="184"/>
      <c r="GZ496" s="184"/>
      <c r="HA496" s="184"/>
      <c r="HB496" s="184"/>
      <c r="HC496" s="184"/>
      <c r="HD496" s="184"/>
      <c r="HE496" s="184"/>
      <c r="HF496" s="184"/>
      <c r="HG496" s="184"/>
      <c r="HH496" s="184"/>
      <c r="HI496" s="184"/>
      <c r="HJ496" s="184"/>
      <c r="HK496" s="184"/>
      <c r="HL496" s="184"/>
      <c r="HM496" s="184"/>
      <c r="HN496" s="184"/>
      <c r="HO496" s="184"/>
      <c r="HP496" s="184"/>
      <c r="HQ496" s="184"/>
      <c r="HR496" s="184"/>
      <c r="HS496" s="184"/>
      <c r="HT496" s="184"/>
      <c r="HU496" s="184"/>
      <c r="HV496" s="184"/>
      <c r="HW496" s="184"/>
      <c r="HX496" s="184"/>
      <c r="HY496" s="184"/>
      <c r="HZ496" s="184"/>
      <c r="IA496" s="184"/>
      <c r="IB496" s="184"/>
      <c r="IC496" s="184"/>
      <c r="ID496" s="184"/>
      <c r="IE496" s="184"/>
      <c r="IF496" s="184"/>
      <c r="IG496" s="184"/>
      <c r="IH496" s="184"/>
      <c r="II496" s="184"/>
      <c r="IJ496" s="184"/>
      <c r="IK496" s="184"/>
      <c r="IL496" s="184"/>
      <c r="IM496" s="184"/>
      <c r="IN496" s="184"/>
      <c r="IO496" s="184"/>
      <c r="IP496" s="184"/>
      <c r="IQ496" s="184"/>
      <c r="IR496" s="184"/>
      <c r="IS496" s="184"/>
      <c r="IT496" s="184"/>
      <c r="IU496" s="184"/>
      <c r="IV496" s="184"/>
      <c r="IW496" s="184"/>
    </row>
    <row r="497" spans="1:257" x14ac:dyDescent="0.2">
      <c r="A497" s="159">
        <v>615194</v>
      </c>
      <c r="B497" s="160" t="s">
        <v>135</v>
      </c>
      <c r="C497" s="148" t="s">
        <v>156</v>
      </c>
      <c r="D497" s="148" t="s">
        <v>192</v>
      </c>
      <c r="E497" s="240">
        <v>0</v>
      </c>
      <c r="F497" s="240">
        <v>0</v>
      </c>
      <c r="G497" s="240">
        <v>0</v>
      </c>
      <c r="H497" s="240">
        <v>0</v>
      </c>
      <c r="I497" s="240">
        <v>0</v>
      </c>
      <c r="J497" s="240">
        <v>0</v>
      </c>
      <c r="K497" s="240">
        <v>0</v>
      </c>
      <c r="L497" s="240">
        <v>0</v>
      </c>
      <c r="M497" s="240">
        <v>0</v>
      </c>
      <c r="N497" s="240">
        <v>0</v>
      </c>
      <c r="O497" s="240">
        <v>0</v>
      </c>
      <c r="P497" s="240">
        <v>0</v>
      </c>
      <c r="Q497" s="240">
        <v>0</v>
      </c>
      <c r="R497" s="240">
        <v>0</v>
      </c>
      <c r="S497" s="242">
        <f>SUM(E497:Q497)</f>
        <v>0</v>
      </c>
      <c r="Z497"/>
    </row>
    <row r="498" spans="1:257" x14ac:dyDescent="0.2">
      <c r="A498" s="159">
        <v>615194</v>
      </c>
      <c r="B498" s="160" t="s">
        <v>135</v>
      </c>
      <c r="C498" s="148" t="s">
        <v>156</v>
      </c>
      <c r="D498" s="148" t="s">
        <v>179</v>
      </c>
      <c r="E498" s="240">
        <v>0</v>
      </c>
      <c r="F498" s="240">
        <v>0</v>
      </c>
      <c r="G498" s="240">
        <v>0</v>
      </c>
      <c r="H498" s="240">
        <v>0</v>
      </c>
      <c r="I498" s="240">
        <v>0</v>
      </c>
      <c r="J498" s="240">
        <v>0</v>
      </c>
      <c r="K498" s="240">
        <v>0</v>
      </c>
      <c r="L498" s="240">
        <v>0</v>
      </c>
      <c r="M498" s="240">
        <v>0</v>
      </c>
      <c r="N498" s="240">
        <v>0</v>
      </c>
      <c r="O498" s="240">
        <v>0</v>
      </c>
      <c r="P498" s="240">
        <v>0</v>
      </c>
      <c r="Q498" s="240">
        <v>0</v>
      </c>
      <c r="R498" s="240">
        <v>0</v>
      </c>
      <c r="S498" s="242">
        <f>SUM(E498:Q498)</f>
        <v>0</v>
      </c>
      <c r="Z498"/>
    </row>
    <row r="499" spans="1:257" s="185" customFormat="1" ht="24" customHeight="1" x14ac:dyDescent="0.2">
      <c r="A499" s="267"/>
      <c r="B499" s="268"/>
      <c r="C499" s="267" t="s">
        <v>66</v>
      </c>
      <c r="D499" s="267"/>
      <c r="E499" s="269">
        <f>SUM(E482:E498)</f>
        <v>0</v>
      </c>
      <c r="F499" s="269">
        <f>SUM(F482:F498)</f>
        <v>0</v>
      </c>
      <c r="G499" s="269">
        <f t="shared" ref="G499:S499" si="40">SUM(G482:G498)</f>
        <v>0</v>
      </c>
      <c r="H499" s="269">
        <f t="shared" si="40"/>
        <v>0</v>
      </c>
      <c r="I499" s="269">
        <f t="shared" si="40"/>
        <v>0</v>
      </c>
      <c r="J499" s="269">
        <f t="shared" si="40"/>
        <v>0</v>
      </c>
      <c r="K499" s="269">
        <f t="shared" si="40"/>
        <v>0</v>
      </c>
      <c r="L499" s="269">
        <f t="shared" si="40"/>
        <v>0</v>
      </c>
      <c r="M499" s="269">
        <f t="shared" si="40"/>
        <v>0</v>
      </c>
      <c r="N499" s="269">
        <f t="shared" si="40"/>
        <v>0</v>
      </c>
      <c r="O499" s="269">
        <f t="shared" si="40"/>
        <v>0</v>
      </c>
      <c r="P499" s="269">
        <f t="shared" si="40"/>
        <v>0</v>
      </c>
      <c r="Q499" s="269">
        <f t="shared" si="40"/>
        <v>0</v>
      </c>
      <c r="R499" s="269">
        <f>SUM(R482:R498)</f>
        <v>0</v>
      </c>
      <c r="S499" s="269">
        <f t="shared" si="40"/>
        <v>0</v>
      </c>
      <c r="T499" s="689" t="str">
        <f>IF(Ctrl($A498)+S498+S497=S499,"Ok","Erreur somme")</f>
        <v>Ok</v>
      </c>
      <c r="U499" s="212">
        <v>0</v>
      </c>
      <c r="V499" s="334">
        <f>U499-S499</f>
        <v>0</v>
      </c>
      <c r="W499" s="185" t="s">
        <v>853</v>
      </c>
      <c r="Z499"/>
    </row>
    <row r="500" spans="1:257" x14ac:dyDescent="0.2">
      <c r="A500" s="159">
        <v>615195</v>
      </c>
      <c r="B500" s="160" t="s">
        <v>119</v>
      </c>
      <c r="C500" s="148" t="s">
        <v>78</v>
      </c>
      <c r="D500" s="148" t="s">
        <v>214</v>
      </c>
      <c r="E500" s="240">
        <v>0</v>
      </c>
      <c r="F500" s="240">
        <v>0</v>
      </c>
      <c r="G500" s="240">
        <v>0</v>
      </c>
      <c r="H500" s="240">
        <v>0</v>
      </c>
      <c r="I500" s="240">
        <v>0</v>
      </c>
      <c r="J500" s="240">
        <v>0</v>
      </c>
      <c r="K500" s="240">
        <v>0</v>
      </c>
      <c r="L500" s="240">
        <v>0</v>
      </c>
      <c r="M500" s="240">
        <v>0</v>
      </c>
      <c r="N500" s="240">
        <v>0</v>
      </c>
      <c r="O500" s="240">
        <v>0</v>
      </c>
      <c r="P500" s="240">
        <v>0</v>
      </c>
      <c r="Q500" s="240">
        <v>0</v>
      </c>
      <c r="R500" s="240">
        <v>0</v>
      </c>
      <c r="S500" s="242">
        <f t="shared" ref="S500:S506" si="41">SUM(E500:Q500)</f>
        <v>0</v>
      </c>
      <c r="Z500"/>
    </row>
    <row r="501" spans="1:257" x14ac:dyDescent="0.2">
      <c r="A501" s="159">
        <v>615195</v>
      </c>
      <c r="B501" s="160" t="s">
        <v>119</v>
      </c>
      <c r="C501" s="148" t="s">
        <v>78</v>
      </c>
      <c r="D501" s="148" t="s">
        <v>188</v>
      </c>
      <c r="E501" s="240">
        <v>0</v>
      </c>
      <c r="F501" s="240">
        <v>0</v>
      </c>
      <c r="G501" s="240">
        <v>0</v>
      </c>
      <c r="H501" s="240">
        <v>0</v>
      </c>
      <c r="I501" s="240">
        <v>0</v>
      </c>
      <c r="J501" s="240">
        <v>0</v>
      </c>
      <c r="K501" s="240">
        <v>0</v>
      </c>
      <c r="L501" s="240">
        <v>0</v>
      </c>
      <c r="M501" s="240">
        <v>0</v>
      </c>
      <c r="N501" s="240">
        <v>0</v>
      </c>
      <c r="O501" s="240">
        <v>0</v>
      </c>
      <c r="P501" s="240">
        <v>0</v>
      </c>
      <c r="Q501" s="240">
        <v>0</v>
      </c>
      <c r="R501" s="240">
        <v>0</v>
      </c>
      <c r="S501" s="245">
        <f t="shared" si="41"/>
        <v>0</v>
      </c>
      <c r="Z501"/>
    </row>
    <row r="502" spans="1:257" x14ac:dyDescent="0.2">
      <c r="A502" s="159">
        <v>615195</v>
      </c>
      <c r="B502" s="160" t="s">
        <v>119</v>
      </c>
      <c r="C502" s="148" t="s">
        <v>78</v>
      </c>
      <c r="D502" s="148" t="s">
        <v>203</v>
      </c>
      <c r="E502" s="240">
        <v>0</v>
      </c>
      <c r="F502" s="240">
        <v>0</v>
      </c>
      <c r="G502" s="240">
        <v>0</v>
      </c>
      <c r="H502" s="240">
        <v>0</v>
      </c>
      <c r="I502" s="240">
        <v>0</v>
      </c>
      <c r="J502" s="240">
        <v>0</v>
      </c>
      <c r="K502" s="240">
        <v>0</v>
      </c>
      <c r="L502" s="240">
        <v>0</v>
      </c>
      <c r="M502" s="240">
        <v>0</v>
      </c>
      <c r="N502" s="240">
        <v>0</v>
      </c>
      <c r="O502" s="240">
        <v>0</v>
      </c>
      <c r="P502" s="240">
        <v>3000</v>
      </c>
      <c r="Q502" s="240">
        <v>0</v>
      </c>
      <c r="R502" s="240">
        <v>0</v>
      </c>
      <c r="S502" s="245">
        <f t="shared" si="41"/>
        <v>3000</v>
      </c>
      <c r="Z502"/>
    </row>
    <row r="503" spans="1:257" x14ac:dyDescent="0.2">
      <c r="A503" s="159">
        <v>615195</v>
      </c>
      <c r="B503" s="160" t="s">
        <v>119</v>
      </c>
      <c r="C503" s="148" t="s">
        <v>78</v>
      </c>
      <c r="D503" s="148" t="s">
        <v>185</v>
      </c>
      <c r="E503" s="240">
        <v>0</v>
      </c>
      <c r="F503" s="240">
        <v>0</v>
      </c>
      <c r="G503" s="240">
        <v>0</v>
      </c>
      <c r="H503" s="240">
        <v>1500</v>
      </c>
      <c r="I503" s="240">
        <v>390</v>
      </c>
      <c r="J503" s="240">
        <v>0</v>
      </c>
      <c r="K503" s="240">
        <v>1533.26</v>
      </c>
      <c r="L503" s="240">
        <v>0</v>
      </c>
      <c r="M503" s="240">
        <v>0</v>
      </c>
      <c r="N503" s="240">
        <v>0</v>
      </c>
      <c r="O503" s="240">
        <v>0</v>
      </c>
      <c r="P503" s="240">
        <v>490</v>
      </c>
      <c r="Q503" s="240">
        <v>6541</v>
      </c>
      <c r="R503" s="240">
        <v>0</v>
      </c>
      <c r="S503" s="245">
        <f t="shared" si="41"/>
        <v>10454.26</v>
      </c>
      <c r="Z503"/>
    </row>
    <row r="504" spans="1:257" x14ac:dyDescent="0.2">
      <c r="A504" s="159">
        <v>615195</v>
      </c>
      <c r="B504" s="160" t="s">
        <v>119</v>
      </c>
      <c r="C504" s="148" t="s">
        <v>78</v>
      </c>
      <c r="D504" s="148" t="s">
        <v>192</v>
      </c>
      <c r="E504" s="240">
        <v>0</v>
      </c>
      <c r="F504" s="240">
        <v>0</v>
      </c>
      <c r="G504" s="240">
        <v>470</v>
      </c>
      <c r="H504" s="240">
        <v>2660</v>
      </c>
      <c r="I504" s="240">
        <v>710.62</v>
      </c>
      <c r="J504" s="240">
        <v>439</v>
      </c>
      <c r="K504" s="240">
        <v>742.21</v>
      </c>
      <c r="L504" s="240">
        <v>1173</v>
      </c>
      <c r="M504" s="240">
        <v>649.13</v>
      </c>
      <c r="N504" s="240">
        <v>0</v>
      </c>
      <c r="O504" s="240">
        <v>1234.2799999999997</v>
      </c>
      <c r="P504" s="240">
        <v>942</v>
      </c>
      <c r="Q504" s="240">
        <v>6707.77</v>
      </c>
      <c r="R504" s="240">
        <v>0</v>
      </c>
      <c r="S504" s="245">
        <f t="shared" si="41"/>
        <v>15728.01</v>
      </c>
      <c r="U504" s="273"/>
      <c r="Z504"/>
    </row>
    <row r="505" spans="1:257" x14ac:dyDescent="0.2">
      <c r="A505" s="159">
        <v>615195</v>
      </c>
      <c r="B505" s="160" t="s">
        <v>119</v>
      </c>
      <c r="C505" s="148" t="s">
        <v>78</v>
      </c>
      <c r="D505" s="148" t="s">
        <v>187</v>
      </c>
      <c r="E505" s="240">
        <v>0</v>
      </c>
      <c r="F505" s="240">
        <v>54.09</v>
      </c>
      <c r="G505" s="240">
        <v>54.09</v>
      </c>
      <c r="H505" s="240">
        <v>54.09</v>
      </c>
      <c r="I505" s="240">
        <v>54.11</v>
      </c>
      <c r="J505" s="240">
        <v>54.11</v>
      </c>
      <c r="K505" s="240">
        <v>54.07</v>
      </c>
      <c r="L505" s="240">
        <v>54.1</v>
      </c>
      <c r="M505" s="240">
        <v>54.1</v>
      </c>
      <c r="N505" s="240">
        <v>54.1</v>
      </c>
      <c r="O505" s="240">
        <v>54.06</v>
      </c>
      <c r="P505" s="240">
        <v>54.11</v>
      </c>
      <c r="Q505" s="240">
        <v>54.09</v>
      </c>
      <c r="R505" s="240">
        <v>0</v>
      </c>
      <c r="S505" s="245">
        <f t="shared" si="41"/>
        <v>649.12000000000012</v>
      </c>
      <c r="Z505"/>
    </row>
    <row r="506" spans="1:257" x14ac:dyDescent="0.2">
      <c r="A506" s="159">
        <v>615195</v>
      </c>
      <c r="B506" s="160" t="s">
        <v>119</v>
      </c>
      <c r="C506" s="148" t="s">
        <v>78</v>
      </c>
      <c r="D506" s="148" t="s">
        <v>184</v>
      </c>
      <c r="E506" s="240">
        <v>0</v>
      </c>
      <c r="F506" s="240">
        <v>0</v>
      </c>
      <c r="G506" s="240">
        <v>0</v>
      </c>
      <c r="H506" s="240">
        <v>0</v>
      </c>
      <c r="I506" s="240">
        <v>0</v>
      </c>
      <c r="J506" s="240">
        <v>0</v>
      </c>
      <c r="K506" s="240">
        <v>0</v>
      </c>
      <c r="L506" s="240">
        <v>0</v>
      </c>
      <c r="M506" s="240">
        <v>0</v>
      </c>
      <c r="N506" s="240">
        <v>0</v>
      </c>
      <c r="O506" s="240">
        <v>0</v>
      </c>
      <c r="P506" s="240">
        <v>0</v>
      </c>
      <c r="Q506" s="240">
        <v>0</v>
      </c>
      <c r="R506" s="240">
        <v>0</v>
      </c>
      <c r="S506" s="245">
        <f t="shared" si="41"/>
        <v>0</v>
      </c>
      <c r="Z506"/>
    </row>
    <row r="507" spans="1:257" s="175" customFormat="1" x14ac:dyDescent="0.2">
      <c r="A507" s="270"/>
      <c r="B507" s="235"/>
      <c r="C507" s="148"/>
      <c r="D507" s="148"/>
      <c r="E507" s="240"/>
      <c r="F507" s="240"/>
      <c r="G507" s="240"/>
      <c r="H507" s="240"/>
      <c r="I507" s="240"/>
      <c r="J507" s="240"/>
      <c r="K507" s="240"/>
      <c r="L507" s="240"/>
      <c r="M507" s="240"/>
      <c r="N507" s="240"/>
      <c r="O507" s="240"/>
      <c r="P507" s="240"/>
      <c r="Q507" s="240"/>
      <c r="R507" s="240"/>
      <c r="S507" s="245"/>
      <c r="T507"/>
      <c r="U507" s="184"/>
      <c r="V507" s="332"/>
      <c r="X507" s="184"/>
      <c r="Y507" s="184"/>
      <c r="Z507"/>
      <c r="AA507" s="184"/>
      <c r="AB507" s="184"/>
      <c r="AC507" s="184"/>
      <c r="AD507" s="184"/>
      <c r="AE507" s="184"/>
      <c r="AF507" s="184"/>
      <c r="AG507" s="184"/>
      <c r="AH507" s="184"/>
      <c r="AI507" s="184"/>
      <c r="AJ507" s="184"/>
      <c r="AK507" s="184"/>
      <c r="AL507" s="184"/>
      <c r="AM507" s="184"/>
      <c r="AN507" s="184"/>
      <c r="AO507" s="184"/>
      <c r="AP507" s="184"/>
      <c r="AQ507" s="184"/>
      <c r="AR507" s="184"/>
      <c r="AS507" s="184"/>
      <c r="AT507" s="184"/>
      <c r="AU507" s="184"/>
      <c r="AV507" s="184"/>
      <c r="AW507" s="184"/>
      <c r="AX507" s="184"/>
      <c r="AY507" s="184"/>
      <c r="AZ507" s="184"/>
      <c r="BA507" s="184"/>
      <c r="BB507" s="184"/>
      <c r="BC507" s="184"/>
      <c r="BD507" s="184"/>
      <c r="BE507" s="184"/>
      <c r="BF507" s="184"/>
      <c r="BG507" s="184"/>
      <c r="BH507" s="184"/>
      <c r="BI507" s="184"/>
      <c r="BJ507" s="184"/>
      <c r="BK507" s="184"/>
      <c r="BL507" s="184"/>
      <c r="BM507" s="184"/>
      <c r="BN507" s="184"/>
      <c r="BO507" s="184"/>
      <c r="BP507" s="184"/>
      <c r="BQ507" s="184"/>
      <c r="BR507" s="184"/>
      <c r="BS507" s="184"/>
      <c r="BT507" s="184"/>
      <c r="BU507" s="184"/>
      <c r="BV507" s="184"/>
      <c r="BW507" s="184"/>
      <c r="BX507" s="184"/>
      <c r="BY507" s="184"/>
      <c r="BZ507" s="184"/>
      <c r="CA507" s="184"/>
      <c r="CB507" s="184"/>
      <c r="CC507" s="184"/>
      <c r="CD507" s="184"/>
      <c r="CE507" s="184"/>
      <c r="CF507" s="184"/>
      <c r="CG507" s="184"/>
      <c r="CH507" s="184"/>
      <c r="CI507" s="184"/>
      <c r="CJ507" s="184"/>
      <c r="CK507" s="184"/>
      <c r="CL507" s="184"/>
      <c r="CM507" s="184"/>
      <c r="CN507" s="184"/>
      <c r="CO507" s="184"/>
      <c r="CP507" s="184"/>
      <c r="CQ507" s="184"/>
      <c r="CR507" s="184"/>
      <c r="CS507" s="184"/>
      <c r="CT507" s="184"/>
      <c r="CU507" s="184"/>
      <c r="CV507" s="184"/>
      <c r="CW507" s="184"/>
      <c r="CX507" s="184"/>
      <c r="CY507" s="184"/>
      <c r="CZ507" s="184"/>
      <c r="DA507" s="184"/>
      <c r="DB507" s="184"/>
      <c r="DC507" s="184"/>
      <c r="DD507" s="184"/>
      <c r="DE507" s="184"/>
      <c r="DF507" s="184"/>
      <c r="DG507" s="184"/>
      <c r="DH507" s="184"/>
      <c r="DI507" s="184"/>
      <c r="DJ507" s="184"/>
      <c r="DK507" s="184"/>
      <c r="DL507" s="184"/>
      <c r="DM507" s="184"/>
      <c r="DN507" s="184"/>
      <c r="DO507" s="184"/>
      <c r="DP507" s="184"/>
      <c r="DQ507" s="184"/>
      <c r="DR507" s="184"/>
      <c r="DS507" s="184"/>
      <c r="DT507" s="184"/>
      <c r="DU507" s="184"/>
      <c r="DV507" s="184"/>
      <c r="DW507" s="184"/>
      <c r="DX507" s="184"/>
      <c r="DY507" s="184"/>
      <c r="DZ507" s="184"/>
      <c r="EA507" s="184"/>
      <c r="EB507" s="184"/>
      <c r="EC507" s="184"/>
      <c r="ED507" s="184"/>
      <c r="EE507" s="184"/>
      <c r="EF507" s="184"/>
      <c r="EG507" s="184"/>
      <c r="EH507" s="184"/>
      <c r="EI507" s="184"/>
      <c r="EJ507" s="184"/>
      <c r="EK507" s="184"/>
      <c r="EL507" s="184"/>
      <c r="EM507" s="184"/>
      <c r="EN507" s="184"/>
      <c r="EO507" s="184"/>
      <c r="EP507" s="184"/>
      <c r="EQ507" s="184"/>
      <c r="ER507" s="184"/>
      <c r="ES507" s="184"/>
      <c r="ET507" s="184"/>
      <c r="EU507" s="184"/>
      <c r="EV507" s="184"/>
      <c r="EW507" s="184"/>
      <c r="EX507" s="184"/>
      <c r="EY507" s="184"/>
      <c r="EZ507" s="184"/>
      <c r="FA507" s="184"/>
      <c r="FB507" s="184"/>
      <c r="FC507" s="184"/>
      <c r="FD507" s="184"/>
      <c r="FE507" s="184"/>
      <c r="FF507" s="184"/>
      <c r="FG507" s="184"/>
      <c r="FH507" s="184"/>
      <c r="FI507" s="184"/>
      <c r="FJ507" s="184"/>
      <c r="FK507" s="184"/>
      <c r="FL507" s="184"/>
      <c r="FM507" s="184"/>
      <c r="FN507" s="184"/>
      <c r="FO507" s="184"/>
      <c r="FP507" s="184"/>
      <c r="FQ507" s="184"/>
      <c r="FR507" s="184"/>
      <c r="FS507" s="184"/>
      <c r="FT507" s="184"/>
      <c r="FU507" s="184"/>
      <c r="FV507" s="184"/>
      <c r="FW507" s="184"/>
      <c r="FX507" s="184"/>
      <c r="FY507" s="184"/>
      <c r="FZ507" s="184"/>
      <c r="GA507" s="184"/>
      <c r="GB507" s="184"/>
      <c r="GC507" s="184"/>
      <c r="GD507" s="184"/>
      <c r="GE507" s="184"/>
      <c r="GF507" s="184"/>
      <c r="GG507" s="184"/>
      <c r="GH507" s="184"/>
      <c r="GI507" s="184"/>
      <c r="GJ507" s="184"/>
      <c r="GK507" s="184"/>
      <c r="GL507" s="184"/>
      <c r="GM507" s="184"/>
      <c r="GN507" s="184"/>
      <c r="GO507" s="184"/>
      <c r="GP507" s="184"/>
      <c r="GQ507" s="184"/>
      <c r="GR507" s="184"/>
      <c r="GS507" s="184"/>
      <c r="GT507" s="184"/>
      <c r="GU507" s="184"/>
      <c r="GV507" s="184"/>
      <c r="GW507" s="184"/>
      <c r="GX507" s="184"/>
      <c r="GY507" s="184"/>
      <c r="GZ507" s="184"/>
      <c r="HA507" s="184"/>
      <c r="HB507" s="184"/>
      <c r="HC507" s="184"/>
      <c r="HD507" s="184"/>
      <c r="HE507" s="184"/>
      <c r="HF507" s="184"/>
      <c r="HG507" s="184"/>
      <c r="HH507" s="184"/>
      <c r="HI507" s="184"/>
      <c r="HJ507" s="184"/>
      <c r="HK507" s="184"/>
      <c r="HL507" s="184"/>
      <c r="HM507" s="184"/>
      <c r="HN507" s="184"/>
      <c r="HO507" s="184"/>
      <c r="HP507" s="184"/>
      <c r="HQ507" s="184"/>
      <c r="HR507" s="184"/>
      <c r="HS507" s="184"/>
      <c r="HT507" s="184"/>
      <c r="HU507" s="184"/>
      <c r="HV507" s="184"/>
      <c r="HW507" s="184"/>
      <c r="HX507" s="184"/>
      <c r="HY507" s="184"/>
      <c r="HZ507" s="184"/>
      <c r="IA507" s="184"/>
      <c r="IB507" s="184"/>
      <c r="IC507" s="184"/>
      <c r="ID507" s="184"/>
      <c r="IE507" s="184"/>
      <c r="IF507" s="184"/>
      <c r="IG507" s="184"/>
      <c r="IH507" s="184"/>
      <c r="II507" s="184"/>
      <c r="IJ507" s="184"/>
      <c r="IK507" s="184"/>
      <c r="IL507" s="184"/>
      <c r="IM507" s="184"/>
      <c r="IN507" s="184"/>
      <c r="IO507" s="184"/>
      <c r="IP507" s="184"/>
      <c r="IQ507" s="184"/>
      <c r="IR507" s="184"/>
      <c r="IS507" s="184"/>
      <c r="IT507" s="184"/>
      <c r="IU507" s="184"/>
      <c r="IV507" s="184"/>
      <c r="IW507" s="184"/>
    </row>
    <row r="508" spans="1:257" x14ac:dyDescent="0.2">
      <c r="A508" s="159">
        <v>615195</v>
      </c>
      <c r="B508" s="160" t="s">
        <v>119</v>
      </c>
      <c r="C508" s="148" t="s">
        <v>71</v>
      </c>
      <c r="D508" s="148" t="s">
        <v>214</v>
      </c>
      <c r="E508" s="240">
        <v>0</v>
      </c>
      <c r="F508" s="240">
        <v>0</v>
      </c>
      <c r="G508" s="240">
        <v>0</v>
      </c>
      <c r="H508" s="240">
        <v>0</v>
      </c>
      <c r="I508" s="240">
        <v>0</v>
      </c>
      <c r="J508" s="240">
        <v>0</v>
      </c>
      <c r="K508" s="240">
        <v>0</v>
      </c>
      <c r="L508" s="240">
        <v>0</v>
      </c>
      <c r="M508" s="240">
        <v>0</v>
      </c>
      <c r="N508" s="240">
        <v>0</v>
      </c>
      <c r="O508" s="240">
        <v>0</v>
      </c>
      <c r="P508" s="240">
        <v>0</v>
      </c>
      <c r="Q508" s="240">
        <v>0</v>
      </c>
      <c r="R508" s="240">
        <v>0</v>
      </c>
      <c r="S508" s="245">
        <f>SUM(E508:Q508)</f>
        <v>0</v>
      </c>
      <c r="Z508"/>
    </row>
    <row r="509" spans="1:257" x14ac:dyDescent="0.2">
      <c r="A509" s="159">
        <v>615195</v>
      </c>
      <c r="B509" s="160" t="s">
        <v>119</v>
      </c>
      <c r="C509" s="148" t="s">
        <v>71</v>
      </c>
      <c r="D509" s="148" t="s">
        <v>188</v>
      </c>
      <c r="E509" s="240">
        <v>0</v>
      </c>
      <c r="F509" s="240">
        <v>0</v>
      </c>
      <c r="G509" s="240">
        <v>0</v>
      </c>
      <c r="H509" s="240">
        <v>0</v>
      </c>
      <c r="I509" s="240">
        <v>0</v>
      </c>
      <c r="J509" s="240">
        <v>0</v>
      </c>
      <c r="K509" s="240">
        <v>0</v>
      </c>
      <c r="L509" s="240">
        <v>0</v>
      </c>
      <c r="M509" s="240">
        <v>0</v>
      </c>
      <c r="N509" s="240">
        <v>0</v>
      </c>
      <c r="O509" s="240">
        <v>0</v>
      </c>
      <c r="P509" s="240">
        <v>0</v>
      </c>
      <c r="Q509" s="240">
        <v>0</v>
      </c>
      <c r="R509" s="240">
        <v>0</v>
      </c>
      <c r="S509" s="245">
        <f>SUM(E509:Q509)</f>
        <v>0</v>
      </c>
      <c r="Z509"/>
    </row>
    <row r="510" spans="1:257" x14ac:dyDescent="0.2">
      <c r="A510" s="159">
        <v>615195</v>
      </c>
      <c r="B510" s="160" t="s">
        <v>119</v>
      </c>
      <c r="C510" s="148" t="s">
        <v>71</v>
      </c>
      <c r="D510" s="148" t="s">
        <v>203</v>
      </c>
      <c r="E510" s="240">
        <v>0</v>
      </c>
      <c r="F510" s="240">
        <v>0</v>
      </c>
      <c r="G510" s="240">
        <v>0</v>
      </c>
      <c r="H510" s="240">
        <v>0</v>
      </c>
      <c r="I510" s="240">
        <v>0</v>
      </c>
      <c r="J510" s="240">
        <v>0</v>
      </c>
      <c r="K510" s="240">
        <v>0</v>
      </c>
      <c r="L510" s="240">
        <v>0</v>
      </c>
      <c r="M510" s="240">
        <v>0</v>
      </c>
      <c r="N510" s="240">
        <v>0</v>
      </c>
      <c r="O510" s="240">
        <v>0</v>
      </c>
      <c r="P510" s="240">
        <v>0</v>
      </c>
      <c r="Q510" s="240">
        <v>0</v>
      </c>
      <c r="R510" s="240">
        <v>0</v>
      </c>
      <c r="S510" s="245">
        <f>SUM(E510:Q510)</f>
        <v>0</v>
      </c>
      <c r="Z510"/>
    </row>
    <row r="511" spans="1:257" x14ac:dyDescent="0.2">
      <c r="A511" s="159">
        <v>615195</v>
      </c>
      <c r="B511" s="160" t="s">
        <v>119</v>
      </c>
      <c r="C511" s="148" t="s">
        <v>71</v>
      </c>
      <c r="D511" s="148" t="s">
        <v>185</v>
      </c>
      <c r="E511" s="240">
        <v>362.5</v>
      </c>
      <c r="F511" s="240">
        <v>310</v>
      </c>
      <c r="G511" s="240">
        <v>0</v>
      </c>
      <c r="H511" s="240">
        <v>0</v>
      </c>
      <c r="I511" s="240">
        <v>0</v>
      </c>
      <c r="J511" s="240">
        <v>0</v>
      </c>
      <c r="K511" s="240">
        <v>0</v>
      </c>
      <c r="L511" s="240">
        <v>0</v>
      </c>
      <c r="M511" s="240">
        <v>290</v>
      </c>
      <c r="N511" s="240">
        <v>0</v>
      </c>
      <c r="O511" s="240">
        <v>2207</v>
      </c>
      <c r="P511" s="240">
        <v>3812</v>
      </c>
      <c r="Q511" s="240">
        <v>0</v>
      </c>
      <c r="R511" s="240">
        <v>0</v>
      </c>
      <c r="S511" s="245">
        <f>SUM(E511:Q511)</f>
        <v>6981.5</v>
      </c>
      <c r="Z511"/>
    </row>
    <row r="512" spans="1:257" x14ac:dyDescent="0.2">
      <c r="A512" s="159">
        <v>615195</v>
      </c>
      <c r="B512" s="160" t="s">
        <v>119</v>
      </c>
      <c r="C512" s="148" t="s">
        <v>71</v>
      </c>
      <c r="D512" s="148" t="s">
        <v>192</v>
      </c>
      <c r="E512" s="240">
        <v>840</v>
      </c>
      <c r="F512" s="240">
        <v>2000</v>
      </c>
      <c r="G512" s="240">
        <v>635</v>
      </c>
      <c r="H512" s="240">
        <v>850</v>
      </c>
      <c r="I512" s="240">
        <v>2747.2</v>
      </c>
      <c r="J512" s="240">
        <v>3850</v>
      </c>
      <c r="K512" s="240">
        <v>1150</v>
      </c>
      <c r="L512" s="240">
        <v>7035</v>
      </c>
      <c r="M512" s="240">
        <v>906.4</v>
      </c>
      <c r="N512" s="240">
        <v>900</v>
      </c>
      <c r="O512" s="240">
        <v>2440</v>
      </c>
      <c r="P512" s="240">
        <v>3730</v>
      </c>
      <c r="Q512" s="240">
        <v>6325</v>
      </c>
      <c r="R512" s="240">
        <v>0</v>
      </c>
      <c r="S512" s="245">
        <f>SUM(E512:Q512)</f>
        <v>33408.600000000006</v>
      </c>
      <c r="Z512"/>
    </row>
    <row r="513" spans="1:257" x14ac:dyDescent="0.2">
      <c r="A513" s="159">
        <v>615195</v>
      </c>
      <c r="B513" s="160" t="s">
        <v>119</v>
      </c>
      <c r="C513" s="148" t="s">
        <v>71</v>
      </c>
      <c r="D513" s="148" t="s">
        <v>184</v>
      </c>
      <c r="E513" s="240">
        <v>0</v>
      </c>
      <c r="F513" s="240">
        <v>0</v>
      </c>
      <c r="G513" s="240">
        <v>0</v>
      </c>
      <c r="H513" s="240">
        <v>0</v>
      </c>
      <c r="I513" s="240">
        <v>0</v>
      </c>
      <c r="J513" s="240">
        <v>0</v>
      </c>
      <c r="K513" s="240">
        <v>0</v>
      </c>
      <c r="L513" s="240">
        <v>0</v>
      </c>
      <c r="M513" s="240">
        <v>0</v>
      </c>
      <c r="N513" s="240">
        <v>0</v>
      </c>
      <c r="O513" s="240">
        <v>0</v>
      </c>
      <c r="P513" s="240">
        <v>0</v>
      </c>
      <c r="Q513" s="240">
        <v>0</v>
      </c>
      <c r="R513" s="240">
        <v>0</v>
      </c>
      <c r="S513" s="245">
        <f>SUM(E515:Q515)</f>
        <v>0</v>
      </c>
      <c r="Z513"/>
    </row>
    <row r="514" spans="1:257" s="175" customFormat="1" x14ac:dyDescent="0.2">
      <c r="A514" s="270"/>
      <c r="B514" s="235"/>
      <c r="C514" s="148"/>
      <c r="D514" s="148"/>
      <c r="E514" s="240"/>
      <c r="F514" s="240"/>
      <c r="G514" s="240"/>
      <c r="H514" s="240"/>
      <c r="I514" s="240"/>
      <c r="J514" s="240"/>
      <c r="K514" s="240"/>
      <c r="L514" s="240"/>
      <c r="M514" s="240"/>
      <c r="N514" s="240"/>
      <c r="O514" s="240"/>
      <c r="P514" s="240"/>
      <c r="Q514" s="240"/>
      <c r="R514" s="240"/>
      <c r="S514" s="245"/>
      <c r="T514"/>
      <c r="U514" s="184"/>
      <c r="V514" s="332"/>
      <c r="X514" s="184"/>
      <c r="Y514" s="184"/>
      <c r="Z514"/>
      <c r="AA514" s="184"/>
      <c r="AB514" s="184"/>
      <c r="AC514" s="184"/>
      <c r="AD514" s="184"/>
      <c r="AE514" s="184"/>
      <c r="AF514" s="184"/>
      <c r="AG514" s="184"/>
      <c r="AH514" s="184"/>
      <c r="AI514" s="184"/>
      <c r="AJ514" s="184"/>
      <c r="AK514" s="184"/>
      <c r="AL514" s="184"/>
      <c r="AM514" s="184"/>
      <c r="AN514" s="184"/>
      <c r="AO514" s="184"/>
      <c r="AP514" s="184"/>
      <c r="AQ514" s="184"/>
      <c r="AR514" s="184"/>
      <c r="AS514" s="184"/>
      <c r="AT514" s="184"/>
      <c r="AU514" s="184"/>
      <c r="AV514" s="184"/>
      <c r="AW514" s="184"/>
      <c r="AX514" s="184"/>
      <c r="AY514" s="184"/>
      <c r="AZ514" s="184"/>
      <c r="BA514" s="184"/>
      <c r="BB514" s="184"/>
      <c r="BC514" s="184"/>
      <c r="BD514" s="184"/>
      <c r="BE514" s="184"/>
      <c r="BF514" s="184"/>
      <c r="BG514" s="184"/>
      <c r="BH514" s="184"/>
      <c r="BI514" s="184"/>
      <c r="BJ514" s="184"/>
      <c r="BK514" s="184"/>
      <c r="BL514" s="184"/>
      <c r="BM514" s="184"/>
      <c r="BN514" s="184"/>
      <c r="BO514" s="184"/>
      <c r="BP514" s="184"/>
      <c r="BQ514" s="184"/>
      <c r="BR514" s="184"/>
      <c r="BS514" s="184"/>
      <c r="BT514" s="184"/>
      <c r="BU514" s="184"/>
      <c r="BV514" s="184"/>
      <c r="BW514" s="184"/>
      <c r="BX514" s="184"/>
      <c r="BY514" s="184"/>
      <c r="BZ514" s="184"/>
      <c r="CA514" s="184"/>
      <c r="CB514" s="184"/>
      <c r="CC514" s="184"/>
      <c r="CD514" s="184"/>
      <c r="CE514" s="184"/>
      <c r="CF514" s="184"/>
      <c r="CG514" s="184"/>
      <c r="CH514" s="184"/>
      <c r="CI514" s="184"/>
      <c r="CJ514" s="184"/>
      <c r="CK514" s="184"/>
      <c r="CL514" s="184"/>
      <c r="CM514" s="184"/>
      <c r="CN514" s="184"/>
      <c r="CO514" s="184"/>
      <c r="CP514" s="184"/>
      <c r="CQ514" s="184"/>
      <c r="CR514" s="184"/>
      <c r="CS514" s="184"/>
      <c r="CT514" s="184"/>
      <c r="CU514" s="184"/>
      <c r="CV514" s="184"/>
      <c r="CW514" s="184"/>
      <c r="CX514" s="184"/>
      <c r="CY514" s="184"/>
      <c r="CZ514" s="184"/>
      <c r="DA514" s="184"/>
      <c r="DB514" s="184"/>
      <c r="DC514" s="184"/>
      <c r="DD514" s="184"/>
      <c r="DE514" s="184"/>
      <c r="DF514" s="184"/>
      <c r="DG514" s="184"/>
      <c r="DH514" s="184"/>
      <c r="DI514" s="184"/>
      <c r="DJ514" s="184"/>
      <c r="DK514" s="184"/>
      <c r="DL514" s="184"/>
      <c r="DM514" s="184"/>
      <c r="DN514" s="184"/>
      <c r="DO514" s="184"/>
      <c r="DP514" s="184"/>
      <c r="DQ514" s="184"/>
      <c r="DR514" s="184"/>
      <c r="DS514" s="184"/>
      <c r="DT514" s="184"/>
      <c r="DU514" s="184"/>
      <c r="DV514" s="184"/>
      <c r="DW514" s="184"/>
      <c r="DX514" s="184"/>
      <c r="DY514" s="184"/>
      <c r="DZ514" s="184"/>
      <c r="EA514" s="184"/>
      <c r="EB514" s="184"/>
      <c r="EC514" s="184"/>
      <c r="ED514" s="184"/>
      <c r="EE514" s="184"/>
      <c r="EF514" s="184"/>
      <c r="EG514" s="184"/>
      <c r="EH514" s="184"/>
      <c r="EI514" s="184"/>
      <c r="EJ514" s="184"/>
      <c r="EK514" s="184"/>
      <c r="EL514" s="184"/>
      <c r="EM514" s="184"/>
      <c r="EN514" s="184"/>
      <c r="EO514" s="184"/>
      <c r="EP514" s="184"/>
      <c r="EQ514" s="184"/>
      <c r="ER514" s="184"/>
      <c r="ES514" s="184"/>
      <c r="ET514" s="184"/>
      <c r="EU514" s="184"/>
      <c r="EV514" s="184"/>
      <c r="EW514" s="184"/>
      <c r="EX514" s="184"/>
      <c r="EY514" s="184"/>
      <c r="EZ514" s="184"/>
      <c r="FA514" s="184"/>
      <c r="FB514" s="184"/>
      <c r="FC514" s="184"/>
      <c r="FD514" s="184"/>
      <c r="FE514" s="184"/>
      <c r="FF514" s="184"/>
      <c r="FG514" s="184"/>
      <c r="FH514" s="184"/>
      <c r="FI514" s="184"/>
      <c r="FJ514" s="184"/>
      <c r="FK514" s="184"/>
      <c r="FL514" s="184"/>
      <c r="FM514" s="184"/>
      <c r="FN514" s="184"/>
      <c r="FO514" s="184"/>
      <c r="FP514" s="184"/>
      <c r="FQ514" s="184"/>
      <c r="FR514" s="184"/>
      <c r="FS514" s="184"/>
      <c r="FT514" s="184"/>
      <c r="FU514" s="184"/>
      <c r="FV514" s="184"/>
      <c r="FW514" s="184"/>
      <c r="FX514" s="184"/>
      <c r="FY514" s="184"/>
      <c r="FZ514" s="184"/>
      <c r="GA514" s="184"/>
      <c r="GB514" s="184"/>
      <c r="GC514" s="184"/>
      <c r="GD514" s="184"/>
      <c r="GE514" s="184"/>
      <c r="GF514" s="184"/>
      <c r="GG514" s="184"/>
      <c r="GH514" s="184"/>
      <c r="GI514" s="184"/>
      <c r="GJ514" s="184"/>
      <c r="GK514" s="184"/>
      <c r="GL514" s="184"/>
      <c r="GM514" s="184"/>
      <c r="GN514" s="184"/>
      <c r="GO514" s="184"/>
      <c r="GP514" s="184"/>
      <c r="GQ514" s="184"/>
      <c r="GR514" s="184"/>
      <c r="GS514" s="184"/>
      <c r="GT514" s="184"/>
      <c r="GU514" s="184"/>
      <c r="GV514" s="184"/>
      <c r="GW514" s="184"/>
      <c r="GX514" s="184"/>
      <c r="GY514" s="184"/>
      <c r="GZ514" s="184"/>
      <c r="HA514" s="184"/>
      <c r="HB514" s="184"/>
      <c r="HC514" s="184"/>
      <c r="HD514" s="184"/>
      <c r="HE514" s="184"/>
      <c r="HF514" s="184"/>
      <c r="HG514" s="184"/>
      <c r="HH514" s="184"/>
      <c r="HI514" s="184"/>
      <c r="HJ514" s="184"/>
      <c r="HK514" s="184"/>
      <c r="HL514" s="184"/>
      <c r="HM514" s="184"/>
      <c r="HN514" s="184"/>
      <c r="HO514" s="184"/>
      <c r="HP514" s="184"/>
      <c r="HQ514" s="184"/>
      <c r="HR514" s="184"/>
      <c r="HS514" s="184"/>
      <c r="HT514" s="184"/>
      <c r="HU514" s="184"/>
      <c r="HV514" s="184"/>
      <c r="HW514" s="184"/>
      <c r="HX514" s="184"/>
      <c r="HY514" s="184"/>
      <c r="HZ514" s="184"/>
      <c r="IA514" s="184"/>
      <c r="IB514" s="184"/>
      <c r="IC514" s="184"/>
      <c r="ID514" s="184"/>
      <c r="IE514" s="184"/>
      <c r="IF514" s="184"/>
      <c r="IG514" s="184"/>
      <c r="IH514" s="184"/>
      <c r="II514" s="184"/>
      <c r="IJ514" s="184"/>
      <c r="IK514" s="184"/>
      <c r="IL514" s="184"/>
      <c r="IM514" s="184"/>
      <c r="IN514" s="184"/>
      <c r="IO514" s="184"/>
      <c r="IP514" s="184"/>
      <c r="IQ514" s="184"/>
      <c r="IR514" s="184"/>
      <c r="IS514" s="184"/>
      <c r="IT514" s="184"/>
      <c r="IU514" s="184"/>
      <c r="IV514" s="184"/>
      <c r="IW514" s="184"/>
    </row>
    <row r="515" spans="1:257" x14ac:dyDescent="0.2">
      <c r="A515" s="159">
        <v>615195</v>
      </c>
      <c r="B515" s="160" t="s">
        <v>119</v>
      </c>
      <c r="C515" s="148" t="s">
        <v>73</v>
      </c>
      <c r="D515" s="148" t="s">
        <v>214</v>
      </c>
      <c r="E515" s="240">
        <v>0</v>
      </c>
      <c r="F515" s="240">
        <v>0</v>
      </c>
      <c r="G515" s="240">
        <v>0</v>
      </c>
      <c r="H515" s="240">
        <v>0</v>
      </c>
      <c r="I515" s="240">
        <v>0</v>
      </c>
      <c r="J515" s="240">
        <v>0</v>
      </c>
      <c r="K515" s="240">
        <v>0</v>
      </c>
      <c r="L515" s="240">
        <v>0</v>
      </c>
      <c r="M515" s="240">
        <v>0</v>
      </c>
      <c r="N515" s="240">
        <v>0</v>
      </c>
      <c r="O515" s="240">
        <v>0</v>
      </c>
      <c r="P515" s="240">
        <v>0</v>
      </c>
      <c r="Q515" s="240">
        <v>0</v>
      </c>
      <c r="R515" s="240">
        <v>0</v>
      </c>
      <c r="S515" s="245">
        <f t="shared" ref="S515:S522" si="42">SUM(E515:Q515)</f>
        <v>0</v>
      </c>
      <c r="Z515"/>
    </row>
    <row r="516" spans="1:257" x14ac:dyDescent="0.2">
      <c r="A516" s="159">
        <v>615195</v>
      </c>
      <c r="B516" s="160" t="s">
        <v>119</v>
      </c>
      <c r="C516" s="148" t="s">
        <v>73</v>
      </c>
      <c r="D516" s="148" t="s">
        <v>188</v>
      </c>
      <c r="E516" s="240">
        <v>0</v>
      </c>
      <c r="F516" s="240">
        <v>0</v>
      </c>
      <c r="G516" s="240">
        <v>0</v>
      </c>
      <c r="H516" s="240">
        <v>0</v>
      </c>
      <c r="I516" s="240">
        <v>0</v>
      </c>
      <c r="J516" s="240">
        <v>0</v>
      </c>
      <c r="K516" s="240">
        <v>0</v>
      </c>
      <c r="L516" s="240">
        <v>0</v>
      </c>
      <c r="M516" s="240">
        <v>0</v>
      </c>
      <c r="N516" s="240">
        <v>0</v>
      </c>
      <c r="O516" s="240">
        <v>0</v>
      </c>
      <c r="P516" s="240">
        <v>0</v>
      </c>
      <c r="Q516" s="240">
        <v>0</v>
      </c>
      <c r="R516" s="240">
        <v>0</v>
      </c>
      <c r="S516" s="245">
        <f t="shared" si="42"/>
        <v>0</v>
      </c>
      <c r="Z516"/>
    </row>
    <row r="517" spans="1:257" x14ac:dyDescent="0.2">
      <c r="A517" s="159">
        <v>615195</v>
      </c>
      <c r="B517" s="160" t="s">
        <v>119</v>
      </c>
      <c r="C517" s="148" t="s">
        <v>73</v>
      </c>
      <c r="D517" s="148" t="s">
        <v>203</v>
      </c>
      <c r="E517" s="240">
        <v>0</v>
      </c>
      <c r="F517" s="240">
        <v>0</v>
      </c>
      <c r="G517" s="240">
        <v>0</v>
      </c>
      <c r="H517" s="240">
        <v>0</v>
      </c>
      <c r="I517" s="240">
        <v>0</v>
      </c>
      <c r="J517" s="240">
        <v>0</v>
      </c>
      <c r="K517" s="240">
        <v>0</v>
      </c>
      <c r="L517" s="240">
        <v>0</v>
      </c>
      <c r="M517" s="240">
        <v>0</v>
      </c>
      <c r="N517" s="240">
        <v>0</v>
      </c>
      <c r="O517" s="240">
        <v>0</v>
      </c>
      <c r="P517" s="240">
        <v>0</v>
      </c>
      <c r="Q517" s="240">
        <v>0</v>
      </c>
      <c r="R517" s="240">
        <v>0</v>
      </c>
      <c r="S517" s="245">
        <f t="shared" si="42"/>
        <v>0</v>
      </c>
      <c r="Z517"/>
    </row>
    <row r="518" spans="1:257" x14ac:dyDescent="0.2">
      <c r="A518" s="159">
        <v>615195</v>
      </c>
      <c r="B518" s="160" t="s">
        <v>119</v>
      </c>
      <c r="C518" s="148" t="s">
        <v>73</v>
      </c>
      <c r="D518" s="148" t="s">
        <v>185</v>
      </c>
      <c r="E518" s="240">
        <v>0</v>
      </c>
      <c r="F518" s="240">
        <v>0</v>
      </c>
      <c r="G518" s="240">
        <v>0</v>
      </c>
      <c r="H518" s="240">
        <v>0</v>
      </c>
      <c r="I518" s="240">
        <v>0</v>
      </c>
      <c r="J518" s="240">
        <v>0</v>
      </c>
      <c r="K518" s="240">
        <v>0</v>
      </c>
      <c r="L518" s="240">
        <v>0</v>
      </c>
      <c r="M518" s="240">
        <v>958</v>
      </c>
      <c r="N518" s="240">
        <v>2873</v>
      </c>
      <c r="O518" s="240">
        <v>0</v>
      </c>
      <c r="P518" s="240">
        <v>1392</v>
      </c>
      <c r="Q518" s="240">
        <v>1205</v>
      </c>
      <c r="R518" s="240">
        <v>0</v>
      </c>
      <c r="S518" s="245">
        <f t="shared" si="42"/>
        <v>6428</v>
      </c>
      <c r="Z518"/>
    </row>
    <row r="519" spans="1:257" x14ac:dyDescent="0.2">
      <c r="A519" s="159">
        <v>615195</v>
      </c>
      <c r="B519" s="160" t="s">
        <v>119</v>
      </c>
      <c r="C519" s="148" t="s">
        <v>73</v>
      </c>
      <c r="D519" s="148" t="s">
        <v>192</v>
      </c>
      <c r="E519" s="240">
        <v>0</v>
      </c>
      <c r="F519" s="240">
        <v>0</v>
      </c>
      <c r="G519" s="240">
        <v>0</v>
      </c>
      <c r="H519" s="240">
        <v>12715</v>
      </c>
      <c r="I519" s="240">
        <v>3471</v>
      </c>
      <c r="J519" s="240">
        <v>1537</v>
      </c>
      <c r="K519" s="240">
        <v>2468</v>
      </c>
      <c r="L519" s="240">
        <v>1209.32</v>
      </c>
      <c r="M519" s="240">
        <v>0</v>
      </c>
      <c r="N519" s="240">
        <v>10769.34</v>
      </c>
      <c r="O519" s="240">
        <v>5851.37</v>
      </c>
      <c r="P519" s="240">
        <v>6952</v>
      </c>
      <c r="Q519" s="240">
        <v>1477.96</v>
      </c>
      <c r="R519" s="240">
        <v>0</v>
      </c>
      <c r="S519" s="245">
        <f t="shared" si="42"/>
        <v>46450.99</v>
      </c>
      <c r="U519" s="273"/>
      <c r="Z519"/>
    </row>
    <row r="520" spans="1:257" x14ac:dyDescent="0.2">
      <c r="A520" s="159">
        <v>615195</v>
      </c>
      <c r="B520" s="160" t="s">
        <v>119</v>
      </c>
      <c r="C520" s="148" t="s">
        <v>73</v>
      </c>
      <c r="D520" s="148" t="s">
        <v>187</v>
      </c>
      <c r="E520" s="240">
        <v>0</v>
      </c>
      <c r="F520" s="240">
        <v>0</v>
      </c>
      <c r="G520" s="240">
        <v>0</v>
      </c>
      <c r="H520" s="240">
        <v>0</v>
      </c>
      <c r="I520" s="240">
        <v>0</v>
      </c>
      <c r="J520" s="240">
        <v>0</v>
      </c>
      <c r="K520" s="240">
        <v>0</v>
      </c>
      <c r="L520" s="240">
        <v>0</v>
      </c>
      <c r="M520" s="240">
        <v>0</v>
      </c>
      <c r="N520" s="240">
        <v>0</v>
      </c>
      <c r="O520" s="240">
        <v>0</v>
      </c>
      <c r="P520" s="240">
        <v>0</v>
      </c>
      <c r="Q520" s="240">
        <v>0</v>
      </c>
      <c r="R520" s="240">
        <v>0</v>
      </c>
      <c r="S520" s="245">
        <f t="shared" si="42"/>
        <v>0</v>
      </c>
      <c r="U520" s="273"/>
      <c r="Z520"/>
    </row>
    <row r="521" spans="1:257" x14ac:dyDescent="0.2">
      <c r="A521" s="159">
        <v>615195</v>
      </c>
      <c r="B521" s="160" t="s">
        <v>119</v>
      </c>
      <c r="C521" s="148" t="s">
        <v>73</v>
      </c>
      <c r="D521" s="148" t="s">
        <v>184</v>
      </c>
      <c r="E521" s="240">
        <v>0</v>
      </c>
      <c r="F521" s="240">
        <v>0</v>
      </c>
      <c r="G521" s="240">
        <v>0</v>
      </c>
      <c r="H521" s="240">
        <v>0</v>
      </c>
      <c r="I521" s="240">
        <v>0</v>
      </c>
      <c r="J521" s="240">
        <v>0</v>
      </c>
      <c r="K521" s="240">
        <v>0</v>
      </c>
      <c r="L521" s="240">
        <v>0</v>
      </c>
      <c r="M521" s="240">
        <v>0</v>
      </c>
      <c r="N521" s="240">
        <v>0</v>
      </c>
      <c r="O521" s="240">
        <v>0</v>
      </c>
      <c r="P521" s="240">
        <v>0</v>
      </c>
      <c r="Q521" s="240">
        <v>0</v>
      </c>
      <c r="R521" s="240">
        <v>0</v>
      </c>
      <c r="S521" s="245">
        <f>SUM(E521:Q521)</f>
        <v>0</v>
      </c>
      <c r="Z521"/>
    </row>
    <row r="522" spans="1:257" x14ac:dyDescent="0.2">
      <c r="A522" s="159">
        <v>615195</v>
      </c>
      <c r="B522" s="160" t="s">
        <v>119</v>
      </c>
      <c r="C522" s="148" t="s">
        <v>73</v>
      </c>
      <c r="D522" s="148" t="s">
        <v>834</v>
      </c>
      <c r="E522" s="240">
        <v>0</v>
      </c>
      <c r="F522" s="240">
        <v>0</v>
      </c>
      <c r="G522" s="240">
        <v>0</v>
      </c>
      <c r="H522" s="240">
        <v>0</v>
      </c>
      <c r="I522" s="240">
        <v>0</v>
      </c>
      <c r="J522" s="240">
        <v>0</v>
      </c>
      <c r="K522" s="240">
        <v>0</v>
      </c>
      <c r="L522" s="240">
        <v>0</v>
      </c>
      <c r="M522" s="240">
        <v>0</v>
      </c>
      <c r="N522" s="240">
        <v>0</v>
      </c>
      <c r="O522" s="240">
        <v>612</v>
      </c>
      <c r="P522" s="240">
        <v>250</v>
      </c>
      <c r="Q522" s="240">
        <v>0</v>
      </c>
      <c r="R522" s="240">
        <v>0</v>
      </c>
      <c r="S522" s="245">
        <f t="shared" si="42"/>
        <v>862</v>
      </c>
      <c r="Z522"/>
    </row>
    <row r="523" spans="1:257" s="175" customFormat="1" x14ac:dyDescent="0.2">
      <c r="A523" s="270"/>
      <c r="B523" s="235"/>
      <c r="C523" s="148"/>
      <c r="D523" s="148"/>
      <c r="E523" s="240"/>
      <c r="F523" s="240"/>
      <c r="G523" s="240"/>
      <c r="H523" s="240"/>
      <c r="I523" s="240"/>
      <c r="J523" s="240"/>
      <c r="K523" s="240"/>
      <c r="L523" s="240"/>
      <c r="M523" s="240"/>
      <c r="N523" s="240"/>
      <c r="O523" s="240"/>
      <c r="P523" s="240"/>
      <c r="Q523" s="240"/>
      <c r="R523" s="240"/>
      <c r="S523" s="245"/>
      <c r="T523"/>
      <c r="U523" s="184"/>
      <c r="V523" s="332"/>
      <c r="X523" s="184"/>
      <c r="Y523" s="184"/>
      <c r="Z523"/>
      <c r="AA523" s="184"/>
      <c r="AB523" s="184"/>
      <c r="AC523" s="184"/>
      <c r="AD523" s="184"/>
      <c r="AE523" s="184"/>
      <c r="AF523" s="184"/>
      <c r="AG523" s="184"/>
      <c r="AH523" s="184"/>
      <c r="AI523" s="184"/>
      <c r="AJ523" s="184"/>
      <c r="AK523" s="184"/>
      <c r="AL523" s="184"/>
      <c r="AM523" s="184"/>
      <c r="AN523" s="184"/>
      <c r="AO523" s="184"/>
      <c r="AP523" s="184"/>
      <c r="AQ523" s="184"/>
      <c r="AR523" s="184"/>
      <c r="AS523" s="184"/>
      <c r="AT523" s="184"/>
      <c r="AU523" s="184"/>
      <c r="AV523" s="184"/>
      <c r="AW523" s="184"/>
      <c r="AX523" s="184"/>
      <c r="AY523" s="184"/>
      <c r="AZ523" s="184"/>
      <c r="BA523" s="184"/>
      <c r="BB523" s="184"/>
      <c r="BC523" s="184"/>
      <c r="BD523" s="184"/>
      <c r="BE523" s="184"/>
      <c r="BF523" s="184"/>
      <c r="BG523" s="184"/>
      <c r="BH523" s="184"/>
      <c r="BI523" s="184"/>
      <c r="BJ523" s="184"/>
      <c r="BK523" s="184"/>
      <c r="BL523" s="184"/>
      <c r="BM523" s="184"/>
      <c r="BN523" s="184"/>
      <c r="BO523" s="184"/>
      <c r="BP523" s="184"/>
      <c r="BQ523" s="184"/>
      <c r="BR523" s="184"/>
      <c r="BS523" s="184"/>
      <c r="BT523" s="184"/>
      <c r="BU523" s="184"/>
      <c r="BV523" s="184"/>
      <c r="BW523" s="184"/>
      <c r="BX523" s="184"/>
      <c r="BY523" s="184"/>
      <c r="BZ523" s="184"/>
      <c r="CA523" s="184"/>
      <c r="CB523" s="184"/>
      <c r="CC523" s="184"/>
      <c r="CD523" s="184"/>
      <c r="CE523" s="184"/>
      <c r="CF523" s="184"/>
      <c r="CG523" s="184"/>
      <c r="CH523" s="184"/>
      <c r="CI523" s="184"/>
      <c r="CJ523" s="184"/>
      <c r="CK523" s="184"/>
      <c r="CL523" s="184"/>
      <c r="CM523" s="184"/>
      <c r="CN523" s="184"/>
      <c r="CO523" s="184"/>
      <c r="CP523" s="184"/>
      <c r="CQ523" s="184"/>
      <c r="CR523" s="184"/>
      <c r="CS523" s="184"/>
      <c r="CT523" s="184"/>
      <c r="CU523" s="184"/>
      <c r="CV523" s="184"/>
      <c r="CW523" s="184"/>
      <c r="CX523" s="184"/>
      <c r="CY523" s="184"/>
      <c r="CZ523" s="184"/>
      <c r="DA523" s="184"/>
      <c r="DB523" s="184"/>
      <c r="DC523" s="184"/>
      <c r="DD523" s="184"/>
      <c r="DE523" s="184"/>
      <c r="DF523" s="184"/>
      <c r="DG523" s="184"/>
      <c r="DH523" s="184"/>
      <c r="DI523" s="184"/>
      <c r="DJ523" s="184"/>
      <c r="DK523" s="184"/>
      <c r="DL523" s="184"/>
      <c r="DM523" s="184"/>
      <c r="DN523" s="184"/>
      <c r="DO523" s="184"/>
      <c r="DP523" s="184"/>
      <c r="DQ523" s="184"/>
      <c r="DR523" s="184"/>
      <c r="DS523" s="184"/>
      <c r="DT523" s="184"/>
      <c r="DU523" s="184"/>
      <c r="DV523" s="184"/>
      <c r="DW523" s="184"/>
      <c r="DX523" s="184"/>
      <c r="DY523" s="184"/>
      <c r="DZ523" s="184"/>
      <c r="EA523" s="184"/>
      <c r="EB523" s="184"/>
      <c r="EC523" s="184"/>
      <c r="ED523" s="184"/>
      <c r="EE523" s="184"/>
      <c r="EF523" s="184"/>
      <c r="EG523" s="184"/>
      <c r="EH523" s="184"/>
      <c r="EI523" s="184"/>
      <c r="EJ523" s="184"/>
      <c r="EK523" s="184"/>
      <c r="EL523" s="184"/>
      <c r="EM523" s="184"/>
      <c r="EN523" s="184"/>
      <c r="EO523" s="184"/>
      <c r="EP523" s="184"/>
      <c r="EQ523" s="184"/>
      <c r="ER523" s="184"/>
      <c r="ES523" s="184"/>
      <c r="ET523" s="184"/>
      <c r="EU523" s="184"/>
      <c r="EV523" s="184"/>
      <c r="EW523" s="184"/>
      <c r="EX523" s="184"/>
      <c r="EY523" s="184"/>
      <c r="EZ523" s="184"/>
      <c r="FA523" s="184"/>
      <c r="FB523" s="184"/>
      <c r="FC523" s="184"/>
      <c r="FD523" s="184"/>
      <c r="FE523" s="184"/>
      <c r="FF523" s="184"/>
      <c r="FG523" s="184"/>
      <c r="FH523" s="184"/>
      <c r="FI523" s="184"/>
      <c r="FJ523" s="184"/>
      <c r="FK523" s="184"/>
      <c r="FL523" s="184"/>
      <c r="FM523" s="184"/>
      <c r="FN523" s="184"/>
      <c r="FO523" s="184"/>
      <c r="FP523" s="184"/>
      <c r="FQ523" s="184"/>
      <c r="FR523" s="184"/>
      <c r="FS523" s="184"/>
      <c r="FT523" s="184"/>
      <c r="FU523" s="184"/>
      <c r="FV523" s="184"/>
      <c r="FW523" s="184"/>
      <c r="FX523" s="184"/>
      <c r="FY523" s="184"/>
      <c r="FZ523" s="184"/>
      <c r="GA523" s="184"/>
      <c r="GB523" s="184"/>
      <c r="GC523" s="184"/>
      <c r="GD523" s="184"/>
      <c r="GE523" s="184"/>
      <c r="GF523" s="184"/>
      <c r="GG523" s="184"/>
      <c r="GH523" s="184"/>
      <c r="GI523" s="184"/>
      <c r="GJ523" s="184"/>
      <c r="GK523" s="184"/>
      <c r="GL523" s="184"/>
      <c r="GM523" s="184"/>
      <c r="GN523" s="184"/>
      <c r="GO523" s="184"/>
      <c r="GP523" s="184"/>
      <c r="GQ523" s="184"/>
      <c r="GR523" s="184"/>
      <c r="GS523" s="184"/>
      <c r="GT523" s="184"/>
      <c r="GU523" s="184"/>
      <c r="GV523" s="184"/>
      <c r="GW523" s="184"/>
      <c r="GX523" s="184"/>
      <c r="GY523" s="184"/>
      <c r="GZ523" s="184"/>
      <c r="HA523" s="184"/>
      <c r="HB523" s="184"/>
      <c r="HC523" s="184"/>
      <c r="HD523" s="184"/>
      <c r="HE523" s="184"/>
      <c r="HF523" s="184"/>
      <c r="HG523" s="184"/>
      <c r="HH523" s="184"/>
      <c r="HI523" s="184"/>
      <c r="HJ523" s="184"/>
      <c r="HK523" s="184"/>
      <c r="HL523" s="184"/>
      <c r="HM523" s="184"/>
      <c r="HN523" s="184"/>
      <c r="HO523" s="184"/>
      <c r="HP523" s="184"/>
      <c r="HQ523" s="184"/>
      <c r="HR523" s="184"/>
      <c r="HS523" s="184"/>
      <c r="HT523" s="184"/>
      <c r="HU523" s="184"/>
      <c r="HV523" s="184"/>
      <c r="HW523" s="184"/>
      <c r="HX523" s="184"/>
      <c r="HY523" s="184"/>
      <c r="HZ523" s="184"/>
      <c r="IA523" s="184"/>
      <c r="IB523" s="184"/>
      <c r="IC523" s="184"/>
      <c r="ID523" s="184"/>
      <c r="IE523" s="184"/>
      <c r="IF523" s="184"/>
      <c r="IG523" s="184"/>
      <c r="IH523" s="184"/>
      <c r="II523" s="184"/>
      <c r="IJ523" s="184"/>
      <c r="IK523" s="184"/>
      <c r="IL523" s="184"/>
      <c r="IM523" s="184"/>
      <c r="IN523" s="184"/>
      <c r="IO523" s="184"/>
      <c r="IP523" s="184"/>
      <c r="IQ523" s="184"/>
      <c r="IR523" s="184"/>
      <c r="IS523" s="184"/>
      <c r="IT523" s="184"/>
      <c r="IU523" s="184"/>
      <c r="IV523" s="184"/>
      <c r="IW523" s="184"/>
    </row>
    <row r="524" spans="1:257" x14ac:dyDescent="0.2">
      <c r="A524" s="159">
        <v>615195</v>
      </c>
      <c r="B524" s="160" t="s">
        <v>119</v>
      </c>
      <c r="C524" s="148" t="s">
        <v>67</v>
      </c>
      <c r="D524" s="148" t="s">
        <v>188</v>
      </c>
      <c r="E524" s="240">
        <v>0</v>
      </c>
      <c r="F524" s="240">
        <v>0</v>
      </c>
      <c r="G524" s="240">
        <v>0</v>
      </c>
      <c r="H524" s="240">
        <v>0</v>
      </c>
      <c r="I524" s="240">
        <v>0</v>
      </c>
      <c r="J524" s="240">
        <v>0</v>
      </c>
      <c r="K524" s="240">
        <v>0</v>
      </c>
      <c r="L524" s="240">
        <v>0</v>
      </c>
      <c r="M524" s="240">
        <v>0</v>
      </c>
      <c r="N524" s="240">
        <v>0</v>
      </c>
      <c r="O524" s="240">
        <v>0</v>
      </c>
      <c r="P524" s="240">
        <v>0</v>
      </c>
      <c r="Q524" s="240">
        <v>0</v>
      </c>
      <c r="R524" s="240">
        <v>0</v>
      </c>
      <c r="S524" s="245">
        <f t="shared" ref="S524:S530" si="43">SUM(E524:Q524)</f>
        <v>0</v>
      </c>
      <c r="Z524"/>
    </row>
    <row r="525" spans="1:257" x14ac:dyDescent="0.2">
      <c r="A525" s="159">
        <v>615195</v>
      </c>
      <c r="B525" s="160" t="s">
        <v>119</v>
      </c>
      <c r="C525" s="148" t="s">
        <v>67</v>
      </c>
      <c r="D525" s="148" t="s">
        <v>185</v>
      </c>
      <c r="E525" s="240">
        <v>0</v>
      </c>
      <c r="F525" s="240">
        <v>0</v>
      </c>
      <c r="G525" s="240">
        <v>0</v>
      </c>
      <c r="H525" s="240">
        <v>300</v>
      </c>
      <c r="I525" s="240">
        <v>0</v>
      </c>
      <c r="J525" s="240">
        <v>0</v>
      </c>
      <c r="K525" s="240">
        <v>0</v>
      </c>
      <c r="L525" s="240">
        <v>0</v>
      </c>
      <c r="M525" s="240">
        <v>0</v>
      </c>
      <c r="N525" s="240">
        <v>0</v>
      </c>
      <c r="O525" s="240">
        <v>0</v>
      </c>
      <c r="P525" s="240">
        <v>0</v>
      </c>
      <c r="Q525" s="240">
        <v>0</v>
      </c>
      <c r="R525" s="240">
        <v>0</v>
      </c>
      <c r="S525" s="245">
        <f t="shared" si="43"/>
        <v>300</v>
      </c>
      <c r="Z525"/>
    </row>
    <row r="526" spans="1:257" x14ac:dyDescent="0.2">
      <c r="A526" s="159">
        <v>615195</v>
      </c>
      <c r="B526" s="160" t="s">
        <v>119</v>
      </c>
      <c r="C526" s="148" t="s">
        <v>67</v>
      </c>
      <c r="D526" s="148" t="s">
        <v>203</v>
      </c>
      <c r="E526" s="240">
        <v>0</v>
      </c>
      <c r="F526" s="240">
        <v>0</v>
      </c>
      <c r="G526" s="240">
        <v>0</v>
      </c>
      <c r="H526" s="240">
        <v>0</v>
      </c>
      <c r="I526" s="240">
        <v>0</v>
      </c>
      <c r="J526" s="240">
        <v>0</v>
      </c>
      <c r="K526" s="240">
        <v>0</v>
      </c>
      <c r="L526" s="240">
        <v>0</v>
      </c>
      <c r="M526" s="240">
        <v>0</v>
      </c>
      <c r="N526" s="240">
        <v>0</v>
      </c>
      <c r="O526" s="240">
        <v>0</v>
      </c>
      <c r="P526" s="240">
        <v>0</v>
      </c>
      <c r="Q526" s="240">
        <v>0</v>
      </c>
      <c r="R526" s="240">
        <v>0</v>
      </c>
      <c r="S526" s="245">
        <f t="shared" si="43"/>
        <v>0</v>
      </c>
      <c r="Z526"/>
    </row>
    <row r="527" spans="1:257" x14ac:dyDescent="0.2">
      <c r="A527" s="159">
        <v>615195</v>
      </c>
      <c r="B527" s="160" t="s">
        <v>119</v>
      </c>
      <c r="C527" s="148" t="s">
        <v>67</v>
      </c>
      <c r="D527" s="148" t="s">
        <v>192</v>
      </c>
      <c r="E527" s="240">
        <v>0</v>
      </c>
      <c r="F527" s="240">
        <v>0</v>
      </c>
      <c r="G527" s="240">
        <v>0</v>
      </c>
      <c r="H527" s="240">
        <v>0</v>
      </c>
      <c r="I527" s="240">
        <v>350</v>
      </c>
      <c r="J527" s="240">
        <v>445.3</v>
      </c>
      <c r="K527" s="240">
        <v>489</v>
      </c>
      <c r="L527" s="240">
        <v>0</v>
      </c>
      <c r="M527" s="240">
        <v>0</v>
      </c>
      <c r="N527" s="240">
        <v>873.39</v>
      </c>
      <c r="O527" s="240">
        <v>322.5</v>
      </c>
      <c r="P527" s="240">
        <v>0</v>
      </c>
      <c r="Q527" s="240">
        <v>2882.8599999999997</v>
      </c>
      <c r="R527" s="240">
        <v>0</v>
      </c>
      <c r="S527" s="245">
        <f t="shared" si="43"/>
        <v>5363.0499999999993</v>
      </c>
      <c r="Z527"/>
    </row>
    <row r="528" spans="1:257" x14ac:dyDescent="0.2">
      <c r="A528" s="159">
        <v>615195</v>
      </c>
      <c r="B528" s="160" t="s">
        <v>119</v>
      </c>
      <c r="C528" s="148" t="s">
        <v>67</v>
      </c>
      <c r="D528" s="148" t="s">
        <v>187</v>
      </c>
      <c r="E528" s="240">
        <v>0</v>
      </c>
      <c r="F528" s="240">
        <v>0</v>
      </c>
      <c r="G528" s="240">
        <v>0</v>
      </c>
      <c r="H528" s="240">
        <v>0</v>
      </c>
      <c r="I528" s="240">
        <v>0</v>
      </c>
      <c r="J528" s="240">
        <v>1029</v>
      </c>
      <c r="K528" s="240">
        <v>0</v>
      </c>
      <c r="L528" s="240">
        <v>0</v>
      </c>
      <c r="M528" s="240">
        <v>0</v>
      </c>
      <c r="N528" s="240">
        <v>0</v>
      </c>
      <c r="O528" s="240">
        <v>0</v>
      </c>
      <c r="P528" s="240">
        <v>0</v>
      </c>
      <c r="Q528" s="240">
        <v>0</v>
      </c>
      <c r="R528" s="240">
        <v>0</v>
      </c>
      <c r="S528" s="245">
        <f t="shared" si="43"/>
        <v>1029</v>
      </c>
      <c r="Z528"/>
    </row>
    <row r="529" spans="1:257" x14ac:dyDescent="0.2">
      <c r="A529" s="159">
        <v>615195</v>
      </c>
      <c r="B529" s="160" t="s">
        <v>119</v>
      </c>
      <c r="C529" s="148" t="s">
        <v>67</v>
      </c>
      <c r="D529" s="148" t="s">
        <v>196</v>
      </c>
      <c r="E529" s="240">
        <v>0</v>
      </c>
      <c r="F529" s="240">
        <v>0</v>
      </c>
      <c r="G529" s="240">
        <v>0</v>
      </c>
      <c r="H529" s="240">
        <v>0</v>
      </c>
      <c r="I529" s="240">
        <v>0</v>
      </c>
      <c r="J529" s="240">
        <v>0</v>
      </c>
      <c r="K529" s="240">
        <v>0</v>
      </c>
      <c r="L529" s="240">
        <v>0</v>
      </c>
      <c r="M529" s="240">
        <v>0</v>
      </c>
      <c r="N529" s="240">
        <v>0</v>
      </c>
      <c r="O529" s="240">
        <v>0</v>
      </c>
      <c r="P529" s="240">
        <v>0</v>
      </c>
      <c r="Q529" s="240">
        <v>0</v>
      </c>
      <c r="R529" s="240">
        <v>0</v>
      </c>
      <c r="S529" s="245">
        <f t="shared" si="43"/>
        <v>0</v>
      </c>
      <c r="Z529"/>
    </row>
    <row r="530" spans="1:257" x14ac:dyDescent="0.2">
      <c r="A530" s="159">
        <v>615195</v>
      </c>
      <c r="B530" s="160" t="s">
        <v>119</v>
      </c>
      <c r="C530" s="148" t="s">
        <v>67</v>
      </c>
      <c r="D530" s="148" t="s">
        <v>184</v>
      </c>
      <c r="E530" s="240">
        <v>0</v>
      </c>
      <c r="F530" s="240">
        <v>0</v>
      </c>
      <c r="G530" s="240">
        <v>0</v>
      </c>
      <c r="H530" s="240">
        <v>0</v>
      </c>
      <c r="I530" s="240">
        <v>0</v>
      </c>
      <c r="J530" s="240">
        <v>0</v>
      </c>
      <c r="K530" s="240">
        <v>0</v>
      </c>
      <c r="L530" s="240">
        <v>0</v>
      </c>
      <c r="M530" s="240">
        <v>0</v>
      </c>
      <c r="N530" s="240">
        <v>0</v>
      </c>
      <c r="O530" s="240">
        <v>0</v>
      </c>
      <c r="P530" s="240">
        <v>0</v>
      </c>
      <c r="Q530" s="240">
        <v>0</v>
      </c>
      <c r="R530" s="240">
        <v>0</v>
      </c>
      <c r="S530" s="245">
        <f t="shared" si="43"/>
        <v>0</v>
      </c>
      <c r="Z530"/>
    </row>
    <row r="531" spans="1:257" s="175" customFormat="1" x14ac:dyDescent="0.2">
      <c r="A531" s="270"/>
      <c r="B531" s="235"/>
      <c r="C531" s="148"/>
      <c r="D531" s="148"/>
      <c r="E531" s="240"/>
      <c r="F531" s="240"/>
      <c r="G531" s="240"/>
      <c r="H531" s="240"/>
      <c r="I531" s="240"/>
      <c r="J531" s="240"/>
      <c r="K531" s="240"/>
      <c r="L531" s="240"/>
      <c r="M531" s="240"/>
      <c r="N531" s="240"/>
      <c r="O531" s="240"/>
      <c r="P531" s="240"/>
      <c r="Q531" s="240"/>
      <c r="R531" s="240"/>
      <c r="S531" s="245"/>
      <c r="T531"/>
      <c r="U531" s="184"/>
      <c r="V531" s="332"/>
      <c r="X531" s="184"/>
      <c r="Y531" s="184"/>
      <c r="Z531"/>
      <c r="AA531" s="184"/>
      <c r="AB531" s="184"/>
      <c r="AC531" s="184"/>
      <c r="AD531" s="184"/>
      <c r="AE531" s="184"/>
      <c r="AF531" s="184"/>
      <c r="AG531" s="184"/>
      <c r="AH531" s="184"/>
      <c r="AI531" s="184"/>
      <c r="AJ531" s="184"/>
      <c r="AK531" s="184"/>
      <c r="AL531" s="184"/>
      <c r="AM531" s="184"/>
      <c r="AN531" s="184"/>
      <c r="AO531" s="184"/>
      <c r="AP531" s="184"/>
      <c r="AQ531" s="184"/>
      <c r="AR531" s="184"/>
      <c r="AS531" s="184"/>
      <c r="AT531" s="184"/>
      <c r="AU531" s="184"/>
      <c r="AV531" s="184"/>
      <c r="AW531" s="184"/>
      <c r="AX531" s="184"/>
      <c r="AY531" s="184"/>
      <c r="AZ531" s="184"/>
      <c r="BA531" s="184"/>
      <c r="BB531" s="184"/>
      <c r="BC531" s="184"/>
      <c r="BD531" s="184"/>
      <c r="BE531" s="184"/>
      <c r="BF531" s="184"/>
      <c r="BG531" s="184"/>
      <c r="BH531" s="184"/>
      <c r="BI531" s="184"/>
      <c r="BJ531" s="184"/>
      <c r="BK531" s="184"/>
      <c r="BL531" s="184"/>
      <c r="BM531" s="184"/>
      <c r="BN531" s="184"/>
      <c r="BO531" s="184"/>
      <c r="BP531" s="184"/>
      <c r="BQ531" s="184"/>
      <c r="BR531" s="184"/>
      <c r="BS531" s="184"/>
      <c r="BT531" s="184"/>
      <c r="BU531" s="184"/>
      <c r="BV531" s="184"/>
      <c r="BW531" s="184"/>
      <c r="BX531" s="184"/>
      <c r="BY531" s="184"/>
      <c r="BZ531" s="184"/>
      <c r="CA531" s="184"/>
      <c r="CB531" s="184"/>
      <c r="CC531" s="184"/>
      <c r="CD531" s="184"/>
      <c r="CE531" s="184"/>
      <c r="CF531" s="184"/>
      <c r="CG531" s="184"/>
      <c r="CH531" s="184"/>
      <c r="CI531" s="184"/>
      <c r="CJ531" s="184"/>
      <c r="CK531" s="184"/>
      <c r="CL531" s="184"/>
      <c r="CM531" s="184"/>
      <c r="CN531" s="184"/>
      <c r="CO531" s="184"/>
      <c r="CP531" s="184"/>
      <c r="CQ531" s="184"/>
      <c r="CR531" s="184"/>
      <c r="CS531" s="184"/>
      <c r="CT531" s="184"/>
      <c r="CU531" s="184"/>
      <c r="CV531" s="184"/>
      <c r="CW531" s="184"/>
      <c r="CX531" s="184"/>
      <c r="CY531" s="184"/>
      <c r="CZ531" s="184"/>
      <c r="DA531" s="184"/>
      <c r="DB531" s="184"/>
      <c r="DC531" s="184"/>
      <c r="DD531" s="184"/>
      <c r="DE531" s="184"/>
      <c r="DF531" s="184"/>
      <c r="DG531" s="184"/>
      <c r="DH531" s="184"/>
      <c r="DI531" s="184"/>
      <c r="DJ531" s="184"/>
      <c r="DK531" s="184"/>
      <c r="DL531" s="184"/>
      <c r="DM531" s="184"/>
      <c r="DN531" s="184"/>
      <c r="DO531" s="184"/>
      <c r="DP531" s="184"/>
      <c r="DQ531" s="184"/>
      <c r="DR531" s="184"/>
      <c r="DS531" s="184"/>
      <c r="DT531" s="184"/>
      <c r="DU531" s="184"/>
      <c r="DV531" s="184"/>
      <c r="DW531" s="184"/>
      <c r="DX531" s="184"/>
      <c r="DY531" s="184"/>
      <c r="DZ531" s="184"/>
      <c r="EA531" s="184"/>
      <c r="EB531" s="184"/>
      <c r="EC531" s="184"/>
      <c r="ED531" s="184"/>
      <c r="EE531" s="184"/>
      <c r="EF531" s="184"/>
      <c r="EG531" s="184"/>
      <c r="EH531" s="184"/>
      <c r="EI531" s="184"/>
      <c r="EJ531" s="184"/>
      <c r="EK531" s="184"/>
      <c r="EL531" s="184"/>
      <c r="EM531" s="184"/>
      <c r="EN531" s="184"/>
      <c r="EO531" s="184"/>
      <c r="EP531" s="184"/>
      <c r="EQ531" s="184"/>
      <c r="ER531" s="184"/>
      <c r="ES531" s="184"/>
      <c r="ET531" s="184"/>
      <c r="EU531" s="184"/>
      <c r="EV531" s="184"/>
      <c r="EW531" s="184"/>
      <c r="EX531" s="184"/>
      <c r="EY531" s="184"/>
      <c r="EZ531" s="184"/>
      <c r="FA531" s="184"/>
      <c r="FB531" s="184"/>
      <c r="FC531" s="184"/>
      <c r="FD531" s="184"/>
      <c r="FE531" s="184"/>
      <c r="FF531" s="184"/>
      <c r="FG531" s="184"/>
      <c r="FH531" s="184"/>
      <c r="FI531" s="184"/>
      <c r="FJ531" s="184"/>
      <c r="FK531" s="184"/>
      <c r="FL531" s="184"/>
      <c r="FM531" s="184"/>
      <c r="FN531" s="184"/>
      <c r="FO531" s="184"/>
      <c r="FP531" s="184"/>
      <c r="FQ531" s="184"/>
      <c r="FR531" s="184"/>
      <c r="FS531" s="184"/>
      <c r="FT531" s="184"/>
      <c r="FU531" s="184"/>
      <c r="FV531" s="184"/>
      <c r="FW531" s="184"/>
      <c r="FX531" s="184"/>
      <c r="FY531" s="184"/>
      <c r="FZ531" s="184"/>
      <c r="GA531" s="184"/>
      <c r="GB531" s="184"/>
      <c r="GC531" s="184"/>
      <c r="GD531" s="184"/>
      <c r="GE531" s="184"/>
      <c r="GF531" s="184"/>
      <c r="GG531" s="184"/>
      <c r="GH531" s="184"/>
      <c r="GI531" s="184"/>
      <c r="GJ531" s="184"/>
      <c r="GK531" s="184"/>
      <c r="GL531" s="184"/>
      <c r="GM531" s="184"/>
      <c r="GN531" s="184"/>
      <c r="GO531" s="184"/>
      <c r="GP531" s="184"/>
      <c r="GQ531" s="184"/>
      <c r="GR531" s="184"/>
      <c r="GS531" s="184"/>
      <c r="GT531" s="184"/>
      <c r="GU531" s="184"/>
      <c r="GV531" s="184"/>
      <c r="GW531" s="184"/>
      <c r="GX531" s="184"/>
      <c r="GY531" s="184"/>
      <c r="GZ531" s="184"/>
      <c r="HA531" s="184"/>
      <c r="HB531" s="184"/>
      <c r="HC531" s="184"/>
      <c r="HD531" s="184"/>
      <c r="HE531" s="184"/>
      <c r="HF531" s="184"/>
      <c r="HG531" s="184"/>
      <c r="HH531" s="184"/>
      <c r="HI531" s="184"/>
      <c r="HJ531" s="184"/>
      <c r="HK531" s="184"/>
      <c r="HL531" s="184"/>
      <c r="HM531" s="184"/>
      <c r="HN531" s="184"/>
      <c r="HO531" s="184"/>
      <c r="HP531" s="184"/>
      <c r="HQ531" s="184"/>
      <c r="HR531" s="184"/>
      <c r="HS531" s="184"/>
      <c r="HT531" s="184"/>
      <c r="HU531" s="184"/>
      <c r="HV531" s="184"/>
      <c r="HW531" s="184"/>
      <c r="HX531" s="184"/>
      <c r="HY531" s="184"/>
      <c r="HZ531" s="184"/>
      <c r="IA531" s="184"/>
      <c r="IB531" s="184"/>
      <c r="IC531" s="184"/>
      <c r="ID531" s="184"/>
      <c r="IE531" s="184"/>
      <c r="IF531" s="184"/>
      <c r="IG531" s="184"/>
      <c r="IH531" s="184"/>
      <c r="II531" s="184"/>
      <c r="IJ531" s="184"/>
      <c r="IK531" s="184"/>
      <c r="IL531" s="184"/>
      <c r="IM531" s="184"/>
      <c r="IN531" s="184"/>
      <c r="IO531" s="184"/>
      <c r="IP531" s="184"/>
      <c r="IQ531" s="184"/>
      <c r="IR531" s="184"/>
      <c r="IS531" s="184"/>
      <c r="IT531" s="184"/>
      <c r="IU531" s="184"/>
      <c r="IV531" s="184"/>
      <c r="IW531" s="184"/>
    </row>
    <row r="532" spans="1:257" x14ac:dyDescent="0.2">
      <c r="A532" s="159">
        <v>615195</v>
      </c>
      <c r="B532" s="160" t="s">
        <v>119</v>
      </c>
      <c r="C532" s="148" t="s">
        <v>62</v>
      </c>
      <c r="D532" s="148" t="s">
        <v>188</v>
      </c>
      <c r="E532" s="240">
        <v>0</v>
      </c>
      <c r="F532" s="240">
        <v>0</v>
      </c>
      <c r="G532" s="240">
        <v>0</v>
      </c>
      <c r="H532" s="240">
        <v>0</v>
      </c>
      <c r="I532" s="240">
        <v>0</v>
      </c>
      <c r="J532" s="240">
        <v>0</v>
      </c>
      <c r="K532" s="240">
        <v>0</v>
      </c>
      <c r="L532" s="240">
        <v>0</v>
      </c>
      <c r="M532" s="240">
        <v>0</v>
      </c>
      <c r="N532" s="240">
        <v>0</v>
      </c>
      <c r="O532" s="240">
        <v>0</v>
      </c>
      <c r="P532" s="240">
        <v>0</v>
      </c>
      <c r="Q532" s="240">
        <v>0</v>
      </c>
      <c r="R532" s="240">
        <v>0</v>
      </c>
      <c r="S532" s="245">
        <f>SUM(E532:Q532)</f>
        <v>0</v>
      </c>
      <c r="Z532"/>
    </row>
    <row r="533" spans="1:257" x14ac:dyDescent="0.2">
      <c r="A533" s="159">
        <v>615195</v>
      </c>
      <c r="B533" s="160" t="s">
        <v>119</v>
      </c>
      <c r="C533" s="148" t="s">
        <v>62</v>
      </c>
      <c r="D533" s="148" t="s">
        <v>192</v>
      </c>
      <c r="E533" s="240">
        <v>0</v>
      </c>
      <c r="F533" s="240">
        <v>0</v>
      </c>
      <c r="G533" s="240">
        <v>0</v>
      </c>
      <c r="H533" s="240">
        <v>0</v>
      </c>
      <c r="I533" s="240">
        <v>0</v>
      </c>
      <c r="J533" s="240">
        <v>0</v>
      </c>
      <c r="K533" s="240">
        <v>0</v>
      </c>
      <c r="L533" s="240">
        <v>0</v>
      </c>
      <c r="M533" s="240">
        <v>0</v>
      </c>
      <c r="N533" s="240">
        <v>0</v>
      </c>
      <c r="O533" s="240">
        <v>0</v>
      </c>
      <c r="P533" s="240">
        <v>0</v>
      </c>
      <c r="Q533" s="240">
        <v>0</v>
      </c>
      <c r="R533" s="240">
        <v>0</v>
      </c>
      <c r="S533" s="245">
        <f>SUM(E533:Q533)</f>
        <v>0</v>
      </c>
      <c r="Z533"/>
    </row>
    <row r="534" spans="1:257" s="175" customFormat="1" x14ac:dyDescent="0.2">
      <c r="A534" s="270"/>
      <c r="B534" s="235"/>
      <c r="C534" s="148"/>
      <c r="D534" s="148"/>
      <c r="E534" s="240"/>
      <c r="F534" s="240"/>
      <c r="G534" s="240"/>
      <c r="H534" s="240"/>
      <c r="I534" s="240"/>
      <c r="J534" s="240"/>
      <c r="K534" s="240"/>
      <c r="L534" s="240"/>
      <c r="M534" s="240"/>
      <c r="N534" s="240"/>
      <c r="O534" s="240"/>
      <c r="P534" s="240"/>
      <c r="Q534" s="240"/>
      <c r="R534" s="240"/>
      <c r="S534" s="245"/>
      <c r="T534"/>
      <c r="U534" s="184"/>
      <c r="V534" s="332"/>
      <c r="X534" s="184"/>
      <c r="Y534" s="184"/>
      <c r="Z534"/>
      <c r="AA534" s="184"/>
      <c r="AB534" s="184"/>
      <c r="AC534" s="184"/>
      <c r="AD534" s="184"/>
      <c r="AE534" s="184"/>
      <c r="AF534" s="184"/>
      <c r="AG534" s="184"/>
      <c r="AH534" s="184"/>
      <c r="AI534" s="184"/>
      <c r="AJ534" s="184"/>
      <c r="AK534" s="184"/>
      <c r="AL534" s="184"/>
      <c r="AM534" s="184"/>
      <c r="AN534" s="184"/>
      <c r="AO534" s="184"/>
      <c r="AP534" s="184"/>
      <c r="AQ534" s="184"/>
      <c r="AR534" s="184"/>
      <c r="AS534" s="184"/>
      <c r="AT534" s="184"/>
      <c r="AU534" s="184"/>
      <c r="AV534" s="184"/>
      <c r="AW534" s="184"/>
      <c r="AX534" s="184"/>
      <c r="AY534" s="184"/>
      <c r="AZ534" s="184"/>
      <c r="BA534" s="184"/>
      <c r="BB534" s="184"/>
      <c r="BC534" s="184"/>
      <c r="BD534" s="184"/>
      <c r="BE534" s="184"/>
      <c r="BF534" s="184"/>
      <c r="BG534" s="184"/>
      <c r="BH534" s="184"/>
      <c r="BI534" s="184"/>
      <c r="BJ534" s="184"/>
      <c r="BK534" s="184"/>
      <c r="BL534" s="184"/>
      <c r="BM534" s="184"/>
      <c r="BN534" s="184"/>
      <c r="BO534" s="184"/>
      <c r="BP534" s="184"/>
      <c r="BQ534" s="184"/>
      <c r="BR534" s="184"/>
      <c r="BS534" s="184"/>
      <c r="BT534" s="184"/>
      <c r="BU534" s="184"/>
      <c r="BV534" s="184"/>
      <c r="BW534" s="184"/>
      <c r="BX534" s="184"/>
      <c r="BY534" s="184"/>
      <c r="BZ534" s="184"/>
      <c r="CA534" s="184"/>
      <c r="CB534" s="184"/>
      <c r="CC534" s="184"/>
      <c r="CD534" s="184"/>
      <c r="CE534" s="184"/>
      <c r="CF534" s="184"/>
      <c r="CG534" s="184"/>
      <c r="CH534" s="184"/>
      <c r="CI534" s="184"/>
      <c r="CJ534" s="184"/>
      <c r="CK534" s="184"/>
      <c r="CL534" s="184"/>
      <c r="CM534" s="184"/>
      <c r="CN534" s="184"/>
      <c r="CO534" s="184"/>
      <c r="CP534" s="184"/>
      <c r="CQ534" s="184"/>
      <c r="CR534" s="184"/>
      <c r="CS534" s="184"/>
      <c r="CT534" s="184"/>
      <c r="CU534" s="184"/>
      <c r="CV534" s="184"/>
      <c r="CW534" s="184"/>
      <c r="CX534" s="184"/>
      <c r="CY534" s="184"/>
      <c r="CZ534" s="184"/>
      <c r="DA534" s="184"/>
      <c r="DB534" s="184"/>
      <c r="DC534" s="184"/>
      <c r="DD534" s="184"/>
      <c r="DE534" s="184"/>
      <c r="DF534" s="184"/>
      <c r="DG534" s="184"/>
      <c r="DH534" s="184"/>
      <c r="DI534" s="184"/>
      <c r="DJ534" s="184"/>
      <c r="DK534" s="184"/>
      <c r="DL534" s="184"/>
      <c r="DM534" s="184"/>
      <c r="DN534" s="184"/>
      <c r="DO534" s="184"/>
      <c r="DP534" s="184"/>
      <c r="DQ534" s="184"/>
      <c r="DR534" s="184"/>
      <c r="DS534" s="184"/>
      <c r="DT534" s="184"/>
      <c r="DU534" s="184"/>
      <c r="DV534" s="184"/>
      <c r="DW534" s="184"/>
      <c r="DX534" s="184"/>
      <c r="DY534" s="184"/>
      <c r="DZ534" s="184"/>
      <c r="EA534" s="184"/>
      <c r="EB534" s="184"/>
      <c r="EC534" s="184"/>
      <c r="ED534" s="184"/>
      <c r="EE534" s="184"/>
      <c r="EF534" s="184"/>
      <c r="EG534" s="184"/>
      <c r="EH534" s="184"/>
      <c r="EI534" s="184"/>
      <c r="EJ534" s="184"/>
      <c r="EK534" s="184"/>
      <c r="EL534" s="184"/>
      <c r="EM534" s="184"/>
      <c r="EN534" s="184"/>
      <c r="EO534" s="184"/>
      <c r="EP534" s="184"/>
      <c r="EQ534" s="184"/>
      <c r="ER534" s="184"/>
      <c r="ES534" s="184"/>
      <c r="ET534" s="184"/>
      <c r="EU534" s="184"/>
      <c r="EV534" s="184"/>
      <c r="EW534" s="184"/>
      <c r="EX534" s="184"/>
      <c r="EY534" s="184"/>
      <c r="EZ534" s="184"/>
      <c r="FA534" s="184"/>
      <c r="FB534" s="184"/>
      <c r="FC534" s="184"/>
      <c r="FD534" s="184"/>
      <c r="FE534" s="184"/>
      <c r="FF534" s="184"/>
      <c r="FG534" s="184"/>
      <c r="FH534" s="184"/>
      <c r="FI534" s="184"/>
      <c r="FJ534" s="184"/>
      <c r="FK534" s="184"/>
      <c r="FL534" s="184"/>
      <c r="FM534" s="184"/>
      <c r="FN534" s="184"/>
      <c r="FO534" s="184"/>
      <c r="FP534" s="184"/>
      <c r="FQ534" s="184"/>
      <c r="FR534" s="184"/>
      <c r="FS534" s="184"/>
      <c r="FT534" s="184"/>
      <c r="FU534" s="184"/>
      <c r="FV534" s="184"/>
      <c r="FW534" s="184"/>
      <c r="FX534" s="184"/>
      <c r="FY534" s="184"/>
      <c r="FZ534" s="184"/>
      <c r="GA534" s="184"/>
      <c r="GB534" s="184"/>
      <c r="GC534" s="184"/>
      <c r="GD534" s="184"/>
      <c r="GE534" s="184"/>
      <c r="GF534" s="184"/>
      <c r="GG534" s="184"/>
      <c r="GH534" s="184"/>
      <c r="GI534" s="184"/>
      <c r="GJ534" s="184"/>
      <c r="GK534" s="184"/>
      <c r="GL534" s="184"/>
      <c r="GM534" s="184"/>
      <c r="GN534" s="184"/>
      <c r="GO534" s="184"/>
      <c r="GP534" s="184"/>
      <c r="GQ534" s="184"/>
      <c r="GR534" s="184"/>
      <c r="GS534" s="184"/>
      <c r="GT534" s="184"/>
      <c r="GU534" s="184"/>
      <c r="GV534" s="184"/>
      <c r="GW534" s="184"/>
      <c r="GX534" s="184"/>
      <c r="GY534" s="184"/>
      <c r="GZ534" s="184"/>
      <c r="HA534" s="184"/>
      <c r="HB534" s="184"/>
      <c r="HC534" s="184"/>
      <c r="HD534" s="184"/>
      <c r="HE534" s="184"/>
      <c r="HF534" s="184"/>
      <c r="HG534" s="184"/>
      <c r="HH534" s="184"/>
      <c r="HI534" s="184"/>
      <c r="HJ534" s="184"/>
      <c r="HK534" s="184"/>
      <c r="HL534" s="184"/>
      <c r="HM534" s="184"/>
      <c r="HN534" s="184"/>
      <c r="HO534" s="184"/>
      <c r="HP534" s="184"/>
      <c r="HQ534" s="184"/>
      <c r="HR534" s="184"/>
      <c r="HS534" s="184"/>
      <c r="HT534" s="184"/>
      <c r="HU534" s="184"/>
      <c r="HV534" s="184"/>
      <c r="HW534" s="184"/>
      <c r="HX534" s="184"/>
      <c r="HY534" s="184"/>
      <c r="HZ534" s="184"/>
      <c r="IA534" s="184"/>
      <c r="IB534" s="184"/>
      <c r="IC534" s="184"/>
      <c r="ID534" s="184"/>
      <c r="IE534" s="184"/>
      <c r="IF534" s="184"/>
      <c r="IG534" s="184"/>
      <c r="IH534" s="184"/>
      <c r="II534" s="184"/>
      <c r="IJ534" s="184"/>
      <c r="IK534" s="184"/>
      <c r="IL534" s="184"/>
      <c r="IM534" s="184"/>
      <c r="IN534" s="184"/>
      <c r="IO534" s="184"/>
      <c r="IP534" s="184"/>
      <c r="IQ534" s="184"/>
      <c r="IR534" s="184"/>
      <c r="IS534" s="184"/>
      <c r="IT534" s="184"/>
      <c r="IU534" s="184"/>
      <c r="IV534" s="184"/>
      <c r="IW534" s="184"/>
    </row>
    <row r="535" spans="1:257" x14ac:dyDescent="0.2">
      <c r="A535" s="159">
        <v>615195</v>
      </c>
      <c r="B535" s="160" t="s">
        <v>119</v>
      </c>
      <c r="C535" s="148" t="s">
        <v>80</v>
      </c>
      <c r="D535" s="148" t="s">
        <v>188</v>
      </c>
      <c r="E535" s="240">
        <v>0</v>
      </c>
      <c r="F535" s="240">
        <v>0</v>
      </c>
      <c r="G535" s="240">
        <v>0</v>
      </c>
      <c r="H535" s="240">
        <v>0</v>
      </c>
      <c r="I535" s="240">
        <v>0</v>
      </c>
      <c r="J535" s="240">
        <v>0</v>
      </c>
      <c r="K535" s="240">
        <v>0</v>
      </c>
      <c r="L535" s="240">
        <v>0</v>
      </c>
      <c r="M535" s="240">
        <v>0</v>
      </c>
      <c r="N535" s="240">
        <v>0</v>
      </c>
      <c r="O535" s="240">
        <v>0</v>
      </c>
      <c r="P535" s="240">
        <v>0</v>
      </c>
      <c r="Q535" s="240">
        <v>0</v>
      </c>
      <c r="R535" s="240">
        <v>0</v>
      </c>
      <c r="S535" s="245">
        <f t="shared" ref="S535:S541" si="44">SUM(E535:Q535)</f>
        <v>0</v>
      </c>
      <c r="Z535"/>
    </row>
    <row r="536" spans="1:257" x14ac:dyDescent="0.2">
      <c r="A536" s="159">
        <v>615195</v>
      </c>
      <c r="B536" s="160" t="s">
        <v>119</v>
      </c>
      <c r="C536" s="148" t="s">
        <v>80</v>
      </c>
      <c r="D536" s="148" t="s">
        <v>203</v>
      </c>
      <c r="E536" s="240">
        <v>0</v>
      </c>
      <c r="F536" s="240">
        <v>0</v>
      </c>
      <c r="G536" s="240">
        <v>0</v>
      </c>
      <c r="H536" s="240">
        <v>0</v>
      </c>
      <c r="I536" s="240">
        <v>0</v>
      </c>
      <c r="J536" s="240">
        <v>0</v>
      </c>
      <c r="K536" s="240">
        <v>0</v>
      </c>
      <c r="L536" s="240">
        <v>0</v>
      </c>
      <c r="M536" s="240">
        <v>0</v>
      </c>
      <c r="N536" s="240">
        <v>0</v>
      </c>
      <c r="O536" s="240">
        <v>0</v>
      </c>
      <c r="P536" s="240">
        <v>0</v>
      </c>
      <c r="Q536" s="240">
        <v>0</v>
      </c>
      <c r="R536" s="240">
        <v>0</v>
      </c>
      <c r="S536" s="245">
        <f t="shared" si="44"/>
        <v>0</v>
      </c>
      <c r="Z536"/>
    </row>
    <row r="537" spans="1:257" x14ac:dyDescent="0.2">
      <c r="A537" s="159">
        <v>615195</v>
      </c>
      <c r="B537" s="160" t="s">
        <v>119</v>
      </c>
      <c r="C537" s="148" t="s">
        <v>80</v>
      </c>
      <c r="D537" s="148" t="s">
        <v>185</v>
      </c>
      <c r="E537" s="240">
        <v>0</v>
      </c>
      <c r="F537" s="240">
        <v>525</v>
      </c>
      <c r="G537" s="240">
        <v>376</v>
      </c>
      <c r="H537" s="240">
        <v>0</v>
      </c>
      <c r="I537" s="240">
        <v>0</v>
      </c>
      <c r="J537" s="240">
        <v>0</v>
      </c>
      <c r="K537" s="240">
        <v>0</v>
      </c>
      <c r="L537" s="240">
        <v>0</v>
      </c>
      <c r="M537" s="240">
        <v>921</v>
      </c>
      <c r="N537" s="240">
        <v>388</v>
      </c>
      <c r="O537" s="240">
        <v>449.89</v>
      </c>
      <c r="P537" s="240">
        <v>290.2</v>
      </c>
      <c r="Q537" s="240">
        <v>0</v>
      </c>
      <c r="R537" s="240">
        <v>0</v>
      </c>
      <c r="S537" s="245">
        <f t="shared" si="44"/>
        <v>2950.0899999999997</v>
      </c>
      <c r="U537" s="273"/>
      <c r="Z537"/>
    </row>
    <row r="538" spans="1:257" x14ac:dyDescent="0.2">
      <c r="A538" s="159">
        <v>615195</v>
      </c>
      <c r="B538" s="160" t="s">
        <v>119</v>
      </c>
      <c r="C538" s="148" t="s">
        <v>80</v>
      </c>
      <c r="D538" s="148" t="s">
        <v>192</v>
      </c>
      <c r="E538" s="240">
        <v>0</v>
      </c>
      <c r="F538" s="240">
        <v>914.49</v>
      </c>
      <c r="G538" s="240">
        <v>0</v>
      </c>
      <c r="H538" s="240">
        <v>0</v>
      </c>
      <c r="I538" s="240">
        <v>0</v>
      </c>
      <c r="J538" s="240">
        <v>681</v>
      </c>
      <c r="K538" s="240">
        <v>272.94</v>
      </c>
      <c r="L538" s="240">
        <v>3128</v>
      </c>
      <c r="M538" s="240">
        <v>0</v>
      </c>
      <c r="N538" s="240">
        <v>2465.9</v>
      </c>
      <c r="O538" s="240">
        <v>1780.15</v>
      </c>
      <c r="P538" s="240">
        <v>2294</v>
      </c>
      <c r="Q538" s="240">
        <v>6289</v>
      </c>
      <c r="R538" s="240">
        <v>0</v>
      </c>
      <c r="S538" s="245">
        <f>SUM(E538:Q538)</f>
        <v>17825.48</v>
      </c>
      <c r="Z538"/>
    </row>
    <row r="539" spans="1:257" x14ac:dyDescent="0.2">
      <c r="A539" s="159">
        <v>615195</v>
      </c>
      <c r="B539" s="160" t="s">
        <v>119</v>
      </c>
      <c r="C539" s="148" t="s">
        <v>80</v>
      </c>
      <c r="D539" s="148" t="s">
        <v>696</v>
      </c>
      <c r="E539" s="240">
        <v>0</v>
      </c>
      <c r="F539" s="240">
        <v>0</v>
      </c>
      <c r="G539" s="240">
        <v>0</v>
      </c>
      <c r="H539" s="240">
        <v>0</v>
      </c>
      <c r="I539" s="240">
        <v>0</v>
      </c>
      <c r="J539" s="240">
        <v>0</v>
      </c>
      <c r="K539" s="240">
        <v>0</v>
      </c>
      <c r="L539" s="240">
        <v>0</v>
      </c>
      <c r="M539" s="240">
        <v>0</v>
      </c>
      <c r="N539" s="240">
        <v>0</v>
      </c>
      <c r="O539" s="240">
        <v>0</v>
      </c>
      <c r="P539" s="240">
        <v>0</v>
      </c>
      <c r="Q539" s="240">
        <v>0</v>
      </c>
      <c r="R539" s="240">
        <v>0</v>
      </c>
      <c r="S539" s="245">
        <f t="shared" si="44"/>
        <v>0</v>
      </c>
      <c r="Z539"/>
    </row>
    <row r="540" spans="1:257" x14ac:dyDescent="0.2">
      <c r="A540" s="159">
        <v>615195</v>
      </c>
      <c r="B540" s="160" t="s">
        <v>119</v>
      </c>
      <c r="C540" s="148" t="s">
        <v>80</v>
      </c>
      <c r="D540" s="148" t="s">
        <v>187</v>
      </c>
      <c r="E540" s="240">
        <v>0</v>
      </c>
      <c r="F540" s="240">
        <v>0</v>
      </c>
      <c r="G540" s="240">
        <v>0</v>
      </c>
      <c r="H540" s="240">
        <v>0</v>
      </c>
      <c r="I540" s="240">
        <v>0</v>
      </c>
      <c r="J540" s="240">
        <v>0</v>
      </c>
      <c r="K540" s="240">
        <v>0</v>
      </c>
      <c r="L540" s="240">
        <v>0</v>
      </c>
      <c r="M540" s="240">
        <v>0</v>
      </c>
      <c r="N540" s="240">
        <v>0</v>
      </c>
      <c r="O540" s="240">
        <v>0</v>
      </c>
      <c r="P540" s="240">
        <v>0</v>
      </c>
      <c r="Q540" s="240">
        <v>0</v>
      </c>
      <c r="R540" s="240">
        <v>0</v>
      </c>
      <c r="S540" s="245">
        <f t="shared" si="44"/>
        <v>0</v>
      </c>
      <c r="Z540"/>
    </row>
    <row r="541" spans="1:257" x14ac:dyDescent="0.2">
      <c r="A541" s="159">
        <v>615195</v>
      </c>
      <c r="B541" s="160" t="s">
        <v>119</v>
      </c>
      <c r="C541" s="148" t="s">
        <v>80</v>
      </c>
      <c r="D541" s="148" t="s">
        <v>184</v>
      </c>
      <c r="E541" s="240">
        <v>0</v>
      </c>
      <c r="F541" s="240">
        <v>0</v>
      </c>
      <c r="G541" s="240">
        <v>0</v>
      </c>
      <c r="H541" s="240">
        <v>0</v>
      </c>
      <c r="I541" s="240">
        <v>0</v>
      </c>
      <c r="J541" s="240">
        <v>0</v>
      </c>
      <c r="K541" s="240">
        <v>0</v>
      </c>
      <c r="L541" s="240">
        <v>0</v>
      </c>
      <c r="M541" s="240">
        <v>0</v>
      </c>
      <c r="N541" s="240">
        <v>0</v>
      </c>
      <c r="O541" s="240">
        <v>0</v>
      </c>
      <c r="P541" s="240">
        <v>0</v>
      </c>
      <c r="Q541" s="240">
        <v>0</v>
      </c>
      <c r="R541" s="240">
        <v>0</v>
      </c>
      <c r="S541" s="245">
        <f t="shared" si="44"/>
        <v>0</v>
      </c>
      <c r="Z541"/>
    </row>
    <row r="542" spans="1:257" s="175" customFormat="1" x14ac:dyDescent="0.2">
      <c r="A542" s="270"/>
      <c r="B542" s="235"/>
      <c r="C542" s="148"/>
      <c r="D542" s="148"/>
      <c r="E542" s="240"/>
      <c r="F542" s="240"/>
      <c r="G542" s="240"/>
      <c r="H542" s="240"/>
      <c r="I542" s="240"/>
      <c r="J542" s="240"/>
      <c r="K542" s="240"/>
      <c r="L542" s="240"/>
      <c r="M542" s="240"/>
      <c r="N542" s="240"/>
      <c r="O542" s="240"/>
      <c r="P542" s="240"/>
      <c r="Q542" s="240"/>
      <c r="R542" s="240"/>
      <c r="S542" s="245"/>
      <c r="T542"/>
      <c r="U542" s="184"/>
      <c r="V542" s="332"/>
      <c r="X542" s="184"/>
      <c r="Y542" s="184"/>
      <c r="Z542"/>
      <c r="AA542" s="184"/>
      <c r="AB542" s="184"/>
      <c r="AC542" s="184"/>
      <c r="AD542" s="184"/>
      <c r="AE542" s="184"/>
      <c r="AF542" s="184"/>
      <c r="AG542" s="184"/>
      <c r="AH542" s="184"/>
      <c r="AI542" s="184"/>
      <c r="AJ542" s="184"/>
      <c r="AK542" s="184"/>
      <c r="AL542" s="184"/>
      <c r="AM542" s="184"/>
      <c r="AN542" s="184"/>
      <c r="AO542" s="184"/>
      <c r="AP542" s="184"/>
      <c r="AQ542" s="184"/>
      <c r="AR542" s="184"/>
      <c r="AS542" s="184"/>
      <c r="AT542" s="184"/>
      <c r="AU542" s="184"/>
      <c r="AV542" s="184"/>
      <c r="AW542" s="184"/>
      <c r="AX542" s="184"/>
      <c r="AY542" s="184"/>
      <c r="AZ542" s="184"/>
      <c r="BA542" s="184"/>
      <c r="BB542" s="184"/>
      <c r="BC542" s="184"/>
      <c r="BD542" s="184"/>
      <c r="BE542" s="184"/>
      <c r="BF542" s="184"/>
      <c r="BG542" s="184"/>
      <c r="BH542" s="184"/>
      <c r="BI542" s="184"/>
      <c r="BJ542" s="184"/>
      <c r="BK542" s="184"/>
      <c r="BL542" s="184"/>
      <c r="BM542" s="184"/>
      <c r="BN542" s="184"/>
      <c r="BO542" s="184"/>
      <c r="BP542" s="184"/>
      <c r="BQ542" s="184"/>
      <c r="BR542" s="184"/>
      <c r="BS542" s="184"/>
      <c r="BT542" s="184"/>
      <c r="BU542" s="184"/>
      <c r="BV542" s="184"/>
      <c r="BW542" s="184"/>
      <c r="BX542" s="184"/>
      <c r="BY542" s="184"/>
      <c r="BZ542" s="184"/>
      <c r="CA542" s="184"/>
      <c r="CB542" s="184"/>
      <c r="CC542" s="184"/>
      <c r="CD542" s="184"/>
      <c r="CE542" s="184"/>
      <c r="CF542" s="184"/>
      <c r="CG542" s="184"/>
      <c r="CH542" s="184"/>
      <c r="CI542" s="184"/>
      <c r="CJ542" s="184"/>
      <c r="CK542" s="184"/>
      <c r="CL542" s="184"/>
      <c r="CM542" s="184"/>
      <c r="CN542" s="184"/>
      <c r="CO542" s="184"/>
      <c r="CP542" s="184"/>
      <c r="CQ542" s="184"/>
      <c r="CR542" s="184"/>
      <c r="CS542" s="184"/>
      <c r="CT542" s="184"/>
      <c r="CU542" s="184"/>
      <c r="CV542" s="184"/>
      <c r="CW542" s="184"/>
      <c r="CX542" s="184"/>
      <c r="CY542" s="184"/>
      <c r="CZ542" s="184"/>
      <c r="DA542" s="184"/>
      <c r="DB542" s="184"/>
      <c r="DC542" s="184"/>
      <c r="DD542" s="184"/>
      <c r="DE542" s="184"/>
      <c r="DF542" s="184"/>
      <c r="DG542" s="184"/>
      <c r="DH542" s="184"/>
      <c r="DI542" s="184"/>
      <c r="DJ542" s="184"/>
      <c r="DK542" s="184"/>
      <c r="DL542" s="184"/>
      <c r="DM542" s="184"/>
      <c r="DN542" s="184"/>
      <c r="DO542" s="184"/>
      <c r="DP542" s="184"/>
      <c r="DQ542" s="184"/>
      <c r="DR542" s="184"/>
      <c r="DS542" s="184"/>
      <c r="DT542" s="184"/>
      <c r="DU542" s="184"/>
      <c r="DV542" s="184"/>
      <c r="DW542" s="184"/>
      <c r="DX542" s="184"/>
      <c r="DY542" s="184"/>
      <c r="DZ542" s="184"/>
      <c r="EA542" s="184"/>
      <c r="EB542" s="184"/>
      <c r="EC542" s="184"/>
      <c r="ED542" s="184"/>
      <c r="EE542" s="184"/>
      <c r="EF542" s="184"/>
      <c r="EG542" s="184"/>
      <c r="EH542" s="184"/>
      <c r="EI542" s="184"/>
      <c r="EJ542" s="184"/>
      <c r="EK542" s="184"/>
      <c r="EL542" s="184"/>
      <c r="EM542" s="184"/>
      <c r="EN542" s="184"/>
      <c r="EO542" s="184"/>
      <c r="EP542" s="184"/>
      <c r="EQ542" s="184"/>
      <c r="ER542" s="184"/>
      <c r="ES542" s="184"/>
      <c r="ET542" s="184"/>
      <c r="EU542" s="184"/>
      <c r="EV542" s="184"/>
      <c r="EW542" s="184"/>
      <c r="EX542" s="184"/>
      <c r="EY542" s="184"/>
      <c r="EZ542" s="184"/>
      <c r="FA542" s="184"/>
      <c r="FB542" s="184"/>
      <c r="FC542" s="184"/>
      <c r="FD542" s="184"/>
      <c r="FE542" s="184"/>
      <c r="FF542" s="184"/>
      <c r="FG542" s="184"/>
      <c r="FH542" s="184"/>
      <c r="FI542" s="184"/>
      <c r="FJ542" s="184"/>
      <c r="FK542" s="184"/>
      <c r="FL542" s="184"/>
      <c r="FM542" s="184"/>
      <c r="FN542" s="184"/>
      <c r="FO542" s="184"/>
      <c r="FP542" s="184"/>
      <c r="FQ542" s="184"/>
      <c r="FR542" s="184"/>
      <c r="FS542" s="184"/>
      <c r="FT542" s="184"/>
      <c r="FU542" s="184"/>
      <c r="FV542" s="184"/>
      <c r="FW542" s="184"/>
      <c r="FX542" s="184"/>
      <c r="FY542" s="184"/>
      <c r="FZ542" s="184"/>
      <c r="GA542" s="184"/>
      <c r="GB542" s="184"/>
      <c r="GC542" s="184"/>
      <c r="GD542" s="184"/>
      <c r="GE542" s="184"/>
      <c r="GF542" s="184"/>
      <c r="GG542" s="184"/>
      <c r="GH542" s="184"/>
      <c r="GI542" s="184"/>
      <c r="GJ542" s="184"/>
      <c r="GK542" s="184"/>
      <c r="GL542" s="184"/>
      <c r="GM542" s="184"/>
      <c r="GN542" s="184"/>
      <c r="GO542" s="184"/>
      <c r="GP542" s="184"/>
      <c r="GQ542" s="184"/>
      <c r="GR542" s="184"/>
      <c r="GS542" s="184"/>
      <c r="GT542" s="184"/>
      <c r="GU542" s="184"/>
      <c r="GV542" s="184"/>
      <c r="GW542" s="184"/>
      <c r="GX542" s="184"/>
      <c r="GY542" s="184"/>
      <c r="GZ542" s="184"/>
      <c r="HA542" s="184"/>
      <c r="HB542" s="184"/>
      <c r="HC542" s="184"/>
      <c r="HD542" s="184"/>
      <c r="HE542" s="184"/>
      <c r="HF542" s="184"/>
      <c r="HG542" s="184"/>
      <c r="HH542" s="184"/>
      <c r="HI542" s="184"/>
      <c r="HJ542" s="184"/>
      <c r="HK542" s="184"/>
      <c r="HL542" s="184"/>
      <c r="HM542" s="184"/>
      <c r="HN542" s="184"/>
      <c r="HO542" s="184"/>
      <c r="HP542" s="184"/>
      <c r="HQ542" s="184"/>
      <c r="HR542" s="184"/>
      <c r="HS542" s="184"/>
      <c r="HT542" s="184"/>
      <c r="HU542" s="184"/>
      <c r="HV542" s="184"/>
      <c r="HW542" s="184"/>
      <c r="HX542" s="184"/>
      <c r="HY542" s="184"/>
      <c r="HZ542" s="184"/>
      <c r="IA542" s="184"/>
      <c r="IB542" s="184"/>
      <c r="IC542" s="184"/>
      <c r="ID542" s="184"/>
      <c r="IE542" s="184"/>
      <c r="IF542" s="184"/>
      <c r="IG542" s="184"/>
      <c r="IH542" s="184"/>
      <c r="II542" s="184"/>
      <c r="IJ542" s="184"/>
      <c r="IK542" s="184"/>
      <c r="IL542" s="184"/>
      <c r="IM542" s="184"/>
      <c r="IN542" s="184"/>
      <c r="IO542" s="184"/>
      <c r="IP542" s="184"/>
      <c r="IQ542" s="184"/>
      <c r="IR542" s="184"/>
      <c r="IS542" s="184"/>
      <c r="IT542" s="184"/>
      <c r="IU542" s="184"/>
      <c r="IV542" s="184"/>
      <c r="IW542" s="184"/>
    </row>
    <row r="543" spans="1:257" x14ac:dyDescent="0.2">
      <c r="A543" s="159">
        <v>615195</v>
      </c>
      <c r="B543" s="160" t="s">
        <v>119</v>
      </c>
      <c r="C543" s="148" t="s">
        <v>156</v>
      </c>
      <c r="D543" s="148" t="s">
        <v>188</v>
      </c>
      <c r="E543" s="240">
        <v>0</v>
      </c>
      <c r="F543" s="240">
        <v>0</v>
      </c>
      <c r="G543" s="240">
        <v>0</v>
      </c>
      <c r="H543" s="240">
        <v>0</v>
      </c>
      <c r="I543" s="240">
        <v>0</v>
      </c>
      <c r="J543" s="240">
        <v>0</v>
      </c>
      <c r="K543" s="240">
        <v>0</v>
      </c>
      <c r="L543" s="240">
        <v>0</v>
      </c>
      <c r="M543" s="240">
        <v>0</v>
      </c>
      <c r="N543" s="240">
        <v>0</v>
      </c>
      <c r="O543" s="240">
        <v>0</v>
      </c>
      <c r="P543" s="240">
        <v>0</v>
      </c>
      <c r="Q543" s="240">
        <v>0</v>
      </c>
      <c r="R543" s="240">
        <v>0</v>
      </c>
      <c r="S543" s="245">
        <f t="shared" ref="S543:S549" si="45">SUM(E543:Q543)</f>
        <v>0</v>
      </c>
      <c r="Z543"/>
    </row>
    <row r="544" spans="1:257" x14ac:dyDescent="0.2">
      <c r="A544" s="159">
        <v>615195</v>
      </c>
      <c r="B544" s="160" t="s">
        <v>119</v>
      </c>
      <c r="C544" s="148" t="s">
        <v>156</v>
      </c>
      <c r="D544" s="148" t="s">
        <v>203</v>
      </c>
      <c r="E544" s="240">
        <v>0</v>
      </c>
      <c r="F544" s="240">
        <v>0</v>
      </c>
      <c r="G544" s="240">
        <v>0</v>
      </c>
      <c r="H544" s="240">
        <v>0</v>
      </c>
      <c r="I544" s="240">
        <v>0</v>
      </c>
      <c r="J544" s="240">
        <v>0</v>
      </c>
      <c r="K544" s="240">
        <v>0</v>
      </c>
      <c r="L544" s="240">
        <v>0</v>
      </c>
      <c r="M544" s="240">
        <v>0</v>
      </c>
      <c r="N544" s="240">
        <v>0</v>
      </c>
      <c r="O544" s="240">
        <v>0</v>
      </c>
      <c r="P544" s="240">
        <v>0</v>
      </c>
      <c r="Q544" s="240">
        <v>0</v>
      </c>
      <c r="R544" s="240">
        <v>0</v>
      </c>
      <c r="S544" s="245">
        <f t="shared" si="45"/>
        <v>0</v>
      </c>
      <c r="Z544"/>
    </row>
    <row r="545" spans="1:257" x14ac:dyDescent="0.2">
      <c r="A545" s="159">
        <v>615195</v>
      </c>
      <c r="B545" s="160" t="s">
        <v>119</v>
      </c>
      <c r="C545" s="148" t="s">
        <v>156</v>
      </c>
      <c r="D545" s="148" t="s">
        <v>185</v>
      </c>
      <c r="E545" s="240">
        <v>0</v>
      </c>
      <c r="F545" s="240">
        <v>0</v>
      </c>
      <c r="G545" s="240">
        <v>2335</v>
      </c>
      <c r="H545" s="240">
        <v>839</v>
      </c>
      <c r="I545" s="240">
        <v>0</v>
      </c>
      <c r="J545" s="240">
        <v>2956</v>
      </c>
      <c r="K545" s="240">
        <v>961</v>
      </c>
      <c r="L545" s="240">
        <v>2510</v>
      </c>
      <c r="M545" s="240">
        <v>4875</v>
      </c>
      <c r="N545" s="240">
        <v>0</v>
      </c>
      <c r="O545" s="240">
        <v>0</v>
      </c>
      <c r="P545" s="240">
        <v>2490</v>
      </c>
      <c r="Q545" s="240">
        <v>0</v>
      </c>
      <c r="R545" s="240">
        <v>0</v>
      </c>
      <c r="S545" s="245">
        <f t="shared" si="45"/>
        <v>16966</v>
      </c>
      <c r="Z545"/>
    </row>
    <row r="546" spans="1:257" x14ac:dyDescent="0.2">
      <c r="A546" s="159">
        <v>615195</v>
      </c>
      <c r="B546" s="160" t="s">
        <v>119</v>
      </c>
      <c r="C546" s="148" t="s">
        <v>156</v>
      </c>
      <c r="D546" s="148" t="s">
        <v>192</v>
      </c>
      <c r="E546" s="240">
        <v>0</v>
      </c>
      <c r="F546" s="240">
        <v>0</v>
      </c>
      <c r="G546" s="240">
        <v>0</v>
      </c>
      <c r="H546" s="240">
        <v>991.63</v>
      </c>
      <c r="I546" s="240">
        <v>546.9</v>
      </c>
      <c r="J546" s="240">
        <v>0</v>
      </c>
      <c r="K546" s="240">
        <v>1699.84</v>
      </c>
      <c r="L546" s="240">
        <v>1094</v>
      </c>
      <c r="M546" s="240">
        <v>0</v>
      </c>
      <c r="N546" s="240">
        <v>0</v>
      </c>
      <c r="O546" s="240">
        <v>13629.23</v>
      </c>
      <c r="P546" s="240">
        <v>-575</v>
      </c>
      <c r="Q546" s="240">
        <v>1100</v>
      </c>
      <c r="R546" s="240">
        <v>0</v>
      </c>
      <c r="S546" s="245">
        <f t="shared" si="45"/>
        <v>18486.599999999999</v>
      </c>
      <c r="Z546"/>
    </row>
    <row r="547" spans="1:257" x14ac:dyDescent="0.2">
      <c r="A547" s="159">
        <v>615195</v>
      </c>
      <c r="B547" s="160" t="s">
        <v>119</v>
      </c>
      <c r="C547" s="148" t="s">
        <v>156</v>
      </c>
      <c r="D547" s="148" t="s">
        <v>187</v>
      </c>
      <c r="E547" s="240">
        <v>0</v>
      </c>
      <c r="F547" s="240">
        <v>0</v>
      </c>
      <c r="G547" s="240">
        <v>0</v>
      </c>
      <c r="H547" s="240">
        <v>0</v>
      </c>
      <c r="I547" s="240">
        <v>0</v>
      </c>
      <c r="J547" s="240">
        <v>0</v>
      </c>
      <c r="K547" s="240">
        <v>0</v>
      </c>
      <c r="L547" s="240">
        <v>0</v>
      </c>
      <c r="M547" s="240">
        <v>0</v>
      </c>
      <c r="N547" s="240">
        <v>0</v>
      </c>
      <c r="O547" s="240">
        <v>0</v>
      </c>
      <c r="P547" s="240">
        <v>0</v>
      </c>
      <c r="Q547" s="240">
        <v>0</v>
      </c>
      <c r="R547" s="240">
        <v>0</v>
      </c>
      <c r="S547" s="242">
        <f t="shared" si="45"/>
        <v>0</v>
      </c>
      <c r="Z547"/>
    </row>
    <row r="548" spans="1:257" x14ac:dyDescent="0.2">
      <c r="A548" s="159">
        <v>615195</v>
      </c>
      <c r="B548" s="160" t="s">
        <v>119</v>
      </c>
      <c r="C548" s="148" t="s">
        <v>156</v>
      </c>
      <c r="D548" s="148" t="s">
        <v>184</v>
      </c>
      <c r="E548" s="240">
        <v>0</v>
      </c>
      <c r="F548" s="240">
        <v>0</v>
      </c>
      <c r="G548" s="240">
        <v>0</v>
      </c>
      <c r="H548" s="240">
        <v>0</v>
      </c>
      <c r="I548" s="240">
        <v>0</v>
      </c>
      <c r="J548" s="240">
        <v>0</v>
      </c>
      <c r="K548" s="240">
        <v>0</v>
      </c>
      <c r="L548" s="240">
        <v>0</v>
      </c>
      <c r="M548" s="240">
        <v>0</v>
      </c>
      <c r="N548" s="240">
        <v>0</v>
      </c>
      <c r="O548" s="240">
        <v>0</v>
      </c>
      <c r="P548" s="240">
        <v>0</v>
      </c>
      <c r="Q548" s="240">
        <v>0</v>
      </c>
      <c r="R548" s="240">
        <v>0</v>
      </c>
      <c r="S548" s="242">
        <f t="shared" si="45"/>
        <v>0</v>
      </c>
      <c r="Z548"/>
    </row>
    <row r="549" spans="1:257" x14ac:dyDescent="0.2">
      <c r="A549" s="159">
        <v>615195</v>
      </c>
      <c r="B549" s="160" t="s">
        <v>119</v>
      </c>
      <c r="C549" s="148" t="s">
        <v>156</v>
      </c>
      <c r="D549" s="148" t="s">
        <v>348</v>
      </c>
      <c r="E549" s="240">
        <v>0</v>
      </c>
      <c r="F549" s="240">
        <v>0</v>
      </c>
      <c r="G549" s="240">
        <v>0</v>
      </c>
      <c r="H549" s="240">
        <v>0</v>
      </c>
      <c r="I549" s="240">
        <v>0</v>
      </c>
      <c r="J549" s="240">
        <v>0</v>
      </c>
      <c r="K549" s="240">
        <v>0</v>
      </c>
      <c r="L549" s="240">
        <v>0</v>
      </c>
      <c r="M549" s="240">
        <v>0</v>
      </c>
      <c r="N549" s="240">
        <v>0</v>
      </c>
      <c r="O549" s="240">
        <v>0</v>
      </c>
      <c r="P549" s="240">
        <v>0</v>
      </c>
      <c r="Q549" s="240">
        <v>0</v>
      </c>
      <c r="R549" s="240">
        <v>0</v>
      </c>
      <c r="S549" s="242">
        <f t="shared" si="45"/>
        <v>0</v>
      </c>
      <c r="Z549"/>
    </row>
    <row r="550" spans="1:257" x14ac:dyDescent="0.2">
      <c r="A550" s="159"/>
      <c r="B550" s="160"/>
      <c r="C550" s="148"/>
      <c r="D550" s="148"/>
      <c r="E550" s="240"/>
      <c r="F550" s="240"/>
      <c r="G550" s="240"/>
      <c r="H550" s="240"/>
      <c r="I550" s="240"/>
      <c r="J550" s="240"/>
      <c r="K550" s="240"/>
      <c r="L550" s="240"/>
      <c r="M550" s="240"/>
      <c r="N550" s="240"/>
      <c r="O550" s="240"/>
      <c r="P550" s="240"/>
      <c r="Q550" s="240"/>
      <c r="R550" s="240"/>
      <c r="S550" s="245"/>
      <c r="Z550"/>
    </row>
    <row r="551" spans="1:257" x14ac:dyDescent="0.2">
      <c r="A551" s="159">
        <v>615195</v>
      </c>
      <c r="B551" s="160" t="s">
        <v>119</v>
      </c>
      <c r="C551" s="148" t="s">
        <v>79</v>
      </c>
      <c r="D551" s="148" t="s">
        <v>192</v>
      </c>
      <c r="E551" s="240">
        <v>0</v>
      </c>
      <c r="F551" s="240">
        <v>0</v>
      </c>
      <c r="G551" s="240">
        <v>0</v>
      </c>
      <c r="H551" s="240">
        <v>0</v>
      </c>
      <c r="I551" s="240">
        <v>0</v>
      </c>
      <c r="J551" s="240">
        <v>500</v>
      </c>
      <c r="K551" s="240">
        <v>0</v>
      </c>
      <c r="L551" s="240">
        <v>0</v>
      </c>
      <c r="M551" s="240">
        <v>0</v>
      </c>
      <c r="N551" s="240">
        <v>210</v>
      </c>
      <c r="O551" s="240">
        <v>0</v>
      </c>
      <c r="P551" s="240">
        <v>1566.8</v>
      </c>
      <c r="Q551" s="240">
        <v>0</v>
      </c>
      <c r="R551" s="240">
        <v>0</v>
      </c>
      <c r="S551" s="242">
        <f t="shared" ref="S551:S556" si="46">SUM(E551:Q551)</f>
        <v>2276.8000000000002</v>
      </c>
      <c r="Z551"/>
    </row>
    <row r="552" spans="1:257" x14ac:dyDescent="0.2">
      <c r="A552" s="159"/>
      <c r="B552" s="160"/>
      <c r="C552" s="148"/>
      <c r="D552" s="148"/>
      <c r="E552" s="240"/>
      <c r="F552" s="240"/>
      <c r="G552" s="240"/>
      <c r="H552" s="240"/>
      <c r="I552" s="240"/>
      <c r="J552" s="240"/>
      <c r="K552" s="240"/>
      <c r="L552" s="240"/>
      <c r="M552" s="240"/>
      <c r="N552" s="240"/>
      <c r="O552" s="240"/>
      <c r="P552" s="240"/>
      <c r="Q552" s="240"/>
      <c r="R552" s="240"/>
      <c r="S552" s="242">
        <f t="shared" si="46"/>
        <v>0</v>
      </c>
      <c r="Z552"/>
    </row>
    <row r="553" spans="1:257" x14ac:dyDescent="0.2">
      <c r="A553" s="159">
        <v>615195</v>
      </c>
      <c r="B553" s="160" t="s">
        <v>119</v>
      </c>
      <c r="C553" s="148" t="s">
        <v>172</v>
      </c>
      <c r="D553" s="148" t="s">
        <v>192</v>
      </c>
      <c r="E553" s="240">
        <v>-36</v>
      </c>
      <c r="F553" s="240">
        <v>0</v>
      </c>
      <c r="G553" s="240">
        <v>334.85</v>
      </c>
      <c r="H553" s="240">
        <v>504</v>
      </c>
      <c r="I553" s="240">
        <v>151</v>
      </c>
      <c r="J553" s="240">
        <v>125</v>
      </c>
      <c r="K553" s="240">
        <v>0</v>
      </c>
      <c r="L553" s="240">
        <v>0</v>
      </c>
      <c r="M553" s="240">
        <v>0</v>
      </c>
      <c r="N553" s="240">
        <v>0</v>
      </c>
      <c r="O553" s="240">
        <v>158.30000000000001</v>
      </c>
      <c r="P553" s="240">
        <v>1914</v>
      </c>
      <c r="Q553" s="240">
        <v>105.2</v>
      </c>
      <c r="R553" s="240">
        <v>0</v>
      </c>
      <c r="S553" s="242">
        <f t="shared" si="46"/>
        <v>3256.3499999999995</v>
      </c>
      <c r="Z553"/>
    </row>
    <row r="554" spans="1:257" x14ac:dyDescent="0.2">
      <c r="A554" s="159">
        <v>615195</v>
      </c>
      <c r="B554" s="160" t="s">
        <v>119</v>
      </c>
      <c r="C554" s="148" t="s">
        <v>172</v>
      </c>
      <c r="D554" s="148" t="s">
        <v>185</v>
      </c>
      <c r="E554" s="240">
        <v>0</v>
      </c>
      <c r="F554" s="240">
        <v>0</v>
      </c>
      <c r="G554" s="240">
        <v>0</v>
      </c>
      <c r="H554" s="240">
        <v>0</v>
      </c>
      <c r="I554" s="240">
        <v>0</v>
      </c>
      <c r="J554" s="240">
        <v>0</v>
      </c>
      <c r="K554" s="240">
        <v>0</v>
      </c>
      <c r="L554" s="240">
        <v>0</v>
      </c>
      <c r="M554" s="240">
        <v>0</v>
      </c>
      <c r="N554" s="240">
        <v>0</v>
      </c>
      <c r="O554" s="240">
        <v>0</v>
      </c>
      <c r="P554" s="240">
        <v>0</v>
      </c>
      <c r="Q554" s="240">
        <v>0</v>
      </c>
      <c r="R554" s="240">
        <v>0</v>
      </c>
      <c r="S554" s="242">
        <f t="shared" si="46"/>
        <v>0</v>
      </c>
      <c r="Z554"/>
    </row>
    <row r="555" spans="1:257" s="175" customFormat="1" x14ac:dyDescent="0.2">
      <c r="A555" s="270"/>
      <c r="B555" s="235"/>
      <c r="C555" s="148"/>
      <c r="D555" s="148"/>
      <c r="E555" s="240"/>
      <c r="F555" s="240"/>
      <c r="G555" s="240"/>
      <c r="H555" s="240"/>
      <c r="I555" s="240"/>
      <c r="J555" s="240"/>
      <c r="K555" s="240"/>
      <c r="L555" s="240"/>
      <c r="M555" s="240"/>
      <c r="N555" s="240"/>
      <c r="O555" s="240"/>
      <c r="P555" s="240"/>
      <c r="Q555" s="240"/>
      <c r="R555" s="240"/>
      <c r="S555" s="242">
        <f t="shared" si="46"/>
        <v>0</v>
      </c>
      <c r="T555"/>
      <c r="U555" s="184"/>
      <c r="V555" s="332"/>
      <c r="X555" s="184"/>
      <c r="Y555" s="184"/>
      <c r="Z555"/>
      <c r="AA555" s="184"/>
      <c r="AB555" s="184"/>
      <c r="AC555" s="184"/>
      <c r="AD555" s="184"/>
      <c r="AE555" s="184"/>
      <c r="AF555" s="184"/>
      <c r="AG555" s="184"/>
      <c r="AH555" s="184"/>
      <c r="AI555" s="184"/>
      <c r="AJ555" s="184"/>
      <c r="AK555" s="184"/>
      <c r="AL555" s="184"/>
      <c r="AM555" s="184"/>
      <c r="AN555" s="184"/>
      <c r="AO555" s="184"/>
      <c r="AP555" s="184"/>
      <c r="AQ555" s="184"/>
      <c r="AR555" s="184"/>
      <c r="AS555" s="184"/>
      <c r="AT555" s="184"/>
      <c r="AU555" s="184"/>
      <c r="AV555" s="184"/>
      <c r="AW555" s="184"/>
      <c r="AX555" s="184"/>
      <c r="AY555" s="184"/>
      <c r="AZ555" s="184"/>
      <c r="BA555" s="184"/>
      <c r="BB555" s="184"/>
      <c r="BC555" s="184"/>
      <c r="BD555" s="184"/>
      <c r="BE555" s="184"/>
      <c r="BF555" s="184"/>
      <c r="BG555" s="184"/>
      <c r="BH555" s="184"/>
      <c r="BI555" s="184"/>
      <c r="BJ555" s="184"/>
      <c r="BK555" s="184"/>
      <c r="BL555" s="184"/>
      <c r="BM555" s="184"/>
      <c r="BN555" s="184"/>
      <c r="BO555" s="184"/>
      <c r="BP555" s="184"/>
      <c r="BQ555" s="184"/>
      <c r="BR555" s="184"/>
      <c r="BS555" s="184"/>
      <c r="BT555" s="184"/>
      <c r="BU555" s="184"/>
      <c r="BV555" s="184"/>
      <c r="BW555" s="184"/>
      <c r="BX555" s="184"/>
      <c r="BY555" s="184"/>
      <c r="BZ555" s="184"/>
      <c r="CA555" s="184"/>
      <c r="CB555" s="184"/>
      <c r="CC555" s="184"/>
      <c r="CD555" s="184"/>
      <c r="CE555" s="184"/>
      <c r="CF555" s="184"/>
      <c r="CG555" s="184"/>
      <c r="CH555" s="184"/>
      <c r="CI555" s="184"/>
      <c r="CJ555" s="184"/>
      <c r="CK555" s="184"/>
      <c r="CL555" s="184"/>
      <c r="CM555" s="184"/>
      <c r="CN555" s="184"/>
      <c r="CO555" s="184"/>
      <c r="CP555" s="184"/>
      <c r="CQ555" s="184"/>
      <c r="CR555" s="184"/>
      <c r="CS555" s="184"/>
      <c r="CT555" s="184"/>
      <c r="CU555" s="184"/>
      <c r="CV555" s="184"/>
      <c r="CW555" s="184"/>
      <c r="CX555" s="184"/>
      <c r="CY555" s="184"/>
      <c r="CZ555" s="184"/>
      <c r="DA555" s="184"/>
      <c r="DB555" s="184"/>
      <c r="DC555" s="184"/>
      <c r="DD555" s="184"/>
      <c r="DE555" s="184"/>
      <c r="DF555" s="184"/>
      <c r="DG555" s="184"/>
      <c r="DH555" s="184"/>
      <c r="DI555" s="184"/>
      <c r="DJ555" s="184"/>
      <c r="DK555" s="184"/>
      <c r="DL555" s="184"/>
      <c r="DM555" s="184"/>
      <c r="DN555" s="184"/>
      <c r="DO555" s="184"/>
      <c r="DP555" s="184"/>
      <c r="DQ555" s="184"/>
      <c r="DR555" s="184"/>
      <c r="DS555" s="184"/>
      <c r="DT555" s="184"/>
      <c r="DU555" s="184"/>
      <c r="DV555" s="184"/>
      <c r="DW555" s="184"/>
      <c r="DX555" s="184"/>
      <c r="DY555" s="184"/>
      <c r="DZ555" s="184"/>
      <c r="EA555" s="184"/>
      <c r="EB555" s="184"/>
      <c r="EC555" s="184"/>
      <c r="ED555" s="184"/>
      <c r="EE555" s="184"/>
      <c r="EF555" s="184"/>
      <c r="EG555" s="184"/>
      <c r="EH555" s="184"/>
      <c r="EI555" s="184"/>
      <c r="EJ555" s="184"/>
      <c r="EK555" s="184"/>
      <c r="EL555" s="184"/>
      <c r="EM555" s="184"/>
      <c r="EN555" s="184"/>
      <c r="EO555" s="184"/>
      <c r="EP555" s="184"/>
      <c r="EQ555" s="184"/>
      <c r="ER555" s="184"/>
      <c r="ES555" s="184"/>
      <c r="ET555" s="184"/>
      <c r="EU555" s="184"/>
      <c r="EV555" s="184"/>
      <c r="EW555" s="184"/>
      <c r="EX555" s="184"/>
      <c r="EY555" s="184"/>
      <c r="EZ555" s="184"/>
      <c r="FA555" s="184"/>
      <c r="FB555" s="184"/>
      <c r="FC555" s="184"/>
      <c r="FD555" s="184"/>
      <c r="FE555" s="184"/>
      <c r="FF555" s="184"/>
      <c r="FG555" s="184"/>
      <c r="FH555" s="184"/>
      <c r="FI555" s="184"/>
      <c r="FJ555" s="184"/>
      <c r="FK555" s="184"/>
      <c r="FL555" s="184"/>
      <c r="FM555" s="184"/>
      <c r="FN555" s="184"/>
      <c r="FO555" s="184"/>
      <c r="FP555" s="184"/>
      <c r="FQ555" s="184"/>
      <c r="FR555" s="184"/>
      <c r="FS555" s="184"/>
      <c r="FT555" s="184"/>
      <c r="FU555" s="184"/>
      <c r="FV555" s="184"/>
      <c r="FW555" s="184"/>
      <c r="FX555" s="184"/>
      <c r="FY555" s="184"/>
      <c r="FZ555" s="184"/>
      <c r="GA555" s="184"/>
      <c r="GB555" s="184"/>
      <c r="GC555" s="184"/>
      <c r="GD555" s="184"/>
      <c r="GE555" s="184"/>
      <c r="GF555" s="184"/>
      <c r="GG555" s="184"/>
      <c r="GH555" s="184"/>
      <c r="GI555" s="184"/>
      <c r="GJ555" s="184"/>
      <c r="GK555" s="184"/>
      <c r="GL555" s="184"/>
      <c r="GM555" s="184"/>
      <c r="GN555" s="184"/>
      <c r="GO555" s="184"/>
      <c r="GP555" s="184"/>
      <c r="GQ555" s="184"/>
      <c r="GR555" s="184"/>
      <c r="GS555" s="184"/>
      <c r="GT555" s="184"/>
      <c r="GU555" s="184"/>
      <c r="GV555" s="184"/>
      <c r="GW555" s="184"/>
      <c r="GX555" s="184"/>
      <c r="GY555" s="184"/>
      <c r="GZ555" s="184"/>
      <c r="HA555" s="184"/>
      <c r="HB555" s="184"/>
      <c r="HC555" s="184"/>
      <c r="HD555" s="184"/>
      <c r="HE555" s="184"/>
      <c r="HF555" s="184"/>
      <c r="HG555" s="184"/>
      <c r="HH555" s="184"/>
      <c r="HI555" s="184"/>
      <c r="HJ555" s="184"/>
      <c r="HK555" s="184"/>
      <c r="HL555" s="184"/>
      <c r="HM555" s="184"/>
      <c r="HN555" s="184"/>
      <c r="HO555" s="184"/>
      <c r="HP555" s="184"/>
      <c r="HQ555" s="184"/>
      <c r="HR555" s="184"/>
      <c r="HS555" s="184"/>
      <c r="HT555" s="184"/>
      <c r="HU555" s="184"/>
      <c r="HV555" s="184"/>
      <c r="HW555" s="184"/>
      <c r="HX555" s="184"/>
      <c r="HY555" s="184"/>
      <c r="HZ555" s="184"/>
      <c r="IA555" s="184"/>
      <c r="IB555" s="184"/>
      <c r="IC555" s="184"/>
      <c r="ID555" s="184"/>
      <c r="IE555" s="184"/>
      <c r="IF555" s="184"/>
      <c r="IG555" s="184"/>
      <c r="IH555" s="184"/>
      <c r="II555" s="184"/>
      <c r="IJ555" s="184"/>
      <c r="IK555" s="184"/>
      <c r="IL555" s="184"/>
      <c r="IM555" s="184"/>
      <c r="IN555" s="184"/>
      <c r="IO555" s="184"/>
      <c r="IP555" s="184"/>
      <c r="IQ555" s="184"/>
      <c r="IR555" s="184"/>
      <c r="IS555" s="184"/>
      <c r="IT555" s="184"/>
      <c r="IU555" s="184"/>
      <c r="IV555" s="184"/>
      <c r="IW555" s="184"/>
    </row>
    <row r="556" spans="1:257" x14ac:dyDescent="0.2">
      <c r="A556" s="159">
        <v>615195</v>
      </c>
      <c r="B556" s="160" t="s">
        <v>119</v>
      </c>
      <c r="C556" s="148" t="s">
        <v>367</v>
      </c>
      <c r="D556" s="148">
        <v>999999</v>
      </c>
      <c r="E556" s="240"/>
      <c r="F556" s="240">
        <v>628.97</v>
      </c>
      <c r="G556" s="240">
        <f>-628.97+3084.29</f>
        <v>2455.3199999999997</v>
      </c>
      <c r="H556" s="240">
        <f>-3084.29-7546.86</f>
        <v>-10631.15</v>
      </c>
      <c r="I556" s="240">
        <f>7546.86+355.01</f>
        <v>7901.87</v>
      </c>
      <c r="J556" s="240">
        <f>-355.01-3125.52</f>
        <v>-3480.5299999999997</v>
      </c>
      <c r="K556" s="240">
        <f>3125.52-13839.74</f>
        <v>-10714.22</v>
      </c>
      <c r="L556" s="240">
        <f>13839.74-7438.96</f>
        <v>6400.78</v>
      </c>
      <c r="M556" s="240">
        <f>7438.96-5694.93</f>
        <v>1744.0299999999997</v>
      </c>
      <c r="N556" s="240">
        <f>5694.93-23649.56</f>
        <v>-17954.63</v>
      </c>
      <c r="O556" s="240">
        <f>23649.56-26640.59</f>
        <v>-2991.0299999999988</v>
      </c>
      <c r="P556" s="240">
        <f>26640.59+0.45</f>
        <v>26641.040000000001</v>
      </c>
      <c r="Q556" s="240"/>
      <c r="R556" s="240"/>
      <c r="S556" s="242">
        <f t="shared" si="46"/>
        <v>0.45000000000436557</v>
      </c>
      <c r="Z556"/>
    </row>
    <row r="557" spans="1:257" s="185" customFormat="1" ht="24" customHeight="1" x14ac:dyDescent="0.2">
      <c r="A557" s="267"/>
      <c r="B557" s="268"/>
      <c r="C557" s="267" t="s">
        <v>66</v>
      </c>
      <c r="D557" s="267"/>
      <c r="E557" s="269">
        <f>SUM(E501:E556)</f>
        <v>1166.5</v>
      </c>
      <c r="F557" s="269">
        <f t="shared" ref="F557:Q557" si="47">SUM(F501:F556)</f>
        <v>4432.55</v>
      </c>
      <c r="G557" s="269">
        <f t="shared" si="47"/>
        <v>6660.26</v>
      </c>
      <c r="H557" s="269">
        <f t="shared" si="47"/>
        <v>9782.5700000000015</v>
      </c>
      <c r="I557" s="269">
        <f t="shared" si="47"/>
        <v>16322.7</v>
      </c>
      <c r="J557" s="269">
        <f t="shared" si="47"/>
        <v>8135.88</v>
      </c>
      <c r="K557" s="269">
        <f t="shared" si="47"/>
        <v>-1343.8999999999996</v>
      </c>
      <c r="L557" s="269">
        <f t="shared" si="47"/>
        <v>22604.2</v>
      </c>
      <c r="M557" s="269">
        <f t="shared" si="47"/>
        <v>10397.66</v>
      </c>
      <c r="N557" s="269">
        <f t="shared" si="47"/>
        <v>579.09999999999854</v>
      </c>
      <c r="O557" s="269">
        <f t="shared" si="47"/>
        <v>25747.749999999996</v>
      </c>
      <c r="P557" s="269">
        <f t="shared" si="47"/>
        <v>55243.15</v>
      </c>
      <c r="Q557" s="269">
        <f t="shared" si="47"/>
        <v>32687.88</v>
      </c>
      <c r="R557" s="269">
        <f>SUM(R501:R556)</f>
        <v>0</v>
      </c>
      <c r="S557" s="269">
        <f>SUM(S500:S556)</f>
        <v>192416.30000000005</v>
      </c>
      <c r="T557" s="689" t="e">
        <f>IF(Ctrl($A556)+S556+S555=S557,"Ok","Erreur somme")</f>
        <v>#VALUE!</v>
      </c>
      <c r="U557" s="212">
        <v>167482.79999999999</v>
      </c>
      <c r="V557" s="334">
        <f>U557-S557</f>
        <v>-24933.500000000058</v>
      </c>
      <c r="W557" s="185" t="s">
        <v>853</v>
      </c>
      <c r="Z557"/>
    </row>
    <row r="558" spans="1:257" x14ac:dyDescent="0.2">
      <c r="A558" s="159">
        <v>615196</v>
      </c>
      <c r="B558" s="160" t="s">
        <v>120</v>
      </c>
      <c r="C558" s="148" t="s">
        <v>223</v>
      </c>
      <c r="D558" s="148" t="s">
        <v>183</v>
      </c>
      <c r="E558" s="240">
        <v>0</v>
      </c>
      <c r="F558" s="240">
        <v>0</v>
      </c>
      <c r="G558" s="240">
        <v>0</v>
      </c>
      <c r="H558" s="240">
        <v>0</v>
      </c>
      <c r="I558" s="240">
        <v>0</v>
      </c>
      <c r="J558" s="240">
        <v>0</v>
      </c>
      <c r="K558" s="240">
        <v>0</v>
      </c>
      <c r="L558" s="240">
        <v>0</v>
      </c>
      <c r="M558" s="240">
        <v>0</v>
      </c>
      <c r="N558" s="240">
        <v>0</v>
      </c>
      <c r="O558" s="240">
        <v>0</v>
      </c>
      <c r="P558" s="240">
        <v>0</v>
      </c>
      <c r="Q558" s="240">
        <v>0</v>
      </c>
      <c r="R558" s="240">
        <v>0</v>
      </c>
      <c r="S558" s="242">
        <f>SUM(E558:Q558)</f>
        <v>0</v>
      </c>
      <c r="Z558"/>
    </row>
    <row r="559" spans="1:257" x14ac:dyDescent="0.2">
      <c r="A559" s="159">
        <v>615196</v>
      </c>
      <c r="B559" s="160" t="s">
        <v>120</v>
      </c>
      <c r="C559" s="148" t="s">
        <v>78</v>
      </c>
      <c r="D559" s="148" t="s">
        <v>192</v>
      </c>
      <c r="E559" s="240">
        <v>0</v>
      </c>
      <c r="F559" s="240">
        <v>0</v>
      </c>
      <c r="G559" s="240">
        <v>0</v>
      </c>
      <c r="H559" s="240">
        <v>636.15</v>
      </c>
      <c r="I559" s="240">
        <v>0</v>
      </c>
      <c r="J559" s="240">
        <v>113.04</v>
      </c>
      <c r="K559" s="240">
        <v>248.57</v>
      </c>
      <c r="L559" s="240">
        <v>267.12</v>
      </c>
      <c r="M559" s="240">
        <v>225.38</v>
      </c>
      <c r="N559" s="240">
        <v>0</v>
      </c>
      <c r="O559" s="240">
        <v>0</v>
      </c>
      <c r="P559" s="240">
        <v>0</v>
      </c>
      <c r="Q559" s="240">
        <v>1029.6100000000001</v>
      </c>
      <c r="R559" s="240">
        <v>0</v>
      </c>
      <c r="S559" s="242">
        <f>SUM(E559:Q559)</f>
        <v>2519.8700000000003</v>
      </c>
      <c r="Z559"/>
    </row>
    <row r="560" spans="1:257" x14ac:dyDescent="0.2">
      <c r="A560" s="159">
        <v>615196</v>
      </c>
      <c r="B560" s="160" t="s">
        <v>120</v>
      </c>
      <c r="C560" s="148" t="s">
        <v>78</v>
      </c>
      <c r="D560" s="148" t="s">
        <v>182</v>
      </c>
      <c r="E560" s="240">
        <v>0</v>
      </c>
      <c r="F560" s="240">
        <v>586.29</v>
      </c>
      <c r="G560" s="240">
        <v>586.29</v>
      </c>
      <c r="H560" s="240">
        <v>586.29</v>
      </c>
      <c r="I560" s="240">
        <v>586.29</v>
      </c>
      <c r="J560" s="240">
        <v>586.29</v>
      </c>
      <c r="K560" s="240">
        <v>586.29</v>
      </c>
      <c r="L560" s="240">
        <v>586.29</v>
      </c>
      <c r="M560" s="240">
        <v>586.29</v>
      </c>
      <c r="N560" s="240">
        <v>586.29</v>
      </c>
      <c r="O560" s="240">
        <v>586.29</v>
      </c>
      <c r="P560" s="240">
        <v>586.29</v>
      </c>
      <c r="Q560" s="240">
        <v>586.21</v>
      </c>
      <c r="R560" s="240">
        <v>0</v>
      </c>
      <c r="S560" s="242">
        <f>SUM(E560:Q560)</f>
        <v>7035.4</v>
      </c>
      <c r="Z560"/>
    </row>
    <row r="561" spans="1:257" s="175" customFormat="1" x14ac:dyDescent="0.2">
      <c r="A561" s="270"/>
      <c r="B561" s="235"/>
      <c r="C561" s="148"/>
      <c r="D561" s="148"/>
      <c r="E561" s="240"/>
      <c r="F561" s="240"/>
      <c r="G561" s="240"/>
      <c r="H561" s="240"/>
      <c r="I561" s="240"/>
      <c r="J561" s="240"/>
      <c r="K561" s="240"/>
      <c r="L561" s="240"/>
      <c r="M561" s="240"/>
      <c r="N561" s="240"/>
      <c r="O561" s="240"/>
      <c r="P561" s="240"/>
      <c r="Q561" s="240"/>
      <c r="R561" s="240"/>
      <c r="S561" s="245"/>
      <c r="T561"/>
      <c r="U561" s="184"/>
      <c r="V561" s="332"/>
      <c r="X561" s="184"/>
      <c r="Y561" s="184"/>
      <c r="Z561"/>
      <c r="AA561" s="184"/>
      <c r="AB561" s="184"/>
      <c r="AC561" s="184"/>
      <c r="AD561" s="184"/>
      <c r="AE561" s="184"/>
      <c r="AF561" s="184"/>
      <c r="AG561" s="184"/>
      <c r="AH561" s="184"/>
      <c r="AI561" s="184"/>
      <c r="AJ561" s="184"/>
      <c r="AK561" s="184"/>
      <c r="AL561" s="184"/>
      <c r="AM561" s="184"/>
      <c r="AN561" s="184"/>
      <c r="AO561" s="184"/>
      <c r="AP561" s="184"/>
      <c r="AQ561" s="184"/>
      <c r="AR561" s="184"/>
      <c r="AS561" s="184"/>
      <c r="AT561" s="184"/>
      <c r="AU561" s="184"/>
      <c r="AV561" s="184"/>
      <c r="AW561" s="184"/>
      <c r="AX561" s="184"/>
      <c r="AY561" s="184"/>
      <c r="AZ561" s="184"/>
      <c r="BA561" s="184"/>
      <c r="BB561" s="184"/>
      <c r="BC561" s="184"/>
      <c r="BD561" s="184"/>
      <c r="BE561" s="184"/>
      <c r="BF561" s="184"/>
      <c r="BG561" s="184"/>
      <c r="BH561" s="184"/>
      <c r="BI561" s="184"/>
      <c r="BJ561" s="184"/>
      <c r="BK561" s="184"/>
      <c r="BL561" s="184"/>
      <c r="BM561" s="184"/>
      <c r="BN561" s="184"/>
      <c r="BO561" s="184"/>
      <c r="BP561" s="184"/>
      <c r="BQ561" s="184"/>
      <c r="BR561" s="184"/>
      <c r="BS561" s="184"/>
      <c r="BT561" s="184"/>
      <c r="BU561" s="184"/>
      <c r="BV561" s="184"/>
      <c r="BW561" s="184"/>
      <c r="BX561" s="184"/>
      <c r="BY561" s="184"/>
      <c r="BZ561" s="184"/>
      <c r="CA561" s="184"/>
      <c r="CB561" s="184"/>
      <c r="CC561" s="184"/>
      <c r="CD561" s="184"/>
      <c r="CE561" s="184"/>
      <c r="CF561" s="184"/>
      <c r="CG561" s="184"/>
      <c r="CH561" s="184"/>
      <c r="CI561" s="184"/>
      <c r="CJ561" s="184"/>
      <c r="CK561" s="184"/>
      <c r="CL561" s="184"/>
      <c r="CM561" s="184"/>
      <c r="CN561" s="184"/>
      <c r="CO561" s="184"/>
      <c r="CP561" s="184"/>
      <c r="CQ561" s="184"/>
      <c r="CR561" s="184"/>
      <c r="CS561" s="184"/>
      <c r="CT561" s="184"/>
      <c r="CU561" s="184"/>
      <c r="CV561" s="184"/>
      <c r="CW561" s="184"/>
      <c r="CX561" s="184"/>
      <c r="CY561" s="184"/>
      <c r="CZ561" s="184"/>
      <c r="DA561" s="184"/>
      <c r="DB561" s="184"/>
      <c r="DC561" s="184"/>
      <c r="DD561" s="184"/>
      <c r="DE561" s="184"/>
      <c r="DF561" s="184"/>
      <c r="DG561" s="184"/>
      <c r="DH561" s="184"/>
      <c r="DI561" s="184"/>
      <c r="DJ561" s="184"/>
      <c r="DK561" s="184"/>
      <c r="DL561" s="184"/>
      <c r="DM561" s="184"/>
      <c r="DN561" s="184"/>
      <c r="DO561" s="184"/>
      <c r="DP561" s="184"/>
      <c r="DQ561" s="184"/>
      <c r="DR561" s="184"/>
      <c r="DS561" s="184"/>
      <c r="DT561" s="184"/>
      <c r="DU561" s="184"/>
      <c r="DV561" s="184"/>
      <c r="DW561" s="184"/>
      <c r="DX561" s="184"/>
      <c r="DY561" s="184"/>
      <c r="DZ561" s="184"/>
      <c r="EA561" s="184"/>
      <c r="EB561" s="184"/>
      <c r="EC561" s="184"/>
      <c r="ED561" s="184"/>
      <c r="EE561" s="184"/>
      <c r="EF561" s="184"/>
      <c r="EG561" s="184"/>
      <c r="EH561" s="184"/>
      <c r="EI561" s="184"/>
      <c r="EJ561" s="184"/>
      <c r="EK561" s="184"/>
      <c r="EL561" s="184"/>
      <c r="EM561" s="184"/>
      <c r="EN561" s="184"/>
      <c r="EO561" s="184"/>
      <c r="EP561" s="184"/>
      <c r="EQ561" s="184"/>
      <c r="ER561" s="184"/>
      <c r="ES561" s="184"/>
      <c r="ET561" s="184"/>
      <c r="EU561" s="184"/>
      <c r="EV561" s="184"/>
      <c r="EW561" s="184"/>
      <c r="EX561" s="184"/>
      <c r="EY561" s="184"/>
      <c r="EZ561" s="184"/>
      <c r="FA561" s="184"/>
      <c r="FB561" s="184"/>
      <c r="FC561" s="184"/>
      <c r="FD561" s="184"/>
      <c r="FE561" s="184"/>
      <c r="FF561" s="184"/>
      <c r="FG561" s="184"/>
      <c r="FH561" s="184"/>
      <c r="FI561" s="184"/>
      <c r="FJ561" s="184"/>
      <c r="FK561" s="184"/>
      <c r="FL561" s="184"/>
      <c r="FM561" s="184"/>
      <c r="FN561" s="184"/>
      <c r="FO561" s="184"/>
      <c r="FP561" s="184"/>
      <c r="FQ561" s="184"/>
      <c r="FR561" s="184"/>
      <c r="FS561" s="184"/>
      <c r="FT561" s="184"/>
      <c r="FU561" s="184"/>
      <c r="FV561" s="184"/>
      <c r="FW561" s="184"/>
      <c r="FX561" s="184"/>
      <c r="FY561" s="184"/>
      <c r="FZ561" s="184"/>
      <c r="GA561" s="184"/>
      <c r="GB561" s="184"/>
      <c r="GC561" s="184"/>
      <c r="GD561" s="184"/>
      <c r="GE561" s="184"/>
      <c r="GF561" s="184"/>
      <c r="GG561" s="184"/>
      <c r="GH561" s="184"/>
      <c r="GI561" s="184"/>
      <c r="GJ561" s="184"/>
      <c r="GK561" s="184"/>
      <c r="GL561" s="184"/>
      <c r="GM561" s="184"/>
      <c r="GN561" s="184"/>
      <c r="GO561" s="184"/>
      <c r="GP561" s="184"/>
      <c r="GQ561" s="184"/>
      <c r="GR561" s="184"/>
      <c r="GS561" s="184"/>
      <c r="GT561" s="184"/>
      <c r="GU561" s="184"/>
      <c r="GV561" s="184"/>
      <c r="GW561" s="184"/>
      <c r="GX561" s="184"/>
      <c r="GY561" s="184"/>
      <c r="GZ561" s="184"/>
      <c r="HA561" s="184"/>
      <c r="HB561" s="184"/>
      <c r="HC561" s="184"/>
      <c r="HD561" s="184"/>
      <c r="HE561" s="184"/>
      <c r="HF561" s="184"/>
      <c r="HG561" s="184"/>
      <c r="HH561" s="184"/>
      <c r="HI561" s="184"/>
      <c r="HJ561" s="184"/>
      <c r="HK561" s="184"/>
      <c r="HL561" s="184"/>
      <c r="HM561" s="184"/>
      <c r="HN561" s="184"/>
      <c r="HO561" s="184"/>
      <c r="HP561" s="184"/>
      <c r="HQ561" s="184"/>
      <c r="HR561" s="184"/>
      <c r="HS561" s="184"/>
      <c r="HT561" s="184"/>
      <c r="HU561" s="184"/>
      <c r="HV561" s="184"/>
      <c r="HW561" s="184"/>
      <c r="HX561" s="184"/>
      <c r="HY561" s="184"/>
      <c r="HZ561" s="184"/>
      <c r="IA561" s="184"/>
      <c r="IB561" s="184"/>
      <c r="IC561" s="184"/>
      <c r="ID561" s="184"/>
      <c r="IE561" s="184"/>
      <c r="IF561" s="184"/>
      <c r="IG561" s="184"/>
      <c r="IH561" s="184"/>
      <c r="II561" s="184"/>
      <c r="IJ561" s="184"/>
      <c r="IK561" s="184"/>
      <c r="IL561" s="184"/>
      <c r="IM561" s="184"/>
      <c r="IN561" s="184"/>
      <c r="IO561" s="184"/>
      <c r="IP561" s="184"/>
      <c r="IQ561" s="184"/>
      <c r="IR561" s="184"/>
      <c r="IS561" s="184"/>
      <c r="IT561" s="184"/>
      <c r="IU561" s="184"/>
      <c r="IV561" s="184"/>
      <c r="IW561" s="184"/>
    </row>
    <row r="562" spans="1:257" x14ac:dyDescent="0.2">
      <c r="A562" s="159">
        <v>615196</v>
      </c>
      <c r="B562" s="160" t="s">
        <v>120</v>
      </c>
      <c r="C562" s="148" t="s">
        <v>71</v>
      </c>
      <c r="D562" s="148" t="s">
        <v>183</v>
      </c>
      <c r="E562" s="240">
        <v>0</v>
      </c>
      <c r="F562" s="240">
        <v>0</v>
      </c>
      <c r="G562" s="240">
        <v>0</v>
      </c>
      <c r="H562" s="240">
        <v>45.96</v>
      </c>
      <c r="I562" s="240">
        <v>0</v>
      </c>
      <c r="J562" s="240">
        <v>404.83</v>
      </c>
      <c r="K562" s="240">
        <v>302.8</v>
      </c>
      <c r="L562" s="240">
        <v>0</v>
      </c>
      <c r="M562" s="240">
        <v>198.98</v>
      </c>
      <c r="N562" s="240">
        <v>755.17000000000007</v>
      </c>
      <c r="O562" s="240">
        <v>0</v>
      </c>
      <c r="P562" s="240">
        <v>333.6</v>
      </c>
      <c r="Q562" s="240">
        <v>0</v>
      </c>
      <c r="R562" s="240">
        <v>0</v>
      </c>
      <c r="S562" s="242">
        <f>SUM(E562:Q562)</f>
        <v>2041.3400000000001</v>
      </c>
      <c r="Z562"/>
    </row>
    <row r="563" spans="1:257" x14ac:dyDescent="0.2">
      <c r="A563" s="159">
        <v>615196</v>
      </c>
      <c r="B563" s="160" t="s">
        <v>120</v>
      </c>
      <c r="C563" s="148" t="s">
        <v>71</v>
      </c>
      <c r="D563" s="148" t="s">
        <v>192</v>
      </c>
      <c r="E563" s="240">
        <v>0</v>
      </c>
      <c r="F563" s="240">
        <v>0</v>
      </c>
      <c r="G563" s="240">
        <v>0</v>
      </c>
      <c r="H563" s="240">
        <v>0</v>
      </c>
      <c r="I563" s="240">
        <v>0</v>
      </c>
      <c r="J563" s="240">
        <v>0</v>
      </c>
      <c r="K563" s="240">
        <v>0</v>
      </c>
      <c r="L563" s="240">
        <v>0</v>
      </c>
      <c r="M563" s="240">
        <v>0</v>
      </c>
      <c r="N563" s="240">
        <v>0</v>
      </c>
      <c r="O563" s="240">
        <v>0</v>
      </c>
      <c r="P563" s="240">
        <v>0</v>
      </c>
      <c r="Q563" s="240">
        <v>0</v>
      </c>
      <c r="R563" s="240">
        <v>0</v>
      </c>
      <c r="S563" s="242">
        <f>SUM(E563:Q563)</f>
        <v>0</v>
      </c>
      <c r="Z563"/>
    </row>
    <row r="564" spans="1:257" x14ac:dyDescent="0.2">
      <c r="A564" s="159">
        <v>615196</v>
      </c>
      <c r="B564" s="160" t="s">
        <v>120</v>
      </c>
      <c r="C564" s="148" t="s">
        <v>71</v>
      </c>
      <c r="D564" s="148" t="s">
        <v>182</v>
      </c>
      <c r="E564" s="240">
        <v>0</v>
      </c>
      <c r="F564" s="240">
        <v>354.86</v>
      </c>
      <c r="G564" s="240">
        <v>354.86</v>
      </c>
      <c r="H564" s="240">
        <v>354.87</v>
      </c>
      <c r="I564" s="240">
        <v>354.85</v>
      </c>
      <c r="J564" s="240">
        <v>354.85</v>
      </c>
      <c r="K564" s="240">
        <v>354.85</v>
      </c>
      <c r="L564" s="240">
        <v>354.85</v>
      </c>
      <c r="M564" s="240">
        <v>354.85</v>
      </c>
      <c r="N564" s="240">
        <v>354.85</v>
      </c>
      <c r="O564" s="240">
        <v>354.85</v>
      </c>
      <c r="P564" s="240">
        <v>354.85</v>
      </c>
      <c r="Q564" s="240">
        <v>354.85</v>
      </c>
      <c r="R564" s="240">
        <v>0</v>
      </c>
      <c r="S564" s="242">
        <f>SUM(E564:Q564)</f>
        <v>4258.24</v>
      </c>
      <c r="Z564"/>
    </row>
    <row r="565" spans="1:257" s="175" customFormat="1" x14ac:dyDescent="0.2">
      <c r="A565" s="270"/>
      <c r="B565" s="235"/>
      <c r="C565" s="148"/>
      <c r="D565" s="148"/>
      <c r="E565" s="240"/>
      <c r="F565" s="240"/>
      <c r="G565" s="240"/>
      <c r="H565" s="240"/>
      <c r="I565" s="240"/>
      <c r="J565" s="240"/>
      <c r="K565" s="240"/>
      <c r="L565" s="240"/>
      <c r="M565" s="240"/>
      <c r="N565" s="240"/>
      <c r="O565" s="240"/>
      <c r="P565" s="240"/>
      <c r="Q565" s="240"/>
      <c r="R565" s="240"/>
      <c r="S565" s="245"/>
      <c r="T565"/>
      <c r="U565" s="184"/>
      <c r="V565" s="332"/>
      <c r="X565" s="184"/>
      <c r="Y565" s="184"/>
      <c r="Z565"/>
      <c r="AA565" s="184"/>
      <c r="AB565" s="184"/>
      <c r="AC565" s="184"/>
      <c r="AD565" s="184"/>
      <c r="AE565" s="184"/>
      <c r="AF565" s="184"/>
      <c r="AG565" s="184"/>
      <c r="AH565" s="184"/>
      <c r="AI565" s="184"/>
      <c r="AJ565" s="184"/>
      <c r="AK565" s="184"/>
      <c r="AL565" s="184"/>
      <c r="AM565" s="184"/>
      <c r="AN565" s="184"/>
      <c r="AO565" s="184"/>
      <c r="AP565" s="184"/>
      <c r="AQ565" s="184"/>
      <c r="AR565" s="184"/>
      <c r="AS565" s="184"/>
      <c r="AT565" s="184"/>
      <c r="AU565" s="184"/>
      <c r="AV565" s="184"/>
      <c r="AW565" s="184"/>
      <c r="AX565" s="184"/>
      <c r="AY565" s="184"/>
      <c r="AZ565" s="184"/>
      <c r="BA565" s="184"/>
      <c r="BB565" s="184"/>
      <c r="BC565" s="184"/>
      <c r="BD565" s="184"/>
      <c r="BE565" s="184"/>
      <c r="BF565" s="184"/>
      <c r="BG565" s="184"/>
      <c r="BH565" s="184"/>
      <c r="BI565" s="184"/>
      <c r="BJ565" s="184"/>
      <c r="BK565" s="184"/>
      <c r="BL565" s="184"/>
      <c r="BM565" s="184"/>
      <c r="BN565" s="184"/>
      <c r="BO565" s="184"/>
      <c r="BP565" s="184"/>
      <c r="BQ565" s="184"/>
      <c r="BR565" s="184"/>
      <c r="BS565" s="184"/>
      <c r="BT565" s="184"/>
      <c r="BU565" s="184"/>
      <c r="BV565" s="184"/>
      <c r="BW565" s="184"/>
      <c r="BX565" s="184"/>
      <c r="BY565" s="184"/>
      <c r="BZ565" s="184"/>
      <c r="CA565" s="184"/>
      <c r="CB565" s="184"/>
      <c r="CC565" s="184"/>
      <c r="CD565" s="184"/>
      <c r="CE565" s="184"/>
      <c r="CF565" s="184"/>
      <c r="CG565" s="184"/>
      <c r="CH565" s="184"/>
      <c r="CI565" s="184"/>
      <c r="CJ565" s="184"/>
      <c r="CK565" s="184"/>
      <c r="CL565" s="184"/>
      <c r="CM565" s="184"/>
      <c r="CN565" s="184"/>
      <c r="CO565" s="184"/>
      <c r="CP565" s="184"/>
      <c r="CQ565" s="184"/>
      <c r="CR565" s="184"/>
      <c r="CS565" s="184"/>
      <c r="CT565" s="184"/>
      <c r="CU565" s="184"/>
      <c r="CV565" s="184"/>
      <c r="CW565" s="184"/>
      <c r="CX565" s="184"/>
      <c r="CY565" s="184"/>
      <c r="CZ565" s="184"/>
      <c r="DA565" s="184"/>
      <c r="DB565" s="184"/>
      <c r="DC565" s="184"/>
      <c r="DD565" s="184"/>
      <c r="DE565" s="184"/>
      <c r="DF565" s="184"/>
      <c r="DG565" s="184"/>
      <c r="DH565" s="184"/>
      <c r="DI565" s="184"/>
      <c r="DJ565" s="184"/>
      <c r="DK565" s="184"/>
      <c r="DL565" s="184"/>
      <c r="DM565" s="184"/>
      <c r="DN565" s="184"/>
      <c r="DO565" s="184"/>
      <c r="DP565" s="184"/>
      <c r="DQ565" s="184"/>
      <c r="DR565" s="184"/>
      <c r="DS565" s="184"/>
      <c r="DT565" s="184"/>
      <c r="DU565" s="184"/>
      <c r="DV565" s="184"/>
      <c r="DW565" s="184"/>
      <c r="DX565" s="184"/>
      <c r="DY565" s="184"/>
      <c r="DZ565" s="184"/>
      <c r="EA565" s="184"/>
      <c r="EB565" s="184"/>
      <c r="EC565" s="184"/>
      <c r="ED565" s="184"/>
      <c r="EE565" s="184"/>
      <c r="EF565" s="184"/>
      <c r="EG565" s="184"/>
      <c r="EH565" s="184"/>
      <c r="EI565" s="184"/>
      <c r="EJ565" s="184"/>
      <c r="EK565" s="184"/>
      <c r="EL565" s="184"/>
      <c r="EM565" s="184"/>
      <c r="EN565" s="184"/>
      <c r="EO565" s="184"/>
      <c r="EP565" s="184"/>
      <c r="EQ565" s="184"/>
      <c r="ER565" s="184"/>
      <c r="ES565" s="184"/>
      <c r="ET565" s="184"/>
      <c r="EU565" s="184"/>
      <c r="EV565" s="184"/>
      <c r="EW565" s="184"/>
      <c r="EX565" s="184"/>
      <c r="EY565" s="184"/>
      <c r="EZ565" s="184"/>
      <c r="FA565" s="184"/>
      <c r="FB565" s="184"/>
      <c r="FC565" s="184"/>
      <c r="FD565" s="184"/>
      <c r="FE565" s="184"/>
      <c r="FF565" s="184"/>
      <c r="FG565" s="184"/>
      <c r="FH565" s="184"/>
      <c r="FI565" s="184"/>
      <c r="FJ565" s="184"/>
      <c r="FK565" s="184"/>
      <c r="FL565" s="184"/>
      <c r="FM565" s="184"/>
      <c r="FN565" s="184"/>
      <c r="FO565" s="184"/>
      <c r="FP565" s="184"/>
      <c r="FQ565" s="184"/>
      <c r="FR565" s="184"/>
      <c r="FS565" s="184"/>
      <c r="FT565" s="184"/>
      <c r="FU565" s="184"/>
      <c r="FV565" s="184"/>
      <c r="FW565" s="184"/>
      <c r="FX565" s="184"/>
      <c r="FY565" s="184"/>
      <c r="FZ565" s="184"/>
      <c r="GA565" s="184"/>
      <c r="GB565" s="184"/>
      <c r="GC565" s="184"/>
      <c r="GD565" s="184"/>
      <c r="GE565" s="184"/>
      <c r="GF565" s="184"/>
      <c r="GG565" s="184"/>
      <c r="GH565" s="184"/>
      <c r="GI565" s="184"/>
      <c r="GJ565" s="184"/>
      <c r="GK565" s="184"/>
      <c r="GL565" s="184"/>
      <c r="GM565" s="184"/>
      <c r="GN565" s="184"/>
      <c r="GO565" s="184"/>
      <c r="GP565" s="184"/>
      <c r="GQ565" s="184"/>
      <c r="GR565" s="184"/>
      <c r="GS565" s="184"/>
      <c r="GT565" s="184"/>
      <c r="GU565" s="184"/>
      <c r="GV565" s="184"/>
      <c r="GW565" s="184"/>
      <c r="GX565" s="184"/>
      <c r="GY565" s="184"/>
      <c r="GZ565" s="184"/>
      <c r="HA565" s="184"/>
      <c r="HB565" s="184"/>
      <c r="HC565" s="184"/>
      <c r="HD565" s="184"/>
      <c r="HE565" s="184"/>
      <c r="HF565" s="184"/>
      <c r="HG565" s="184"/>
      <c r="HH565" s="184"/>
      <c r="HI565" s="184"/>
      <c r="HJ565" s="184"/>
      <c r="HK565" s="184"/>
      <c r="HL565" s="184"/>
      <c r="HM565" s="184"/>
      <c r="HN565" s="184"/>
      <c r="HO565" s="184"/>
      <c r="HP565" s="184"/>
      <c r="HQ565" s="184"/>
      <c r="HR565" s="184"/>
      <c r="HS565" s="184"/>
      <c r="HT565" s="184"/>
      <c r="HU565" s="184"/>
      <c r="HV565" s="184"/>
      <c r="HW565" s="184"/>
      <c r="HX565" s="184"/>
      <c r="HY565" s="184"/>
      <c r="HZ565" s="184"/>
      <c r="IA565" s="184"/>
      <c r="IB565" s="184"/>
      <c r="IC565" s="184"/>
      <c r="ID565" s="184"/>
      <c r="IE565" s="184"/>
      <c r="IF565" s="184"/>
      <c r="IG565" s="184"/>
      <c r="IH565" s="184"/>
      <c r="II565" s="184"/>
      <c r="IJ565" s="184"/>
      <c r="IK565" s="184"/>
      <c r="IL565" s="184"/>
      <c r="IM565" s="184"/>
      <c r="IN565" s="184"/>
      <c r="IO565" s="184"/>
      <c r="IP565" s="184"/>
      <c r="IQ565" s="184"/>
      <c r="IR565" s="184"/>
      <c r="IS565" s="184"/>
      <c r="IT565" s="184"/>
      <c r="IU565" s="184"/>
      <c r="IV565" s="184"/>
      <c r="IW565" s="184"/>
    </row>
    <row r="566" spans="1:257" x14ac:dyDescent="0.2">
      <c r="A566" s="159">
        <v>615196</v>
      </c>
      <c r="B566" s="160" t="s">
        <v>120</v>
      </c>
      <c r="C566" s="148" t="s">
        <v>73</v>
      </c>
      <c r="D566" s="148" t="s">
        <v>183</v>
      </c>
      <c r="E566" s="240">
        <v>0</v>
      </c>
      <c r="F566" s="240">
        <v>0</v>
      </c>
      <c r="G566" s="240">
        <v>248.94</v>
      </c>
      <c r="H566" s="240">
        <v>0</v>
      </c>
      <c r="I566" s="240">
        <v>0</v>
      </c>
      <c r="J566" s="240">
        <v>0</v>
      </c>
      <c r="K566" s="240">
        <v>0</v>
      </c>
      <c r="L566" s="240">
        <v>0</v>
      </c>
      <c r="M566" s="240">
        <v>0</v>
      </c>
      <c r="N566" s="240">
        <v>0</v>
      </c>
      <c r="O566" s="240">
        <v>0</v>
      </c>
      <c r="P566" s="240">
        <v>0</v>
      </c>
      <c r="Q566" s="240">
        <v>0</v>
      </c>
      <c r="R566" s="240">
        <v>0</v>
      </c>
      <c r="S566" s="242">
        <f>SUM(E566:Q566)</f>
        <v>248.94</v>
      </c>
      <c r="Z566"/>
    </row>
    <row r="567" spans="1:257" x14ac:dyDescent="0.2">
      <c r="A567" s="159">
        <v>615196</v>
      </c>
      <c r="B567" s="160" t="s">
        <v>120</v>
      </c>
      <c r="C567" s="148" t="s">
        <v>73</v>
      </c>
      <c r="D567" s="148" t="s">
        <v>192</v>
      </c>
      <c r="E567" s="240">
        <v>0</v>
      </c>
      <c r="F567" s="240">
        <v>0</v>
      </c>
      <c r="G567" s="240">
        <v>0</v>
      </c>
      <c r="H567" s="240">
        <v>0</v>
      </c>
      <c r="I567" s="240">
        <v>0</v>
      </c>
      <c r="J567" s="240">
        <v>0</v>
      </c>
      <c r="K567" s="240">
        <v>0</v>
      </c>
      <c r="L567" s="240">
        <v>0</v>
      </c>
      <c r="M567" s="240">
        <v>0</v>
      </c>
      <c r="N567" s="240">
        <v>1274.69</v>
      </c>
      <c r="O567" s="240">
        <v>112.34</v>
      </c>
      <c r="P567" s="240">
        <v>0</v>
      </c>
      <c r="Q567" s="240">
        <v>0</v>
      </c>
      <c r="R567" s="240">
        <v>0</v>
      </c>
      <c r="S567" s="242">
        <f>SUM(E567:Q567)</f>
        <v>1387.03</v>
      </c>
      <c r="Z567"/>
    </row>
    <row r="568" spans="1:257" x14ac:dyDescent="0.2">
      <c r="A568" s="159">
        <v>615196</v>
      </c>
      <c r="B568" s="160" t="s">
        <v>120</v>
      </c>
      <c r="C568" s="148" t="s">
        <v>73</v>
      </c>
      <c r="D568" s="148" t="s">
        <v>182</v>
      </c>
      <c r="E568" s="240">
        <v>0</v>
      </c>
      <c r="F568" s="240">
        <v>510.11</v>
      </c>
      <c r="G568" s="240">
        <v>510.14</v>
      </c>
      <c r="H568" s="240">
        <v>510.14</v>
      </c>
      <c r="I568" s="240">
        <v>510.15</v>
      </c>
      <c r="J568" s="240">
        <v>510.15</v>
      </c>
      <c r="K568" s="240">
        <v>510.15</v>
      </c>
      <c r="L568" s="240">
        <v>510.15</v>
      </c>
      <c r="M568" s="240">
        <v>510.15</v>
      </c>
      <c r="N568" s="240">
        <v>510.15</v>
      </c>
      <c r="O568" s="240">
        <v>510.15</v>
      </c>
      <c r="P568" s="240">
        <v>510.15</v>
      </c>
      <c r="Q568" s="240">
        <v>510.06</v>
      </c>
      <c r="R568" s="240">
        <v>0</v>
      </c>
      <c r="S568" s="242">
        <f>SUM(E568:Q568)</f>
        <v>6121.65</v>
      </c>
      <c r="Z568"/>
    </row>
    <row r="569" spans="1:257" s="175" customFormat="1" x14ac:dyDescent="0.2">
      <c r="A569" s="270"/>
      <c r="B569" s="235"/>
      <c r="C569" s="148"/>
      <c r="D569" s="148"/>
      <c r="E569" s="240"/>
      <c r="F569" s="240"/>
      <c r="G569" s="240"/>
      <c r="H569" s="240"/>
      <c r="I569" s="240"/>
      <c r="J569" s="240"/>
      <c r="K569" s="240"/>
      <c r="L569" s="240"/>
      <c r="M569" s="240"/>
      <c r="N569" s="240"/>
      <c r="O569" s="240"/>
      <c r="P569" s="240"/>
      <c r="Q569" s="240"/>
      <c r="R569" s="240"/>
      <c r="S569" s="245"/>
      <c r="T569"/>
      <c r="U569" s="184"/>
      <c r="V569" s="332"/>
      <c r="X569" s="184"/>
      <c r="Y569" s="184"/>
      <c r="Z569"/>
      <c r="AA569" s="184"/>
      <c r="AB569" s="184"/>
      <c r="AC569" s="184"/>
      <c r="AD569" s="184"/>
      <c r="AE569" s="184"/>
      <c r="AF569" s="184"/>
      <c r="AG569" s="184"/>
      <c r="AH569" s="184"/>
      <c r="AI569" s="184"/>
      <c r="AJ569" s="184"/>
      <c r="AK569" s="184"/>
      <c r="AL569" s="184"/>
      <c r="AM569" s="184"/>
      <c r="AN569" s="184"/>
      <c r="AO569" s="184"/>
      <c r="AP569" s="184"/>
      <c r="AQ569" s="184"/>
      <c r="AR569" s="184"/>
      <c r="AS569" s="184"/>
      <c r="AT569" s="184"/>
      <c r="AU569" s="184"/>
      <c r="AV569" s="184"/>
      <c r="AW569" s="184"/>
      <c r="AX569" s="184"/>
      <c r="AY569" s="184"/>
      <c r="AZ569" s="184"/>
      <c r="BA569" s="184"/>
      <c r="BB569" s="184"/>
      <c r="BC569" s="184"/>
      <c r="BD569" s="184"/>
      <c r="BE569" s="184"/>
      <c r="BF569" s="184"/>
      <c r="BG569" s="184"/>
      <c r="BH569" s="184"/>
      <c r="BI569" s="184"/>
      <c r="BJ569" s="184"/>
      <c r="BK569" s="184"/>
      <c r="BL569" s="184"/>
      <c r="BM569" s="184"/>
      <c r="BN569" s="184"/>
      <c r="BO569" s="184"/>
      <c r="BP569" s="184"/>
      <c r="BQ569" s="184"/>
      <c r="BR569" s="184"/>
      <c r="BS569" s="184"/>
      <c r="BT569" s="184"/>
      <c r="BU569" s="184"/>
      <c r="BV569" s="184"/>
      <c r="BW569" s="184"/>
      <c r="BX569" s="184"/>
      <c r="BY569" s="184"/>
      <c r="BZ569" s="184"/>
      <c r="CA569" s="184"/>
      <c r="CB569" s="184"/>
      <c r="CC569" s="184"/>
      <c r="CD569" s="184"/>
      <c r="CE569" s="184"/>
      <c r="CF569" s="184"/>
      <c r="CG569" s="184"/>
      <c r="CH569" s="184"/>
      <c r="CI569" s="184"/>
      <c r="CJ569" s="184"/>
      <c r="CK569" s="184"/>
      <c r="CL569" s="184"/>
      <c r="CM569" s="184"/>
      <c r="CN569" s="184"/>
      <c r="CO569" s="184"/>
      <c r="CP569" s="184"/>
      <c r="CQ569" s="184"/>
      <c r="CR569" s="184"/>
      <c r="CS569" s="184"/>
      <c r="CT569" s="184"/>
      <c r="CU569" s="184"/>
      <c r="CV569" s="184"/>
      <c r="CW569" s="184"/>
      <c r="CX569" s="184"/>
      <c r="CY569" s="184"/>
      <c r="CZ569" s="184"/>
      <c r="DA569" s="184"/>
      <c r="DB569" s="184"/>
      <c r="DC569" s="184"/>
      <c r="DD569" s="184"/>
      <c r="DE569" s="184"/>
      <c r="DF569" s="184"/>
      <c r="DG569" s="184"/>
      <c r="DH569" s="184"/>
      <c r="DI569" s="184"/>
      <c r="DJ569" s="184"/>
      <c r="DK569" s="184"/>
      <c r="DL569" s="184"/>
      <c r="DM569" s="184"/>
      <c r="DN569" s="184"/>
      <c r="DO569" s="184"/>
      <c r="DP569" s="184"/>
      <c r="DQ569" s="184"/>
      <c r="DR569" s="184"/>
      <c r="DS569" s="184"/>
      <c r="DT569" s="184"/>
      <c r="DU569" s="184"/>
      <c r="DV569" s="184"/>
      <c r="DW569" s="184"/>
      <c r="DX569" s="184"/>
      <c r="DY569" s="184"/>
      <c r="DZ569" s="184"/>
      <c r="EA569" s="184"/>
      <c r="EB569" s="184"/>
      <c r="EC569" s="184"/>
      <c r="ED569" s="184"/>
      <c r="EE569" s="184"/>
      <c r="EF569" s="184"/>
      <c r="EG569" s="184"/>
      <c r="EH569" s="184"/>
      <c r="EI569" s="184"/>
      <c r="EJ569" s="184"/>
      <c r="EK569" s="184"/>
      <c r="EL569" s="184"/>
      <c r="EM569" s="184"/>
      <c r="EN569" s="184"/>
      <c r="EO569" s="184"/>
      <c r="EP569" s="184"/>
      <c r="EQ569" s="184"/>
      <c r="ER569" s="184"/>
      <c r="ES569" s="184"/>
      <c r="ET569" s="184"/>
      <c r="EU569" s="184"/>
      <c r="EV569" s="184"/>
      <c r="EW569" s="184"/>
      <c r="EX569" s="184"/>
      <c r="EY569" s="184"/>
      <c r="EZ569" s="184"/>
      <c r="FA569" s="184"/>
      <c r="FB569" s="184"/>
      <c r="FC569" s="184"/>
      <c r="FD569" s="184"/>
      <c r="FE569" s="184"/>
      <c r="FF569" s="184"/>
      <c r="FG569" s="184"/>
      <c r="FH569" s="184"/>
      <c r="FI569" s="184"/>
      <c r="FJ569" s="184"/>
      <c r="FK569" s="184"/>
      <c r="FL569" s="184"/>
      <c r="FM569" s="184"/>
      <c r="FN569" s="184"/>
      <c r="FO569" s="184"/>
      <c r="FP569" s="184"/>
      <c r="FQ569" s="184"/>
      <c r="FR569" s="184"/>
      <c r="FS569" s="184"/>
      <c r="FT569" s="184"/>
      <c r="FU569" s="184"/>
      <c r="FV569" s="184"/>
      <c r="FW569" s="184"/>
      <c r="FX569" s="184"/>
      <c r="FY569" s="184"/>
      <c r="FZ569" s="184"/>
      <c r="GA569" s="184"/>
      <c r="GB569" s="184"/>
      <c r="GC569" s="184"/>
      <c r="GD569" s="184"/>
      <c r="GE569" s="184"/>
      <c r="GF569" s="184"/>
      <c r="GG569" s="184"/>
      <c r="GH569" s="184"/>
      <c r="GI569" s="184"/>
      <c r="GJ569" s="184"/>
      <c r="GK569" s="184"/>
      <c r="GL569" s="184"/>
      <c r="GM569" s="184"/>
      <c r="GN569" s="184"/>
      <c r="GO569" s="184"/>
      <c r="GP569" s="184"/>
      <c r="GQ569" s="184"/>
      <c r="GR569" s="184"/>
      <c r="GS569" s="184"/>
      <c r="GT569" s="184"/>
      <c r="GU569" s="184"/>
      <c r="GV569" s="184"/>
      <c r="GW569" s="184"/>
      <c r="GX569" s="184"/>
      <c r="GY569" s="184"/>
      <c r="GZ569" s="184"/>
      <c r="HA569" s="184"/>
      <c r="HB569" s="184"/>
      <c r="HC569" s="184"/>
      <c r="HD569" s="184"/>
      <c r="HE569" s="184"/>
      <c r="HF569" s="184"/>
      <c r="HG569" s="184"/>
      <c r="HH569" s="184"/>
      <c r="HI569" s="184"/>
      <c r="HJ569" s="184"/>
      <c r="HK569" s="184"/>
      <c r="HL569" s="184"/>
      <c r="HM569" s="184"/>
      <c r="HN569" s="184"/>
      <c r="HO569" s="184"/>
      <c r="HP569" s="184"/>
      <c r="HQ569" s="184"/>
      <c r="HR569" s="184"/>
      <c r="HS569" s="184"/>
      <c r="HT569" s="184"/>
      <c r="HU569" s="184"/>
      <c r="HV569" s="184"/>
      <c r="HW569" s="184"/>
      <c r="HX569" s="184"/>
      <c r="HY569" s="184"/>
      <c r="HZ569" s="184"/>
      <c r="IA569" s="184"/>
      <c r="IB569" s="184"/>
      <c r="IC569" s="184"/>
      <c r="ID569" s="184"/>
      <c r="IE569" s="184"/>
      <c r="IF569" s="184"/>
      <c r="IG569" s="184"/>
      <c r="IH569" s="184"/>
      <c r="II569" s="184"/>
      <c r="IJ569" s="184"/>
      <c r="IK569" s="184"/>
      <c r="IL569" s="184"/>
      <c r="IM569" s="184"/>
      <c r="IN569" s="184"/>
      <c r="IO569" s="184"/>
      <c r="IP569" s="184"/>
      <c r="IQ569" s="184"/>
      <c r="IR569" s="184"/>
      <c r="IS569" s="184"/>
      <c r="IT569" s="184"/>
      <c r="IU569" s="184"/>
      <c r="IV569" s="184"/>
      <c r="IW569" s="184"/>
    </row>
    <row r="570" spans="1:257" x14ac:dyDescent="0.2">
      <c r="A570" s="159">
        <v>615196</v>
      </c>
      <c r="B570" s="160" t="s">
        <v>120</v>
      </c>
      <c r="C570" s="148" t="s">
        <v>67</v>
      </c>
      <c r="D570" s="148" t="s">
        <v>183</v>
      </c>
      <c r="E570" s="240">
        <v>0</v>
      </c>
      <c r="F570" s="240">
        <v>0</v>
      </c>
      <c r="G570" s="240">
        <v>0</v>
      </c>
      <c r="H570" s="240">
        <v>0</v>
      </c>
      <c r="I570" s="240">
        <v>0</v>
      </c>
      <c r="J570" s="240">
        <v>0</v>
      </c>
      <c r="K570" s="240">
        <v>0</v>
      </c>
      <c r="L570" s="240">
        <v>0</v>
      </c>
      <c r="M570" s="240">
        <v>439.35</v>
      </c>
      <c r="N570" s="240">
        <v>0</v>
      </c>
      <c r="O570" s="240">
        <v>803.96</v>
      </c>
      <c r="P570" s="240">
        <v>0</v>
      </c>
      <c r="Q570" s="240">
        <v>0</v>
      </c>
      <c r="R570" s="240">
        <v>0</v>
      </c>
      <c r="S570" s="242">
        <f>SUM(E570:Q570)</f>
        <v>1243.31</v>
      </c>
      <c r="Z570"/>
    </row>
    <row r="571" spans="1:257" x14ac:dyDescent="0.2">
      <c r="A571" s="159">
        <v>615196</v>
      </c>
      <c r="B571" s="160" t="s">
        <v>120</v>
      </c>
      <c r="C571" s="148" t="s">
        <v>67</v>
      </c>
      <c r="D571" s="148" t="s">
        <v>192</v>
      </c>
      <c r="E571" s="240">
        <v>0</v>
      </c>
      <c r="F571" s="240">
        <v>0</v>
      </c>
      <c r="G571" s="240">
        <v>0</v>
      </c>
      <c r="H571" s="240">
        <v>0</v>
      </c>
      <c r="I571" s="240">
        <v>0</v>
      </c>
      <c r="J571" s="240">
        <v>0</v>
      </c>
      <c r="K571" s="240">
        <v>0</v>
      </c>
      <c r="L571" s="240">
        <v>0</v>
      </c>
      <c r="M571" s="240">
        <v>0</v>
      </c>
      <c r="N571" s="240">
        <v>0</v>
      </c>
      <c r="O571" s="240">
        <v>0</v>
      </c>
      <c r="P571" s="240">
        <v>0</v>
      </c>
      <c r="Q571" s="240">
        <v>0</v>
      </c>
      <c r="R571" s="240">
        <v>0</v>
      </c>
      <c r="S571" s="242">
        <f>SUM(E571:Q571)</f>
        <v>0</v>
      </c>
      <c r="Z571"/>
    </row>
    <row r="572" spans="1:257" x14ac:dyDescent="0.2">
      <c r="A572" s="159">
        <v>615196</v>
      </c>
      <c r="B572" s="160" t="s">
        <v>120</v>
      </c>
      <c r="C572" s="148" t="s">
        <v>67</v>
      </c>
      <c r="D572" s="148" t="s">
        <v>182</v>
      </c>
      <c r="E572" s="240">
        <v>0</v>
      </c>
      <c r="F572" s="240">
        <v>525</v>
      </c>
      <c r="G572" s="240">
        <v>525</v>
      </c>
      <c r="H572" s="240">
        <v>525</v>
      </c>
      <c r="I572" s="240">
        <v>525</v>
      </c>
      <c r="J572" s="240">
        <v>525</v>
      </c>
      <c r="K572" s="240">
        <v>525</v>
      </c>
      <c r="L572" s="240">
        <v>525</v>
      </c>
      <c r="M572" s="240">
        <v>525</v>
      </c>
      <c r="N572" s="240">
        <v>525</v>
      </c>
      <c r="O572" s="240">
        <v>525</v>
      </c>
      <c r="P572" s="240">
        <v>525</v>
      </c>
      <c r="Q572" s="240">
        <v>525</v>
      </c>
      <c r="R572" s="240">
        <v>0</v>
      </c>
      <c r="S572" s="242">
        <f>SUM(E572:Q572)</f>
        <v>6300</v>
      </c>
      <c r="Z572"/>
    </row>
    <row r="573" spans="1:257" s="175" customFormat="1" x14ac:dyDescent="0.2">
      <c r="A573" s="270"/>
      <c r="B573" s="235"/>
      <c r="C573" s="148"/>
      <c r="D573" s="148"/>
      <c r="E573" s="240"/>
      <c r="F573" s="240"/>
      <c r="G573" s="240"/>
      <c r="H573" s="240"/>
      <c r="I573" s="240"/>
      <c r="J573" s="240"/>
      <c r="K573" s="240"/>
      <c r="L573" s="240"/>
      <c r="M573" s="240"/>
      <c r="N573" s="240"/>
      <c r="O573" s="240"/>
      <c r="P573" s="240"/>
      <c r="Q573" s="240"/>
      <c r="R573" s="240"/>
      <c r="S573" s="245"/>
      <c r="T573"/>
      <c r="U573" s="184"/>
      <c r="V573" s="332"/>
      <c r="X573" s="184"/>
      <c r="Y573" s="184"/>
      <c r="Z573"/>
      <c r="AA573" s="184"/>
      <c r="AB573" s="184"/>
      <c r="AC573" s="184"/>
      <c r="AD573" s="184"/>
      <c r="AE573" s="184"/>
      <c r="AF573" s="184"/>
      <c r="AG573" s="184"/>
      <c r="AH573" s="184"/>
      <c r="AI573" s="184"/>
      <c r="AJ573" s="184"/>
      <c r="AK573" s="184"/>
      <c r="AL573" s="184"/>
      <c r="AM573" s="184"/>
      <c r="AN573" s="184"/>
      <c r="AO573" s="184"/>
      <c r="AP573" s="184"/>
      <c r="AQ573" s="184"/>
      <c r="AR573" s="184"/>
      <c r="AS573" s="184"/>
      <c r="AT573" s="184"/>
      <c r="AU573" s="184"/>
      <c r="AV573" s="184"/>
      <c r="AW573" s="184"/>
      <c r="AX573" s="184"/>
      <c r="AY573" s="184"/>
      <c r="AZ573" s="184"/>
      <c r="BA573" s="184"/>
      <c r="BB573" s="184"/>
      <c r="BC573" s="184"/>
      <c r="BD573" s="184"/>
      <c r="BE573" s="184"/>
      <c r="BF573" s="184"/>
      <c r="BG573" s="184"/>
      <c r="BH573" s="184"/>
      <c r="BI573" s="184"/>
      <c r="BJ573" s="184"/>
      <c r="BK573" s="184"/>
      <c r="BL573" s="184"/>
      <c r="BM573" s="184"/>
      <c r="BN573" s="184"/>
      <c r="BO573" s="184"/>
      <c r="BP573" s="184"/>
      <c r="BQ573" s="184"/>
      <c r="BR573" s="184"/>
      <c r="BS573" s="184"/>
      <c r="BT573" s="184"/>
      <c r="BU573" s="184"/>
      <c r="BV573" s="184"/>
      <c r="BW573" s="184"/>
      <c r="BX573" s="184"/>
      <c r="BY573" s="184"/>
      <c r="BZ573" s="184"/>
      <c r="CA573" s="184"/>
      <c r="CB573" s="184"/>
      <c r="CC573" s="184"/>
      <c r="CD573" s="184"/>
      <c r="CE573" s="184"/>
      <c r="CF573" s="184"/>
      <c r="CG573" s="184"/>
      <c r="CH573" s="184"/>
      <c r="CI573" s="184"/>
      <c r="CJ573" s="184"/>
      <c r="CK573" s="184"/>
      <c r="CL573" s="184"/>
      <c r="CM573" s="184"/>
      <c r="CN573" s="184"/>
      <c r="CO573" s="184"/>
      <c r="CP573" s="184"/>
      <c r="CQ573" s="184"/>
      <c r="CR573" s="184"/>
      <c r="CS573" s="184"/>
      <c r="CT573" s="184"/>
      <c r="CU573" s="184"/>
      <c r="CV573" s="184"/>
      <c r="CW573" s="184"/>
      <c r="CX573" s="184"/>
      <c r="CY573" s="184"/>
      <c r="CZ573" s="184"/>
      <c r="DA573" s="184"/>
      <c r="DB573" s="184"/>
      <c r="DC573" s="184"/>
      <c r="DD573" s="184"/>
      <c r="DE573" s="184"/>
      <c r="DF573" s="184"/>
      <c r="DG573" s="184"/>
      <c r="DH573" s="184"/>
      <c r="DI573" s="184"/>
      <c r="DJ573" s="184"/>
      <c r="DK573" s="184"/>
      <c r="DL573" s="184"/>
      <c r="DM573" s="184"/>
      <c r="DN573" s="184"/>
      <c r="DO573" s="184"/>
      <c r="DP573" s="184"/>
      <c r="DQ573" s="184"/>
      <c r="DR573" s="184"/>
      <c r="DS573" s="184"/>
      <c r="DT573" s="184"/>
      <c r="DU573" s="184"/>
      <c r="DV573" s="184"/>
      <c r="DW573" s="184"/>
      <c r="DX573" s="184"/>
      <c r="DY573" s="184"/>
      <c r="DZ573" s="184"/>
      <c r="EA573" s="184"/>
      <c r="EB573" s="184"/>
      <c r="EC573" s="184"/>
      <c r="ED573" s="184"/>
      <c r="EE573" s="184"/>
      <c r="EF573" s="184"/>
      <c r="EG573" s="184"/>
      <c r="EH573" s="184"/>
      <c r="EI573" s="184"/>
      <c r="EJ573" s="184"/>
      <c r="EK573" s="184"/>
      <c r="EL573" s="184"/>
      <c r="EM573" s="184"/>
      <c r="EN573" s="184"/>
      <c r="EO573" s="184"/>
      <c r="EP573" s="184"/>
      <c r="EQ573" s="184"/>
      <c r="ER573" s="184"/>
      <c r="ES573" s="184"/>
      <c r="ET573" s="184"/>
      <c r="EU573" s="184"/>
      <c r="EV573" s="184"/>
      <c r="EW573" s="184"/>
      <c r="EX573" s="184"/>
      <c r="EY573" s="184"/>
      <c r="EZ573" s="184"/>
      <c r="FA573" s="184"/>
      <c r="FB573" s="184"/>
      <c r="FC573" s="184"/>
      <c r="FD573" s="184"/>
      <c r="FE573" s="184"/>
      <c r="FF573" s="184"/>
      <c r="FG573" s="184"/>
      <c r="FH573" s="184"/>
      <c r="FI573" s="184"/>
      <c r="FJ573" s="184"/>
      <c r="FK573" s="184"/>
      <c r="FL573" s="184"/>
      <c r="FM573" s="184"/>
      <c r="FN573" s="184"/>
      <c r="FO573" s="184"/>
      <c r="FP573" s="184"/>
      <c r="FQ573" s="184"/>
      <c r="FR573" s="184"/>
      <c r="FS573" s="184"/>
      <c r="FT573" s="184"/>
      <c r="FU573" s="184"/>
      <c r="FV573" s="184"/>
      <c r="FW573" s="184"/>
      <c r="FX573" s="184"/>
      <c r="FY573" s="184"/>
      <c r="FZ573" s="184"/>
      <c r="GA573" s="184"/>
      <c r="GB573" s="184"/>
      <c r="GC573" s="184"/>
      <c r="GD573" s="184"/>
      <c r="GE573" s="184"/>
      <c r="GF573" s="184"/>
      <c r="GG573" s="184"/>
      <c r="GH573" s="184"/>
      <c r="GI573" s="184"/>
      <c r="GJ573" s="184"/>
      <c r="GK573" s="184"/>
      <c r="GL573" s="184"/>
      <c r="GM573" s="184"/>
      <c r="GN573" s="184"/>
      <c r="GO573" s="184"/>
      <c r="GP573" s="184"/>
      <c r="GQ573" s="184"/>
      <c r="GR573" s="184"/>
      <c r="GS573" s="184"/>
      <c r="GT573" s="184"/>
      <c r="GU573" s="184"/>
      <c r="GV573" s="184"/>
      <c r="GW573" s="184"/>
      <c r="GX573" s="184"/>
      <c r="GY573" s="184"/>
      <c r="GZ573" s="184"/>
      <c r="HA573" s="184"/>
      <c r="HB573" s="184"/>
      <c r="HC573" s="184"/>
      <c r="HD573" s="184"/>
      <c r="HE573" s="184"/>
      <c r="HF573" s="184"/>
      <c r="HG573" s="184"/>
      <c r="HH573" s="184"/>
      <c r="HI573" s="184"/>
      <c r="HJ573" s="184"/>
      <c r="HK573" s="184"/>
      <c r="HL573" s="184"/>
      <c r="HM573" s="184"/>
      <c r="HN573" s="184"/>
      <c r="HO573" s="184"/>
      <c r="HP573" s="184"/>
      <c r="HQ573" s="184"/>
      <c r="HR573" s="184"/>
      <c r="HS573" s="184"/>
      <c r="HT573" s="184"/>
      <c r="HU573" s="184"/>
      <c r="HV573" s="184"/>
      <c r="HW573" s="184"/>
      <c r="HX573" s="184"/>
      <c r="HY573" s="184"/>
      <c r="HZ573" s="184"/>
      <c r="IA573" s="184"/>
      <c r="IB573" s="184"/>
      <c r="IC573" s="184"/>
      <c r="ID573" s="184"/>
      <c r="IE573" s="184"/>
      <c r="IF573" s="184"/>
      <c r="IG573" s="184"/>
      <c r="IH573" s="184"/>
      <c r="II573" s="184"/>
      <c r="IJ573" s="184"/>
      <c r="IK573" s="184"/>
      <c r="IL573" s="184"/>
      <c r="IM573" s="184"/>
      <c r="IN573" s="184"/>
      <c r="IO573" s="184"/>
      <c r="IP573" s="184"/>
      <c r="IQ573" s="184"/>
      <c r="IR573" s="184"/>
      <c r="IS573" s="184"/>
      <c r="IT573" s="184"/>
      <c r="IU573" s="184"/>
      <c r="IV573" s="184"/>
      <c r="IW573" s="184"/>
    </row>
    <row r="574" spans="1:257" x14ac:dyDescent="0.2">
      <c r="A574" s="159">
        <v>615196</v>
      </c>
      <c r="B574" s="160" t="s">
        <v>120</v>
      </c>
      <c r="C574" s="148" t="s">
        <v>62</v>
      </c>
      <c r="D574" s="148" t="s">
        <v>192</v>
      </c>
      <c r="E574" s="240">
        <v>0</v>
      </c>
      <c r="F574" s="240">
        <v>0</v>
      </c>
      <c r="G574" s="240">
        <v>0</v>
      </c>
      <c r="H574" s="240">
        <v>0</v>
      </c>
      <c r="I574" s="240">
        <v>0</v>
      </c>
      <c r="J574" s="240">
        <v>0</v>
      </c>
      <c r="K574" s="240">
        <v>0</v>
      </c>
      <c r="L574" s="240">
        <v>0</v>
      </c>
      <c r="M574" s="240">
        <v>0</v>
      </c>
      <c r="N574" s="240">
        <v>0</v>
      </c>
      <c r="O574" s="240">
        <v>0</v>
      </c>
      <c r="P574" s="240">
        <v>0</v>
      </c>
      <c r="Q574" s="240">
        <v>0</v>
      </c>
      <c r="R574" s="240">
        <v>0</v>
      </c>
      <c r="S574" s="242">
        <f>SUM(E574:Q574)</f>
        <v>0</v>
      </c>
      <c r="Z574"/>
    </row>
    <row r="575" spans="1:257" x14ac:dyDescent="0.2">
      <c r="A575" s="159">
        <v>615196</v>
      </c>
      <c r="B575" s="160" t="s">
        <v>120</v>
      </c>
      <c r="C575" s="148" t="s">
        <v>62</v>
      </c>
      <c r="D575" s="148" t="s">
        <v>179</v>
      </c>
      <c r="E575" s="240">
        <v>0</v>
      </c>
      <c r="F575" s="240">
        <v>0</v>
      </c>
      <c r="G575" s="240">
        <v>0</v>
      </c>
      <c r="H575" s="240">
        <v>0</v>
      </c>
      <c r="I575" s="240">
        <v>0</v>
      </c>
      <c r="J575" s="240">
        <v>0</v>
      </c>
      <c r="K575" s="240">
        <v>0</v>
      </c>
      <c r="L575" s="240">
        <v>0</v>
      </c>
      <c r="M575" s="240">
        <v>0</v>
      </c>
      <c r="N575" s="240">
        <v>0</v>
      </c>
      <c r="O575" s="240">
        <v>0</v>
      </c>
      <c r="P575" s="240">
        <v>0</v>
      </c>
      <c r="Q575" s="240">
        <v>0</v>
      </c>
      <c r="R575" s="240">
        <v>0</v>
      </c>
      <c r="S575" s="242">
        <f>SUM(E575:Q575)</f>
        <v>0</v>
      </c>
      <c r="Z575"/>
    </row>
    <row r="576" spans="1:257" s="175" customFormat="1" x14ac:dyDescent="0.2">
      <c r="A576" s="270"/>
      <c r="B576" s="235"/>
      <c r="C576" s="148"/>
      <c r="D576" s="148"/>
      <c r="E576" s="240"/>
      <c r="F576" s="240"/>
      <c r="G576" s="240"/>
      <c r="H576" s="240"/>
      <c r="I576" s="240"/>
      <c r="J576" s="240"/>
      <c r="K576" s="240"/>
      <c r="L576" s="240"/>
      <c r="M576" s="240"/>
      <c r="N576" s="240"/>
      <c r="O576" s="240"/>
      <c r="P576" s="240"/>
      <c r="Q576" s="240"/>
      <c r="R576" s="240"/>
      <c r="S576" s="245"/>
      <c r="T576"/>
      <c r="U576" s="184"/>
      <c r="V576" s="332"/>
      <c r="X576" s="184"/>
      <c r="Y576" s="184"/>
      <c r="Z576"/>
      <c r="AA576" s="184"/>
      <c r="AB576" s="184"/>
      <c r="AC576" s="184"/>
      <c r="AD576" s="184"/>
      <c r="AE576" s="184"/>
      <c r="AF576" s="184"/>
      <c r="AG576" s="184"/>
      <c r="AH576" s="184"/>
      <c r="AI576" s="184"/>
      <c r="AJ576" s="184"/>
      <c r="AK576" s="184"/>
      <c r="AL576" s="184"/>
      <c r="AM576" s="184"/>
      <c r="AN576" s="184"/>
      <c r="AO576" s="184"/>
      <c r="AP576" s="184"/>
      <c r="AQ576" s="184"/>
      <c r="AR576" s="184"/>
      <c r="AS576" s="184"/>
      <c r="AT576" s="184"/>
      <c r="AU576" s="184"/>
      <c r="AV576" s="184"/>
      <c r="AW576" s="184"/>
      <c r="AX576" s="184"/>
      <c r="AY576" s="184"/>
      <c r="AZ576" s="184"/>
      <c r="BA576" s="184"/>
      <c r="BB576" s="184"/>
      <c r="BC576" s="184"/>
      <c r="BD576" s="184"/>
      <c r="BE576" s="184"/>
      <c r="BF576" s="184"/>
      <c r="BG576" s="184"/>
      <c r="BH576" s="184"/>
      <c r="BI576" s="184"/>
      <c r="BJ576" s="184"/>
      <c r="BK576" s="184"/>
      <c r="BL576" s="184"/>
      <c r="BM576" s="184"/>
      <c r="BN576" s="184"/>
      <c r="BO576" s="184"/>
      <c r="BP576" s="184"/>
      <c r="BQ576" s="184"/>
      <c r="BR576" s="184"/>
      <c r="BS576" s="184"/>
      <c r="BT576" s="184"/>
      <c r="BU576" s="184"/>
      <c r="BV576" s="184"/>
      <c r="BW576" s="184"/>
      <c r="BX576" s="184"/>
      <c r="BY576" s="184"/>
      <c r="BZ576" s="184"/>
      <c r="CA576" s="184"/>
      <c r="CB576" s="184"/>
      <c r="CC576" s="184"/>
      <c r="CD576" s="184"/>
      <c r="CE576" s="184"/>
      <c r="CF576" s="184"/>
      <c r="CG576" s="184"/>
      <c r="CH576" s="184"/>
      <c r="CI576" s="184"/>
      <c r="CJ576" s="184"/>
      <c r="CK576" s="184"/>
      <c r="CL576" s="184"/>
      <c r="CM576" s="184"/>
      <c r="CN576" s="184"/>
      <c r="CO576" s="184"/>
      <c r="CP576" s="184"/>
      <c r="CQ576" s="184"/>
      <c r="CR576" s="184"/>
      <c r="CS576" s="184"/>
      <c r="CT576" s="184"/>
      <c r="CU576" s="184"/>
      <c r="CV576" s="184"/>
      <c r="CW576" s="184"/>
      <c r="CX576" s="184"/>
      <c r="CY576" s="184"/>
      <c r="CZ576" s="184"/>
      <c r="DA576" s="184"/>
      <c r="DB576" s="184"/>
      <c r="DC576" s="184"/>
      <c r="DD576" s="184"/>
      <c r="DE576" s="184"/>
      <c r="DF576" s="184"/>
      <c r="DG576" s="184"/>
      <c r="DH576" s="184"/>
      <c r="DI576" s="184"/>
      <c r="DJ576" s="184"/>
      <c r="DK576" s="184"/>
      <c r="DL576" s="184"/>
      <c r="DM576" s="184"/>
      <c r="DN576" s="184"/>
      <c r="DO576" s="184"/>
      <c r="DP576" s="184"/>
      <c r="DQ576" s="184"/>
      <c r="DR576" s="184"/>
      <c r="DS576" s="184"/>
      <c r="DT576" s="184"/>
      <c r="DU576" s="184"/>
      <c r="DV576" s="184"/>
      <c r="DW576" s="184"/>
      <c r="DX576" s="184"/>
      <c r="DY576" s="184"/>
      <c r="DZ576" s="184"/>
      <c r="EA576" s="184"/>
      <c r="EB576" s="184"/>
      <c r="EC576" s="184"/>
      <c r="ED576" s="184"/>
      <c r="EE576" s="184"/>
      <c r="EF576" s="184"/>
      <c r="EG576" s="184"/>
      <c r="EH576" s="184"/>
      <c r="EI576" s="184"/>
      <c r="EJ576" s="184"/>
      <c r="EK576" s="184"/>
      <c r="EL576" s="184"/>
      <c r="EM576" s="184"/>
      <c r="EN576" s="184"/>
      <c r="EO576" s="184"/>
      <c r="EP576" s="184"/>
      <c r="EQ576" s="184"/>
      <c r="ER576" s="184"/>
      <c r="ES576" s="184"/>
      <c r="ET576" s="184"/>
      <c r="EU576" s="184"/>
      <c r="EV576" s="184"/>
      <c r="EW576" s="184"/>
      <c r="EX576" s="184"/>
      <c r="EY576" s="184"/>
      <c r="EZ576" s="184"/>
      <c r="FA576" s="184"/>
      <c r="FB576" s="184"/>
      <c r="FC576" s="184"/>
      <c r="FD576" s="184"/>
      <c r="FE576" s="184"/>
      <c r="FF576" s="184"/>
      <c r="FG576" s="184"/>
      <c r="FH576" s="184"/>
      <c r="FI576" s="184"/>
      <c r="FJ576" s="184"/>
      <c r="FK576" s="184"/>
      <c r="FL576" s="184"/>
      <c r="FM576" s="184"/>
      <c r="FN576" s="184"/>
      <c r="FO576" s="184"/>
      <c r="FP576" s="184"/>
      <c r="FQ576" s="184"/>
      <c r="FR576" s="184"/>
      <c r="FS576" s="184"/>
      <c r="FT576" s="184"/>
      <c r="FU576" s="184"/>
      <c r="FV576" s="184"/>
      <c r="FW576" s="184"/>
      <c r="FX576" s="184"/>
      <c r="FY576" s="184"/>
      <c r="FZ576" s="184"/>
      <c r="GA576" s="184"/>
      <c r="GB576" s="184"/>
      <c r="GC576" s="184"/>
      <c r="GD576" s="184"/>
      <c r="GE576" s="184"/>
      <c r="GF576" s="184"/>
      <c r="GG576" s="184"/>
      <c r="GH576" s="184"/>
      <c r="GI576" s="184"/>
      <c r="GJ576" s="184"/>
      <c r="GK576" s="184"/>
      <c r="GL576" s="184"/>
      <c r="GM576" s="184"/>
      <c r="GN576" s="184"/>
      <c r="GO576" s="184"/>
      <c r="GP576" s="184"/>
      <c r="GQ576" s="184"/>
      <c r="GR576" s="184"/>
      <c r="GS576" s="184"/>
      <c r="GT576" s="184"/>
      <c r="GU576" s="184"/>
      <c r="GV576" s="184"/>
      <c r="GW576" s="184"/>
      <c r="GX576" s="184"/>
      <c r="GY576" s="184"/>
      <c r="GZ576" s="184"/>
      <c r="HA576" s="184"/>
      <c r="HB576" s="184"/>
      <c r="HC576" s="184"/>
      <c r="HD576" s="184"/>
      <c r="HE576" s="184"/>
      <c r="HF576" s="184"/>
      <c r="HG576" s="184"/>
      <c r="HH576" s="184"/>
      <c r="HI576" s="184"/>
      <c r="HJ576" s="184"/>
      <c r="HK576" s="184"/>
      <c r="HL576" s="184"/>
      <c r="HM576" s="184"/>
      <c r="HN576" s="184"/>
      <c r="HO576" s="184"/>
      <c r="HP576" s="184"/>
      <c r="HQ576" s="184"/>
      <c r="HR576" s="184"/>
      <c r="HS576" s="184"/>
      <c r="HT576" s="184"/>
      <c r="HU576" s="184"/>
      <c r="HV576" s="184"/>
      <c r="HW576" s="184"/>
      <c r="HX576" s="184"/>
      <c r="HY576" s="184"/>
      <c r="HZ576" s="184"/>
      <c r="IA576" s="184"/>
      <c r="IB576" s="184"/>
      <c r="IC576" s="184"/>
      <c r="ID576" s="184"/>
      <c r="IE576" s="184"/>
      <c r="IF576" s="184"/>
      <c r="IG576" s="184"/>
      <c r="IH576" s="184"/>
      <c r="II576" s="184"/>
      <c r="IJ576" s="184"/>
      <c r="IK576" s="184"/>
      <c r="IL576" s="184"/>
      <c r="IM576" s="184"/>
      <c r="IN576" s="184"/>
      <c r="IO576" s="184"/>
      <c r="IP576" s="184"/>
      <c r="IQ576" s="184"/>
      <c r="IR576" s="184"/>
      <c r="IS576" s="184"/>
      <c r="IT576" s="184"/>
      <c r="IU576" s="184"/>
      <c r="IV576" s="184"/>
      <c r="IW576" s="184"/>
    </row>
    <row r="577" spans="1:257" x14ac:dyDescent="0.2">
      <c r="A577" s="159">
        <v>615196</v>
      </c>
      <c r="B577" s="160" t="s">
        <v>120</v>
      </c>
      <c r="C577" s="148" t="s">
        <v>80</v>
      </c>
      <c r="D577" s="148" t="s">
        <v>192</v>
      </c>
      <c r="E577" s="240">
        <v>0</v>
      </c>
      <c r="F577" s="240">
        <v>0</v>
      </c>
      <c r="G577" s="240">
        <v>0</v>
      </c>
      <c r="H577" s="240">
        <v>0</v>
      </c>
      <c r="I577" s="240">
        <v>0</v>
      </c>
      <c r="J577" s="240">
        <v>383.18</v>
      </c>
      <c r="K577" s="240">
        <v>0</v>
      </c>
      <c r="L577" s="240">
        <v>0</v>
      </c>
      <c r="M577" s="240">
        <v>0</v>
      </c>
      <c r="N577" s="240">
        <v>0</v>
      </c>
      <c r="O577" s="240">
        <v>0</v>
      </c>
      <c r="P577" s="240">
        <v>606.02</v>
      </c>
      <c r="Q577" s="240">
        <v>0</v>
      </c>
      <c r="R577" s="240">
        <v>0</v>
      </c>
      <c r="S577" s="242">
        <f>SUM(E577:Q577)</f>
        <v>989.2</v>
      </c>
      <c r="Z577"/>
    </row>
    <row r="578" spans="1:257" x14ac:dyDescent="0.2">
      <c r="A578" s="159">
        <v>615196</v>
      </c>
      <c r="B578" s="160" t="s">
        <v>120</v>
      </c>
      <c r="C578" s="148" t="s">
        <v>80</v>
      </c>
      <c r="D578" s="148" t="s">
        <v>183</v>
      </c>
      <c r="E578" s="240">
        <v>0</v>
      </c>
      <c r="F578" s="240">
        <v>0</v>
      </c>
      <c r="G578" s="240">
        <v>0</v>
      </c>
      <c r="H578" s="240">
        <v>0</v>
      </c>
      <c r="I578" s="240">
        <v>0</v>
      </c>
      <c r="J578" s="240">
        <v>0</v>
      </c>
      <c r="K578" s="240">
        <v>0</v>
      </c>
      <c r="L578" s="240">
        <v>0</v>
      </c>
      <c r="M578" s="240">
        <v>0</v>
      </c>
      <c r="N578" s="240">
        <v>0</v>
      </c>
      <c r="O578" s="240">
        <v>0</v>
      </c>
      <c r="P578" s="240">
        <v>0</v>
      </c>
      <c r="Q578" s="240">
        <v>0</v>
      </c>
      <c r="R578" s="240">
        <v>0</v>
      </c>
      <c r="S578" s="242">
        <f>SUM(E578:Q578)</f>
        <v>0</v>
      </c>
      <c r="Z578"/>
    </row>
    <row r="579" spans="1:257" x14ac:dyDescent="0.2">
      <c r="A579" s="159">
        <v>615196</v>
      </c>
      <c r="B579" s="160" t="s">
        <v>120</v>
      </c>
      <c r="C579" s="148" t="s">
        <v>80</v>
      </c>
      <c r="D579" s="148" t="s">
        <v>182</v>
      </c>
      <c r="E579" s="240">
        <v>0</v>
      </c>
      <c r="F579" s="240">
        <v>348.64</v>
      </c>
      <c r="G579" s="240">
        <v>348.62</v>
      </c>
      <c r="H579" s="240">
        <v>348.62</v>
      </c>
      <c r="I579" s="240">
        <v>348.61</v>
      </c>
      <c r="J579" s="240">
        <v>348.61</v>
      </c>
      <c r="K579" s="240">
        <v>348.61</v>
      </c>
      <c r="L579" s="240">
        <v>348.61</v>
      </c>
      <c r="M579" s="240">
        <v>348.61</v>
      </c>
      <c r="N579" s="240">
        <v>348.61</v>
      </c>
      <c r="O579" s="240">
        <v>348.61</v>
      </c>
      <c r="P579" s="240">
        <v>348.61</v>
      </c>
      <c r="Q579" s="240">
        <v>348.62</v>
      </c>
      <c r="R579" s="240">
        <v>0</v>
      </c>
      <c r="S579" s="242">
        <f>SUM(E579:Q579)</f>
        <v>4183.380000000001</v>
      </c>
      <c r="Z579"/>
    </row>
    <row r="580" spans="1:257" s="175" customFormat="1" x14ac:dyDescent="0.2">
      <c r="A580" s="270"/>
      <c r="B580" s="235"/>
      <c r="C580" s="148"/>
      <c r="D580" s="148"/>
      <c r="E580" s="240"/>
      <c r="F580" s="240"/>
      <c r="G580" s="240"/>
      <c r="H580" s="240"/>
      <c r="I580" s="240"/>
      <c r="J580" s="240"/>
      <c r="K580" s="240"/>
      <c r="L580" s="240"/>
      <c r="M580" s="240"/>
      <c r="N580" s="240"/>
      <c r="O580" s="240"/>
      <c r="P580" s="240"/>
      <c r="Q580" s="240"/>
      <c r="R580" s="240"/>
      <c r="S580" s="245"/>
      <c r="T580"/>
      <c r="U580" s="184"/>
      <c r="V580" s="332"/>
      <c r="X580" s="184"/>
      <c r="Y580" s="184"/>
      <c r="Z580"/>
      <c r="AA580" s="184"/>
      <c r="AB580" s="184"/>
      <c r="AC580" s="184"/>
      <c r="AD580" s="184"/>
      <c r="AE580" s="184"/>
      <c r="AF580" s="184"/>
      <c r="AG580" s="184"/>
      <c r="AH580" s="184"/>
      <c r="AI580" s="184"/>
      <c r="AJ580" s="184"/>
      <c r="AK580" s="184"/>
      <c r="AL580" s="184"/>
      <c r="AM580" s="184"/>
      <c r="AN580" s="184"/>
      <c r="AO580" s="184"/>
      <c r="AP580" s="184"/>
      <c r="AQ580" s="184"/>
      <c r="AR580" s="184"/>
      <c r="AS580" s="184"/>
      <c r="AT580" s="184"/>
      <c r="AU580" s="184"/>
      <c r="AV580" s="184"/>
      <c r="AW580" s="184"/>
      <c r="AX580" s="184"/>
      <c r="AY580" s="184"/>
      <c r="AZ580" s="184"/>
      <c r="BA580" s="184"/>
      <c r="BB580" s="184"/>
      <c r="BC580" s="184"/>
      <c r="BD580" s="184"/>
      <c r="BE580" s="184"/>
      <c r="BF580" s="184"/>
      <c r="BG580" s="184"/>
      <c r="BH580" s="184"/>
      <c r="BI580" s="184"/>
      <c r="BJ580" s="184"/>
      <c r="BK580" s="184"/>
      <c r="BL580" s="184"/>
      <c r="BM580" s="184"/>
      <c r="BN580" s="184"/>
      <c r="BO580" s="184"/>
      <c r="BP580" s="184"/>
      <c r="BQ580" s="184"/>
      <c r="BR580" s="184"/>
      <c r="BS580" s="184"/>
      <c r="BT580" s="184"/>
      <c r="BU580" s="184"/>
      <c r="BV580" s="184"/>
      <c r="BW580" s="184"/>
      <c r="BX580" s="184"/>
      <c r="BY580" s="184"/>
      <c r="BZ580" s="184"/>
      <c r="CA580" s="184"/>
      <c r="CB580" s="184"/>
      <c r="CC580" s="184"/>
      <c r="CD580" s="184"/>
      <c r="CE580" s="184"/>
      <c r="CF580" s="184"/>
      <c r="CG580" s="184"/>
      <c r="CH580" s="184"/>
      <c r="CI580" s="184"/>
      <c r="CJ580" s="184"/>
      <c r="CK580" s="184"/>
      <c r="CL580" s="184"/>
      <c r="CM580" s="184"/>
      <c r="CN580" s="184"/>
      <c r="CO580" s="184"/>
      <c r="CP580" s="184"/>
      <c r="CQ580" s="184"/>
      <c r="CR580" s="184"/>
      <c r="CS580" s="184"/>
      <c r="CT580" s="184"/>
      <c r="CU580" s="184"/>
      <c r="CV580" s="184"/>
      <c r="CW580" s="184"/>
      <c r="CX580" s="184"/>
      <c r="CY580" s="184"/>
      <c r="CZ580" s="184"/>
      <c r="DA580" s="184"/>
      <c r="DB580" s="184"/>
      <c r="DC580" s="184"/>
      <c r="DD580" s="184"/>
      <c r="DE580" s="184"/>
      <c r="DF580" s="184"/>
      <c r="DG580" s="184"/>
      <c r="DH580" s="184"/>
      <c r="DI580" s="184"/>
      <c r="DJ580" s="184"/>
      <c r="DK580" s="184"/>
      <c r="DL580" s="184"/>
      <c r="DM580" s="184"/>
      <c r="DN580" s="184"/>
      <c r="DO580" s="184"/>
      <c r="DP580" s="184"/>
      <c r="DQ580" s="184"/>
      <c r="DR580" s="184"/>
      <c r="DS580" s="184"/>
      <c r="DT580" s="184"/>
      <c r="DU580" s="184"/>
      <c r="DV580" s="184"/>
      <c r="DW580" s="184"/>
      <c r="DX580" s="184"/>
      <c r="DY580" s="184"/>
      <c r="DZ580" s="184"/>
      <c r="EA580" s="184"/>
      <c r="EB580" s="184"/>
      <c r="EC580" s="184"/>
      <c r="ED580" s="184"/>
      <c r="EE580" s="184"/>
      <c r="EF580" s="184"/>
      <c r="EG580" s="184"/>
      <c r="EH580" s="184"/>
      <c r="EI580" s="184"/>
      <c r="EJ580" s="184"/>
      <c r="EK580" s="184"/>
      <c r="EL580" s="184"/>
      <c r="EM580" s="184"/>
      <c r="EN580" s="184"/>
      <c r="EO580" s="184"/>
      <c r="EP580" s="184"/>
      <c r="EQ580" s="184"/>
      <c r="ER580" s="184"/>
      <c r="ES580" s="184"/>
      <c r="ET580" s="184"/>
      <c r="EU580" s="184"/>
      <c r="EV580" s="184"/>
      <c r="EW580" s="184"/>
      <c r="EX580" s="184"/>
      <c r="EY580" s="184"/>
      <c r="EZ580" s="184"/>
      <c r="FA580" s="184"/>
      <c r="FB580" s="184"/>
      <c r="FC580" s="184"/>
      <c r="FD580" s="184"/>
      <c r="FE580" s="184"/>
      <c r="FF580" s="184"/>
      <c r="FG580" s="184"/>
      <c r="FH580" s="184"/>
      <c r="FI580" s="184"/>
      <c r="FJ580" s="184"/>
      <c r="FK580" s="184"/>
      <c r="FL580" s="184"/>
      <c r="FM580" s="184"/>
      <c r="FN580" s="184"/>
      <c r="FO580" s="184"/>
      <c r="FP580" s="184"/>
      <c r="FQ580" s="184"/>
      <c r="FR580" s="184"/>
      <c r="FS580" s="184"/>
      <c r="FT580" s="184"/>
      <c r="FU580" s="184"/>
      <c r="FV580" s="184"/>
      <c r="FW580" s="184"/>
      <c r="FX580" s="184"/>
      <c r="FY580" s="184"/>
      <c r="FZ580" s="184"/>
      <c r="GA580" s="184"/>
      <c r="GB580" s="184"/>
      <c r="GC580" s="184"/>
      <c r="GD580" s="184"/>
      <c r="GE580" s="184"/>
      <c r="GF580" s="184"/>
      <c r="GG580" s="184"/>
      <c r="GH580" s="184"/>
      <c r="GI580" s="184"/>
      <c r="GJ580" s="184"/>
      <c r="GK580" s="184"/>
      <c r="GL580" s="184"/>
      <c r="GM580" s="184"/>
      <c r="GN580" s="184"/>
      <c r="GO580" s="184"/>
      <c r="GP580" s="184"/>
      <c r="GQ580" s="184"/>
      <c r="GR580" s="184"/>
      <c r="GS580" s="184"/>
      <c r="GT580" s="184"/>
      <c r="GU580" s="184"/>
      <c r="GV580" s="184"/>
      <c r="GW580" s="184"/>
      <c r="GX580" s="184"/>
      <c r="GY580" s="184"/>
      <c r="GZ580" s="184"/>
      <c r="HA580" s="184"/>
      <c r="HB580" s="184"/>
      <c r="HC580" s="184"/>
      <c r="HD580" s="184"/>
      <c r="HE580" s="184"/>
      <c r="HF580" s="184"/>
      <c r="HG580" s="184"/>
      <c r="HH580" s="184"/>
      <c r="HI580" s="184"/>
      <c r="HJ580" s="184"/>
      <c r="HK580" s="184"/>
      <c r="HL580" s="184"/>
      <c r="HM580" s="184"/>
      <c r="HN580" s="184"/>
      <c r="HO580" s="184"/>
      <c r="HP580" s="184"/>
      <c r="HQ580" s="184"/>
      <c r="HR580" s="184"/>
      <c r="HS580" s="184"/>
      <c r="HT580" s="184"/>
      <c r="HU580" s="184"/>
      <c r="HV580" s="184"/>
      <c r="HW580" s="184"/>
      <c r="HX580" s="184"/>
      <c r="HY580" s="184"/>
      <c r="HZ580" s="184"/>
      <c r="IA580" s="184"/>
      <c r="IB580" s="184"/>
      <c r="IC580" s="184"/>
      <c r="ID580" s="184"/>
      <c r="IE580" s="184"/>
      <c r="IF580" s="184"/>
      <c r="IG580" s="184"/>
      <c r="IH580" s="184"/>
      <c r="II580" s="184"/>
      <c r="IJ580" s="184"/>
      <c r="IK580" s="184"/>
      <c r="IL580" s="184"/>
      <c r="IM580" s="184"/>
      <c r="IN580" s="184"/>
      <c r="IO580" s="184"/>
      <c r="IP580" s="184"/>
      <c r="IQ580" s="184"/>
      <c r="IR580" s="184"/>
      <c r="IS580" s="184"/>
      <c r="IT580" s="184"/>
      <c r="IU580" s="184"/>
      <c r="IV580" s="184"/>
      <c r="IW580" s="184"/>
    </row>
    <row r="581" spans="1:257" x14ac:dyDescent="0.2">
      <c r="A581" s="159">
        <v>615196</v>
      </c>
      <c r="B581" s="160" t="s">
        <v>120</v>
      </c>
      <c r="C581" s="148" t="s">
        <v>156</v>
      </c>
      <c r="D581" s="148" t="s">
        <v>183</v>
      </c>
      <c r="E581" s="240">
        <v>0</v>
      </c>
      <c r="F581" s="240">
        <v>0</v>
      </c>
      <c r="G581" s="240">
        <v>0</v>
      </c>
      <c r="H581" s="240">
        <v>0</v>
      </c>
      <c r="I581" s="240">
        <v>0</v>
      </c>
      <c r="J581" s="240">
        <v>0</v>
      </c>
      <c r="K581" s="240">
        <v>0</v>
      </c>
      <c r="L581" s="240">
        <v>0</v>
      </c>
      <c r="M581" s="240">
        <v>0</v>
      </c>
      <c r="N581" s="240">
        <v>0</v>
      </c>
      <c r="O581" s="240">
        <v>39.72</v>
      </c>
      <c r="P581" s="240">
        <v>0</v>
      </c>
      <c r="Q581" s="240">
        <v>174.33</v>
      </c>
      <c r="R581" s="240">
        <v>0</v>
      </c>
      <c r="S581" s="242">
        <f>SUM(E581:Q581)</f>
        <v>214.05</v>
      </c>
      <c r="Z581"/>
    </row>
    <row r="582" spans="1:257" x14ac:dyDescent="0.2">
      <c r="A582" s="159">
        <v>615196</v>
      </c>
      <c r="B582" s="160" t="s">
        <v>120</v>
      </c>
      <c r="C582" s="148" t="s">
        <v>156</v>
      </c>
      <c r="D582" s="148" t="s">
        <v>182</v>
      </c>
      <c r="E582" s="240">
        <v>0</v>
      </c>
      <c r="F582" s="240">
        <v>457.54</v>
      </c>
      <c r="G582" s="240">
        <v>457.54</v>
      </c>
      <c r="H582" s="240">
        <v>457.54</v>
      </c>
      <c r="I582" s="240">
        <v>457.54</v>
      </c>
      <c r="J582" s="240">
        <v>457.54</v>
      </c>
      <c r="K582" s="240">
        <v>457.54</v>
      </c>
      <c r="L582" s="240">
        <v>457.54</v>
      </c>
      <c r="M582" s="240">
        <v>457.54</v>
      </c>
      <c r="N582" s="240">
        <v>457.54</v>
      </c>
      <c r="O582" s="240">
        <v>457.54</v>
      </c>
      <c r="P582" s="240">
        <v>457.54</v>
      </c>
      <c r="Q582" s="240">
        <v>457.51</v>
      </c>
      <c r="R582" s="240">
        <v>0</v>
      </c>
      <c r="S582" s="242">
        <f>SUM(E582:Q582)</f>
        <v>5490.4500000000007</v>
      </c>
      <c r="Z582"/>
    </row>
    <row r="583" spans="1:257" s="175" customFormat="1" x14ac:dyDescent="0.2">
      <c r="A583" s="270"/>
      <c r="B583" s="235"/>
      <c r="C583" s="148"/>
      <c r="D583" s="148"/>
      <c r="E583" s="240"/>
      <c r="F583" s="240"/>
      <c r="G583" s="240"/>
      <c r="H583" s="240"/>
      <c r="I583" s="240"/>
      <c r="J583" s="240"/>
      <c r="K583" s="240"/>
      <c r="L583" s="240"/>
      <c r="M583" s="240"/>
      <c r="N583" s="240"/>
      <c r="O583" s="240"/>
      <c r="P583" s="240"/>
      <c r="Q583" s="240"/>
      <c r="R583" s="240"/>
      <c r="S583" s="245"/>
      <c r="T583"/>
      <c r="U583" s="184"/>
      <c r="V583" s="332"/>
      <c r="X583" s="184"/>
      <c r="Y583" s="184"/>
      <c r="Z583"/>
      <c r="AA583" s="184"/>
      <c r="AB583" s="184"/>
      <c r="AC583" s="184"/>
      <c r="AD583" s="184"/>
      <c r="AE583" s="184"/>
      <c r="AF583" s="184"/>
      <c r="AG583" s="184"/>
      <c r="AH583" s="184"/>
      <c r="AI583" s="184"/>
      <c r="AJ583" s="184"/>
      <c r="AK583" s="184"/>
      <c r="AL583" s="184"/>
      <c r="AM583" s="184"/>
      <c r="AN583" s="184"/>
      <c r="AO583" s="184"/>
      <c r="AP583" s="184"/>
      <c r="AQ583" s="184"/>
      <c r="AR583" s="184"/>
      <c r="AS583" s="184"/>
      <c r="AT583" s="184"/>
      <c r="AU583" s="184"/>
      <c r="AV583" s="184"/>
      <c r="AW583" s="184"/>
      <c r="AX583" s="184"/>
      <c r="AY583" s="184"/>
      <c r="AZ583" s="184"/>
      <c r="BA583" s="184"/>
      <c r="BB583" s="184"/>
      <c r="BC583" s="184"/>
      <c r="BD583" s="184"/>
      <c r="BE583" s="184"/>
      <c r="BF583" s="184"/>
      <c r="BG583" s="184"/>
      <c r="BH583" s="184"/>
      <c r="BI583" s="184"/>
      <c r="BJ583" s="184"/>
      <c r="BK583" s="184"/>
      <c r="BL583" s="184"/>
      <c r="BM583" s="184"/>
      <c r="BN583" s="184"/>
      <c r="BO583" s="184"/>
      <c r="BP583" s="184"/>
      <c r="BQ583" s="184"/>
      <c r="BR583" s="184"/>
      <c r="BS583" s="184"/>
      <c r="BT583" s="184"/>
      <c r="BU583" s="184"/>
      <c r="BV583" s="184"/>
      <c r="BW583" s="184"/>
      <c r="BX583" s="184"/>
      <c r="BY583" s="184"/>
      <c r="BZ583" s="184"/>
      <c r="CA583" s="184"/>
      <c r="CB583" s="184"/>
      <c r="CC583" s="184"/>
      <c r="CD583" s="184"/>
      <c r="CE583" s="184"/>
      <c r="CF583" s="184"/>
      <c r="CG583" s="184"/>
      <c r="CH583" s="184"/>
      <c r="CI583" s="184"/>
      <c r="CJ583" s="184"/>
      <c r="CK583" s="184"/>
      <c r="CL583" s="184"/>
      <c r="CM583" s="184"/>
      <c r="CN583" s="184"/>
      <c r="CO583" s="184"/>
      <c r="CP583" s="184"/>
      <c r="CQ583" s="184"/>
      <c r="CR583" s="184"/>
      <c r="CS583" s="184"/>
      <c r="CT583" s="184"/>
      <c r="CU583" s="184"/>
      <c r="CV583" s="184"/>
      <c r="CW583" s="184"/>
      <c r="CX583" s="184"/>
      <c r="CY583" s="184"/>
      <c r="CZ583" s="184"/>
      <c r="DA583" s="184"/>
      <c r="DB583" s="184"/>
      <c r="DC583" s="184"/>
      <c r="DD583" s="184"/>
      <c r="DE583" s="184"/>
      <c r="DF583" s="184"/>
      <c r="DG583" s="184"/>
      <c r="DH583" s="184"/>
      <c r="DI583" s="184"/>
      <c r="DJ583" s="184"/>
      <c r="DK583" s="184"/>
      <c r="DL583" s="184"/>
      <c r="DM583" s="184"/>
      <c r="DN583" s="184"/>
      <c r="DO583" s="184"/>
      <c r="DP583" s="184"/>
      <c r="DQ583" s="184"/>
      <c r="DR583" s="184"/>
      <c r="DS583" s="184"/>
      <c r="DT583" s="184"/>
      <c r="DU583" s="184"/>
      <c r="DV583" s="184"/>
      <c r="DW583" s="184"/>
      <c r="DX583" s="184"/>
      <c r="DY583" s="184"/>
      <c r="DZ583" s="184"/>
      <c r="EA583" s="184"/>
      <c r="EB583" s="184"/>
      <c r="EC583" s="184"/>
      <c r="ED583" s="184"/>
      <c r="EE583" s="184"/>
      <c r="EF583" s="184"/>
      <c r="EG583" s="184"/>
      <c r="EH583" s="184"/>
      <c r="EI583" s="184"/>
      <c r="EJ583" s="184"/>
      <c r="EK583" s="184"/>
      <c r="EL583" s="184"/>
      <c r="EM583" s="184"/>
      <c r="EN583" s="184"/>
      <c r="EO583" s="184"/>
      <c r="EP583" s="184"/>
      <c r="EQ583" s="184"/>
      <c r="ER583" s="184"/>
      <c r="ES583" s="184"/>
      <c r="ET583" s="184"/>
      <c r="EU583" s="184"/>
      <c r="EV583" s="184"/>
      <c r="EW583" s="184"/>
      <c r="EX583" s="184"/>
      <c r="EY583" s="184"/>
      <c r="EZ583" s="184"/>
      <c r="FA583" s="184"/>
      <c r="FB583" s="184"/>
      <c r="FC583" s="184"/>
      <c r="FD583" s="184"/>
      <c r="FE583" s="184"/>
      <c r="FF583" s="184"/>
      <c r="FG583" s="184"/>
      <c r="FH583" s="184"/>
      <c r="FI583" s="184"/>
      <c r="FJ583" s="184"/>
      <c r="FK583" s="184"/>
      <c r="FL583" s="184"/>
      <c r="FM583" s="184"/>
      <c r="FN583" s="184"/>
      <c r="FO583" s="184"/>
      <c r="FP583" s="184"/>
      <c r="FQ583" s="184"/>
      <c r="FR583" s="184"/>
      <c r="FS583" s="184"/>
      <c r="FT583" s="184"/>
      <c r="FU583" s="184"/>
      <c r="FV583" s="184"/>
      <c r="FW583" s="184"/>
      <c r="FX583" s="184"/>
      <c r="FY583" s="184"/>
      <c r="FZ583" s="184"/>
      <c r="GA583" s="184"/>
      <c r="GB583" s="184"/>
      <c r="GC583" s="184"/>
      <c r="GD583" s="184"/>
      <c r="GE583" s="184"/>
      <c r="GF583" s="184"/>
      <c r="GG583" s="184"/>
      <c r="GH583" s="184"/>
      <c r="GI583" s="184"/>
      <c r="GJ583" s="184"/>
      <c r="GK583" s="184"/>
      <c r="GL583" s="184"/>
      <c r="GM583" s="184"/>
      <c r="GN583" s="184"/>
      <c r="GO583" s="184"/>
      <c r="GP583" s="184"/>
      <c r="GQ583" s="184"/>
      <c r="GR583" s="184"/>
      <c r="GS583" s="184"/>
      <c r="GT583" s="184"/>
      <c r="GU583" s="184"/>
      <c r="GV583" s="184"/>
      <c r="GW583" s="184"/>
      <c r="GX583" s="184"/>
      <c r="GY583" s="184"/>
      <c r="GZ583" s="184"/>
      <c r="HA583" s="184"/>
      <c r="HB583" s="184"/>
      <c r="HC583" s="184"/>
      <c r="HD583" s="184"/>
      <c r="HE583" s="184"/>
      <c r="HF583" s="184"/>
      <c r="HG583" s="184"/>
      <c r="HH583" s="184"/>
      <c r="HI583" s="184"/>
      <c r="HJ583" s="184"/>
      <c r="HK583" s="184"/>
      <c r="HL583" s="184"/>
      <c r="HM583" s="184"/>
      <c r="HN583" s="184"/>
      <c r="HO583" s="184"/>
      <c r="HP583" s="184"/>
      <c r="HQ583" s="184"/>
      <c r="HR583" s="184"/>
      <c r="HS583" s="184"/>
      <c r="HT583" s="184"/>
      <c r="HU583" s="184"/>
      <c r="HV583" s="184"/>
      <c r="HW583" s="184"/>
      <c r="HX583" s="184"/>
      <c r="HY583" s="184"/>
      <c r="HZ583" s="184"/>
      <c r="IA583" s="184"/>
      <c r="IB583" s="184"/>
      <c r="IC583" s="184"/>
      <c r="ID583" s="184"/>
      <c r="IE583" s="184"/>
      <c r="IF583" s="184"/>
      <c r="IG583" s="184"/>
      <c r="IH583" s="184"/>
      <c r="II583" s="184"/>
      <c r="IJ583" s="184"/>
      <c r="IK583" s="184"/>
      <c r="IL583" s="184"/>
      <c r="IM583" s="184"/>
      <c r="IN583" s="184"/>
      <c r="IO583" s="184"/>
      <c r="IP583" s="184"/>
      <c r="IQ583" s="184"/>
      <c r="IR583" s="184"/>
      <c r="IS583" s="184"/>
      <c r="IT583" s="184"/>
      <c r="IU583" s="184"/>
      <c r="IV583" s="184"/>
      <c r="IW583" s="184"/>
    </row>
    <row r="584" spans="1:257" x14ac:dyDescent="0.2">
      <c r="A584" s="159">
        <v>615196</v>
      </c>
      <c r="B584" s="160" t="s">
        <v>120</v>
      </c>
      <c r="C584" s="148" t="s">
        <v>172</v>
      </c>
      <c r="D584" s="148" t="s">
        <v>192</v>
      </c>
      <c r="E584" s="240">
        <v>0</v>
      </c>
      <c r="F584" s="240">
        <v>0</v>
      </c>
      <c r="G584" s="240">
        <v>0</v>
      </c>
      <c r="H584" s="240">
        <v>0</v>
      </c>
      <c r="I584" s="240">
        <v>0</v>
      </c>
      <c r="J584" s="240">
        <v>0</v>
      </c>
      <c r="K584" s="240">
        <v>0</v>
      </c>
      <c r="L584" s="240">
        <v>0</v>
      </c>
      <c r="M584" s="240">
        <v>0</v>
      </c>
      <c r="N584" s="240">
        <v>0</v>
      </c>
      <c r="O584" s="240">
        <v>0</v>
      </c>
      <c r="P584" s="240">
        <v>0</v>
      </c>
      <c r="Q584" s="240">
        <v>0</v>
      </c>
      <c r="R584" s="240">
        <v>0</v>
      </c>
      <c r="S584" s="242">
        <f>SUM(E584:Q584)</f>
        <v>0</v>
      </c>
      <c r="Z584"/>
    </row>
    <row r="585" spans="1:257" s="175" customFormat="1" x14ac:dyDescent="0.2">
      <c r="A585" s="270"/>
      <c r="B585" s="235"/>
      <c r="C585" s="148"/>
      <c r="D585" s="148"/>
      <c r="E585" s="240"/>
      <c r="F585" s="240"/>
      <c r="G585" s="240"/>
      <c r="H585" s="240"/>
      <c r="I585" s="240"/>
      <c r="J585" s="240"/>
      <c r="K585" s="240"/>
      <c r="L585" s="240"/>
      <c r="M585" s="240"/>
      <c r="N585" s="240"/>
      <c r="O585" s="240"/>
      <c r="P585" s="240"/>
      <c r="Q585" s="240"/>
      <c r="R585" s="240"/>
      <c r="S585" s="245"/>
      <c r="T585"/>
      <c r="U585" s="184"/>
      <c r="V585" s="332"/>
      <c r="X585" s="184"/>
      <c r="Y585" s="184"/>
      <c r="Z585"/>
      <c r="AA585" s="184"/>
      <c r="AB585" s="184"/>
      <c r="AC585" s="184"/>
      <c r="AD585" s="184"/>
      <c r="AE585" s="184"/>
      <c r="AF585" s="184"/>
      <c r="AG585" s="184"/>
      <c r="AH585" s="184"/>
      <c r="AI585" s="184"/>
      <c r="AJ585" s="184"/>
      <c r="AK585" s="184"/>
      <c r="AL585" s="184"/>
      <c r="AM585" s="184"/>
      <c r="AN585" s="184"/>
      <c r="AO585" s="184"/>
      <c r="AP585" s="184"/>
      <c r="AQ585" s="184"/>
      <c r="AR585" s="184"/>
      <c r="AS585" s="184"/>
      <c r="AT585" s="184"/>
      <c r="AU585" s="184"/>
      <c r="AV585" s="184"/>
      <c r="AW585" s="184"/>
      <c r="AX585" s="184"/>
      <c r="AY585" s="184"/>
      <c r="AZ585" s="184"/>
      <c r="BA585" s="184"/>
      <c r="BB585" s="184"/>
      <c r="BC585" s="184"/>
      <c r="BD585" s="184"/>
      <c r="BE585" s="184"/>
      <c r="BF585" s="184"/>
      <c r="BG585" s="184"/>
      <c r="BH585" s="184"/>
      <c r="BI585" s="184"/>
      <c r="BJ585" s="184"/>
      <c r="BK585" s="184"/>
      <c r="BL585" s="184"/>
      <c r="BM585" s="184"/>
      <c r="BN585" s="184"/>
      <c r="BO585" s="184"/>
      <c r="BP585" s="184"/>
      <c r="BQ585" s="184"/>
      <c r="BR585" s="184"/>
      <c r="BS585" s="184"/>
      <c r="BT585" s="184"/>
      <c r="BU585" s="184"/>
      <c r="BV585" s="184"/>
      <c r="BW585" s="184"/>
      <c r="BX585" s="184"/>
      <c r="BY585" s="184"/>
      <c r="BZ585" s="184"/>
      <c r="CA585" s="184"/>
      <c r="CB585" s="184"/>
      <c r="CC585" s="184"/>
      <c r="CD585" s="184"/>
      <c r="CE585" s="184"/>
      <c r="CF585" s="184"/>
      <c r="CG585" s="184"/>
      <c r="CH585" s="184"/>
      <c r="CI585" s="184"/>
      <c r="CJ585" s="184"/>
      <c r="CK585" s="184"/>
      <c r="CL585" s="184"/>
      <c r="CM585" s="184"/>
      <c r="CN585" s="184"/>
      <c r="CO585" s="184"/>
      <c r="CP585" s="184"/>
      <c r="CQ585" s="184"/>
      <c r="CR585" s="184"/>
      <c r="CS585" s="184"/>
      <c r="CT585" s="184"/>
      <c r="CU585" s="184"/>
      <c r="CV585" s="184"/>
      <c r="CW585" s="184"/>
      <c r="CX585" s="184"/>
      <c r="CY585" s="184"/>
      <c r="CZ585" s="184"/>
      <c r="DA585" s="184"/>
      <c r="DB585" s="184"/>
      <c r="DC585" s="184"/>
      <c r="DD585" s="184"/>
      <c r="DE585" s="184"/>
      <c r="DF585" s="184"/>
      <c r="DG585" s="184"/>
      <c r="DH585" s="184"/>
      <c r="DI585" s="184"/>
      <c r="DJ585" s="184"/>
      <c r="DK585" s="184"/>
      <c r="DL585" s="184"/>
      <c r="DM585" s="184"/>
      <c r="DN585" s="184"/>
      <c r="DO585" s="184"/>
      <c r="DP585" s="184"/>
      <c r="DQ585" s="184"/>
      <c r="DR585" s="184"/>
      <c r="DS585" s="184"/>
      <c r="DT585" s="184"/>
      <c r="DU585" s="184"/>
      <c r="DV585" s="184"/>
      <c r="DW585" s="184"/>
      <c r="DX585" s="184"/>
      <c r="DY585" s="184"/>
      <c r="DZ585" s="184"/>
      <c r="EA585" s="184"/>
      <c r="EB585" s="184"/>
      <c r="EC585" s="184"/>
      <c r="ED585" s="184"/>
      <c r="EE585" s="184"/>
      <c r="EF585" s="184"/>
      <c r="EG585" s="184"/>
      <c r="EH585" s="184"/>
      <c r="EI585" s="184"/>
      <c r="EJ585" s="184"/>
      <c r="EK585" s="184"/>
      <c r="EL585" s="184"/>
      <c r="EM585" s="184"/>
      <c r="EN585" s="184"/>
      <c r="EO585" s="184"/>
      <c r="EP585" s="184"/>
      <c r="EQ585" s="184"/>
      <c r="ER585" s="184"/>
      <c r="ES585" s="184"/>
      <c r="ET585" s="184"/>
      <c r="EU585" s="184"/>
      <c r="EV585" s="184"/>
      <c r="EW585" s="184"/>
      <c r="EX585" s="184"/>
      <c r="EY585" s="184"/>
      <c r="EZ585" s="184"/>
      <c r="FA585" s="184"/>
      <c r="FB585" s="184"/>
      <c r="FC585" s="184"/>
      <c r="FD585" s="184"/>
      <c r="FE585" s="184"/>
      <c r="FF585" s="184"/>
      <c r="FG585" s="184"/>
      <c r="FH585" s="184"/>
      <c r="FI585" s="184"/>
      <c r="FJ585" s="184"/>
      <c r="FK585" s="184"/>
      <c r="FL585" s="184"/>
      <c r="FM585" s="184"/>
      <c r="FN585" s="184"/>
      <c r="FO585" s="184"/>
      <c r="FP585" s="184"/>
      <c r="FQ585" s="184"/>
      <c r="FR585" s="184"/>
      <c r="FS585" s="184"/>
      <c r="FT585" s="184"/>
      <c r="FU585" s="184"/>
      <c r="FV585" s="184"/>
      <c r="FW585" s="184"/>
      <c r="FX585" s="184"/>
      <c r="FY585" s="184"/>
      <c r="FZ585" s="184"/>
      <c r="GA585" s="184"/>
      <c r="GB585" s="184"/>
      <c r="GC585" s="184"/>
      <c r="GD585" s="184"/>
      <c r="GE585" s="184"/>
      <c r="GF585" s="184"/>
      <c r="GG585" s="184"/>
      <c r="GH585" s="184"/>
      <c r="GI585" s="184"/>
      <c r="GJ585" s="184"/>
      <c r="GK585" s="184"/>
      <c r="GL585" s="184"/>
      <c r="GM585" s="184"/>
      <c r="GN585" s="184"/>
      <c r="GO585" s="184"/>
      <c r="GP585" s="184"/>
      <c r="GQ585" s="184"/>
      <c r="GR585" s="184"/>
      <c r="GS585" s="184"/>
      <c r="GT585" s="184"/>
      <c r="GU585" s="184"/>
      <c r="GV585" s="184"/>
      <c r="GW585" s="184"/>
      <c r="GX585" s="184"/>
      <c r="GY585" s="184"/>
      <c r="GZ585" s="184"/>
      <c r="HA585" s="184"/>
      <c r="HB585" s="184"/>
      <c r="HC585" s="184"/>
      <c r="HD585" s="184"/>
      <c r="HE585" s="184"/>
      <c r="HF585" s="184"/>
      <c r="HG585" s="184"/>
      <c r="HH585" s="184"/>
      <c r="HI585" s="184"/>
      <c r="HJ585" s="184"/>
      <c r="HK585" s="184"/>
      <c r="HL585" s="184"/>
      <c r="HM585" s="184"/>
      <c r="HN585" s="184"/>
      <c r="HO585" s="184"/>
      <c r="HP585" s="184"/>
      <c r="HQ585" s="184"/>
      <c r="HR585" s="184"/>
      <c r="HS585" s="184"/>
      <c r="HT585" s="184"/>
      <c r="HU585" s="184"/>
      <c r="HV585" s="184"/>
      <c r="HW585" s="184"/>
      <c r="HX585" s="184"/>
      <c r="HY585" s="184"/>
      <c r="HZ585" s="184"/>
      <c r="IA585" s="184"/>
      <c r="IB585" s="184"/>
      <c r="IC585" s="184"/>
      <c r="ID585" s="184"/>
      <c r="IE585" s="184"/>
      <c r="IF585" s="184"/>
      <c r="IG585" s="184"/>
      <c r="IH585" s="184"/>
      <c r="II585" s="184"/>
      <c r="IJ585" s="184"/>
      <c r="IK585" s="184"/>
      <c r="IL585" s="184"/>
      <c r="IM585" s="184"/>
      <c r="IN585" s="184"/>
      <c r="IO585" s="184"/>
      <c r="IP585" s="184"/>
      <c r="IQ585" s="184"/>
      <c r="IR585" s="184"/>
      <c r="IS585" s="184"/>
      <c r="IT585" s="184"/>
      <c r="IU585" s="184"/>
      <c r="IV585" s="184"/>
      <c r="IW585" s="184"/>
    </row>
    <row r="586" spans="1:257" x14ac:dyDescent="0.2">
      <c r="A586" s="159">
        <v>615196</v>
      </c>
      <c r="B586" s="160" t="s">
        <v>120</v>
      </c>
      <c r="C586" s="148" t="s">
        <v>79</v>
      </c>
      <c r="D586" s="148" t="s">
        <v>183</v>
      </c>
      <c r="E586" s="240">
        <v>0</v>
      </c>
      <c r="F586" s="240">
        <v>0</v>
      </c>
      <c r="G586" s="240">
        <v>0</v>
      </c>
      <c r="H586" s="240">
        <v>0</v>
      </c>
      <c r="I586" s="240">
        <v>0</v>
      </c>
      <c r="J586" s="240">
        <v>0</v>
      </c>
      <c r="K586" s="240">
        <v>0</v>
      </c>
      <c r="L586" s="240">
        <v>0</v>
      </c>
      <c r="M586" s="240">
        <v>0</v>
      </c>
      <c r="N586" s="240">
        <v>0</v>
      </c>
      <c r="O586" s="240">
        <v>0</v>
      </c>
      <c r="P586" s="240">
        <v>0</v>
      </c>
      <c r="Q586" s="240">
        <v>0</v>
      </c>
      <c r="R586" s="240">
        <v>0</v>
      </c>
      <c r="S586" s="242">
        <f>SUM(E586:Q586)</f>
        <v>0</v>
      </c>
      <c r="Z586"/>
    </row>
    <row r="587" spans="1:257" x14ac:dyDescent="0.2">
      <c r="A587" s="159">
        <v>615196</v>
      </c>
      <c r="B587" s="160" t="s">
        <v>120</v>
      </c>
      <c r="C587" s="148" t="s">
        <v>79</v>
      </c>
      <c r="D587" s="148" t="s">
        <v>192</v>
      </c>
      <c r="E587" s="240">
        <v>0</v>
      </c>
      <c r="F587" s="240">
        <v>0</v>
      </c>
      <c r="G587" s="240">
        <v>0</v>
      </c>
      <c r="H587" s="240">
        <v>0</v>
      </c>
      <c r="I587" s="240">
        <v>0</v>
      </c>
      <c r="J587" s="240">
        <v>0</v>
      </c>
      <c r="K587" s="240">
        <v>0</v>
      </c>
      <c r="L587" s="240">
        <v>0</v>
      </c>
      <c r="M587" s="240">
        <v>0</v>
      </c>
      <c r="N587" s="240">
        <v>0</v>
      </c>
      <c r="O587" s="240">
        <v>0</v>
      </c>
      <c r="P587" s="240">
        <v>0</v>
      </c>
      <c r="Q587" s="240">
        <v>0</v>
      </c>
      <c r="R587" s="240">
        <v>0</v>
      </c>
      <c r="S587" s="242">
        <f>SUM(E587:Q587)</f>
        <v>0</v>
      </c>
      <c r="Z587"/>
    </row>
    <row r="588" spans="1:257" x14ac:dyDescent="0.2">
      <c r="A588" s="159">
        <v>615196</v>
      </c>
      <c r="B588" s="160" t="s">
        <v>120</v>
      </c>
      <c r="C588" s="148" t="s">
        <v>79</v>
      </c>
      <c r="D588" s="148" t="s">
        <v>182</v>
      </c>
      <c r="E588" s="240">
        <v>0</v>
      </c>
      <c r="F588" s="240">
        <v>235.8</v>
      </c>
      <c r="G588" s="240">
        <v>235.8</v>
      </c>
      <c r="H588" s="240">
        <v>235.8</v>
      </c>
      <c r="I588" s="240">
        <v>235.8</v>
      </c>
      <c r="J588" s="240">
        <v>235.8</v>
      </c>
      <c r="K588" s="240">
        <v>235.8</v>
      </c>
      <c r="L588" s="240">
        <v>235.8</v>
      </c>
      <c r="M588" s="240">
        <v>235.8</v>
      </c>
      <c r="N588" s="240">
        <v>235.8</v>
      </c>
      <c r="O588" s="240">
        <v>235.8</v>
      </c>
      <c r="P588" s="240">
        <v>235.8</v>
      </c>
      <c r="Q588" s="240">
        <v>235.76</v>
      </c>
      <c r="R588" s="240">
        <v>0</v>
      </c>
      <c r="S588" s="242">
        <f>SUM(E588:Q588)</f>
        <v>2829.5600000000004</v>
      </c>
      <c r="Z588"/>
    </row>
    <row r="589" spans="1:257" x14ac:dyDescent="0.2">
      <c r="A589" s="159"/>
      <c r="B589" s="160"/>
      <c r="C589" s="148"/>
      <c r="D589" s="148"/>
      <c r="E589" s="240"/>
      <c r="F589" s="240"/>
      <c r="G589" s="240"/>
      <c r="H589" s="240"/>
      <c r="I589" s="240"/>
      <c r="J589" s="240"/>
      <c r="K589" s="240"/>
      <c r="L589" s="240"/>
      <c r="M589" s="240"/>
      <c r="N589" s="240"/>
      <c r="O589" s="240"/>
      <c r="P589" s="240"/>
      <c r="Q589" s="240"/>
      <c r="R589" s="240"/>
      <c r="S589" s="242">
        <f>SUM(E589:Q589)</f>
        <v>0</v>
      </c>
      <c r="Z589"/>
    </row>
    <row r="590" spans="1:257" x14ac:dyDescent="0.2">
      <c r="A590" s="159">
        <v>615196</v>
      </c>
      <c r="B590" s="160" t="s">
        <v>120</v>
      </c>
      <c r="C590" s="148" t="s">
        <v>367</v>
      </c>
      <c r="D590" s="148">
        <v>999999</v>
      </c>
      <c r="E590" s="240"/>
      <c r="F590" s="240">
        <v>823.85</v>
      </c>
      <c r="G590" s="240">
        <f>-823.85+1647.7</f>
        <v>823.85</v>
      </c>
      <c r="H590" s="240">
        <f>-1647.7+1117.6</f>
        <v>-530.10000000000014</v>
      </c>
      <c r="I590" s="240">
        <f>-1117.6+1803.16</f>
        <v>685.56000000000017</v>
      </c>
      <c r="J590" s="240">
        <f>-1803.16+1970.85</f>
        <v>167.68999999999983</v>
      </c>
      <c r="K590" s="240">
        <f>-1970.85+2016.66</f>
        <v>45.810000000000173</v>
      </c>
      <c r="L590" s="240">
        <f>-2016.66+2399.42</f>
        <v>382.76</v>
      </c>
      <c r="M590" s="240">
        <f>-2399.42+2618.88</f>
        <v>219.46000000000004</v>
      </c>
      <c r="N590" s="240">
        <f>-2618.88+1357.02</f>
        <v>-1261.8600000000001</v>
      </c>
      <c r="O590" s="240">
        <f>-1357.02+1135.35</f>
        <v>-221.67000000000007</v>
      </c>
      <c r="P590" s="240">
        <f>-1135.35-0.07</f>
        <v>-1135.4199999999998</v>
      </c>
      <c r="Q590" s="240"/>
      <c r="R590" s="240"/>
      <c r="S590" s="242">
        <f>SUM(E590:Q590)</f>
        <v>-6.9999999999936335E-2</v>
      </c>
      <c r="Z590"/>
    </row>
    <row r="591" spans="1:257" s="185" customFormat="1" ht="24" customHeight="1" x14ac:dyDescent="0.2">
      <c r="A591" s="267"/>
      <c r="B591" s="268"/>
      <c r="C591" s="267" t="s">
        <v>66</v>
      </c>
      <c r="D591" s="267"/>
      <c r="E591" s="269">
        <f t="shared" ref="E591:S591" si="48">SUM(E558:E590)</f>
        <v>0</v>
      </c>
      <c r="F591" s="269">
        <f t="shared" si="48"/>
        <v>3842.09</v>
      </c>
      <c r="G591" s="269">
        <f t="shared" si="48"/>
        <v>4091.04</v>
      </c>
      <c r="H591" s="269">
        <f t="shared" si="48"/>
        <v>3170.2699999999995</v>
      </c>
      <c r="I591" s="269">
        <f t="shared" si="48"/>
        <v>3703.8</v>
      </c>
      <c r="J591" s="269">
        <f t="shared" si="48"/>
        <v>4086.9799999999996</v>
      </c>
      <c r="K591" s="269">
        <f t="shared" si="48"/>
        <v>3615.42</v>
      </c>
      <c r="L591" s="269">
        <f t="shared" si="48"/>
        <v>3668.12</v>
      </c>
      <c r="M591" s="269">
        <f t="shared" si="48"/>
        <v>4101.41</v>
      </c>
      <c r="N591" s="269">
        <f t="shared" si="48"/>
        <v>3786.2400000000002</v>
      </c>
      <c r="O591" s="269">
        <f t="shared" si="48"/>
        <v>3752.59</v>
      </c>
      <c r="P591" s="269">
        <f t="shared" si="48"/>
        <v>2822.4400000000005</v>
      </c>
      <c r="Q591" s="269">
        <f t="shared" si="48"/>
        <v>4221.95</v>
      </c>
      <c r="R591" s="269">
        <f>SUM(R558:R590)</f>
        <v>0</v>
      </c>
      <c r="S591" s="269">
        <f t="shared" si="48"/>
        <v>44862.35</v>
      </c>
      <c r="T591" s="689" t="e">
        <f>IF(Ctrl($A590)+S590+S589=S591,"Ok","Erreur somme")</f>
        <v>#VALUE!</v>
      </c>
      <c r="U591" s="212">
        <v>40306.800000000003</v>
      </c>
      <c r="V591" s="334">
        <f>U591-S591</f>
        <v>-4555.5499999999956</v>
      </c>
      <c r="W591" s="185" t="s">
        <v>853</v>
      </c>
      <c r="X591" s="569"/>
      <c r="Z591"/>
    </row>
    <row r="592" spans="1:257" ht="12" customHeight="1" x14ac:dyDescent="0.2">
      <c r="A592" s="159">
        <v>615200</v>
      </c>
      <c r="B592" s="160" t="s">
        <v>121</v>
      </c>
      <c r="C592" s="148" t="s">
        <v>76</v>
      </c>
      <c r="D592" s="148" t="s">
        <v>179</v>
      </c>
      <c r="E592" s="240">
        <v>0</v>
      </c>
      <c r="F592" s="240">
        <v>6561.53</v>
      </c>
      <c r="G592" s="240">
        <v>6561.53</v>
      </c>
      <c r="H592" s="240">
        <v>6561.53</v>
      </c>
      <c r="I592" s="240">
        <v>6561.53</v>
      </c>
      <c r="J592" s="240">
        <v>6554.8600000000006</v>
      </c>
      <c r="K592" s="240">
        <v>6561.53</v>
      </c>
      <c r="L592" s="240">
        <v>6561.53</v>
      </c>
      <c r="M592" s="240">
        <v>6561.53</v>
      </c>
      <c r="N592" s="240">
        <v>6561.53</v>
      </c>
      <c r="O592" s="240">
        <v>6566.95</v>
      </c>
      <c r="P592" s="240">
        <v>6588.9400000000005</v>
      </c>
      <c r="Q592" s="240">
        <v>751.77</v>
      </c>
      <c r="R592" s="240">
        <v>0</v>
      </c>
      <c r="S592" s="242">
        <f>SUM(E592:Q592)</f>
        <v>72954.759999999995</v>
      </c>
      <c r="U592" s="273"/>
      <c r="Z592"/>
    </row>
    <row r="593" spans="1:26" x14ac:dyDescent="0.2">
      <c r="A593" s="159">
        <v>615200</v>
      </c>
      <c r="B593" s="160" t="s">
        <v>121</v>
      </c>
      <c r="C593" s="148" t="s">
        <v>76</v>
      </c>
      <c r="D593" s="148" t="s">
        <v>192</v>
      </c>
      <c r="E593" s="240">
        <v>0</v>
      </c>
      <c r="F593" s="240">
        <v>0</v>
      </c>
      <c r="G593" s="240">
        <v>0</v>
      </c>
      <c r="H593" s="240">
        <v>0</v>
      </c>
      <c r="I593" s="240">
        <v>0</v>
      </c>
      <c r="J593" s="240">
        <v>0</v>
      </c>
      <c r="K593" s="240">
        <v>0</v>
      </c>
      <c r="L593" s="240">
        <v>0</v>
      </c>
      <c r="M593" s="240">
        <v>0</v>
      </c>
      <c r="N593" s="240">
        <v>0</v>
      </c>
      <c r="O593" s="240">
        <v>0</v>
      </c>
      <c r="P593" s="240">
        <v>0</v>
      </c>
      <c r="Q593" s="240">
        <v>0</v>
      </c>
      <c r="R593" s="240">
        <v>0</v>
      </c>
      <c r="S593" s="242">
        <f>SUM(E593:Q593)</f>
        <v>0</v>
      </c>
      <c r="Z593"/>
    </row>
    <row r="594" spans="1:26" x14ac:dyDescent="0.2">
      <c r="A594" s="270"/>
      <c r="B594" s="235"/>
      <c r="C594" s="148"/>
      <c r="D594" s="148"/>
      <c r="E594" s="240"/>
      <c r="F594" s="240"/>
      <c r="G594" s="240"/>
      <c r="H594" s="240"/>
      <c r="I594" s="240"/>
      <c r="J594" s="240"/>
      <c r="K594" s="240"/>
      <c r="L594" s="240"/>
      <c r="M594" s="240"/>
      <c r="N594" s="240"/>
      <c r="O594" s="240"/>
      <c r="P594" s="240"/>
      <c r="Q594" s="240"/>
      <c r="R594" s="240"/>
      <c r="S594" s="242"/>
      <c r="Z594"/>
    </row>
    <row r="595" spans="1:26" x14ac:dyDescent="0.2">
      <c r="A595" s="159">
        <v>615200</v>
      </c>
      <c r="B595" s="160" t="s">
        <v>121</v>
      </c>
      <c r="C595" s="148" t="s">
        <v>72</v>
      </c>
      <c r="D595" s="148" t="s">
        <v>192</v>
      </c>
      <c r="E595" s="240">
        <v>0</v>
      </c>
      <c r="F595" s="240">
        <v>506.44</v>
      </c>
      <c r="G595" s="240">
        <v>0</v>
      </c>
      <c r="H595" s="240">
        <v>0</v>
      </c>
      <c r="I595" s="240">
        <v>0</v>
      </c>
      <c r="J595" s="240">
        <v>0</v>
      </c>
      <c r="K595" s="240">
        <v>0</v>
      </c>
      <c r="L595" s="240">
        <v>0</v>
      </c>
      <c r="M595" s="240">
        <v>-506.44</v>
      </c>
      <c r="N595" s="240">
        <v>0</v>
      </c>
      <c r="O595" s="240">
        <v>0</v>
      </c>
      <c r="P595" s="240">
        <v>0</v>
      </c>
      <c r="Q595" s="240">
        <v>0</v>
      </c>
      <c r="R595" s="240">
        <v>0</v>
      </c>
      <c r="S595" s="242">
        <f t="shared" ref="S595:S619" si="49">SUM(E595:Q595)</f>
        <v>0</v>
      </c>
      <c r="Z595"/>
    </row>
    <row r="596" spans="1:26" x14ac:dyDescent="0.2">
      <c r="A596" s="159">
        <v>615200</v>
      </c>
      <c r="B596" s="160" t="s">
        <v>121</v>
      </c>
      <c r="C596" s="148" t="s">
        <v>72</v>
      </c>
      <c r="D596" s="148" t="s">
        <v>179</v>
      </c>
      <c r="E596" s="240">
        <v>0</v>
      </c>
      <c r="F596" s="240">
        <v>3177.41</v>
      </c>
      <c r="G596" s="240">
        <v>3177.41</v>
      </c>
      <c r="H596" s="240">
        <v>3177.41</v>
      </c>
      <c r="I596" s="240">
        <v>3177.41</v>
      </c>
      <c r="J596" s="240">
        <v>3177.41</v>
      </c>
      <c r="K596" s="240">
        <v>3177.41</v>
      </c>
      <c r="L596" s="240">
        <v>3177.41</v>
      </c>
      <c r="M596" s="240">
        <v>3177.41</v>
      </c>
      <c r="N596" s="240">
        <v>3177.41</v>
      </c>
      <c r="O596" s="240">
        <v>3177.41</v>
      </c>
      <c r="P596" s="240">
        <v>3177.41</v>
      </c>
      <c r="Q596" s="240">
        <v>0</v>
      </c>
      <c r="R596" s="240">
        <v>0</v>
      </c>
      <c r="S596" s="242">
        <f t="shared" si="49"/>
        <v>34951.509999999995</v>
      </c>
      <c r="Z596"/>
    </row>
    <row r="597" spans="1:26" x14ac:dyDescent="0.2">
      <c r="A597" s="270"/>
      <c r="B597" s="235"/>
      <c r="C597" s="148"/>
      <c r="D597" s="148"/>
      <c r="E597" s="240"/>
      <c r="F597" s="240"/>
      <c r="G597" s="240"/>
      <c r="H597" s="240"/>
      <c r="I597" s="240"/>
      <c r="J597" s="240"/>
      <c r="K597" s="240"/>
      <c r="L597" s="240"/>
      <c r="M597" s="240"/>
      <c r="N597" s="240"/>
      <c r="O597" s="240"/>
      <c r="P597" s="240"/>
      <c r="Q597" s="240"/>
      <c r="R597" s="240"/>
      <c r="S597" s="242">
        <f t="shared" si="49"/>
        <v>0</v>
      </c>
      <c r="Z597"/>
    </row>
    <row r="598" spans="1:26" x14ac:dyDescent="0.2">
      <c r="A598" s="159">
        <v>615200</v>
      </c>
      <c r="B598" s="160" t="s">
        <v>121</v>
      </c>
      <c r="C598" s="148" t="s">
        <v>74</v>
      </c>
      <c r="D598" s="148" t="s">
        <v>192</v>
      </c>
      <c r="E598" s="240">
        <v>0</v>
      </c>
      <c r="F598" s="240">
        <v>0</v>
      </c>
      <c r="G598" s="240">
        <v>0</v>
      </c>
      <c r="H598" s="240">
        <v>0</v>
      </c>
      <c r="I598" s="240">
        <v>0</v>
      </c>
      <c r="J598" s="240">
        <v>0</v>
      </c>
      <c r="K598" s="240">
        <v>0</v>
      </c>
      <c r="L598" s="240">
        <v>0</v>
      </c>
      <c r="M598" s="240">
        <v>0</v>
      </c>
      <c r="N598" s="240">
        <v>0</v>
      </c>
      <c r="O598" s="240">
        <v>0</v>
      </c>
      <c r="P598" s="240">
        <v>0</v>
      </c>
      <c r="Q598" s="240">
        <v>0</v>
      </c>
      <c r="R598" s="240">
        <v>0</v>
      </c>
      <c r="S598" s="242">
        <f t="shared" si="49"/>
        <v>0</v>
      </c>
      <c r="Z598"/>
    </row>
    <row r="599" spans="1:26" x14ac:dyDescent="0.2">
      <c r="A599" s="159">
        <v>615200</v>
      </c>
      <c r="B599" s="160" t="s">
        <v>121</v>
      </c>
      <c r="C599" s="148" t="s">
        <v>74</v>
      </c>
      <c r="D599" s="148" t="s">
        <v>179</v>
      </c>
      <c r="E599" s="240">
        <v>-173.40000000000009</v>
      </c>
      <c r="F599" s="240">
        <v>1176.7</v>
      </c>
      <c r="G599" s="240">
        <v>3183.4</v>
      </c>
      <c r="H599" s="240">
        <v>3010</v>
      </c>
      <c r="I599" s="240">
        <v>35</v>
      </c>
      <c r="J599" s="240">
        <v>1700</v>
      </c>
      <c r="K599" s="240">
        <v>1700</v>
      </c>
      <c r="L599" s="240">
        <v>1700</v>
      </c>
      <c r="M599" s="240">
        <v>2124</v>
      </c>
      <c r="N599" s="240">
        <v>1593.99</v>
      </c>
      <c r="O599" s="240">
        <v>2124</v>
      </c>
      <c r="P599" s="240">
        <v>2124</v>
      </c>
      <c r="Q599" s="240">
        <v>0</v>
      </c>
      <c r="R599" s="240">
        <v>0</v>
      </c>
      <c r="S599" s="242">
        <f t="shared" si="49"/>
        <v>20297.690000000002</v>
      </c>
      <c r="Z599"/>
    </row>
    <row r="600" spans="1:26" x14ac:dyDescent="0.2">
      <c r="A600" s="270"/>
      <c r="B600" s="235"/>
      <c r="C600" s="148"/>
      <c r="D600" s="148"/>
      <c r="E600" s="240"/>
      <c r="F600" s="240"/>
      <c r="G600" s="240"/>
      <c r="H600" s="240"/>
      <c r="I600" s="240"/>
      <c r="J600" s="240"/>
      <c r="K600" s="240"/>
      <c r="L600" s="240"/>
      <c r="M600" s="240"/>
      <c r="N600" s="240"/>
      <c r="O600" s="240"/>
      <c r="P600" s="240"/>
      <c r="Q600" s="240"/>
      <c r="R600" s="240"/>
      <c r="S600" s="242">
        <f t="shared" si="49"/>
        <v>0</v>
      </c>
      <c r="Z600"/>
    </row>
    <row r="601" spans="1:26" x14ac:dyDescent="0.2">
      <c r="A601" s="159">
        <v>615200</v>
      </c>
      <c r="B601" s="160" t="s">
        <v>121</v>
      </c>
      <c r="C601" s="148" t="s">
        <v>68</v>
      </c>
      <c r="D601" s="148" t="s">
        <v>192</v>
      </c>
      <c r="E601" s="240">
        <v>0</v>
      </c>
      <c r="F601" s="240">
        <v>0</v>
      </c>
      <c r="G601" s="240">
        <v>0</v>
      </c>
      <c r="H601" s="240">
        <v>0</v>
      </c>
      <c r="I601" s="240">
        <v>0</v>
      </c>
      <c r="J601" s="240">
        <v>0</v>
      </c>
      <c r="K601" s="240">
        <v>0</v>
      </c>
      <c r="L601" s="240">
        <v>0</v>
      </c>
      <c r="M601" s="240">
        <v>0</v>
      </c>
      <c r="N601" s="240">
        <v>558</v>
      </c>
      <c r="O601" s="240">
        <v>0</v>
      </c>
      <c r="P601" s="240">
        <v>0</v>
      </c>
      <c r="Q601" s="240">
        <v>0</v>
      </c>
      <c r="R601" s="240">
        <v>0</v>
      </c>
      <c r="S601" s="242">
        <f t="shared" si="49"/>
        <v>558</v>
      </c>
      <c r="Z601"/>
    </row>
    <row r="602" spans="1:26" x14ac:dyDescent="0.2">
      <c r="A602" s="159">
        <v>615200</v>
      </c>
      <c r="B602" s="160" t="s">
        <v>121</v>
      </c>
      <c r="C602" s="148" t="s">
        <v>68</v>
      </c>
      <c r="D602" s="148" t="s">
        <v>179</v>
      </c>
      <c r="E602" s="240">
        <v>0</v>
      </c>
      <c r="F602" s="240">
        <v>3442</v>
      </c>
      <c r="G602" s="240">
        <v>3442</v>
      </c>
      <c r="H602" s="240">
        <v>3442</v>
      </c>
      <c r="I602" s="240">
        <v>3442</v>
      </c>
      <c r="J602" s="240">
        <v>3442</v>
      </c>
      <c r="K602" s="240">
        <v>3442</v>
      </c>
      <c r="L602" s="240">
        <v>3442</v>
      </c>
      <c r="M602" s="240">
        <v>3442</v>
      </c>
      <c r="N602" s="240">
        <v>3442</v>
      </c>
      <c r="O602" s="240">
        <v>3442</v>
      </c>
      <c r="P602" s="240">
        <v>3442</v>
      </c>
      <c r="Q602" s="240">
        <v>3442</v>
      </c>
      <c r="R602" s="240">
        <v>0</v>
      </c>
      <c r="S602" s="242">
        <f t="shared" si="49"/>
        <v>41304</v>
      </c>
      <c r="Z602"/>
    </row>
    <row r="603" spans="1:26" x14ac:dyDescent="0.2">
      <c r="A603" s="270"/>
      <c r="B603" s="235"/>
      <c r="C603" s="148"/>
      <c r="D603" s="148"/>
      <c r="E603" s="240"/>
      <c r="F603" s="240"/>
      <c r="G603" s="240"/>
      <c r="H603" s="240"/>
      <c r="I603" s="240"/>
      <c r="J603" s="240"/>
      <c r="K603" s="240"/>
      <c r="L603" s="240"/>
      <c r="M603" s="240"/>
      <c r="N603" s="240"/>
      <c r="O603" s="240"/>
      <c r="P603" s="240"/>
      <c r="Q603" s="240"/>
      <c r="R603" s="240"/>
      <c r="S603" s="242">
        <f t="shared" si="49"/>
        <v>0</v>
      </c>
      <c r="Z603"/>
    </row>
    <row r="604" spans="1:26" x14ac:dyDescent="0.2">
      <c r="A604" s="159">
        <v>615200</v>
      </c>
      <c r="B604" s="160" t="s">
        <v>121</v>
      </c>
      <c r="C604" s="148" t="s">
        <v>63</v>
      </c>
      <c r="D604" s="148" t="s">
        <v>179</v>
      </c>
      <c r="E604" s="240">
        <v>0</v>
      </c>
      <c r="F604" s="240">
        <v>0</v>
      </c>
      <c r="G604" s="240">
        <v>0</v>
      </c>
      <c r="H604" s="240">
        <v>0</v>
      </c>
      <c r="I604" s="240">
        <v>0</v>
      </c>
      <c r="J604" s="240">
        <v>0</v>
      </c>
      <c r="K604" s="240">
        <v>0</v>
      </c>
      <c r="L604" s="240">
        <v>0</v>
      </c>
      <c r="M604" s="240">
        <v>0</v>
      </c>
      <c r="N604" s="240">
        <v>0</v>
      </c>
      <c r="O604" s="240">
        <v>0</v>
      </c>
      <c r="P604" s="240">
        <v>0</v>
      </c>
      <c r="Q604" s="240">
        <v>0</v>
      </c>
      <c r="R604" s="240">
        <v>0</v>
      </c>
      <c r="S604" s="242">
        <f t="shared" si="49"/>
        <v>0</v>
      </c>
      <c r="Z604"/>
    </row>
    <row r="605" spans="1:26" x14ac:dyDescent="0.2">
      <c r="A605" s="270"/>
      <c r="B605" s="235"/>
      <c r="C605" s="148"/>
      <c r="D605" s="148"/>
      <c r="E605" s="240"/>
      <c r="F605" s="240"/>
      <c r="G605" s="240"/>
      <c r="H605" s="240"/>
      <c r="I605" s="240"/>
      <c r="J605" s="240"/>
      <c r="K605" s="240"/>
      <c r="L605" s="240"/>
      <c r="M605" s="240"/>
      <c r="N605" s="240"/>
      <c r="O605" s="240"/>
      <c r="P605" s="240"/>
      <c r="Q605" s="240"/>
      <c r="R605" s="240"/>
      <c r="S605" s="242">
        <f t="shared" si="49"/>
        <v>0</v>
      </c>
      <c r="Z605"/>
    </row>
    <row r="606" spans="1:26" x14ac:dyDescent="0.2">
      <c r="A606" s="159">
        <v>615200</v>
      </c>
      <c r="B606" s="160" t="s">
        <v>121</v>
      </c>
      <c r="C606" s="148" t="s">
        <v>81</v>
      </c>
      <c r="D606" s="148" t="s">
        <v>192</v>
      </c>
      <c r="E606" s="240">
        <v>0</v>
      </c>
      <c r="F606" s="240">
        <v>0</v>
      </c>
      <c r="G606" s="240">
        <v>0</v>
      </c>
      <c r="H606" s="240">
        <v>0</v>
      </c>
      <c r="I606" s="240">
        <v>0</v>
      </c>
      <c r="J606" s="240">
        <v>0</v>
      </c>
      <c r="K606" s="240">
        <v>0</v>
      </c>
      <c r="L606" s="240">
        <v>0</v>
      </c>
      <c r="M606" s="240">
        <v>0</v>
      </c>
      <c r="N606" s="240">
        <v>0</v>
      </c>
      <c r="O606" s="240">
        <v>0</v>
      </c>
      <c r="P606" s="240">
        <v>0</v>
      </c>
      <c r="Q606" s="240">
        <v>590</v>
      </c>
      <c r="R606" s="240">
        <v>0</v>
      </c>
      <c r="S606" s="242">
        <f t="shared" si="49"/>
        <v>590</v>
      </c>
      <c r="Z606"/>
    </row>
    <row r="607" spans="1:26" x14ac:dyDescent="0.2">
      <c r="A607" s="159">
        <v>615200</v>
      </c>
      <c r="B607" s="160" t="s">
        <v>121</v>
      </c>
      <c r="C607" s="148" t="s">
        <v>81</v>
      </c>
      <c r="D607" s="148" t="s">
        <v>179</v>
      </c>
      <c r="E607" s="240">
        <v>0</v>
      </c>
      <c r="F607" s="240">
        <v>1367.07</v>
      </c>
      <c r="G607" s="240">
        <v>1367.07</v>
      </c>
      <c r="H607" s="240">
        <v>1367.07</v>
      </c>
      <c r="I607" s="240">
        <v>1367.07</v>
      </c>
      <c r="J607" s="240">
        <v>1367.07</v>
      </c>
      <c r="K607" s="240">
        <v>1367.07</v>
      </c>
      <c r="L607" s="240">
        <v>1367.07</v>
      </c>
      <c r="M607" s="240">
        <v>1367.07</v>
      </c>
      <c r="N607" s="240">
        <v>1367.07</v>
      </c>
      <c r="O607" s="240">
        <v>1367.07</v>
      </c>
      <c r="P607" s="240">
        <v>1367.07</v>
      </c>
      <c r="Q607" s="240">
        <v>275.05</v>
      </c>
      <c r="R607" s="240">
        <v>0</v>
      </c>
      <c r="S607" s="242">
        <f t="shared" si="49"/>
        <v>15312.819999999998</v>
      </c>
      <c r="Z607"/>
    </row>
    <row r="608" spans="1:26" x14ac:dyDescent="0.2">
      <c r="A608" s="270"/>
      <c r="B608" s="235"/>
      <c r="C608" s="148"/>
      <c r="D608" s="148"/>
      <c r="E608" s="240"/>
      <c r="F608" s="240"/>
      <c r="G608" s="240"/>
      <c r="H608" s="240"/>
      <c r="I608" s="240"/>
      <c r="J608" s="240"/>
      <c r="K608" s="240"/>
      <c r="L608" s="240"/>
      <c r="M608" s="240"/>
      <c r="N608" s="240"/>
      <c r="O608" s="240"/>
      <c r="P608" s="240"/>
      <c r="Q608" s="240"/>
      <c r="R608" s="240"/>
      <c r="S608" s="242">
        <f t="shared" si="49"/>
        <v>0</v>
      </c>
      <c r="Z608"/>
    </row>
    <row r="609" spans="1:26" x14ac:dyDescent="0.2">
      <c r="A609" s="159">
        <v>615200</v>
      </c>
      <c r="B609" s="160" t="s">
        <v>121</v>
      </c>
      <c r="C609" s="148" t="s">
        <v>155</v>
      </c>
      <c r="D609" s="148" t="s">
        <v>179</v>
      </c>
      <c r="E609" s="240">
        <v>-390</v>
      </c>
      <c r="F609" s="240">
        <v>2300.2600000000002</v>
      </c>
      <c r="G609" s="240">
        <v>2300.2600000000002</v>
      </c>
      <c r="H609" s="240">
        <v>2430.2600000000002</v>
      </c>
      <c r="I609" s="240">
        <v>2300.2600000000002</v>
      </c>
      <c r="J609" s="240">
        <v>2300.2600000000002</v>
      </c>
      <c r="K609" s="240">
        <v>2430.2600000000002</v>
      </c>
      <c r="L609" s="240">
        <v>2300.2600000000002</v>
      </c>
      <c r="M609" s="240">
        <v>2306.02</v>
      </c>
      <c r="N609" s="240">
        <v>2436.02</v>
      </c>
      <c r="O609" s="240">
        <v>2115</v>
      </c>
      <c r="P609" s="240">
        <v>2115</v>
      </c>
      <c r="Q609" s="240">
        <v>0</v>
      </c>
      <c r="R609" s="240">
        <v>0</v>
      </c>
      <c r="S609" s="242">
        <f t="shared" si="49"/>
        <v>24943.86</v>
      </c>
      <c r="Z609"/>
    </row>
    <row r="610" spans="1:26" x14ac:dyDescent="0.2">
      <c r="A610" s="159">
        <v>615200</v>
      </c>
      <c r="B610" s="160" t="s">
        <v>121</v>
      </c>
      <c r="C610" s="148" t="s">
        <v>155</v>
      </c>
      <c r="D610" s="148" t="s">
        <v>192</v>
      </c>
      <c r="E610" s="240">
        <v>0</v>
      </c>
      <c r="F610" s="240">
        <v>0</v>
      </c>
      <c r="G610" s="240">
        <v>0</v>
      </c>
      <c r="H610" s="240">
        <v>0</v>
      </c>
      <c r="I610" s="240">
        <v>0</v>
      </c>
      <c r="J610" s="240">
        <v>0</v>
      </c>
      <c r="K610" s="240">
        <v>0</v>
      </c>
      <c r="L610" s="240">
        <v>0</v>
      </c>
      <c r="M610" s="240">
        <v>0</v>
      </c>
      <c r="N610" s="240">
        <v>0</v>
      </c>
      <c r="O610" s="240">
        <v>0</v>
      </c>
      <c r="P610" s="240">
        <v>0</v>
      </c>
      <c r="Q610" s="240">
        <v>175</v>
      </c>
      <c r="R610" s="240">
        <v>0</v>
      </c>
      <c r="S610" s="242">
        <f t="shared" si="49"/>
        <v>175</v>
      </c>
      <c r="Z610"/>
    </row>
    <row r="611" spans="1:26" x14ac:dyDescent="0.2">
      <c r="A611" s="270"/>
      <c r="B611" s="235"/>
      <c r="C611" s="148"/>
      <c r="D611" s="148"/>
      <c r="E611" s="240"/>
      <c r="F611" s="240"/>
      <c r="G611" s="240"/>
      <c r="H611" s="240"/>
      <c r="I611" s="240"/>
      <c r="J611" s="240"/>
      <c r="K611" s="240"/>
      <c r="L611" s="240"/>
      <c r="M611" s="240"/>
      <c r="N611" s="240"/>
      <c r="O611" s="240"/>
      <c r="P611" s="240"/>
      <c r="Q611" s="240"/>
      <c r="R611" s="240"/>
      <c r="S611" s="242">
        <f t="shared" si="49"/>
        <v>0</v>
      </c>
      <c r="Z611"/>
    </row>
    <row r="612" spans="1:26" x14ac:dyDescent="0.2">
      <c r="A612" s="159">
        <v>615200</v>
      </c>
      <c r="B612" s="160" t="s">
        <v>121</v>
      </c>
      <c r="C612" s="148" t="s">
        <v>79</v>
      </c>
      <c r="D612" s="148" t="s">
        <v>179</v>
      </c>
      <c r="E612" s="240">
        <v>0</v>
      </c>
      <c r="F612" s="240">
        <v>5473.08</v>
      </c>
      <c r="G612" s="240">
        <v>5347.08</v>
      </c>
      <c r="H612" s="240">
        <v>5347.07</v>
      </c>
      <c r="I612" s="240">
        <v>5473.07</v>
      </c>
      <c r="J612" s="240">
        <v>5220.3600000000006</v>
      </c>
      <c r="K612" s="240">
        <v>5359.01</v>
      </c>
      <c r="L612" s="240">
        <v>5298.23</v>
      </c>
      <c r="M612" s="240">
        <v>5220.3600000000006</v>
      </c>
      <c r="N612" s="240">
        <v>5220.3600000000006</v>
      </c>
      <c r="O612" s="240">
        <v>5346.35</v>
      </c>
      <c r="P612" s="240">
        <v>5220.3600000000006</v>
      </c>
      <c r="Q612" s="240">
        <v>219.01</v>
      </c>
      <c r="R612" s="240">
        <v>0</v>
      </c>
      <c r="S612" s="242">
        <f t="shared" si="49"/>
        <v>58744.34</v>
      </c>
      <c r="Z612"/>
    </row>
    <row r="613" spans="1:26" x14ac:dyDescent="0.2">
      <c r="A613" s="159">
        <v>615200</v>
      </c>
      <c r="B613" s="160" t="s">
        <v>121</v>
      </c>
      <c r="C613" s="148" t="s">
        <v>79</v>
      </c>
      <c r="D613" s="148" t="s">
        <v>192</v>
      </c>
      <c r="E613" s="240">
        <v>0</v>
      </c>
      <c r="F613" s="240">
        <v>0</v>
      </c>
      <c r="G613" s="240">
        <v>0</v>
      </c>
      <c r="H613" s="240">
        <v>0</v>
      </c>
      <c r="I613" s="240">
        <v>0</v>
      </c>
      <c r="J613" s="240">
        <v>0</v>
      </c>
      <c r="K613" s="240">
        <v>0</v>
      </c>
      <c r="L613" s="240">
        <v>0</v>
      </c>
      <c r="M613" s="240">
        <v>560</v>
      </c>
      <c r="N613" s="240">
        <v>0</v>
      </c>
      <c r="O613" s="240">
        <v>0</v>
      </c>
      <c r="P613" s="240">
        <v>0</v>
      </c>
      <c r="Q613" s="240">
        <v>0</v>
      </c>
      <c r="R613" s="240">
        <v>0</v>
      </c>
      <c r="S613" s="242">
        <f t="shared" si="49"/>
        <v>560</v>
      </c>
      <c r="Z613"/>
    </row>
    <row r="614" spans="1:26" x14ac:dyDescent="0.2">
      <c r="A614" s="159"/>
      <c r="B614" s="160"/>
      <c r="C614" s="148"/>
      <c r="D614" s="148"/>
      <c r="E614" s="240"/>
      <c r="F614" s="240"/>
      <c r="G614" s="240"/>
      <c r="H614" s="240"/>
      <c r="I614" s="240"/>
      <c r="J614" s="240"/>
      <c r="K614" s="240"/>
      <c r="L614" s="240"/>
      <c r="M614" s="240"/>
      <c r="N614" s="240"/>
      <c r="O614" s="240"/>
      <c r="P614" s="240"/>
      <c r="Q614" s="240"/>
      <c r="R614" s="240"/>
      <c r="S614" s="242">
        <f t="shared" si="49"/>
        <v>0</v>
      </c>
      <c r="Z614"/>
    </row>
    <row r="615" spans="1:26" x14ac:dyDescent="0.2">
      <c r="A615" s="159">
        <v>615200</v>
      </c>
      <c r="B615" s="160" t="s">
        <v>121</v>
      </c>
      <c r="C615" s="148" t="s">
        <v>309</v>
      </c>
      <c r="D615" s="148" t="s">
        <v>192</v>
      </c>
      <c r="E615" s="240">
        <v>0</v>
      </c>
      <c r="F615" s="240">
        <v>0</v>
      </c>
      <c r="G615" s="240">
        <v>0</v>
      </c>
      <c r="H615" s="240">
        <v>0</v>
      </c>
      <c r="I615" s="240">
        <v>0</v>
      </c>
      <c r="J615" s="240">
        <v>0</v>
      </c>
      <c r="K615" s="240">
        <v>0</v>
      </c>
      <c r="L615" s="240">
        <v>0</v>
      </c>
      <c r="M615" s="240">
        <v>0</v>
      </c>
      <c r="N615" s="240">
        <v>0</v>
      </c>
      <c r="O615" s="240">
        <v>0</v>
      </c>
      <c r="P615" s="240">
        <v>345</v>
      </c>
      <c r="Q615" s="240">
        <v>180</v>
      </c>
      <c r="R615" s="240">
        <v>0</v>
      </c>
      <c r="S615" s="242">
        <f t="shared" si="49"/>
        <v>525</v>
      </c>
      <c r="Z615"/>
    </row>
    <row r="616" spans="1:26" x14ac:dyDescent="0.2">
      <c r="A616" s="159">
        <v>615200</v>
      </c>
      <c r="B616" s="160" t="s">
        <v>121</v>
      </c>
      <c r="C616" s="148" t="s">
        <v>309</v>
      </c>
      <c r="D616" s="148" t="s">
        <v>179</v>
      </c>
      <c r="E616" s="240">
        <v>0</v>
      </c>
      <c r="F616" s="240">
        <v>0</v>
      </c>
      <c r="G616" s="240">
        <v>760.66</v>
      </c>
      <c r="H616" s="240">
        <v>760.66</v>
      </c>
      <c r="I616" s="240">
        <v>760.66</v>
      </c>
      <c r="J616" s="240">
        <v>760.66</v>
      </c>
      <c r="K616" s="240">
        <v>760.66</v>
      </c>
      <c r="L616" s="240">
        <v>760.66</v>
      </c>
      <c r="M616" s="240">
        <v>760.66</v>
      </c>
      <c r="N616" s="240">
        <v>760.66</v>
      </c>
      <c r="O616" s="240">
        <v>760.66</v>
      </c>
      <c r="P616" s="240">
        <v>760.66</v>
      </c>
      <c r="Q616" s="240">
        <v>760.66</v>
      </c>
      <c r="R616" s="240">
        <v>0</v>
      </c>
      <c r="S616" s="242">
        <f t="shared" si="49"/>
        <v>8367.26</v>
      </c>
      <c r="Z616"/>
    </row>
    <row r="617" spans="1:26" x14ac:dyDescent="0.2">
      <c r="A617" s="159"/>
      <c r="B617" s="160"/>
      <c r="C617" s="148"/>
      <c r="D617" s="148"/>
      <c r="E617" s="240"/>
      <c r="F617" s="240"/>
      <c r="G617" s="240"/>
      <c r="H617" s="240"/>
      <c r="I617" s="240"/>
      <c r="J617" s="240"/>
      <c r="K617" s="240"/>
      <c r="L617" s="240"/>
      <c r="M617" s="240"/>
      <c r="N617" s="240"/>
      <c r="O617" s="240"/>
      <c r="P617" s="240"/>
      <c r="Q617" s="240"/>
      <c r="R617" s="240"/>
      <c r="S617" s="242">
        <f t="shared" si="49"/>
        <v>0</v>
      </c>
      <c r="Z617"/>
    </row>
    <row r="618" spans="1:26" x14ac:dyDescent="0.2">
      <c r="A618" s="159">
        <v>615200</v>
      </c>
      <c r="B618" s="160" t="s">
        <v>121</v>
      </c>
      <c r="C618" s="148" t="s">
        <v>368</v>
      </c>
      <c r="D618" s="148">
        <v>999999</v>
      </c>
      <c r="E618" s="240"/>
      <c r="F618" s="240">
        <v>279.33999999999997</v>
      </c>
      <c r="G618" s="240">
        <f>-279.34+1830.4</f>
        <v>1551.0600000000002</v>
      </c>
      <c r="H618" s="240">
        <f>-1830.4+1154.67</f>
        <v>-675.73</v>
      </c>
      <c r="I618" s="240">
        <f>-1154.67-1246.4</f>
        <v>-2401.0700000000002</v>
      </c>
      <c r="J618" s="240">
        <f>1246.4+2909.88</f>
        <v>4156.2800000000007</v>
      </c>
      <c r="K618" s="240">
        <f>-2909.88+2270.95</f>
        <v>-638.93000000000029</v>
      </c>
      <c r="L618" s="240">
        <f>-2270.95+3447.02</f>
        <v>1176.0700000000002</v>
      </c>
      <c r="M618" s="240">
        <f>-3447.02+4386.88</f>
        <v>939.86000000000013</v>
      </c>
      <c r="N618" s="240">
        <f>-4386.88+503.96</f>
        <v>-3882.92</v>
      </c>
      <c r="O618" s="240">
        <f>-503.96+934.66</f>
        <v>430.7</v>
      </c>
      <c r="P618" s="240">
        <f>-934.66+1.58</f>
        <v>-933.07999999999993</v>
      </c>
      <c r="Q618" s="240"/>
      <c r="R618" s="240"/>
      <c r="S618" s="242">
        <f t="shared" si="49"/>
        <v>1.5800000000010641</v>
      </c>
      <c r="Z618"/>
    </row>
    <row r="619" spans="1:26" x14ac:dyDescent="0.2">
      <c r="A619" s="159">
        <v>615200</v>
      </c>
      <c r="B619" s="160" t="s">
        <v>121</v>
      </c>
      <c r="C619" s="148" t="s">
        <v>381</v>
      </c>
      <c r="D619" s="148">
        <v>999999</v>
      </c>
      <c r="E619" s="240">
        <v>0</v>
      </c>
      <c r="F619" s="240">
        <v>0</v>
      </c>
      <c r="G619" s="240">
        <v>0</v>
      </c>
      <c r="H619" s="240">
        <v>0</v>
      </c>
      <c r="I619" s="240">
        <v>0</v>
      </c>
      <c r="J619" s="240">
        <v>0</v>
      </c>
      <c r="K619" s="240">
        <v>0</v>
      </c>
      <c r="L619" s="240">
        <v>0</v>
      </c>
      <c r="M619" s="240">
        <v>0</v>
      </c>
      <c r="N619" s="240">
        <v>0</v>
      </c>
      <c r="O619" s="240">
        <v>0</v>
      </c>
      <c r="P619" s="240">
        <v>0</v>
      </c>
      <c r="Q619" s="240">
        <v>0</v>
      </c>
      <c r="R619" s="240">
        <v>0</v>
      </c>
      <c r="S619" s="242">
        <f t="shared" si="49"/>
        <v>0</v>
      </c>
      <c r="Z619"/>
    </row>
    <row r="620" spans="1:26" s="185" customFormat="1" ht="24" customHeight="1" x14ac:dyDescent="0.2">
      <c r="A620" s="267"/>
      <c r="B620" s="268"/>
      <c r="C620" s="267" t="s">
        <v>66</v>
      </c>
      <c r="D620" s="267"/>
      <c r="E620" s="269">
        <f>SUM(E592:E619)</f>
        <v>-563.40000000000009</v>
      </c>
      <c r="F620" s="269">
        <f t="shared" ref="F620:Q620" si="50">SUM(F592:F619)</f>
        <v>24283.829999999998</v>
      </c>
      <c r="G620" s="269">
        <f t="shared" si="50"/>
        <v>27690.47</v>
      </c>
      <c r="H620" s="269">
        <f t="shared" si="50"/>
        <v>25420.269999999997</v>
      </c>
      <c r="I620" s="269">
        <f t="shared" si="50"/>
        <v>20715.929999999997</v>
      </c>
      <c r="J620" s="269">
        <f t="shared" si="50"/>
        <v>28678.9</v>
      </c>
      <c r="K620" s="269">
        <f t="shared" si="50"/>
        <v>24159.01</v>
      </c>
      <c r="L620" s="269">
        <f t="shared" si="50"/>
        <v>25783.229999999996</v>
      </c>
      <c r="M620" s="269">
        <f t="shared" si="50"/>
        <v>25952.47</v>
      </c>
      <c r="N620" s="269">
        <f t="shared" si="50"/>
        <v>21234.120000000003</v>
      </c>
      <c r="O620" s="269">
        <f t="shared" si="50"/>
        <v>25330.14</v>
      </c>
      <c r="P620" s="269">
        <f t="shared" si="50"/>
        <v>24207.360000000001</v>
      </c>
      <c r="Q620" s="269">
        <f t="shared" si="50"/>
        <v>6393.4900000000007</v>
      </c>
      <c r="R620" s="269">
        <f>SUM(R592:R619)</f>
        <v>0</v>
      </c>
      <c r="S620" s="269">
        <f>SUM(S592:S619)</f>
        <v>279285.82</v>
      </c>
      <c r="T620" s="689" t="e">
        <f>IF(Ctrl($A619)+S619+S618=S620,"Ok","Erreur somme")</f>
        <v>#VALUE!</v>
      </c>
      <c r="U620" s="212">
        <v>273096.15999999997</v>
      </c>
      <c r="V620" s="334">
        <f>U620-S620</f>
        <v>-6189.6600000000326</v>
      </c>
      <c r="W620" s="185" t="s">
        <v>853</v>
      </c>
      <c r="X620" s="569"/>
      <c r="Z620"/>
    </row>
    <row r="621" spans="1:26" x14ac:dyDescent="0.2">
      <c r="A621" s="159">
        <v>615205</v>
      </c>
      <c r="B621" s="160" t="s">
        <v>122</v>
      </c>
      <c r="C621" s="148" t="s">
        <v>78</v>
      </c>
      <c r="D621" s="148" t="s">
        <v>179</v>
      </c>
      <c r="E621" s="240">
        <v>0</v>
      </c>
      <c r="F621" s="240">
        <v>710.92</v>
      </c>
      <c r="G621" s="240">
        <v>710.92</v>
      </c>
      <c r="H621" s="240">
        <v>710.92</v>
      </c>
      <c r="I621" s="240">
        <v>710.92</v>
      </c>
      <c r="J621" s="240">
        <v>710.92</v>
      </c>
      <c r="K621" s="240">
        <v>710.86</v>
      </c>
      <c r="L621" s="240">
        <v>716.62</v>
      </c>
      <c r="M621" s="240">
        <v>716.62</v>
      </c>
      <c r="N621" s="240">
        <v>716.62</v>
      </c>
      <c r="O621" s="240">
        <v>716.62</v>
      </c>
      <c r="P621" s="240">
        <v>716.62</v>
      </c>
      <c r="Q621" s="240">
        <v>716.52</v>
      </c>
      <c r="R621" s="240">
        <v>0</v>
      </c>
      <c r="S621" s="242">
        <f t="shared" ref="S621:S629" si="51">SUM(E621:Q621)</f>
        <v>8565.08</v>
      </c>
      <c r="Z621"/>
    </row>
    <row r="622" spans="1:26" x14ac:dyDescent="0.2">
      <c r="A622" s="159">
        <v>615205</v>
      </c>
      <c r="B622" s="160" t="s">
        <v>122</v>
      </c>
      <c r="C622" s="148" t="s">
        <v>78</v>
      </c>
      <c r="D622" s="148" t="s">
        <v>192</v>
      </c>
      <c r="E622" s="240">
        <v>0</v>
      </c>
      <c r="F622" s="240">
        <v>0</v>
      </c>
      <c r="G622" s="240">
        <v>0</v>
      </c>
      <c r="H622" s="240">
        <v>0</v>
      </c>
      <c r="I622" s="240">
        <v>0</v>
      </c>
      <c r="J622" s="240">
        <v>0</v>
      </c>
      <c r="K622" s="240">
        <v>0</v>
      </c>
      <c r="L622" s="240">
        <v>0</v>
      </c>
      <c r="M622" s="240">
        <v>0</v>
      </c>
      <c r="N622" s="240">
        <v>0</v>
      </c>
      <c r="O622" s="240">
        <v>0</v>
      </c>
      <c r="P622" s="240">
        <v>0</v>
      </c>
      <c r="Q622" s="240">
        <v>0</v>
      </c>
      <c r="R622" s="240">
        <v>0</v>
      </c>
      <c r="S622" s="242">
        <f t="shared" si="51"/>
        <v>0</v>
      </c>
      <c r="Z622"/>
    </row>
    <row r="623" spans="1:26" x14ac:dyDescent="0.2">
      <c r="A623" s="159">
        <v>615205</v>
      </c>
      <c r="B623" s="160" t="s">
        <v>122</v>
      </c>
      <c r="C623" s="148" t="s">
        <v>76</v>
      </c>
      <c r="D623" s="148" t="s">
        <v>179</v>
      </c>
      <c r="E623" s="240">
        <v>0</v>
      </c>
      <c r="F623" s="240">
        <v>1658.8</v>
      </c>
      <c r="G623" s="240">
        <v>1658.8</v>
      </c>
      <c r="H623" s="240">
        <v>1658.8</v>
      </c>
      <c r="I623" s="240">
        <v>1658.8</v>
      </c>
      <c r="J623" s="240">
        <v>1658.8</v>
      </c>
      <c r="K623" s="240">
        <v>1658.72</v>
      </c>
      <c r="L623" s="240">
        <v>1672.08</v>
      </c>
      <c r="M623" s="240">
        <v>1672.08</v>
      </c>
      <c r="N623" s="240">
        <v>1672.08</v>
      </c>
      <c r="O623" s="240">
        <v>1672.08</v>
      </c>
      <c r="P623" s="240">
        <v>1672.08</v>
      </c>
      <c r="Q623" s="240">
        <v>1672.08</v>
      </c>
      <c r="R623" s="240">
        <v>0</v>
      </c>
      <c r="S623" s="242">
        <f t="shared" si="51"/>
        <v>19985.200000000004</v>
      </c>
      <c r="Z623"/>
    </row>
    <row r="624" spans="1:26" x14ac:dyDescent="0.2">
      <c r="A624" s="159"/>
      <c r="B624" s="160"/>
      <c r="C624" s="148"/>
      <c r="D624" s="148"/>
      <c r="E624" s="240"/>
      <c r="F624" s="240"/>
      <c r="G624" s="240"/>
      <c r="H624" s="240"/>
      <c r="I624" s="240"/>
      <c r="J624" s="240"/>
      <c r="K624" s="240"/>
      <c r="L624" s="240"/>
      <c r="M624" s="240"/>
      <c r="N624" s="240"/>
      <c r="O624" s="240"/>
      <c r="P624" s="240"/>
      <c r="Q624" s="240"/>
      <c r="R624" s="240"/>
      <c r="S624" s="242">
        <f t="shared" si="51"/>
        <v>0</v>
      </c>
      <c r="Z624"/>
    </row>
    <row r="625" spans="1:26" x14ac:dyDescent="0.2">
      <c r="A625" s="159">
        <v>615205</v>
      </c>
      <c r="B625" s="160" t="s">
        <v>122</v>
      </c>
      <c r="C625" s="148" t="s">
        <v>72</v>
      </c>
      <c r="D625" s="148" t="s">
        <v>192</v>
      </c>
      <c r="E625" s="240">
        <v>0</v>
      </c>
      <c r="F625" s="240">
        <v>0</v>
      </c>
      <c r="G625" s="240">
        <v>0</v>
      </c>
      <c r="H625" s="240">
        <v>0</v>
      </c>
      <c r="I625" s="240">
        <v>0</v>
      </c>
      <c r="J625" s="240">
        <v>0</v>
      </c>
      <c r="K625" s="240">
        <v>0</v>
      </c>
      <c r="L625" s="240">
        <v>0</v>
      </c>
      <c r="M625" s="240">
        <v>0</v>
      </c>
      <c r="N625" s="240">
        <v>0</v>
      </c>
      <c r="O625" s="240">
        <v>0</v>
      </c>
      <c r="P625" s="240">
        <v>0</v>
      </c>
      <c r="Q625" s="240">
        <v>0</v>
      </c>
      <c r="R625" s="240">
        <v>0</v>
      </c>
      <c r="S625" s="242">
        <f t="shared" si="51"/>
        <v>0</v>
      </c>
      <c r="Z625"/>
    </row>
    <row r="626" spans="1:26" x14ac:dyDescent="0.2">
      <c r="A626" s="159">
        <v>615205</v>
      </c>
      <c r="B626" s="160" t="s">
        <v>122</v>
      </c>
      <c r="C626" s="148" t="s">
        <v>72</v>
      </c>
      <c r="D626" s="148" t="s">
        <v>179</v>
      </c>
      <c r="E626" s="240">
        <v>0</v>
      </c>
      <c r="F626" s="240">
        <v>0</v>
      </c>
      <c r="G626" s="240">
        <v>0</v>
      </c>
      <c r="H626" s="240">
        <v>0</v>
      </c>
      <c r="I626" s="240">
        <v>0</v>
      </c>
      <c r="J626" s="240">
        <v>0</v>
      </c>
      <c r="K626" s="240">
        <v>0</v>
      </c>
      <c r="L626" s="240">
        <v>0</v>
      </c>
      <c r="M626" s="240">
        <v>0</v>
      </c>
      <c r="N626" s="240">
        <v>0</v>
      </c>
      <c r="O626" s="240">
        <v>0</v>
      </c>
      <c r="P626" s="240">
        <v>0</v>
      </c>
      <c r="Q626" s="240">
        <v>0</v>
      </c>
      <c r="R626" s="240">
        <v>0</v>
      </c>
      <c r="S626" s="242">
        <f t="shared" si="51"/>
        <v>0</v>
      </c>
      <c r="Z626"/>
    </row>
    <row r="627" spans="1:26" x14ac:dyDescent="0.2">
      <c r="A627" s="159"/>
      <c r="B627" s="160"/>
      <c r="C627" s="148"/>
      <c r="D627" s="148"/>
      <c r="E627" s="240"/>
      <c r="F627" s="240"/>
      <c r="G627" s="240"/>
      <c r="H627" s="240"/>
      <c r="I627" s="240"/>
      <c r="J627" s="240"/>
      <c r="K627" s="240"/>
      <c r="L627" s="240"/>
      <c r="M627" s="240"/>
      <c r="N627" s="240"/>
      <c r="O627" s="240"/>
      <c r="P627" s="240"/>
      <c r="Q627" s="240"/>
      <c r="R627" s="240"/>
      <c r="S627" s="242">
        <f t="shared" si="51"/>
        <v>0</v>
      </c>
      <c r="Z627"/>
    </row>
    <row r="628" spans="1:26" x14ac:dyDescent="0.2">
      <c r="A628" s="159">
        <v>615205</v>
      </c>
      <c r="B628" s="160" t="s">
        <v>122</v>
      </c>
      <c r="C628" s="148" t="s">
        <v>68</v>
      </c>
      <c r="D628" s="148" t="s">
        <v>179</v>
      </c>
      <c r="E628" s="240">
        <v>0</v>
      </c>
      <c r="F628" s="240">
        <v>315</v>
      </c>
      <c r="G628" s="240">
        <v>315</v>
      </c>
      <c r="H628" s="240">
        <v>315</v>
      </c>
      <c r="I628" s="240">
        <v>315</v>
      </c>
      <c r="J628" s="240">
        <v>315</v>
      </c>
      <c r="K628" s="240">
        <v>315</v>
      </c>
      <c r="L628" s="240">
        <v>315</v>
      </c>
      <c r="M628" s="240">
        <v>315</v>
      </c>
      <c r="N628" s="240">
        <v>322.64</v>
      </c>
      <c r="O628" s="240">
        <v>322.64</v>
      </c>
      <c r="P628" s="240">
        <v>322.64</v>
      </c>
      <c r="Q628" s="240">
        <v>322.64</v>
      </c>
      <c r="R628" s="240">
        <v>0</v>
      </c>
      <c r="S628" s="242">
        <f t="shared" si="51"/>
        <v>3810.5599999999995</v>
      </c>
      <c r="Z628"/>
    </row>
    <row r="629" spans="1:26" x14ac:dyDescent="0.2">
      <c r="A629" s="159">
        <v>615205</v>
      </c>
      <c r="B629" s="160" t="s">
        <v>122</v>
      </c>
      <c r="C629" s="148" t="s">
        <v>68</v>
      </c>
      <c r="D629" s="148" t="s">
        <v>192</v>
      </c>
      <c r="E629" s="240">
        <v>0</v>
      </c>
      <c r="F629" s="240">
        <v>0</v>
      </c>
      <c r="G629" s="240">
        <v>0</v>
      </c>
      <c r="H629" s="240">
        <v>0</v>
      </c>
      <c r="I629" s="240">
        <v>0</v>
      </c>
      <c r="J629" s="240">
        <v>0</v>
      </c>
      <c r="K629" s="240">
        <v>0</v>
      </c>
      <c r="L629" s="240">
        <v>0</v>
      </c>
      <c r="M629" s="240">
        <v>0</v>
      </c>
      <c r="N629" s="240">
        <v>515.66</v>
      </c>
      <c r="O629" s="240">
        <v>0</v>
      </c>
      <c r="P629" s="240">
        <v>0</v>
      </c>
      <c r="Q629" s="240">
        <v>0</v>
      </c>
      <c r="R629" s="240">
        <v>0</v>
      </c>
      <c r="S629" s="242">
        <f t="shared" si="51"/>
        <v>515.66</v>
      </c>
      <c r="Z629"/>
    </row>
    <row r="630" spans="1:26" x14ac:dyDescent="0.2">
      <c r="A630" s="270"/>
      <c r="B630" s="235"/>
      <c r="C630" s="148"/>
      <c r="D630" s="148"/>
      <c r="E630" s="240"/>
      <c r="F630" s="240"/>
      <c r="G630" s="240"/>
      <c r="H630" s="240"/>
      <c r="I630" s="240"/>
      <c r="J630" s="240"/>
      <c r="K630" s="240"/>
      <c r="L630" s="240"/>
      <c r="M630" s="240"/>
      <c r="N630" s="240"/>
      <c r="O630" s="240"/>
      <c r="P630" s="240"/>
      <c r="Q630" s="240"/>
      <c r="R630" s="240"/>
      <c r="S630" s="242"/>
      <c r="Z630"/>
    </row>
    <row r="631" spans="1:26" x14ac:dyDescent="0.2">
      <c r="A631" s="159">
        <v>615205</v>
      </c>
      <c r="B631" s="160" t="s">
        <v>122</v>
      </c>
      <c r="C631" s="148" t="s">
        <v>156</v>
      </c>
      <c r="D631" s="148" t="s">
        <v>192</v>
      </c>
      <c r="E631" s="240">
        <v>0</v>
      </c>
      <c r="F631" s="240">
        <v>0</v>
      </c>
      <c r="G631" s="240">
        <v>0</v>
      </c>
      <c r="H631" s="240">
        <v>0</v>
      </c>
      <c r="I631" s="240">
        <v>0</v>
      </c>
      <c r="J631" s="240">
        <v>0</v>
      </c>
      <c r="K631" s="240">
        <v>0</v>
      </c>
      <c r="L631" s="240">
        <v>0</v>
      </c>
      <c r="M631" s="240">
        <v>0</v>
      </c>
      <c r="N631" s="240">
        <v>0</v>
      </c>
      <c r="O631" s="240">
        <v>0</v>
      </c>
      <c r="P631" s="240">
        <v>0</v>
      </c>
      <c r="Q631" s="240">
        <v>0</v>
      </c>
      <c r="R631" s="240">
        <v>0</v>
      </c>
      <c r="S631" s="242">
        <f>SUM(E631:Q631)</f>
        <v>0</v>
      </c>
      <c r="Z631"/>
    </row>
    <row r="632" spans="1:26" x14ac:dyDescent="0.2">
      <c r="A632" s="159">
        <v>615205</v>
      </c>
      <c r="B632" s="160" t="s">
        <v>122</v>
      </c>
      <c r="C632" s="148" t="s">
        <v>156</v>
      </c>
      <c r="D632" s="148" t="s">
        <v>179</v>
      </c>
      <c r="E632" s="240">
        <v>0</v>
      </c>
      <c r="F632" s="240">
        <v>0</v>
      </c>
      <c r="G632" s="240">
        <v>0</v>
      </c>
      <c r="H632" s="240">
        <v>0</v>
      </c>
      <c r="I632" s="240">
        <v>0</v>
      </c>
      <c r="J632" s="240">
        <v>0</v>
      </c>
      <c r="K632" s="240">
        <v>0</v>
      </c>
      <c r="L632" s="240">
        <v>0</v>
      </c>
      <c r="M632" s="240">
        <v>0</v>
      </c>
      <c r="N632" s="240">
        <v>0</v>
      </c>
      <c r="O632" s="240">
        <v>0</v>
      </c>
      <c r="P632" s="240">
        <v>0</v>
      </c>
      <c r="Q632" s="240">
        <v>0</v>
      </c>
      <c r="R632" s="240">
        <v>0</v>
      </c>
      <c r="S632" s="242">
        <f>SUM(E632:Q632)</f>
        <v>0</v>
      </c>
      <c r="Z632"/>
    </row>
    <row r="633" spans="1:26" s="185" customFormat="1" ht="24" customHeight="1" x14ac:dyDescent="0.2">
      <c r="A633" s="267"/>
      <c r="B633" s="268"/>
      <c r="C633" s="267" t="s">
        <v>66</v>
      </c>
      <c r="D633" s="267"/>
      <c r="E633" s="269">
        <f t="shared" ref="E633:P633" si="52">SUM(E621:E631)</f>
        <v>0</v>
      </c>
      <c r="F633" s="269">
        <f t="shared" si="52"/>
        <v>2684.72</v>
      </c>
      <c r="G633" s="269">
        <f t="shared" si="52"/>
        <v>2684.72</v>
      </c>
      <c r="H633" s="269">
        <f t="shared" si="52"/>
        <v>2684.72</v>
      </c>
      <c r="I633" s="269">
        <f t="shared" si="52"/>
        <v>2684.72</v>
      </c>
      <c r="J633" s="269">
        <f t="shared" si="52"/>
        <v>2684.72</v>
      </c>
      <c r="K633" s="269">
        <f t="shared" si="52"/>
        <v>2684.58</v>
      </c>
      <c r="L633" s="269">
        <f t="shared" si="52"/>
        <v>2703.7</v>
      </c>
      <c r="M633" s="269">
        <f t="shared" si="52"/>
        <v>2703.7</v>
      </c>
      <c r="N633" s="269">
        <f t="shared" si="52"/>
        <v>3226.9999999999995</v>
      </c>
      <c r="O633" s="269">
        <f t="shared" si="52"/>
        <v>2711.3399999999997</v>
      </c>
      <c r="P633" s="269">
        <f t="shared" si="52"/>
        <v>2711.3399999999997</v>
      </c>
      <c r="Q633" s="269">
        <f>SUM(Q621:Q631)</f>
        <v>2711.24</v>
      </c>
      <c r="R633" s="269">
        <f>SUM(R621:R631)</f>
        <v>0</v>
      </c>
      <c r="S633" s="269">
        <f>SUM(S621:S632)</f>
        <v>32876.500000000007</v>
      </c>
      <c r="T633" s="689" t="e">
        <f>IF(Ctrl($A632)=S633,"Ok","Erreur somme")</f>
        <v>#VALUE!</v>
      </c>
      <c r="U633" s="212">
        <v>30165.26</v>
      </c>
      <c r="V633" s="334">
        <f>U633-S633</f>
        <v>-2711.2400000000089</v>
      </c>
      <c r="W633" s="185" t="s">
        <v>853</v>
      </c>
      <c r="Z633"/>
    </row>
    <row r="634" spans="1:26" x14ac:dyDescent="0.2">
      <c r="A634" s="159">
        <v>615210</v>
      </c>
      <c r="B634" s="160" t="s">
        <v>138</v>
      </c>
      <c r="C634" s="148" t="s">
        <v>78</v>
      </c>
      <c r="D634" s="148" t="s">
        <v>192</v>
      </c>
      <c r="E634" s="240">
        <v>0</v>
      </c>
      <c r="F634" s="240">
        <v>0</v>
      </c>
      <c r="G634" s="240">
        <v>0</v>
      </c>
      <c r="H634" s="240">
        <v>0</v>
      </c>
      <c r="I634" s="240">
        <v>0</v>
      </c>
      <c r="J634" s="240">
        <v>0</v>
      </c>
      <c r="K634" s="240">
        <v>0</v>
      </c>
      <c r="L634" s="240">
        <v>0</v>
      </c>
      <c r="M634" s="240">
        <v>0</v>
      </c>
      <c r="N634" s="240">
        <v>0</v>
      </c>
      <c r="O634" s="240">
        <v>0</v>
      </c>
      <c r="P634" s="240">
        <v>0</v>
      </c>
      <c r="Q634" s="240">
        <v>0</v>
      </c>
      <c r="R634" s="240">
        <v>0</v>
      </c>
      <c r="S634" s="242">
        <f>SUM(E634:Q634)</f>
        <v>0</v>
      </c>
      <c r="Z634"/>
    </row>
    <row r="635" spans="1:26" x14ac:dyDescent="0.2">
      <c r="A635" s="159">
        <v>615210</v>
      </c>
      <c r="B635" s="160" t="s">
        <v>138</v>
      </c>
      <c r="C635" s="148" t="s">
        <v>78</v>
      </c>
      <c r="D635" s="148" t="s">
        <v>189</v>
      </c>
      <c r="E635" s="240">
        <v>0</v>
      </c>
      <c r="F635" s="240">
        <v>0</v>
      </c>
      <c r="G635" s="240">
        <v>0</v>
      </c>
      <c r="H635" s="240">
        <v>0</v>
      </c>
      <c r="I635" s="240">
        <v>0</v>
      </c>
      <c r="J635" s="240">
        <v>0</v>
      </c>
      <c r="K635" s="240">
        <v>0</v>
      </c>
      <c r="L635" s="240">
        <v>0</v>
      </c>
      <c r="M635" s="240">
        <v>0</v>
      </c>
      <c r="N635" s="240">
        <v>0</v>
      </c>
      <c r="O635" s="240">
        <v>0</v>
      </c>
      <c r="P635" s="240">
        <v>0</v>
      </c>
      <c r="Q635" s="240">
        <v>0</v>
      </c>
      <c r="R635" s="240">
        <v>0</v>
      </c>
      <c r="S635" s="242">
        <f>SUM(E635:Q635)</f>
        <v>0</v>
      </c>
      <c r="Z635"/>
    </row>
    <row r="636" spans="1:26" x14ac:dyDescent="0.2">
      <c r="A636" s="159">
        <v>615210</v>
      </c>
      <c r="B636" s="160" t="s">
        <v>138</v>
      </c>
      <c r="C636" s="148" t="s">
        <v>137</v>
      </c>
      <c r="D636" s="148" t="s">
        <v>192</v>
      </c>
      <c r="E636" s="240">
        <v>0</v>
      </c>
      <c r="F636" s="240">
        <v>0</v>
      </c>
      <c r="G636" s="240">
        <v>0</v>
      </c>
      <c r="H636" s="240">
        <v>0</v>
      </c>
      <c r="I636" s="240">
        <v>0</v>
      </c>
      <c r="J636" s="240">
        <v>0</v>
      </c>
      <c r="K636" s="240">
        <v>0</v>
      </c>
      <c r="L636" s="240">
        <v>0</v>
      </c>
      <c r="M636" s="240">
        <v>0</v>
      </c>
      <c r="N636" s="240">
        <v>0</v>
      </c>
      <c r="O636" s="240">
        <v>0</v>
      </c>
      <c r="P636" s="240">
        <v>0</v>
      </c>
      <c r="Q636" s="240">
        <v>0</v>
      </c>
      <c r="R636" s="240">
        <v>0</v>
      </c>
      <c r="S636" s="242">
        <f>SUM(E636:Q636)</f>
        <v>0</v>
      </c>
      <c r="Z636"/>
    </row>
    <row r="637" spans="1:26" x14ac:dyDescent="0.2">
      <c r="A637" s="159">
        <v>615210</v>
      </c>
      <c r="B637" s="160" t="s">
        <v>138</v>
      </c>
      <c r="C637" s="148" t="s">
        <v>137</v>
      </c>
      <c r="D637" s="148" t="s">
        <v>189</v>
      </c>
      <c r="E637" s="240">
        <v>1000</v>
      </c>
      <c r="F637" s="240">
        <v>84</v>
      </c>
      <c r="G637" s="240">
        <v>84</v>
      </c>
      <c r="H637" s="240">
        <v>84</v>
      </c>
      <c r="I637" s="240">
        <v>84</v>
      </c>
      <c r="J637" s="240">
        <v>84</v>
      </c>
      <c r="K637" s="240">
        <v>354</v>
      </c>
      <c r="L637" s="240">
        <v>84</v>
      </c>
      <c r="M637" s="240">
        <v>84</v>
      </c>
      <c r="N637" s="240">
        <v>84</v>
      </c>
      <c r="O637" s="240">
        <v>84</v>
      </c>
      <c r="P637" s="240">
        <v>84</v>
      </c>
      <c r="Q637" s="240">
        <v>84</v>
      </c>
      <c r="R637" s="240">
        <v>0</v>
      </c>
      <c r="S637" s="242">
        <f>SUM(E637:Q637)</f>
        <v>2278</v>
      </c>
      <c r="Z637"/>
    </row>
    <row r="638" spans="1:26" x14ac:dyDescent="0.2">
      <c r="A638" s="159">
        <v>615210</v>
      </c>
      <c r="B638" s="160" t="s">
        <v>138</v>
      </c>
      <c r="C638" s="148" t="s">
        <v>137</v>
      </c>
      <c r="D638" s="148" t="s">
        <v>628</v>
      </c>
      <c r="E638" s="240">
        <v>0</v>
      </c>
      <c r="F638" s="240">
        <v>-538</v>
      </c>
      <c r="G638" s="240">
        <v>0</v>
      </c>
      <c r="H638" s="240">
        <v>255</v>
      </c>
      <c r="I638" s="240">
        <v>0</v>
      </c>
      <c r="J638" s="240">
        <v>0</v>
      </c>
      <c r="K638" s="240">
        <v>0</v>
      </c>
      <c r="L638" s="240">
        <v>0</v>
      </c>
      <c r="M638" s="240">
        <v>309</v>
      </c>
      <c r="N638" s="240">
        <v>0</v>
      </c>
      <c r="O638" s="240">
        <v>0</v>
      </c>
      <c r="P638" s="240">
        <v>610.29999999999995</v>
      </c>
      <c r="Q638" s="240">
        <v>0</v>
      </c>
      <c r="R638" s="240">
        <v>0</v>
      </c>
      <c r="S638" s="242">
        <f>SUM(E638:Q638)</f>
        <v>636.29999999999995</v>
      </c>
      <c r="Z638"/>
    </row>
    <row r="639" spans="1:26" s="175" customFormat="1" x14ac:dyDescent="0.2">
      <c r="A639" s="270"/>
      <c r="B639" s="235"/>
      <c r="C639" s="148"/>
      <c r="D639" s="148"/>
      <c r="E639" s="240"/>
      <c r="F639" s="240"/>
      <c r="G639" s="240"/>
      <c r="H639" s="240"/>
      <c r="I639" s="240"/>
      <c r="J639" s="240"/>
      <c r="K639" s="240"/>
      <c r="L639" s="240"/>
      <c r="M639" s="240"/>
      <c r="N639" s="240"/>
      <c r="O639" s="240"/>
      <c r="P639" s="240"/>
      <c r="Q639" s="240"/>
      <c r="R639" s="240"/>
      <c r="S639" s="242"/>
      <c r="T639"/>
      <c r="V639" s="332"/>
      <c r="Z639"/>
    </row>
    <row r="640" spans="1:26" x14ac:dyDescent="0.2">
      <c r="A640" s="159">
        <v>615210</v>
      </c>
      <c r="B640" s="160" t="s">
        <v>138</v>
      </c>
      <c r="C640" s="148" t="s">
        <v>396</v>
      </c>
      <c r="D640" s="148" t="s">
        <v>189</v>
      </c>
      <c r="E640" s="240">
        <v>0</v>
      </c>
      <c r="F640" s="240">
        <v>0</v>
      </c>
      <c r="G640" s="240">
        <v>0</v>
      </c>
      <c r="H640" s="240">
        <v>0</v>
      </c>
      <c r="I640" s="240">
        <v>0</v>
      </c>
      <c r="J640" s="240">
        <v>0</v>
      </c>
      <c r="K640" s="240">
        <v>0</v>
      </c>
      <c r="L640" s="240">
        <v>0</v>
      </c>
      <c r="M640" s="240">
        <v>0</v>
      </c>
      <c r="N640" s="240">
        <v>0</v>
      </c>
      <c r="O640" s="240">
        <v>0</v>
      </c>
      <c r="P640" s="240">
        <v>0</v>
      </c>
      <c r="Q640" s="240">
        <v>0</v>
      </c>
      <c r="R640" s="240">
        <v>0</v>
      </c>
      <c r="S640" s="242">
        <f t="shared" ref="S640:S648" si="53">SUM(E640:Q640)</f>
        <v>0</v>
      </c>
      <c r="Z640"/>
    </row>
    <row r="641" spans="1:26" x14ac:dyDescent="0.2">
      <c r="A641" s="159">
        <v>615210</v>
      </c>
      <c r="B641" s="160" t="s">
        <v>138</v>
      </c>
      <c r="C641" s="148" t="s">
        <v>396</v>
      </c>
      <c r="D641" s="148" t="s">
        <v>628</v>
      </c>
      <c r="E641" s="240">
        <v>0</v>
      </c>
      <c r="F641" s="240">
        <v>0</v>
      </c>
      <c r="G641" s="240">
        <v>0</v>
      </c>
      <c r="H641" s="240">
        <v>0</v>
      </c>
      <c r="I641" s="240">
        <v>368</v>
      </c>
      <c r="J641" s="240">
        <v>0</v>
      </c>
      <c r="K641" s="240">
        <v>0</v>
      </c>
      <c r="L641" s="240">
        <v>0</v>
      </c>
      <c r="M641" s="240">
        <v>377</v>
      </c>
      <c r="N641" s="240">
        <v>0</v>
      </c>
      <c r="O641" s="240">
        <v>0</v>
      </c>
      <c r="P641" s="240">
        <v>377</v>
      </c>
      <c r="Q641" s="240">
        <v>0</v>
      </c>
      <c r="R641" s="240">
        <v>0</v>
      </c>
      <c r="S641" s="242">
        <f>SUM(E641:Q641)</f>
        <v>1122</v>
      </c>
      <c r="Z641"/>
    </row>
    <row r="642" spans="1:26" x14ac:dyDescent="0.2">
      <c r="A642" s="159">
        <v>615210</v>
      </c>
      <c r="B642" s="160" t="s">
        <v>138</v>
      </c>
      <c r="C642" s="148" t="s">
        <v>71</v>
      </c>
      <c r="D642" s="148" t="s">
        <v>192</v>
      </c>
      <c r="E642" s="240">
        <v>0</v>
      </c>
      <c r="F642" s="240">
        <v>0</v>
      </c>
      <c r="G642" s="240">
        <v>0</v>
      </c>
      <c r="H642" s="240">
        <v>0</v>
      </c>
      <c r="I642" s="240">
        <v>0</v>
      </c>
      <c r="J642" s="240">
        <v>0</v>
      </c>
      <c r="K642" s="240">
        <v>0</v>
      </c>
      <c r="L642" s="240">
        <v>0</v>
      </c>
      <c r="M642" s="240">
        <v>0</v>
      </c>
      <c r="N642" s="240">
        <v>0</v>
      </c>
      <c r="O642" s="240">
        <v>0</v>
      </c>
      <c r="P642" s="240">
        <v>0</v>
      </c>
      <c r="Q642" s="240">
        <v>0</v>
      </c>
      <c r="R642" s="240">
        <v>0</v>
      </c>
      <c r="S642" s="242">
        <f t="shared" si="53"/>
        <v>0</v>
      </c>
      <c r="Z642"/>
    </row>
    <row r="643" spans="1:26" s="175" customFormat="1" x14ac:dyDescent="0.2">
      <c r="A643" s="270"/>
      <c r="B643" s="235"/>
      <c r="C643" s="148"/>
      <c r="D643" s="148"/>
      <c r="E643" s="240"/>
      <c r="F643" s="240"/>
      <c r="G643" s="240"/>
      <c r="H643" s="240"/>
      <c r="I643" s="240"/>
      <c r="J643" s="240"/>
      <c r="K643" s="240"/>
      <c r="L643" s="240"/>
      <c r="M643" s="240"/>
      <c r="N643" s="240"/>
      <c r="O643" s="240"/>
      <c r="P643" s="240"/>
      <c r="Q643" s="240"/>
      <c r="R643" s="240"/>
      <c r="S643" s="242">
        <f t="shared" si="53"/>
        <v>0</v>
      </c>
      <c r="T643"/>
      <c r="V643" s="332"/>
      <c r="Z643"/>
    </row>
    <row r="644" spans="1:26" x14ac:dyDescent="0.2">
      <c r="A644" s="159">
        <v>615210</v>
      </c>
      <c r="B644" s="160" t="s">
        <v>138</v>
      </c>
      <c r="C644" s="148" t="s">
        <v>73</v>
      </c>
      <c r="D644" s="148" t="s">
        <v>192</v>
      </c>
      <c r="E644" s="240">
        <v>0</v>
      </c>
      <c r="F644" s="240">
        <v>0</v>
      </c>
      <c r="G644" s="240">
        <v>0</v>
      </c>
      <c r="H644" s="240">
        <v>295</v>
      </c>
      <c r="I644" s="240">
        <v>0</v>
      </c>
      <c r="J644" s="240">
        <v>268</v>
      </c>
      <c r="K644" s="240">
        <v>-295</v>
      </c>
      <c r="L644" s="240">
        <v>0</v>
      </c>
      <c r="M644" s="240">
        <v>0</v>
      </c>
      <c r="N644" s="240">
        <v>0</v>
      </c>
      <c r="O644" s="240">
        <v>0</v>
      </c>
      <c r="P644" s="240">
        <v>1218</v>
      </c>
      <c r="Q644" s="240">
        <v>0</v>
      </c>
      <c r="R644" s="240">
        <v>0</v>
      </c>
      <c r="S644" s="242">
        <f>SUM(E644:Q644)</f>
        <v>1486</v>
      </c>
      <c r="Z644"/>
    </row>
    <row r="645" spans="1:26" x14ac:dyDescent="0.2">
      <c r="A645" s="159">
        <v>615210</v>
      </c>
      <c r="B645" s="160" t="s">
        <v>138</v>
      </c>
      <c r="C645" s="148" t="s">
        <v>147</v>
      </c>
      <c r="D645" s="148"/>
      <c r="E645" s="240">
        <v>0</v>
      </c>
      <c r="F645" s="240">
        <v>0</v>
      </c>
      <c r="G645" s="240">
        <v>0</v>
      </c>
      <c r="H645" s="240">
        <v>0</v>
      </c>
      <c r="I645" s="240">
        <v>0</v>
      </c>
      <c r="J645" s="240">
        <v>0</v>
      </c>
      <c r="K645" s="240">
        <v>0</v>
      </c>
      <c r="L645" s="240">
        <v>0</v>
      </c>
      <c r="M645" s="240">
        <v>1008</v>
      </c>
      <c r="N645" s="240">
        <v>0</v>
      </c>
      <c r="O645" s="240">
        <v>0</v>
      </c>
      <c r="P645" s="240">
        <v>0</v>
      </c>
      <c r="Q645" s="240">
        <v>0</v>
      </c>
      <c r="R645" s="240">
        <v>0</v>
      </c>
      <c r="S645" s="242">
        <f t="shared" si="53"/>
        <v>1008</v>
      </c>
      <c r="Z645"/>
    </row>
    <row r="646" spans="1:26" s="175" customFormat="1" x14ac:dyDescent="0.2">
      <c r="A646" s="270"/>
      <c r="B646" s="235"/>
      <c r="C646" s="148"/>
      <c r="D646" s="148"/>
      <c r="E646" s="240"/>
      <c r="F646" s="240"/>
      <c r="G646" s="240"/>
      <c r="H646" s="240"/>
      <c r="I646" s="240"/>
      <c r="J646" s="240"/>
      <c r="K646" s="240"/>
      <c r="L646" s="240"/>
      <c r="M646" s="240"/>
      <c r="N646" s="240"/>
      <c r="O646" s="240"/>
      <c r="P646" s="240"/>
      <c r="Q646" s="240"/>
      <c r="R646" s="240"/>
      <c r="S646" s="242">
        <f t="shared" si="53"/>
        <v>0</v>
      </c>
      <c r="T646"/>
      <c r="V646" s="332"/>
      <c r="Z646"/>
    </row>
    <row r="647" spans="1:26" x14ac:dyDescent="0.2">
      <c r="A647" s="159">
        <v>615210</v>
      </c>
      <c r="B647" s="160" t="s">
        <v>138</v>
      </c>
      <c r="C647" s="148" t="s">
        <v>658</v>
      </c>
      <c r="D647" s="148" t="s">
        <v>189</v>
      </c>
      <c r="E647" s="240">
        <v>0</v>
      </c>
      <c r="F647" s="240">
        <v>42</v>
      </c>
      <c r="G647" s="240">
        <v>42</v>
      </c>
      <c r="H647" s="240">
        <v>42</v>
      </c>
      <c r="I647" s="240">
        <v>42</v>
      </c>
      <c r="J647" s="240">
        <v>42</v>
      </c>
      <c r="K647" s="240">
        <v>42</v>
      </c>
      <c r="L647" s="240">
        <v>42</v>
      </c>
      <c r="M647" s="240">
        <v>42</v>
      </c>
      <c r="N647" s="240">
        <v>42</v>
      </c>
      <c r="O647" s="240">
        <v>42</v>
      </c>
      <c r="P647" s="240">
        <v>42</v>
      </c>
      <c r="Q647" s="240">
        <v>42</v>
      </c>
      <c r="R647" s="240">
        <v>0</v>
      </c>
      <c r="S647" s="242">
        <f>SUM(E647:Q647)</f>
        <v>504</v>
      </c>
      <c r="Z647"/>
    </row>
    <row r="648" spans="1:26" x14ac:dyDescent="0.2">
      <c r="A648" s="159">
        <v>615210</v>
      </c>
      <c r="B648" s="160" t="s">
        <v>138</v>
      </c>
      <c r="C648" s="148" t="s">
        <v>658</v>
      </c>
      <c r="D648" s="148" t="s">
        <v>628</v>
      </c>
      <c r="E648" s="240">
        <v>0</v>
      </c>
      <c r="F648" s="240">
        <v>0</v>
      </c>
      <c r="G648" s="240">
        <v>0</v>
      </c>
      <c r="H648" s="240">
        <v>0</v>
      </c>
      <c r="I648" s="240">
        <v>0</v>
      </c>
      <c r="J648" s="240">
        <v>0</v>
      </c>
      <c r="K648" s="240">
        <v>0</v>
      </c>
      <c r="L648" s="240">
        <v>0</v>
      </c>
      <c r="M648" s="240">
        <v>0</v>
      </c>
      <c r="N648" s="240">
        <v>0</v>
      </c>
      <c r="O648" s="240">
        <v>0</v>
      </c>
      <c r="P648" s="240">
        <v>0</v>
      </c>
      <c r="Q648" s="240">
        <v>0</v>
      </c>
      <c r="R648" s="240">
        <v>0</v>
      </c>
      <c r="S648" s="242">
        <f t="shared" si="53"/>
        <v>0</v>
      </c>
      <c r="Z648"/>
    </row>
    <row r="649" spans="1:26" x14ac:dyDescent="0.2">
      <c r="A649" s="159">
        <v>615210</v>
      </c>
      <c r="B649" s="160" t="s">
        <v>138</v>
      </c>
      <c r="C649" s="148" t="s">
        <v>67</v>
      </c>
      <c r="D649" s="148" t="s">
        <v>192</v>
      </c>
      <c r="E649" s="240">
        <v>0</v>
      </c>
      <c r="F649" s="240">
        <v>0</v>
      </c>
      <c r="G649" s="240">
        <v>0</v>
      </c>
      <c r="H649" s="240">
        <v>0</v>
      </c>
      <c r="I649" s="240">
        <v>0</v>
      </c>
      <c r="J649" s="240">
        <v>0</v>
      </c>
      <c r="K649" s="240">
        <v>0</v>
      </c>
      <c r="L649" s="240">
        <v>0</v>
      </c>
      <c r="M649" s="240">
        <v>0</v>
      </c>
      <c r="N649" s="240">
        <v>0</v>
      </c>
      <c r="O649" s="240">
        <v>0</v>
      </c>
      <c r="P649" s="240">
        <v>0</v>
      </c>
      <c r="Q649" s="240">
        <v>0</v>
      </c>
      <c r="R649" s="240">
        <v>0</v>
      </c>
      <c r="S649" s="242">
        <f t="shared" ref="S649:S660" si="54">SUM(E649:Q649)</f>
        <v>0</v>
      </c>
      <c r="Z649"/>
    </row>
    <row r="650" spans="1:26" x14ac:dyDescent="0.2">
      <c r="A650" s="159"/>
      <c r="B650" s="160"/>
      <c r="C650" s="148"/>
      <c r="D650" s="148"/>
      <c r="E650" s="240"/>
      <c r="F650" s="240"/>
      <c r="G650" s="240"/>
      <c r="H650" s="240"/>
      <c r="I650" s="240"/>
      <c r="J650" s="240"/>
      <c r="K650" s="240"/>
      <c r="L650" s="240"/>
      <c r="M650" s="240"/>
      <c r="N650" s="240"/>
      <c r="O650" s="240"/>
      <c r="P650" s="240"/>
      <c r="Q650" s="240"/>
      <c r="R650" s="240"/>
      <c r="S650" s="242">
        <f t="shared" si="54"/>
        <v>0</v>
      </c>
      <c r="Z650"/>
    </row>
    <row r="651" spans="1:26" x14ac:dyDescent="0.2">
      <c r="A651" s="159">
        <v>615210</v>
      </c>
      <c r="B651" s="160" t="s">
        <v>138</v>
      </c>
      <c r="C651" s="148" t="s">
        <v>442</v>
      </c>
      <c r="D651" s="148" t="s">
        <v>192</v>
      </c>
      <c r="E651" s="240">
        <v>0</v>
      </c>
      <c r="F651" s="240">
        <v>0</v>
      </c>
      <c r="G651" s="240">
        <v>0</v>
      </c>
      <c r="H651" s="240">
        <v>0</v>
      </c>
      <c r="I651" s="240">
        <v>0</v>
      </c>
      <c r="J651" s="240">
        <v>0</v>
      </c>
      <c r="K651" s="240">
        <v>0</v>
      </c>
      <c r="L651" s="240">
        <v>0</v>
      </c>
      <c r="M651" s="240">
        <v>0</v>
      </c>
      <c r="N651" s="240">
        <v>0</v>
      </c>
      <c r="O651" s="240">
        <v>0</v>
      </c>
      <c r="P651" s="240">
        <v>0</v>
      </c>
      <c r="Q651" s="240">
        <v>0</v>
      </c>
      <c r="R651" s="240">
        <v>0</v>
      </c>
      <c r="S651" s="242">
        <f t="shared" si="54"/>
        <v>0</v>
      </c>
      <c r="Z651"/>
    </row>
    <row r="652" spans="1:26" s="175" customFormat="1" x14ac:dyDescent="0.2">
      <c r="A652" s="270"/>
      <c r="B652" s="235"/>
      <c r="C652" s="148"/>
      <c r="D652" s="148"/>
      <c r="E652" s="240"/>
      <c r="F652" s="240"/>
      <c r="G652" s="240"/>
      <c r="H652" s="240"/>
      <c r="I652" s="240"/>
      <c r="J652" s="240"/>
      <c r="K652" s="240"/>
      <c r="L652" s="240"/>
      <c r="M652" s="240"/>
      <c r="N652" s="240"/>
      <c r="O652" s="240"/>
      <c r="P652" s="240"/>
      <c r="Q652" s="240"/>
      <c r="R652" s="240"/>
      <c r="S652" s="242">
        <f t="shared" si="54"/>
        <v>0</v>
      </c>
      <c r="T652"/>
      <c r="V652" s="332"/>
      <c r="Z652"/>
    </row>
    <row r="653" spans="1:26" x14ac:dyDescent="0.2">
      <c r="A653" s="159">
        <v>615210</v>
      </c>
      <c r="B653" s="160" t="s">
        <v>138</v>
      </c>
      <c r="C653" s="148" t="s">
        <v>62</v>
      </c>
      <c r="D653" s="148" t="s">
        <v>192</v>
      </c>
      <c r="E653" s="240">
        <v>0</v>
      </c>
      <c r="F653" s="240">
        <v>0</v>
      </c>
      <c r="G653" s="240">
        <v>0</v>
      </c>
      <c r="H653" s="240">
        <v>0</v>
      </c>
      <c r="I653" s="240">
        <v>0</v>
      </c>
      <c r="J653" s="240">
        <v>0</v>
      </c>
      <c r="K653" s="240">
        <v>0</v>
      </c>
      <c r="L653" s="240">
        <v>0</v>
      </c>
      <c r="M653" s="240">
        <v>0</v>
      </c>
      <c r="N653" s="240">
        <v>0</v>
      </c>
      <c r="O653" s="240">
        <v>0</v>
      </c>
      <c r="P653" s="240">
        <v>0</v>
      </c>
      <c r="Q653" s="240">
        <v>0</v>
      </c>
      <c r="R653" s="240">
        <v>0</v>
      </c>
      <c r="S653" s="242">
        <f t="shared" si="54"/>
        <v>0</v>
      </c>
      <c r="Z653"/>
    </row>
    <row r="654" spans="1:26" x14ac:dyDescent="0.2">
      <c r="A654" s="159">
        <v>615210</v>
      </c>
      <c r="B654" s="160" t="s">
        <v>138</v>
      </c>
      <c r="C654" s="148" t="s">
        <v>62</v>
      </c>
      <c r="D654" s="148" t="s">
        <v>189</v>
      </c>
      <c r="E654" s="240">
        <v>0</v>
      </c>
      <c r="F654" s="240">
        <v>0</v>
      </c>
      <c r="G654" s="240">
        <v>0</v>
      </c>
      <c r="H654" s="240">
        <v>0</v>
      </c>
      <c r="I654" s="240">
        <v>0</v>
      </c>
      <c r="J654" s="240">
        <v>0</v>
      </c>
      <c r="K654" s="240">
        <v>0</v>
      </c>
      <c r="L654" s="240">
        <v>0</v>
      </c>
      <c r="M654" s="240">
        <v>0</v>
      </c>
      <c r="N654" s="240">
        <v>0</v>
      </c>
      <c r="O654" s="240">
        <v>0</v>
      </c>
      <c r="P654" s="240">
        <v>0</v>
      </c>
      <c r="Q654" s="240">
        <v>0</v>
      </c>
      <c r="R654" s="240">
        <v>0</v>
      </c>
      <c r="S654" s="242">
        <f t="shared" si="54"/>
        <v>0</v>
      </c>
      <c r="Z654"/>
    </row>
    <row r="655" spans="1:26" x14ac:dyDescent="0.2">
      <c r="A655" s="159"/>
      <c r="B655" s="160"/>
      <c r="C655" s="148"/>
      <c r="D655" s="148"/>
      <c r="E655" s="240"/>
      <c r="F655" s="240"/>
      <c r="G655" s="240"/>
      <c r="H655" s="240"/>
      <c r="I655" s="240"/>
      <c r="J655" s="240"/>
      <c r="K655" s="240"/>
      <c r="L655" s="240"/>
      <c r="M655" s="240"/>
      <c r="N655" s="240"/>
      <c r="O655" s="240"/>
      <c r="P655" s="240"/>
      <c r="Q655" s="240"/>
      <c r="R655" s="240"/>
      <c r="S655" s="242"/>
      <c r="Z655"/>
    </row>
    <row r="656" spans="1:26" x14ac:dyDescent="0.2">
      <c r="A656" s="159">
        <v>615210</v>
      </c>
      <c r="B656" s="160" t="s">
        <v>138</v>
      </c>
      <c r="C656" s="148" t="s">
        <v>708</v>
      </c>
      <c r="D656" s="148" t="s">
        <v>189</v>
      </c>
      <c r="E656" s="240">
        <v>0</v>
      </c>
      <c r="F656" s="240">
        <v>0</v>
      </c>
      <c r="G656" s="240">
        <v>0</v>
      </c>
      <c r="H656" s="240">
        <v>0</v>
      </c>
      <c r="I656" s="240">
        <v>0</v>
      </c>
      <c r="J656" s="240">
        <v>0</v>
      </c>
      <c r="K656" s="240">
        <v>0</v>
      </c>
      <c r="L656" s="240">
        <v>0</v>
      </c>
      <c r="M656" s="240">
        <v>0</v>
      </c>
      <c r="N656" s="240">
        <v>0</v>
      </c>
      <c r="O656" s="240">
        <v>0</v>
      </c>
      <c r="P656" s="240">
        <v>0</v>
      </c>
      <c r="Q656" s="240">
        <v>0</v>
      </c>
      <c r="R656" s="240">
        <v>0</v>
      </c>
      <c r="S656" s="242">
        <f>SUM(E656:Q656)</f>
        <v>0</v>
      </c>
      <c r="Z656"/>
    </row>
    <row r="657" spans="1:26" x14ac:dyDescent="0.2">
      <c r="A657" s="159">
        <v>615210</v>
      </c>
      <c r="B657" s="160" t="s">
        <v>138</v>
      </c>
      <c r="C657" s="148" t="s">
        <v>80</v>
      </c>
      <c r="D657" s="148" t="s">
        <v>192</v>
      </c>
      <c r="E657" s="240">
        <v>0</v>
      </c>
      <c r="F657" s="240">
        <v>0</v>
      </c>
      <c r="G657" s="240">
        <v>0</v>
      </c>
      <c r="H657" s="240">
        <v>0</v>
      </c>
      <c r="I657" s="240">
        <v>0</v>
      </c>
      <c r="J657" s="240">
        <v>0</v>
      </c>
      <c r="K657" s="240">
        <v>0</v>
      </c>
      <c r="L657" s="240">
        <v>595</v>
      </c>
      <c r="M657" s="240">
        <v>0</v>
      </c>
      <c r="N657" s="240">
        <v>0</v>
      </c>
      <c r="O657" s="240">
        <v>0</v>
      </c>
      <c r="P657" s="240">
        <v>0</v>
      </c>
      <c r="Q657" s="240">
        <v>0</v>
      </c>
      <c r="R657" s="240">
        <v>0</v>
      </c>
      <c r="S657" s="242">
        <f>SUM(E657:Q657)</f>
        <v>595</v>
      </c>
      <c r="Z657"/>
    </row>
    <row r="658" spans="1:26" s="175" customFormat="1" x14ac:dyDescent="0.2">
      <c r="A658" s="270"/>
      <c r="B658" s="235"/>
      <c r="C658" s="148"/>
      <c r="D658" s="148"/>
      <c r="E658" s="240"/>
      <c r="F658" s="240"/>
      <c r="G658" s="240"/>
      <c r="H658" s="240"/>
      <c r="I658" s="240"/>
      <c r="J658" s="240"/>
      <c r="K658" s="240"/>
      <c r="L658" s="240"/>
      <c r="M658" s="240"/>
      <c r="N658" s="240"/>
      <c r="O658" s="240"/>
      <c r="P658" s="240"/>
      <c r="Q658" s="240"/>
      <c r="R658" s="240"/>
      <c r="S658" s="242">
        <f t="shared" si="54"/>
        <v>0</v>
      </c>
      <c r="T658"/>
      <c r="V658" s="332"/>
      <c r="Z658"/>
    </row>
    <row r="659" spans="1:26" x14ac:dyDescent="0.2">
      <c r="A659" s="159">
        <v>615210</v>
      </c>
      <c r="B659" s="160" t="s">
        <v>138</v>
      </c>
      <c r="C659" s="148" t="s">
        <v>156</v>
      </c>
      <c r="D659" s="148" t="s">
        <v>192</v>
      </c>
      <c r="E659" s="240">
        <v>0</v>
      </c>
      <c r="F659" s="240">
        <v>0</v>
      </c>
      <c r="G659" s="240">
        <v>0</v>
      </c>
      <c r="H659" s="240">
        <v>0</v>
      </c>
      <c r="I659" s="240">
        <v>0</v>
      </c>
      <c r="J659" s="240">
        <v>232</v>
      </c>
      <c r="K659" s="240">
        <v>0</v>
      </c>
      <c r="L659" s="240">
        <v>0</v>
      </c>
      <c r="M659" s="240">
        <v>0</v>
      </c>
      <c r="N659" s="240">
        <v>0</v>
      </c>
      <c r="O659" s="240">
        <v>0</v>
      </c>
      <c r="P659" s="240">
        <v>0</v>
      </c>
      <c r="Q659" s="240">
        <v>0</v>
      </c>
      <c r="R659" s="240">
        <v>0</v>
      </c>
      <c r="S659" s="242">
        <f t="shared" si="54"/>
        <v>232</v>
      </c>
      <c r="Z659"/>
    </row>
    <row r="660" spans="1:26" x14ac:dyDescent="0.2">
      <c r="A660" s="159">
        <v>615210</v>
      </c>
      <c r="B660" s="160" t="s">
        <v>138</v>
      </c>
      <c r="C660" s="148" t="s">
        <v>395</v>
      </c>
      <c r="D660" s="148" t="s">
        <v>192</v>
      </c>
      <c r="E660" s="240">
        <v>0</v>
      </c>
      <c r="F660" s="240">
        <v>0</v>
      </c>
      <c r="G660" s="240">
        <v>0</v>
      </c>
      <c r="H660" s="240">
        <v>0</v>
      </c>
      <c r="I660" s="240">
        <v>0</v>
      </c>
      <c r="J660" s="240">
        <v>0</v>
      </c>
      <c r="K660" s="240">
        <v>0</v>
      </c>
      <c r="L660" s="240">
        <v>0</v>
      </c>
      <c r="M660" s="240">
        <v>0</v>
      </c>
      <c r="N660" s="240">
        <v>0</v>
      </c>
      <c r="O660" s="240">
        <v>0</v>
      </c>
      <c r="P660" s="240">
        <v>0</v>
      </c>
      <c r="Q660" s="240">
        <v>0</v>
      </c>
      <c r="R660" s="240">
        <v>0</v>
      </c>
      <c r="S660" s="242">
        <f t="shared" si="54"/>
        <v>0</v>
      </c>
      <c r="Z660"/>
    </row>
    <row r="661" spans="1:26" s="185" customFormat="1" ht="24" customHeight="1" x14ac:dyDescent="0.2">
      <c r="A661" s="267"/>
      <c r="B661" s="268"/>
      <c r="C661" s="267" t="s">
        <v>66</v>
      </c>
      <c r="D661" s="267"/>
      <c r="E661" s="269">
        <f>SUM(E634:E660)</f>
        <v>1000</v>
      </c>
      <c r="F661" s="269">
        <f t="shared" ref="F661:R661" si="55">SUM(F634:F660)</f>
        <v>-412</v>
      </c>
      <c r="G661" s="269">
        <f t="shared" si="55"/>
        <v>126</v>
      </c>
      <c r="H661" s="269">
        <f t="shared" si="55"/>
        <v>676</v>
      </c>
      <c r="I661" s="269">
        <f t="shared" si="55"/>
        <v>494</v>
      </c>
      <c r="J661" s="269">
        <f t="shared" si="55"/>
        <v>626</v>
      </c>
      <c r="K661" s="269">
        <f t="shared" si="55"/>
        <v>101</v>
      </c>
      <c r="L661" s="269">
        <f t="shared" si="55"/>
        <v>721</v>
      </c>
      <c r="M661" s="269">
        <f t="shared" si="55"/>
        <v>1820</v>
      </c>
      <c r="N661" s="269">
        <f t="shared" si="55"/>
        <v>126</v>
      </c>
      <c r="O661" s="269">
        <f t="shared" si="55"/>
        <v>126</v>
      </c>
      <c r="P661" s="269">
        <f t="shared" si="55"/>
        <v>2331.3000000000002</v>
      </c>
      <c r="Q661" s="269">
        <f t="shared" si="55"/>
        <v>126</v>
      </c>
      <c r="R661" s="269">
        <f t="shared" si="55"/>
        <v>0</v>
      </c>
      <c r="S661" s="269">
        <f>SUM(S634:S660)</f>
        <v>7861.3</v>
      </c>
      <c r="T661" s="689" t="e">
        <f>IF(Ctrl($A660)=S661,"Ok",Ctrl(A660))</f>
        <v>#VALUE!</v>
      </c>
      <c r="U661" s="212">
        <v>5408</v>
      </c>
      <c r="V661" s="334">
        <f>U661-S661</f>
        <v>-2453.3000000000002</v>
      </c>
      <c r="W661" s="185" t="s">
        <v>853</v>
      </c>
      <c r="Z661"/>
    </row>
    <row r="662" spans="1:26" x14ac:dyDescent="0.2">
      <c r="A662" s="159">
        <v>615215</v>
      </c>
      <c r="B662" s="160" t="s">
        <v>711</v>
      </c>
      <c r="C662" s="148" t="s">
        <v>78</v>
      </c>
      <c r="D662" s="148" t="s">
        <v>726</v>
      </c>
      <c r="E662" s="240">
        <v>0</v>
      </c>
      <c r="F662" s="240">
        <v>0</v>
      </c>
      <c r="G662" s="240">
        <v>0</v>
      </c>
      <c r="H662" s="240">
        <v>169.78</v>
      </c>
      <c r="I662" s="240">
        <v>0</v>
      </c>
      <c r="J662" s="240">
        <v>84.89</v>
      </c>
      <c r="K662" s="240">
        <v>84.89</v>
      </c>
      <c r="L662" s="240">
        <v>0</v>
      </c>
      <c r="M662" s="240">
        <v>0</v>
      </c>
      <c r="N662" s="240">
        <v>169.78</v>
      </c>
      <c r="O662" s="240">
        <v>84.89</v>
      </c>
      <c r="P662" s="240">
        <v>84.89</v>
      </c>
      <c r="Q662" s="240">
        <v>0</v>
      </c>
      <c r="R662" s="240">
        <v>0</v>
      </c>
      <c r="S662" s="242">
        <f>SUM(E662:Q662)</f>
        <v>679.12</v>
      </c>
      <c r="Y662" s="184" t="s">
        <v>10</v>
      </c>
      <c r="Z662"/>
    </row>
    <row r="663" spans="1:26" x14ac:dyDescent="0.2">
      <c r="A663" s="159">
        <v>615215</v>
      </c>
      <c r="B663" s="160" t="s">
        <v>711</v>
      </c>
      <c r="C663" s="148" t="s">
        <v>78</v>
      </c>
      <c r="D663" s="148" t="s">
        <v>700</v>
      </c>
      <c r="E663" s="240">
        <v>238.45</v>
      </c>
      <c r="F663" s="240">
        <v>249.69</v>
      </c>
      <c r="G663" s="240">
        <v>166.46</v>
      </c>
      <c r="H663" s="240">
        <v>249.69</v>
      </c>
      <c r="I663" s="240">
        <v>332.92</v>
      </c>
      <c r="J663" s="240">
        <v>249.69</v>
      </c>
      <c r="K663" s="240">
        <v>332.92</v>
      </c>
      <c r="L663" s="240">
        <v>249.69</v>
      </c>
      <c r="M663" s="240">
        <v>249.69</v>
      </c>
      <c r="N663" s="240">
        <v>414.49</v>
      </c>
      <c r="O663" s="240">
        <v>399.69</v>
      </c>
      <c r="P663" s="240">
        <v>249.69</v>
      </c>
      <c r="Q663" s="240">
        <v>0</v>
      </c>
      <c r="R663" s="240">
        <v>0</v>
      </c>
      <c r="S663" s="242">
        <f>SUM(E663:Q663)</f>
        <v>3383.0700000000006</v>
      </c>
      <c r="Y663" s="184" t="s">
        <v>10</v>
      </c>
      <c r="Z663"/>
    </row>
    <row r="664" spans="1:26" x14ac:dyDescent="0.2">
      <c r="A664" s="159">
        <v>615215</v>
      </c>
      <c r="B664" s="160" t="s">
        <v>711</v>
      </c>
      <c r="C664" s="148" t="s">
        <v>78</v>
      </c>
      <c r="D664" s="148"/>
      <c r="E664" s="240">
        <v>-1800.8</v>
      </c>
      <c r="F664" s="240">
        <v>2233.15</v>
      </c>
      <c r="G664" s="240">
        <v>1732</v>
      </c>
      <c r="H664" s="240">
        <v>2322.2799999999997</v>
      </c>
      <c r="I664" s="240">
        <v>1844.74</v>
      </c>
      <c r="J664" s="240">
        <v>2154.6</v>
      </c>
      <c r="K664" s="240">
        <v>2736.4</v>
      </c>
      <c r="L664" s="240">
        <v>2173.4</v>
      </c>
      <c r="M664" s="240">
        <v>2511.9300000000003</v>
      </c>
      <c r="N664" s="240">
        <v>3006.42</v>
      </c>
      <c r="O664" s="240">
        <v>1405.35</v>
      </c>
      <c r="P664" s="240">
        <v>1208</v>
      </c>
      <c r="Q664" s="240">
        <v>0</v>
      </c>
      <c r="R664" s="240">
        <v>0</v>
      </c>
      <c r="S664" s="242">
        <f t="shared" ref="S664:S707" si="56">SUM(E664:Q664)</f>
        <v>21527.469999999998</v>
      </c>
      <c r="Y664" s="184" t="s">
        <v>10</v>
      </c>
      <c r="Z664"/>
    </row>
    <row r="665" spans="1:26" x14ac:dyDescent="0.2">
      <c r="A665" s="159">
        <v>615215</v>
      </c>
      <c r="B665" s="160" t="s">
        <v>711</v>
      </c>
      <c r="C665" s="148" t="s">
        <v>701</v>
      </c>
      <c r="D665" s="148"/>
      <c r="E665" s="240">
        <v>-200</v>
      </c>
      <c r="F665" s="240">
        <v>0</v>
      </c>
      <c r="G665" s="240">
        <v>0</v>
      </c>
      <c r="H665" s="240">
        <v>0</v>
      </c>
      <c r="I665" s="240">
        <v>100</v>
      </c>
      <c r="J665" s="240">
        <v>0</v>
      </c>
      <c r="K665" s="240">
        <v>100</v>
      </c>
      <c r="L665" s="240">
        <v>100</v>
      </c>
      <c r="M665" s="240">
        <v>100</v>
      </c>
      <c r="N665" s="240">
        <v>100</v>
      </c>
      <c r="O665" s="240">
        <v>550</v>
      </c>
      <c r="P665" s="240">
        <v>100</v>
      </c>
      <c r="Q665" s="240">
        <v>0</v>
      </c>
      <c r="R665" s="240">
        <v>0</v>
      </c>
      <c r="S665" s="242">
        <f t="shared" si="56"/>
        <v>950</v>
      </c>
      <c r="Z665"/>
    </row>
    <row r="666" spans="1:26" x14ac:dyDescent="0.2">
      <c r="A666" s="159">
        <v>615215</v>
      </c>
      <c r="B666" s="160" t="s">
        <v>711</v>
      </c>
      <c r="C666" s="148" t="s">
        <v>137</v>
      </c>
      <c r="D666" s="148"/>
      <c r="E666" s="240">
        <v>-345.05000000000018</v>
      </c>
      <c r="F666" s="240">
        <v>4017</v>
      </c>
      <c r="G666" s="240">
        <v>3708</v>
      </c>
      <c r="H666" s="240">
        <v>4120</v>
      </c>
      <c r="I666" s="240">
        <v>4686.5</v>
      </c>
      <c r="J666" s="240">
        <v>4223</v>
      </c>
      <c r="K666" s="240">
        <v>4017</v>
      </c>
      <c r="L666" s="240">
        <v>4017</v>
      </c>
      <c r="M666" s="240">
        <v>4429</v>
      </c>
      <c r="N666" s="240">
        <v>4273.9399999999996</v>
      </c>
      <c r="O666" s="240">
        <v>4532</v>
      </c>
      <c r="P666" s="240">
        <v>4500</v>
      </c>
      <c r="Q666" s="240">
        <v>0</v>
      </c>
      <c r="R666" s="240">
        <v>0</v>
      </c>
      <c r="S666" s="242">
        <f t="shared" si="56"/>
        <v>46178.39</v>
      </c>
      <c r="U666" s="273"/>
      <c r="Z666"/>
    </row>
    <row r="667" spans="1:26" x14ac:dyDescent="0.2">
      <c r="A667" s="159"/>
      <c r="B667" s="160"/>
      <c r="C667" s="148"/>
      <c r="D667" s="148"/>
      <c r="E667" s="240"/>
      <c r="F667" s="240"/>
      <c r="G667" s="240"/>
      <c r="H667" s="240"/>
      <c r="I667" s="240"/>
      <c r="J667" s="240"/>
      <c r="K667" s="240"/>
      <c r="L667" s="240"/>
      <c r="M667" s="240"/>
      <c r="N667" s="240"/>
      <c r="O667" s="240"/>
      <c r="P667" s="240"/>
      <c r="Q667" s="240"/>
      <c r="R667" s="240"/>
      <c r="S667" s="242"/>
      <c r="Z667"/>
    </row>
    <row r="668" spans="1:26" x14ac:dyDescent="0.2">
      <c r="A668" s="159">
        <v>615215</v>
      </c>
      <c r="B668" s="160" t="s">
        <v>711</v>
      </c>
      <c r="C668" s="148" t="s">
        <v>71</v>
      </c>
      <c r="D668" s="148" t="s">
        <v>726</v>
      </c>
      <c r="E668" s="240">
        <v>-840</v>
      </c>
      <c r="F668" s="240">
        <v>0</v>
      </c>
      <c r="G668" s="240">
        <v>0</v>
      </c>
      <c r="H668" s="240">
        <v>0</v>
      </c>
      <c r="I668" s="240">
        <v>0</v>
      </c>
      <c r="J668" s="240">
        <v>0</v>
      </c>
      <c r="K668" s="240">
        <v>0</v>
      </c>
      <c r="L668" s="240">
        <v>0</v>
      </c>
      <c r="M668" s="240">
        <v>0</v>
      </c>
      <c r="N668" s="240">
        <v>0</v>
      </c>
      <c r="O668" s="240">
        <v>0</v>
      </c>
      <c r="P668" s="240">
        <v>0</v>
      </c>
      <c r="Q668" s="240">
        <v>0</v>
      </c>
      <c r="R668" s="240">
        <v>0</v>
      </c>
      <c r="S668" s="242">
        <f>SUM(E668:Q668)</f>
        <v>-840</v>
      </c>
      <c r="Z668"/>
    </row>
    <row r="669" spans="1:26" x14ac:dyDescent="0.2">
      <c r="A669" s="159">
        <v>615215</v>
      </c>
      <c r="B669" s="160" t="s">
        <v>711</v>
      </c>
      <c r="C669" s="148" t="s">
        <v>71</v>
      </c>
      <c r="D669" s="148" t="s">
        <v>700</v>
      </c>
      <c r="E669" s="240">
        <v>-285.3</v>
      </c>
      <c r="F669" s="240">
        <v>190.2</v>
      </c>
      <c r="G669" s="240">
        <v>190.2</v>
      </c>
      <c r="H669" s="240">
        <v>190.2</v>
      </c>
      <c r="I669" s="240">
        <v>285.3</v>
      </c>
      <c r="J669" s="240">
        <v>285.29999999999995</v>
      </c>
      <c r="K669" s="240">
        <v>190.2</v>
      </c>
      <c r="L669" s="240">
        <v>285.3</v>
      </c>
      <c r="M669" s="240">
        <v>190.2</v>
      </c>
      <c r="N669" s="240">
        <v>190.2</v>
      </c>
      <c r="O669" s="240">
        <v>285.3</v>
      </c>
      <c r="P669" s="240">
        <v>190.2</v>
      </c>
      <c r="Q669" s="240">
        <v>0</v>
      </c>
      <c r="R669" s="240">
        <v>0</v>
      </c>
      <c r="S669" s="242">
        <f t="shared" si="56"/>
        <v>2187.2999999999997</v>
      </c>
      <c r="Z669"/>
    </row>
    <row r="670" spans="1:26" x14ac:dyDescent="0.2">
      <c r="A670" s="159">
        <v>615215</v>
      </c>
      <c r="B670" s="160" t="s">
        <v>711</v>
      </c>
      <c r="C670" s="148" t="s">
        <v>71</v>
      </c>
      <c r="D670" s="148"/>
      <c r="E670" s="240">
        <v>-204.47000000000014</v>
      </c>
      <c r="F670" s="240">
        <v>1706.8</v>
      </c>
      <c r="G670" s="240">
        <v>1760.67</v>
      </c>
      <c r="H670" s="240">
        <v>1984.0600000000002</v>
      </c>
      <c r="I670" s="240">
        <v>1326.22</v>
      </c>
      <c r="J670" s="240">
        <v>2378.92</v>
      </c>
      <c r="K670" s="240">
        <v>1638.04</v>
      </c>
      <c r="L670" s="240">
        <v>1894.49</v>
      </c>
      <c r="M670" s="240">
        <v>2064.6499999999996</v>
      </c>
      <c r="N670" s="240">
        <v>1315.13</v>
      </c>
      <c r="O670" s="240">
        <v>1692.8600000000001</v>
      </c>
      <c r="P670" s="240">
        <v>1796.37</v>
      </c>
      <c r="Q670" s="240">
        <v>0</v>
      </c>
      <c r="R670" s="240">
        <v>0</v>
      </c>
      <c r="S670" s="242">
        <f t="shared" si="56"/>
        <v>19353.740000000002</v>
      </c>
      <c r="Z670"/>
    </row>
    <row r="671" spans="1:26" x14ac:dyDescent="0.2">
      <c r="A671" s="159">
        <v>615215</v>
      </c>
      <c r="B671" s="160" t="s">
        <v>711</v>
      </c>
      <c r="C671" s="148" t="s">
        <v>702</v>
      </c>
      <c r="D671" s="148"/>
      <c r="E671" s="240">
        <v>-126.17</v>
      </c>
      <c r="F671" s="240">
        <v>112.47</v>
      </c>
      <c r="G671" s="240">
        <v>0</v>
      </c>
      <c r="H671" s="240">
        <v>0</v>
      </c>
      <c r="I671" s="240">
        <v>165.8</v>
      </c>
      <c r="J671" s="240">
        <v>0</v>
      </c>
      <c r="K671" s="240">
        <v>230</v>
      </c>
      <c r="L671" s="240">
        <v>95.1</v>
      </c>
      <c r="M671" s="240">
        <v>230</v>
      </c>
      <c r="N671" s="240">
        <v>95.1</v>
      </c>
      <c r="O671" s="240">
        <v>230</v>
      </c>
      <c r="P671" s="240">
        <v>0</v>
      </c>
      <c r="Q671" s="240">
        <v>0</v>
      </c>
      <c r="R671" s="240">
        <v>0</v>
      </c>
      <c r="S671" s="242">
        <f t="shared" si="56"/>
        <v>1032.3000000000002</v>
      </c>
      <c r="Z671"/>
    </row>
    <row r="672" spans="1:26" x14ac:dyDescent="0.2">
      <c r="A672" s="159">
        <v>615215</v>
      </c>
      <c r="B672" s="160" t="s">
        <v>711</v>
      </c>
      <c r="C672" s="148" t="s">
        <v>396</v>
      </c>
      <c r="D672" s="148"/>
      <c r="E672" s="240">
        <v>-5200</v>
      </c>
      <c r="F672" s="240">
        <v>5240.3</v>
      </c>
      <c r="G672" s="240">
        <v>5230.5</v>
      </c>
      <c r="H672" s="240">
        <v>5610.9</v>
      </c>
      <c r="I672" s="240">
        <v>5230.5</v>
      </c>
      <c r="J672" s="240">
        <v>5991.3</v>
      </c>
      <c r="K672" s="240">
        <v>6181.5</v>
      </c>
      <c r="L672" s="240">
        <v>5801.0999999999995</v>
      </c>
      <c r="M672" s="240">
        <v>7477.6</v>
      </c>
      <c r="N672" s="240">
        <v>5896.2000000000007</v>
      </c>
      <c r="O672" s="240">
        <v>5896.2</v>
      </c>
      <c r="P672" s="240">
        <v>5896.2000000000007</v>
      </c>
      <c r="Q672" s="240">
        <v>0</v>
      </c>
      <c r="R672" s="240">
        <v>0</v>
      </c>
      <c r="S672" s="242">
        <f t="shared" si="56"/>
        <v>59252.299999999988</v>
      </c>
      <c r="U672" s="273"/>
      <c r="Z672"/>
    </row>
    <row r="673" spans="1:26" x14ac:dyDescent="0.2">
      <c r="A673" s="159"/>
      <c r="B673" s="160"/>
      <c r="C673" s="148"/>
      <c r="D673" s="148"/>
      <c r="E673" s="240"/>
      <c r="F673" s="240"/>
      <c r="G673" s="240"/>
      <c r="H673" s="240"/>
      <c r="I673" s="240"/>
      <c r="J673" s="240"/>
      <c r="K673" s="240"/>
      <c r="L673" s="240"/>
      <c r="M673" s="240"/>
      <c r="N673" s="240"/>
      <c r="O673" s="240"/>
      <c r="P673" s="240"/>
      <c r="Q673" s="240"/>
      <c r="R673" s="240"/>
      <c r="S673" s="242"/>
      <c r="Z673"/>
    </row>
    <row r="674" spans="1:26" x14ac:dyDescent="0.2">
      <c r="A674" s="159">
        <v>615215</v>
      </c>
      <c r="B674" s="160" t="s">
        <v>711</v>
      </c>
      <c r="C674" s="148" t="s">
        <v>73</v>
      </c>
      <c r="D674" s="148" t="s">
        <v>700</v>
      </c>
      <c r="E674" s="240">
        <v>-178.72</v>
      </c>
      <c r="F674" s="240">
        <v>0</v>
      </c>
      <c r="G674" s="240">
        <v>0</v>
      </c>
      <c r="H674" s="240">
        <v>0</v>
      </c>
      <c r="I674" s="240">
        <v>0</v>
      </c>
      <c r="J674" s="240">
        <v>0</v>
      </c>
      <c r="K674" s="240">
        <v>0</v>
      </c>
      <c r="L674" s="240">
        <v>0</v>
      </c>
      <c r="M674" s="240">
        <v>271.92</v>
      </c>
      <c r="N674" s="240">
        <v>0</v>
      </c>
      <c r="O674" s="240">
        <v>0</v>
      </c>
      <c r="P674" s="240">
        <v>0</v>
      </c>
      <c r="Q674" s="240">
        <v>0</v>
      </c>
      <c r="R674" s="240">
        <v>0</v>
      </c>
      <c r="S674" s="242">
        <f>SUM(E674:Q674)</f>
        <v>93.200000000000017</v>
      </c>
      <c r="Z674"/>
    </row>
    <row r="675" spans="1:26" x14ac:dyDescent="0.2">
      <c r="A675" s="159">
        <v>615215</v>
      </c>
      <c r="B675" s="160" t="s">
        <v>711</v>
      </c>
      <c r="C675" s="148" t="s">
        <v>73</v>
      </c>
      <c r="D675" s="148"/>
      <c r="E675" s="240">
        <v>-579.65000000000009</v>
      </c>
      <c r="F675" s="240">
        <v>1804.72</v>
      </c>
      <c r="G675" s="240">
        <v>791.73</v>
      </c>
      <c r="H675" s="240">
        <v>818.87</v>
      </c>
      <c r="I675" s="240">
        <v>1631.63</v>
      </c>
      <c r="J675" s="240">
        <v>688.27</v>
      </c>
      <c r="K675" s="240">
        <v>991.51</v>
      </c>
      <c r="L675" s="240">
        <v>975.04</v>
      </c>
      <c r="M675" s="240">
        <v>3575.6600000000003</v>
      </c>
      <c r="N675" s="240">
        <v>792.44</v>
      </c>
      <c r="O675" s="240">
        <v>837.66</v>
      </c>
      <c r="P675" s="240">
        <v>1137.4099999999999</v>
      </c>
      <c r="Q675" s="240">
        <v>0</v>
      </c>
      <c r="R675" s="240">
        <v>0</v>
      </c>
      <c r="S675" s="242">
        <f>SUM(E675:Q675)</f>
        <v>13465.29</v>
      </c>
      <c r="Z675"/>
    </row>
    <row r="676" spans="1:26" x14ac:dyDescent="0.2">
      <c r="A676" s="159">
        <v>615215</v>
      </c>
      <c r="B676" s="160" t="s">
        <v>711</v>
      </c>
      <c r="C676" s="148" t="s">
        <v>703</v>
      </c>
      <c r="D676" s="148"/>
      <c r="E676" s="240">
        <v>0</v>
      </c>
      <c r="F676" s="240">
        <v>0</v>
      </c>
      <c r="G676" s="240">
        <v>0</v>
      </c>
      <c r="H676" s="240">
        <v>0</v>
      </c>
      <c r="I676" s="240">
        <v>0</v>
      </c>
      <c r="J676" s="240">
        <v>0</v>
      </c>
      <c r="K676" s="240">
        <v>0</v>
      </c>
      <c r="L676" s="240">
        <v>0</v>
      </c>
      <c r="M676" s="240">
        <v>0</v>
      </c>
      <c r="N676" s="240">
        <v>0</v>
      </c>
      <c r="O676" s="240">
        <v>0</v>
      </c>
      <c r="P676" s="240">
        <v>0</v>
      </c>
      <c r="Q676" s="240">
        <v>0</v>
      </c>
      <c r="R676" s="240">
        <v>0</v>
      </c>
      <c r="S676" s="242">
        <f t="shared" si="56"/>
        <v>0</v>
      </c>
      <c r="Z676"/>
    </row>
    <row r="677" spans="1:26" x14ac:dyDescent="0.2">
      <c r="A677" s="159">
        <v>615215</v>
      </c>
      <c r="B677" s="160" t="s">
        <v>711</v>
      </c>
      <c r="C677" s="148" t="s">
        <v>147</v>
      </c>
      <c r="D677" s="148"/>
      <c r="E677" s="240">
        <v>-1258.6400000000003</v>
      </c>
      <c r="F677" s="240">
        <v>4260.08</v>
      </c>
      <c r="G677" s="240">
        <v>3897.52</v>
      </c>
      <c r="H677" s="240">
        <v>4441.3599999999997</v>
      </c>
      <c r="I677" s="240">
        <v>5166.4799999999996</v>
      </c>
      <c r="J677" s="240">
        <v>5166.4799999999996</v>
      </c>
      <c r="K677" s="240">
        <v>4350.72</v>
      </c>
      <c r="L677" s="240">
        <v>4260.08</v>
      </c>
      <c r="M677" s="240">
        <v>6254.16</v>
      </c>
      <c r="N677" s="240">
        <v>4532</v>
      </c>
      <c r="O677" s="240">
        <v>4169.4399999999996</v>
      </c>
      <c r="P677" s="240">
        <v>4803.92</v>
      </c>
      <c r="Q677" s="240">
        <v>0</v>
      </c>
      <c r="R677" s="240">
        <v>0</v>
      </c>
      <c r="S677" s="242">
        <f t="shared" si="56"/>
        <v>50043.600000000006</v>
      </c>
      <c r="U677" s="273"/>
      <c r="Z677"/>
    </row>
    <row r="678" spans="1:26" x14ac:dyDescent="0.2">
      <c r="A678" s="159"/>
      <c r="B678" s="160"/>
      <c r="C678" s="148"/>
      <c r="D678" s="148"/>
      <c r="E678" s="240"/>
      <c r="F678" s="240"/>
      <c r="G678" s="240"/>
      <c r="H678" s="240"/>
      <c r="I678" s="240"/>
      <c r="J678" s="240"/>
      <c r="K678" s="240"/>
      <c r="L678" s="240"/>
      <c r="M678" s="240"/>
      <c r="N678" s="240"/>
      <c r="O678" s="240"/>
      <c r="P678" s="240"/>
      <c r="Q678" s="240"/>
      <c r="R678" s="240"/>
      <c r="S678" s="242"/>
      <c r="Z678"/>
    </row>
    <row r="679" spans="1:26" x14ac:dyDescent="0.2">
      <c r="A679" s="159">
        <v>615215</v>
      </c>
      <c r="B679" s="160" t="s">
        <v>711</v>
      </c>
      <c r="C679" s="148" t="s">
        <v>67</v>
      </c>
      <c r="D679" s="148" t="s">
        <v>700</v>
      </c>
      <c r="E679" s="240">
        <v>0</v>
      </c>
      <c r="F679" s="240">
        <v>0</v>
      </c>
      <c r="G679" s="240">
        <v>0</v>
      </c>
      <c r="H679" s="240">
        <v>0</v>
      </c>
      <c r="I679" s="240">
        <v>0</v>
      </c>
      <c r="J679" s="240">
        <v>0</v>
      </c>
      <c r="K679" s="240">
        <v>0</v>
      </c>
      <c r="L679" s="240">
        <v>0</v>
      </c>
      <c r="M679" s="240">
        <v>0</v>
      </c>
      <c r="N679" s="240">
        <v>0</v>
      </c>
      <c r="O679" s="240">
        <v>0</v>
      </c>
      <c r="P679" s="240">
        <v>0</v>
      </c>
      <c r="Q679" s="240">
        <v>0</v>
      </c>
      <c r="R679" s="240">
        <v>0</v>
      </c>
      <c r="S679" s="242">
        <f t="shared" si="56"/>
        <v>0</v>
      </c>
      <c r="Z679"/>
    </row>
    <row r="680" spans="1:26" x14ac:dyDescent="0.2">
      <c r="A680" s="159">
        <v>615215</v>
      </c>
      <c r="B680" s="160" t="s">
        <v>711</v>
      </c>
      <c r="C680" s="148" t="s">
        <v>67</v>
      </c>
      <c r="D680" s="148"/>
      <c r="E680" s="240">
        <v>-1432.95</v>
      </c>
      <c r="F680" s="240">
        <v>2095.0100000000002</v>
      </c>
      <c r="G680" s="240">
        <v>647.14</v>
      </c>
      <c r="H680" s="240">
        <v>1936.1</v>
      </c>
      <c r="I680" s="240">
        <v>753.93</v>
      </c>
      <c r="J680" s="240">
        <v>1878.54</v>
      </c>
      <c r="K680" s="240">
        <v>862.11999999999989</v>
      </c>
      <c r="L680" s="240">
        <v>1391.9099999999999</v>
      </c>
      <c r="M680" s="240">
        <v>1433.48</v>
      </c>
      <c r="N680" s="240">
        <v>1538.83</v>
      </c>
      <c r="O680" s="240">
        <v>1347.1999999999998</v>
      </c>
      <c r="P680" s="240">
        <v>728.79</v>
      </c>
      <c r="Q680" s="240">
        <v>0</v>
      </c>
      <c r="R680" s="240">
        <v>0</v>
      </c>
      <c r="S680" s="242">
        <f t="shared" si="56"/>
        <v>13180.100000000002</v>
      </c>
      <c r="Z680"/>
    </row>
    <row r="681" spans="1:26" x14ac:dyDescent="0.2">
      <c r="A681" s="159">
        <v>615215</v>
      </c>
      <c r="B681" s="160" t="s">
        <v>711</v>
      </c>
      <c r="C681" s="148" t="s">
        <v>704</v>
      </c>
      <c r="D681" s="148"/>
      <c r="E681" s="240">
        <v>0</v>
      </c>
      <c r="F681" s="240">
        <v>0</v>
      </c>
      <c r="G681" s="240">
        <v>0</v>
      </c>
      <c r="H681" s="240">
        <v>0</v>
      </c>
      <c r="I681" s="240">
        <v>0</v>
      </c>
      <c r="J681" s="240">
        <v>0</v>
      </c>
      <c r="K681" s="240">
        <v>0</v>
      </c>
      <c r="L681" s="240">
        <v>0</v>
      </c>
      <c r="M681" s="240">
        <v>0</v>
      </c>
      <c r="N681" s="240">
        <v>0</v>
      </c>
      <c r="O681" s="240">
        <v>0</v>
      </c>
      <c r="P681" s="240">
        <v>0</v>
      </c>
      <c r="Q681" s="240">
        <v>0</v>
      </c>
      <c r="R681" s="240">
        <v>0</v>
      </c>
      <c r="S681" s="242">
        <f t="shared" si="56"/>
        <v>0</v>
      </c>
      <c r="Z681"/>
    </row>
    <row r="682" spans="1:26" x14ac:dyDescent="0.2">
      <c r="A682" s="159">
        <v>615215</v>
      </c>
      <c r="B682" s="160" t="s">
        <v>711</v>
      </c>
      <c r="C682" s="148" t="s">
        <v>658</v>
      </c>
      <c r="D682" s="148"/>
      <c r="E682" s="240">
        <v>-837.53000000000009</v>
      </c>
      <c r="F682" s="240">
        <v>2761.0800000000004</v>
      </c>
      <c r="G682" s="240">
        <v>2761.08</v>
      </c>
      <c r="H682" s="240">
        <v>2859.69</v>
      </c>
      <c r="I682" s="240">
        <v>2859.69</v>
      </c>
      <c r="J682" s="240">
        <v>3056.91</v>
      </c>
      <c r="K682" s="240">
        <v>2465.25</v>
      </c>
      <c r="L682" s="240">
        <v>3352.74</v>
      </c>
      <c r="M682" s="240">
        <v>4240.2300000000005</v>
      </c>
      <c r="N682" s="240">
        <v>3155.52</v>
      </c>
      <c r="O682" s="240">
        <v>3451.35</v>
      </c>
      <c r="P682" s="240">
        <v>3352.74</v>
      </c>
      <c r="Q682" s="240">
        <v>0</v>
      </c>
      <c r="R682" s="240">
        <v>0</v>
      </c>
      <c r="S682" s="242">
        <f t="shared" si="56"/>
        <v>33478.75</v>
      </c>
      <c r="U682" s="273"/>
      <c r="Z682"/>
    </row>
    <row r="683" spans="1:26" x14ac:dyDescent="0.2">
      <c r="A683" s="159"/>
      <c r="B683" s="160"/>
      <c r="C683" s="148"/>
      <c r="D683" s="148"/>
      <c r="E683" s="240"/>
      <c r="F683" s="240"/>
      <c r="G683" s="240"/>
      <c r="H683" s="240"/>
      <c r="I683" s="240"/>
      <c r="J683" s="240"/>
      <c r="K683" s="240"/>
      <c r="L683" s="240"/>
      <c r="M683" s="240"/>
      <c r="N683" s="240"/>
      <c r="O683" s="240"/>
      <c r="P683" s="240"/>
      <c r="Q683" s="240"/>
      <c r="R683" s="240"/>
      <c r="S683" s="242"/>
      <c r="Z683"/>
    </row>
    <row r="684" spans="1:26" x14ac:dyDescent="0.2">
      <c r="A684" s="159">
        <v>615215</v>
      </c>
      <c r="B684" s="160" t="s">
        <v>711</v>
      </c>
      <c r="C684" s="148" t="s">
        <v>62</v>
      </c>
      <c r="D684" s="148" t="s">
        <v>700</v>
      </c>
      <c r="E684" s="240">
        <v>0</v>
      </c>
      <c r="F684" s="240">
        <v>66.95</v>
      </c>
      <c r="G684" s="240">
        <v>66.95</v>
      </c>
      <c r="H684" s="240">
        <v>133.9</v>
      </c>
      <c r="I684" s="240">
        <v>133.9</v>
      </c>
      <c r="J684" s="240">
        <v>133.9</v>
      </c>
      <c r="K684" s="240">
        <v>133.9</v>
      </c>
      <c r="L684" s="240">
        <v>66.95</v>
      </c>
      <c r="M684" s="240">
        <v>66.95</v>
      </c>
      <c r="N684" s="240">
        <v>66.95</v>
      </c>
      <c r="O684" s="240">
        <v>133.9</v>
      </c>
      <c r="P684" s="240">
        <v>66.95</v>
      </c>
      <c r="Q684" s="240">
        <v>0</v>
      </c>
      <c r="R684" s="240">
        <v>0</v>
      </c>
      <c r="S684" s="242">
        <f>SUM(E684:Q684)</f>
        <v>1071.2</v>
      </c>
      <c r="Z684"/>
    </row>
    <row r="685" spans="1:26" x14ac:dyDescent="0.2">
      <c r="A685" s="159">
        <v>615215</v>
      </c>
      <c r="B685" s="160" t="s">
        <v>711</v>
      </c>
      <c r="C685" s="148" t="s">
        <v>62</v>
      </c>
      <c r="D685" s="148"/>
      <c r="E685" s="240">
        <v>-1168.2000000000003</v>
      </c>
      <c r="F685" s="240">
        <v>617.99</v>
      </c>
      <c r="G685" s="240">
        <v>73.58</v>
      </c>
      <c r="H685" s="240">
        <v>766.17</v>
      </c>
      <c r="I685" s="240">
        <v>101.47999999999999</v>
      </c>
      <c r="J685" s="240">
        <v>305.37</v>
      </c>
      <c r="K685" s="240">
        <v>186.89999999999998</v>
      </c>
      <c r="L685" s="240">
        <v>175.5</v>
      </c>
      <c r="M685" s="240">
        <v>197.03000000000003</v>
      </c>
      <c r="N685" s="240">
        <v>259.43</v>
      </c>
      <c r="O685" s="240">
        <v>1071.9100000000001</v>
      </c>
      <c r="P685" s="240">
        <v>137.99</v>
      </c>
      <c r="Q685" s="240">
        <v>0</v>
      </c>
      <c r="R685" s="240">
        <v>0</v>
      </c>
      <c r="S685" s="242">
        <f t="shared" si="56"/>
        <v>2725.1499999999996</v>
      </c>
      <c r="Z685"/>
    </row>
    <row r="686" spans="1:26" x14ac:dyDescent="0.2">
      <c r="A686" s="159">
        <v>615215</v>
      </c>
      <c r="B686" s="160" t="s">
        <v>711</v>
      </c>
      <c r="C686" s="148" t="s">
        <v>705</v>
      </c>
      <c r="D686" s="148"/>
      <c r="E686" s="240">
        <v>-50</v>
      </c>
      <c r="F686" s="240">
        <v>0</v>
      </c>
      <c r="G686" s="240">
        <v>0</v>
      </c>
      <c r="H686" s="240">
        <v>102.1</v>
      </c>
      <c r="I686" s="240">
        <v>0</v>
      </c>
      <c r="J686" s="240">
        <v>102.1</v>
      </c>
      <c r="K686" s="240">
        <v>0</v>
      </c>
      <c r="L686" s="240">
        <v>0</v>
      </c>
      <c r="M686" s="240">
        <v>102.1</v>
      </c>
      <c r="N686" s="240">
        <v>102.1</v>
      </c>
      <c r="O686" s="240">
        <v>102.1</v>
      </c>
      <c r="P686" s="240">
        <v>102.1</v>
      </c>
      <c r="Q686" s="240">
        <v>0</v>
      </c>
      <c r="R686" s="240">
        <v>0</v>
      </c>
      <c r="S686" s="242">
        <f t="shared" si="56"/>
        <v>562.6</v>
      </c>
      <c r="Z686"/>
    </row>
    <row r="687" spans="1:26" x14ac:dyDescent="0.2">
      <c r="A687" s="159">
        <v>615215</v>
      </c>
      <c r="B687" s="160" t="s">
        <v>711</v>
      </c>
      <c r="C687" s="148" t="s">
        <v>706</v>
      </c>
      <c r="D687" s="148"/>
      <c r="E687" s="240">
        <v>-192.34999999999991</v>
      </c>
      <c r="F687" s="240">
        <v>1740.7</v>
      </c>
      <c r="G687" s="240">
        <v>1673.75</v>
      </c>
      <c r="H687" s="240">
        <v>1740.7</v>
      </c>
      <c r="I687" s="240">
        <v>1874.6</v>
      </c>
      <c r="J687" s="240">
        <v>1941.55</v>
      </c>
      <c r="K687" s="240">
        <v>1807.65</v>
      </c>
      <c r="L687" s="240">
        <v>1874.6</v>
      </c>
      <c r="M687" s="240">
        <v>2477.15</v>
      </c>
      <c r="N687" s="240">
        <v>2008.5</v>
      </c>
      <c r="O687" s="240">
        <v>2544.1</v>
      </c>
      <c r="P687" s="240">
        <v>2410.1999999999998</v>
      </c>
      <c r="Q687" s="240">
        <v>0</v>
      </c>
      <c r="R687" s="240">
        <v>0</v>
      </c>
      <c r="S687" s="242">
        <f t="shared" si="56"/>
        <v>21901.149999999998</v>
      </c>
      <c r="Z687"/>
    </row>
    <row r="688" spans="1:26" x14ac:dyDescent="0.2">
      <c r="A688" s="159"/>
      <c r="B688" s="160"/>
      <c r="C688" s="148"/>
      <c r="D688" s="148"/>
      <c r="E688" s="240"/>
      <c r="F688" s="240"/>
      <c r="G688" s="240"/>
      <c r="H688" s="240"/>
      <c r="I688" s="240"/>
      <c r="J688" s="240"/>
      <c r="K688" s="240"/>
      <c r="L688" s="240"/>
      <c r="M688" s="240"/>
      <c r="N688" s="240"/>
      <c r="O688" s="240"/>
      <c r="P688" s="240"/>
      <c r="Q688" s="240"/>
      <c r="R688" s="240"/>
      <c r="S688" s="242"/>
      <c r="Z688"/>
    </row>
    <row r="689" spans="1:26" x14ac:dyDescent="0.2">
      <c r="A689" s="159">
        <v>615215</v>
      </c>
      <c r="B689" s="160" t="s">
        <v>711</v>
      </c>
      <c r="C689" s="148" t="s">
        <v>80</v>
      </c>
      <c r="D689" s="148" t="s">
        <v>824</v>
      </c>
      <c r="E689" s="240">
        <v>0</v>
      </c>
      <c r="F689" s="240">
        <v>0</v>
      </c>
      <c r="G689" s="240">
        <v>0</v>
      </c>
      <c r="H689" s="240">
        <v>0</v>
      </c>
      <c r="I689" s="240">
        <v>0</v>
      </c>
      <c r="J689" s="240">
        <v>0</v>
      </c>
      <c r="K689" s="240">
        <v>0</v>
      </c>
      <c r="L689" s="240">
        <v>0</v>
      </c>
      <c r="M689" s="240">
        <v>0</v>
      </c>
      <c r="N689" s="240">
        <v>700.22</v>
      </c>
      <c r="O689" s="240">
        <v>45.68</v>
      </c>
      <c r="P689" s="240">
        <v>72.12</v>
      </c>
      <c r="Q689" s="240">
        <v>0</v>
      </c>
      <c r="R689" s="240">
        <v>0</v>
      </c>
      <c r="S689" s="242">
        <f>SUM(E689:Q689)</f>
        <v>818.02</v>
      </c>
      <c r="Z689"/>
    </row>
    <row r="690" spans="1:26" x14ac:dyDescent="0.2">
      <c r="A690" s="159">
        <v>615215</v>
      </c>
      <c r="B690" s="160" t="s">
        <v>711</v>
      </c>
      <c r="C690" s="148" t="s">
        <v>80</v>
      </c>
      <c r="D690" s="148" t="s">
        <v>700</v>
      </c>
      <c r="E690" s="240">
        <v>0</v>
      </c>
      <c r="F690" s="240">
        <v>0</v>
      </c>
      <c r="G690" s="240">
        <v>0</v>
      </c>
      <c r="H690" s="240">
        <v>0</v>
      </c>
      <c r="I690" s="240">
        <v>0</v>
      </c>
      <c r="J690" s="240">
        <v>0</v>
      </c>
      <c r="K690" s="240">
        <v>0</v>
      </c>
      <c r="L690" s="240">
        <v>0</v>
      </c>
      <c r="M690" s="240">
        <v>179.5</v>
      </c>
      <c r="N690" s="240">
        <v>0</v>
      </c>
      <c r="O690" s="240">
        <v>0</v>
      </c>
      <c r="P690" s="240">
        <v>0</v>
      </c>
      <c r="Q690" s="240">
        <v>0</v>
      </c>
      <c r="R690" s="240">
        <v>0</v>
      </c>
      <c r="S690" s="242">
        <f>SUM(E690:Q690)</f>
        <v>179.5</v>
      </c>
      <c r="Z690"/>
    </row>
    <row r="691" spans="1:26" x14ac:dyDescent="0.2">
      <c r="A691" s="159">
        <v>615215</v>
      </c>
      <c r="B691" s="160" t="s">
        <v>711</v>
      </c>
      <c r="C691" s="148" t="s">
        <v>80</v>
      </c>
      <c r="D691" s="148"/>
      <c r="E691" s="240">
        <v>-461.37000000000012</v>
      </c>
      <c r="F691" s="240">
        <v>1661.2399999999998</v>
      </c>
      <c r="G691" s="240">
        <v>896.16000000000008</v>
      </c>
      <c r="H691" s="240">
        <v>1968.4599999999996</v>
      </c>
      <c r="I691" s="240">
        <v>1160.1599999999999</v>
      </c>
      <c r="J691" s="240">
        <v>926.88</v>
      </c>
      <c r="K691" s="240">
        <v>1239.98</v>
      </c>
      <c r="L691" s="240">
        <v>1674.22</v>
      </c>
      <c r="M691" s="240">
        <v>1303.1599999999999</v>
      </c>
      <c r="N691" s="240">
        <v>1261.58</v>
      </c>
      <c r="O691" s="240">
        <v>1130.2400000000002</v>
      </c>
      <c r="P691" s="240">
        <v>1186.4000000000001</v>
      </c>
      <c r="Q691" s="240">
        <v>0</v>
      </c>
      <c r="R691" s="240">
        <v>0</v>
      </c>
      <c r="S691" s="242">
        <f>SUM(E691:Q691)</f>
        <v>13947.109999999999</v>
      </c>
      <c r="Z691"/>
    </row>
    <row r="692" spans="1:26" x14ac:dyDescent="0.2">
      <c r="A692" s="159">
        <v>615215</v>
      </c>
      <c r="B692" s="160" t="s">
        <v>711</v>
      </c>
      <c r="C692" s="148" t="s">
        <v>707</v>
      </c>
      <c r="D692" s="148"/>
      <c r="E692" s="240">
        <v>0</v>
      </c>
      <c r="F692" s="240">
        <v>0</v>
      </c>
      <c r="G692" s="240">
        <v>0</v>
      </c>
      <c r="H692" s="240">
        <v>0</v>
      </c>
      <c r="I692" s="240">
        <v>0</v>
      </c>
      <c r="J692" s="240">
        <v>0</v>
      </c>
      <c r="K692" s="240">
        <v>0</v>
      </c>
      <c r="L692" s="240">
        <v>0</v>
      </c>
      <c r="M692" s="240">
        <v>0</v>
      </c>
      <c r="N692" s="240">
        <v>0</v>
      </c>
      <c r="O692" s="240">
        <v>0</v>
      </c>
      <c r="P692" s="240">
        <v>0</v>
      </c>
      <c r="Q692" s="240">
        <v>0</v>
      </c>
      <c r="R692" s="240">
        <v>0</v>
      </c>
      <c r="S692" s="242">
        <f t="shared" si="56"/>
        <v>0</v>
      </c>
      <c r="Z692"/>
    </row>
    <row r="693" spans="1:26" x14ac:dyDescent="0.2">
      <c r="A693" s="159">
        <v>615215</v>
      </c>
      <c r="B693" s="160" t="s">
        <v>711</v>
      </c>
      <c r="C693" s="148" t="s">
        <v>708</v>
      </c>
      <c r="D693" s="148"/>
      <c r="E693" s="240">
        <v>-460</v>
      </c>
      <c r="F693" s="240">
        <v>2337</v>
      </c>
      <c r="G693" s="240">
        <v>2123</v>
      </c>
      <c r="H693" s="240">
        <v>2491.9999999999995</v>
      </c>
      <c r="I693" s="240">
        <v>2906.5</v>
      </c>
      <c r="J693" s="240">
        <v>2815.5</v>
      </c>
      <c r="K693" s="240">
        <v>2291.5</v>
      </c>
      <c r="L693" s="240">
        <v>2583</v>
      </c>
      <c r="M693" s="240">
        <v>3505.5</v>
      </c>
      <c r="N693" s="240">
        <v>2583</v>
      </c>
      <c r="O693" s="240">
        <v>2829</v>
      </c>
      <c r="P693" s="240">
        <v>2829</v>
      </c>
      <c r="Q693" s="240">
        <v>0</v>
      </c>
      <c r="R693" s="240">
        <v>0</v>
      </c>
      <c r="S693" s="242">
        <f t="shared" si="56"/>
        <v>28835</v>
      </c>
      <c r="Z693"/>
    </row>
    <row r="694" spans="1:26" x14ac:dyDescent="0.2">
      <c r="A694" s="159"/>
      <c r="B694" s="160"/>
      <c r="C694" s="148"/>
      <c r="D694" s="148"/>
      <c r="E694" s="240"/>
      <c r="F694" s="240"/>
      <c r="G694" s="240"/>
      <c r="H694" s="240"/>
      <c r="I694" s="240"/>
      <c r="J694" s="240"/>
      <c r="K694" s="240"/>
      <c r="L694" s="240"/>
      <c r="M694" s="240"/>
      <c r="N694" s="240"/>
      <c r="O694" s="240"/>
      <c r="P694" s="240"/>
      <c r="Q694" s="240"/>
      <c r="R694" s="240"/>
      <c r="S694" s="242"/>
      <c r="Z694"/>
    </row>
    <row r="695" spans="1:26" x14ac:dyDescent="0.2">
      <c r="A695" s="159">
        <v>615215</v>
      </c>
      <c r="B695" s="160" t="s">
        <v>711</v>
      </c>
      <c r="C695" s="148" t="s">
        <v>156</v>
      </c>
      <c r="D695" s="148"/>
      <c r="E695" s="240">
        <v>-1570.44</v>
      </c>
      <c r="F695" s="240">
        <v>1181.6799999999998</v>
      </c>
      <c r="G695" s="240">
        <v>1410.5</v>
      </c>
      <c r="H695" s="240">
        <v>932</v>
      </c>
      <c r="I695" s="240">
        <v>680.6</v>
      </c>
      <c r="J695" s="240">
        <v>852</v>
      </c>
      <c r="K695" s="240">
        <v>126</v>
      </c>
      <c r="L695" s="240">
        <v>1350</v>
      </c>
      <c r="M695" s="240">
        <v>1402</v>
      </c>
      <c r="N695" s="240">
        <v>1199</v>
      </c>
      <c r="O695" s="240">
        <v>1003.2</v>
      </c>
      <c r="P695" s="240">
        <v>1119</v>
      </c>
      <c r="Q695" s="240">
        <v>0</v>
      </c>
      <c r="R695" s="240">
        <v>0</v>
      </c>
      <c r="S695" s="242">
        <f t="shared" si="56"/>
        <v>9685.5400000000009</v>
      </c>
      <c r="Z695"/>
    </row>
    <row r="696" spans="1:26" x14ac:dyDescent="0.2">
      <c r="A696" s="159">
        <v>615215</v>
      </c>
      <c r="B696" s="160" t="s">
        <v>711</v>
      </c>
      <c r="C696" s="148" t="s">
        <v>156</v>
      </c>
      <c r="D696" s="148" t="s">
        <v>700</v>
      </c>
      <c r="E696" s="240">
        <v>0</v>
      </c>
      <c r="F696" s="240">
        <v>0</v>
      </c>
      <c r="G696" s="240">
        <v>0</v>
      </c>
      <c r="H696" s="240">
        <v>0</v>
      </c>
      <c r="I696" s="240">
        <v>0</v>
      </c>
      <c r="J696" s="240">
        <v>0</v>
      </c>
      <c r="K696" s="240">
        <v>0</v>
      </c>
      <c r="L696" s="240">
        <v>0</v>
      </c>
      <c r="M696" s="240">
        <v>0</v>
      </c>
      <c r="N696" s="240">
        <v>0</v>
      </c>
      <c r="O696" s="240">
        <v>0</v>
      </c>
      <c r="P696" s="240">
        <v>0</v>
      </c>
      <c r="Q696" s="240">
        <v>0</v>
      </c>
      <c r="R696" s="240">
        <v>0</v>
      </c>
      <c r="S696" s="242">
        <f>SUM(E696:Q696)</f>
        <v>0</v>
      </c>
      <c r="Z696"/>
    </row>
    <row r="697" spans="1:26" x14ac:dyDescent="0.2">
      <c r="A697" s="159">
        <v>615215</v>
      </c>
      <c r="B697" s="160" t="s">
        <v>711</v>
      </c>
      <c r="C697" s="148" t="s">
        <v>156</v>
      </c>
      <c r="D697" s="148" t="s">
        <v>726</v>
      </c>
      <c r="E697" s="240">
        <v>0</v>
      </c>
      <c r="F697" s="240">
        <v>0</v>
      </c>
      <c r="G697" s="240">
        <v>0</v>
      </c>
      <c r="H697" s="240">
        <v>0</v>
      </c>
      <c r="I697" s="240">
        <v>0</v>
      </c>
      <c r="J697" s="240">
        <v>0</v>
      </c>
      <c r="K697" s="240">
        <v>0</v>
      </c>
      <c r="L697" s="240">
        <v>0</v>
      </c>
      <c r="M697" s="240">
        <v>0</v>
      </c>
      <c r="N697" s="240">
        <v>0</v>
      </c>
      <c r="O697" s="240">
        <v>152.6</v>
      </c>
      <c r="P697" s="240">
        <v>0</v>
      </c>
      <c r="Q697" s="240">
        <v>0</v>
      </c>
      <c r="R697" s="240">
        <v>0</v>
      </c>
      <c r="S697" s="242">
        <f t="shared" si="56"/>
        <v>152.6</v>
      </c>
      <c r="Z697"/>
    </row>
    <row r="698" spans="1:26" x14ac:dyDescent="0.2">
      <c r="A698" s="159">
        <v>615215</v>
      </c>
      <c r="B698" s="160" t="s">
        <v>711</v>
      </c>
      <c r="C698" s="148" t="s">
        <v>709</v>
      </c>
      <c r="D698" s="148"/>
      <c r="E698" s="240">
        <v>-1200</v>
      </c>
      <c r="F698" s="240">
        <v>0</v>
      </c>
      <c r="G698" s="240">
        <v>0</v>
      </c>
      <c r="H698" s="240">
        <v>0</v>
      </c>
      <c r="I698" s="240">
        <v>0</v>
      </c>
      <c r="J698" s="240">
        <v>0</v>
      </c>
      <c r="K698" s="240">
        <v>0</v>
      </c>
      <c r="L698" s="240">
        <v>0</v>
      </c>
      <c r="M698" s="240">
        <v>0</v>
      </c>
      <c r="N698" s="240">
        <v>0</v>
      </c>
      <c r="O698" s="240">
        <v>0</v>
      </c>
      <c r="P698" s="240">
        <v>950</v>
      </c>
      <c r="Q698" s="240">
        <v>0</v>
      </c>
      <c r="R698" s="240">
        <v>0</v>
      </c>
      <c r="S698" s="242">
        <f t="shared" si="56"/>
        <v>-250</v>
      </c>
      <c r="Z698"/>
    </row>
    <row r="699" spans="1:26" x14ac:dyDescent="0.2">
      <c r="A699" s="159">
        <v>615215</v>
      </c>
      <c r="B699" s="160" t="s">
        <v>711</v>
      </c>
      <c r="C699" s="148" t="s">
        <v>395</v>
      </c>
      <c r="D699" s="148"/>
      <c r="E699" s="240">
        <v>-94</v>
      </c>
      <c r="F699" s="240">
        <v>3724</v>
      </c>
      <c r="G699" s="240">
        <v>3758</v>
      </c>
      <c r="H699" s="240">
        <v>3800</v>
      </c>
      <c r="I699" s="240">
        <v>4004</v>
      </c>
      <c r="J699" s="240">
        <v>3876</v>
      </c>
      <c r="K699" s="240">
        <v>4354</v>
      </c>
      <c r="L699" s="240">
        <v>4372</v>
      </c>
      <c r="M699" s="240">
        <v>4630</v>
      </c>
      <c r="N699" s="240">
        <v>4228</v>
      </c>
      <c r="O699" s="240">
        <v>4028</v>
      </c>
      <c r="P699" s="240">
        <v>3952</v>
      </c>
      <c r="Q699" s="240">
        <v>0</v>
      </c>
      <c r="R699" s="240">
        <v>0</v>
      </c>
      <c r="S699" s="242">
        <f t="shared" si="56"/>
        <v>44632</v>
      </c>
      <c r="Z699"/>
    </row>
    <row r="700" spans="1:26" x14ac:dyDescent="0.2">
      <c r="A700" s="159"/>
      <c r="B700" s="160"/>
      <c r="C700" s="148"/>
      <c r="D700" s="148"/>
      <c r="E700" s="240"/>
      <c r="F700" s="240"/>
      <c r="G700" s="240"/>
      <c r="H700" s="240"/>
      <c r="I700" s="240"/>
      <c r="J700" s="240"/>
      <c r="K700" s="240"/>
      <c r="L700" s="240"/>
      <c r="M700" s="240"/>
      <c r="N700" s="240"/>
      <c r="O700" s="240"/>
      <c r="P700" s="240"/>
      <c r="Q700" s="240"/>
      <c r="R700" s="240"/>
      <c r="S700" s="242"/>
      <c r="Z700"/>
    </row>
    <row r="701" spans="1:26" x14ac:dyDescent="0.2">
      <c r="A701" s="159">
        <v>615215</v>
      </c>
      <c r="B701" s="160" t="s">
        <v>711</v>
      </c>
      <c r="C701" s="148" t="s">
        <v>79</v>
      </c>
      <c r="D701" s="148"/>
      <c r="E701" s="240">
        <v>0</v>
      </c>
      <c r="F701" s="240">
        <v>0</v>
      </c>
      <c r="G701" s="240">
        <v>0</v>
      </c>
      <c r="H701" s="240">
        <v>0</v>
      </c>
      <c r="I701" s="240">
        <v>0</v>
      </c>
      <c r="J701" s="240">
        <v>0</v>
      </c>
      <c r="K701" s="240">
        <v>0</v>
      </c>
      <c r="L701" s="240">
        <v>0</v>
      </c>
      <c r="M701" s="240">
        <v>0</v>
      </c>
      <c r="N701" s="240">
        <v>0</v>
      </c>
      <c r="O701" s="240">
        <v>0</v>
      </c>
      <c r="P701" s="240">
        <v>0</v>
      </c>
      <c r="Q701" s="240">
        <v>0</v>
      </c>
      <c r="R701" s="240">
        <v>0</v>
      </c>
      <c r="S701" s="242">
        <f t="shared" si="56"/>
        <v>0</v>
      </c>
      <c r="Z701"/>
    </row>
    <row r="702" spans="1:26" x14ac:dyDescent="0.2">
      <c r="A702" s="159"/>
      <c r="B702" s="160"/>
      <c r="C702" s="148"/>
      <c r="D702" s="148"/>
      <c r="E702" s="240"/>
      <c r="F702" s="240"/>
      <c r="G702" s="240"/>
      <c r="H702" s="240"/>
      <c r="I702" s="240"/>
      <c r="J702" s="240"/>
      <c r="K702" s="240"/>
      <c r="L702" s="240"/>
      <c r="M702" s="240"/>
      <c r="N702" s="240"/>
      <c r="O702" s="240"/>
      <c r="P702" s="240"/>
      <c r="Q702" s="240"/>
      <c r="R702" s="240"/>
      <c r="S702" s="242"/>
      <c r="Z702"/>
    </row>
    <row r="703" spans="1:26" x14ac:dyDescent="0.2">
      <c r="A703" s="159">
        <v>615215</v>
      </c>
      <c r="B703" s="160" t="s">
        <v>711</v>
      </c>
      <c r="C703" s="148" t="s">
        <v>172</v>
      </c>
      <c r="D703" s="148"/>
      <c r="E703" s="240">
        <v>-300</v>
      </c>
      <c r="F703" s="240">
        <v>395</v>
      </c>
      <c r="G703" s="240">
        <v>395</v>
      </c>
      <c r="H703" s="240">
        <v>395</v>
      </c>
      <c r="I703" s="240">
        <v>395</v>
      </c>
      <c r="J703" s="240">
        <v>894.48</v>
      </c>
      <c r="K703" s="240">
        <v>395</v>
      </c>
      <c r="L703" s="240">
        <v>627.51</v>
      </c>
      <c r="M703" s="240">
        <v>747.48</v>
      </c>
      <c r="N703" s="240">
        <v>395</v>
      </c>
      <c r="O703" s="240">
        <v>395</v>
      </c>
      <c r="P703" s="240">
        <v>395</v>
      </c>
      <c r="Q703" s="240">
        <v>0</v>
      </c>
      <c r="R703" s="240">
        <v>0</v>
      </c>
      <c r="S703" s="242">
        <f>SUM(E703:Q703)</f>
        <v>5129.4699999999993</v>
      </c>
      <c r="Z703"/>
    </row>
    <row r="704" spans="1:26" x14ac:dyDescent="0.2">
      <c r="A704" s="159">
        <v>615215</v>
      </c>
      <c r="B704" s="160" t="s">
        <v>711</v>
      </c>
      <c r="C704" s="148" t="s">
        <v>710</v>
      </c>
      <c r="D704" s="148"/>
      <c r="E704" s="240">
        <v>-250</v>
      </c>
      <c r="F704" s="240">
        <v>100</v>
      </c>
      <c r="G704" s="240">
        <v>100</v>
      </c>
      <c r="H704" s="240">
        <v>0</v>
      </c>
      <c r="I704" s="240">
        <v>0</v>
      </c>
      <c r="J704" s="240">
        <v>0</v>
      </c>
      <c r="K704" s="240">
        <v>100</v>
      </c>
      <c r="L704" s="240">
        <v>50</v>
      </c>
      <c r="M704" s="240">
        <v>50</v>
      </c>
      <c r="N704" s="240">
        <v>50</v>
      </c>
      <c r="O704" s="240">
        <v>50</v>
      </c>
      <c r="P704" s="240">
        <v>50</v>
      </c>
      <c r="Q704" s="240">
        <v>0</v>
      </c>
      <c r="R704" s="240">
        <v>0</v>
      </c>
      <c r="S704" s="242">
        <f t="shared" si="56"/>
        <v>300</v>
      </c>
      <c r="Z704"/>
    </row>
    <row r="705" spans="1:26" x14ac:dyDescent="0.2">
      <c r="A705" s="159">
        <v>615215</v>
      </c>
      <c r="B705" s="160" t="s">
        <v>711</v>
      </c>
      <c r="C705" s="148" t="s">
        <v>442</v>
      </c>
      <c r="D705" s="148"/>
      <c r="E705" s="240">
        <v>-186.96000000000004</v>
      </c>
      <c r="F705" s="240">
        <v>1579.28</v>
      </c>
      <c r="G705" s="240">
        <v>1329.92</v>
      </c>
      <c r="H705" s="240">
        <v>1496.16</v>
      </c>
      <c r="I705" s="240">
        <v>1329.92</v>
      </c>
      <c r="J705" s="240">
        <v>1662.4</v>
      </c>
      <c r="K705" s="240">
        <v>1863.04</v>
      </c>
      <c r="L705" s="240">
        <v>1496.16</v>
      </c>
      <c r="M705" s="240">
        <v>1662.4</v>
      </c>
      <c r="N705" s="240">
        <v>1662.4</v>
      </c>
      <c r="O705" s="240">
        <v>1911.76</v>
      </c>
      <c r="P705" s="240">
        <v>2278.6400000000003</v>
      </c>
      <c r="Q705" s="240">
        <v>0</v>
      </c>
      <c r="R705" s="240">
        <v>0</v>
      </c>
      <c r="S705" s="242">
        <f t="shared" si="56"/>
        <v>18085.12</v>
      </c>
      <c r="Z705"/>
    </row>
    <row r="706" spans="1:26" x14ac:dyDescent="0.2">
      <c r="A706" s="159"/>
      <c r="B706" s="160"/>
      <c r="C706" s="148"/>
      <c r="D706" s="148"/>
      <c r="E706" s="240"/>
      <c r="F706" s="240"/>
      <c r="G706" s="240"/>
      <c r="H706" s="240"/>
      <c r="I706" s="240"/>
      <c r="J706" s="240"/>
      <c r="K706" s="240"/>
      <c r="L706" s="240"/>
      <c r="M706" s="240"/>
      <c r="N706" s="240"/>
      <c r="O706" s="240"/>
      <c r="P706" s="240"/>
      <c r="Q706" s="240"/>
      <c r="R706" s="240"/>
      <c r="S706" s="242"/>
      <c r="Z706"/>
    </row>
    <row r="707" spans="1:26" x14ac:dyDescent="0.2">
      <c r="A707" s="159">
        <v>615215</v>
      </c>
      <c r="B707" s="160" t="s">
        <v>711</v>
      </c>
      <c r="C707" s="592" t="s">
        <v>367</v>
      </c>
      <c r="D707" s="148"/>
      <c r="E707" s="240"/>
      <c r="F707" s="590">
        <v>45.66</v>
      </c>
      <c r="G707" s="590">
        <f>-45.66-5739.06</f>
        <v>-5784.72</v>
      </c>
      <c r="H707" s="240">
        <v>5739.06</v>
      </c>
      <c r="I707" s="240">
        <v>-5256.37</v>
      </c>
      <c r="J707" s="240">
        <f>5256.37+11363.38</f>
        <v>16619.75</v>
      </c>
      <c r="K707" s="240">
        <f>-11363.38+10084.69</f>
        <v>-1278.6899999999987</v>
      </c>
      <c r="L707" s="240">
        <f>-10084.69+14753.31</f>
        <v>4668.619999999999</v>
      </c>
      <c r="M707" s="240">
        <f>-14753.31+9046.2</f>
        <v>-5707.1099999999988</v>
      </c>
      <c r="N707" s="240">
        <f>-9046.2+7657.49</f>
        <v>-1388.7100000000009</v>
      </c>
      <c r="O707" s="240">
        <f>-7657.49+8030.67</f>
        <v>373.18000000000029</v>
      </c>
      <c r="P707" s="240">
        <f>-8030.67-0.85</f>
        <v>-8031.52</v>
      </c>
      <c r="Q707" s="240"/>
      <c r="R707" s="240"/>
      <c r="S707" s="242">
        <f t="shared" si="56"/>
        <v>-0.84999999999854481</v>
      </c>
      <c r="T707" s="331"/>
      <c r="Z707"/>
    </row>
    <row r="708" spans="1:26" s="185" customFormat="1" ht="24" customHeight="1" x14ac:dyDescent="0.2">
      <c r="A708" s="267"/>
      <c r="B708" s="268"/>
      <c r="C708" s="267" t="s">
        <v>66</v>
      </c>
      <c r="D708" s="267"/>
      <c r="E708" s="269">
        <f t="shared" ref="E708:S708" si="57">SUM(E662:E707)</f>
        <v>-18984.150000000001</v>
      </c>
      <c r="F708" s="269">
        <f t="shared" si="57"/>
        <v>38120.000000000007</v>
      </c>
      <c r="G708" s="269">
        <f t="shared" si="57"/>
        <v>26927.439999999995</v>
      </c>
      <c r="H708" s="269">
        <f t="shared" si="57"/>
        <v>44268.479999999996</v>
      </c>
      <c r="I708" s="269">
        <f t="shared" si="57"/>
        <v>31713.499999999996</v>
      </c>
      <c r="J708" s="269">
        <f t="shared" si="57"/>
        <v>56287.83</v>
      </c>
      <c r="K708" s="269">
        <f t="shared" si="57"/>
        <v>35399.83</v>
      </c>
      <c r="L708" s="269">
        <f t="shared" si="57"/>
        <v>43534.410000000018</v>
      </c>
      <c r="M708" s="269">
        <f t="shared" si="57"/>
        <v>43644.679999999993</v>
      </c>
      <c r="N708" s="269">
        <f t="shared" si="57"/>
        <v>38607.520000000004</v>
      </c>
      <c r="O708" s="269">
        <f t="shared" si="57"/>
        <v>40652.61</v>
      </c>
      <c r="P708" s="269">
        <f t="shared" si="57"/>
        <v>31566.09</v>
      </c>
      <c r="Q708" s="269">
        <f t="shared" si="57"/>
        <v>0</v>
      </c>
      <c r="R708" s="269">
        <f>SUM(R662:R707)</f>
        <v>0</v>
      </c>
      <c r="S708" s="269">
        <f t="shared" si="57"/>
        <v>411738.24</v>
      </c>
      <c r="T708" s="185" t="str">
        <f>IF(Ctrl($A707)+S707+S706=S708,"Ok",Ctrl(A707))</f>
        <v>Ok</v>
      </c>
      <c r="U708" s="212">
        <v>411280.31</v>
      </c>
      <c r="V708" s="334">
        <f>U708-S708</f>
        <v>-457.92999999999302</v>
      </c>
      <c r="W708" s="185" t="s">
        <v>853</v>
      </c>
      <c r="Z708"/>
    </row>
    <row r="709" spans="1:26" x14ac:dyDescent="0.2">
      <c r="A709" s="159">
        <v>615220</v>
      </c>
      <c r="B709" s="160" t="s">
        <v>123</v>
      </c>
      <c r="C709" s="148" t="s">
        <v>77</v>
      </c>
      <c r="D709" s="148" t="s">
        <v>179</v>
      </c>
      <c r="E709" s="240">
        <v>0</v>
      </c>
      <c r="F709" s="240">
        <v>740.44</v>
      </c>
      <c r="G709" s="240">
        <v>740.44</v>
      </c>
      <c r="H709" s="240">
        <v>740.44</v>
      </c>
      <c r="I709" s="240">
        <v>740.44</v>
      </c>
      <c r="J709" s="240">
        <v>740.44</v>
      </c>
      <c r="K709" s="240">
        <v>740.44</v>
      </c>
      <c r="L709" s="240">
        <v>740.44</v>
      </c>
      <c r="M709" s="240">
        <v>740.44</v>
      </c>
      <c r="N709" s="240">
        <v>740.44</v>
      </c>
      <c r="O709" s="240">
        <v>740.44</v>
      </c>
      <c r="P709" s="240">
        <v>740.44</v>
      </c>
      <c r="Q709" s="240">
        <v>740.44</v>
      </c>
      <c r="R709" s="240">
        <v>0</v>
      </c>
      <c r="S709" s="245">
        <f t="shared" ref="S709:S734" si="58">SUM(E709:Q709)</f>
        <v>8885.2800000000025</v>
      </c>
      <c r="W709" s="185"/>
      <c r="Z709"/>
    </row>
    <row r="710" spans="1:26" x14ac:dyDescent="0.2">
      <c r="A710" s="159">
        <v>615220</v>
      </c>
      <c r="B710" s="160" t="s">
        <v>123</v>
      </c>
      <c r="C710" s="148" t="s">
        <v>77</v>
      </c>
      <c r="D710" s="148" t="s">
        <v>192</v>
      </c>
      <c r="E710" s="240">
        <v>0</v>
      </c>
      <c r="F710" s="240">
        <v>0</v>
      </c>
      <c r="G710" s="240">
        <v>0</v>
      </c>
      <c r="H710" s="240">
        <v>0</v>
      </c>
      <c r="I710" s="240">
        <v>0</v>
      </c>
      <c r="J710" s="240">
        <v>0</v>
      </c>
      <c r="K710" s="240">
        <v>0</v>
      </c>
      <c r="L710" s="240">
        <v>0</v>
      </c>
      <c r="M710" s="240">
        <v>0</v>
      </c>
      <c r="N710" s="240">
        <v>0</v>
      </c>
      <c r="O710" s="240">
        <v>0</v>
      </c>
      <c r="P710" s="240">
        <v>0</v>
      </c>
      <c r="Q710" s="240">
        <v>0</v>
      </c>
      <c r="R710" s="240">
        <v>0</v>
      </c>
      <c r="S710" s="245">
        <f t="shared" si="58"/>
        <v>0</v>
      </c>
      <c r="Z710"/>
    </row>
    <row r="711" spans="1:26" x14ac:dyDescent="0.2">
      <c r="A711" s="159">
        <v>615220</v>
      </c>
      <c r="B711" s="160" t="s">
        <v>123</v>
      </c>
      <c r="C711" s="148" t="s">
        <v>145</v>
      </c>
      <c r="D711" s="148" t="s">
        <v>179</v>
      </c>
      <c r="E711" s="240">
        <v>-96.84</v>
      </c>
      <c r="F711" s="240">
        <v>428.4</v>
      </c>
      <c r="G711" s="240">
        <v>428.4</v>
      </c>
      <c r="H711" s="240">
        <v>428.4</v>
      </c>
      <c r="I711" s="240">
        <v>428.4</v>
      </c>
      <c r="J711" s="240">
        <v>428.4</v>
      </c>
      <c r="K711" s="240">
        <v>428.4</v>
      </c>
      <c r="L711" s="240">
        <v>428.4</v>
      </c>
      <c r="M711" s="240">
        <v>428.4</v>
      </c>
      <c r="N711" s="240">
        <v>428.4</v>
      </c>
      <c r="O711" s="240">
        <v>428.4</v>
      </c>
      <c r="P711" s="240">
        <v>428.4</v>
      </c>
      <c r="Q711" s="240">
        <v>428.4</v>
      </c>
      <c r="R711" s="240">
        <v>0</v>
      </c>
      <c r="S711" s="245">
        <f t="shared" si="58"/>
        <v>5043.9599999999991</v>
      </c>
      <c r="U711" s="186"/>
      <c r="Z711"/>
    </row>
    <row r="712" spans="1:26" x14ac:dyDescent="0.2">
      <c r="A712" s="159">
        <v>615220</v>
      </c>
      <c r="B712" s="160" t="s">
        <v>123</v>
      </c>
      <c r="C712" s="148" t="s">
        <v>145</v>
      </c>
      <c r="D712" s="148">
        <v>999999</v>
      </c>
      <c r="E712" s="240">
        <v>0</v>
      </c>
      <c r="F712" s="240">
        <v>0</v>
      </c>
      <c r="G712" s="240">
        <v>0</v>
      </c>
      <c r="H712" s="240">
        <v>0</v>
      </c>
      <c r="I712" s="240">
        <v>0</v>
      </c>
      <c r="J712" s="240">
        <v>0</v>
      </c>
      <c r="K712" s="240">
        <v>0</v>
      </c>
      <c r="L712" s="240">
        <v>0</v>
      </c>
      <c r="M712" s="240">
        <v>0</v>
      </c>
      <c r="N712" s="240">
        <v>0</v>
      </c>
      <c r="O712" s="240">
        <v>0</v>
      </c>
      <c r="P712" s="240">
        <v>0</v>
      </c>
      <c r="Q712" s="240">
        <v>0</v>
      </c>
      <c r="R712" s="240">
        <v>0</v>
      </c>
      <c r="S712" s="245">
        <f t="shared" si="58"/>
        <v>0</v>
      </c>
      <c r="U712" s="186"/>
      <c r="Z712"/>
    </row>
    <row r="713" spans="1:26" x14ac:dyDescent="0.2">
      <c r="A713" s="159">
        <v>615220</v>
      </c>
      <c r="B713" s="160" t="s">
        <v>123</v>
      </c>
      <c r="C713" s="148" t="s">
        <v>145</v>
      </c>
      <c r="D713" s="148" t="s">
        <v>192</v>
      </c>
      <c r="E713" s="240">
        <v>0</v>
      </c>
      <c r="F713" s="240">
        <v>0</v>
      </c>
      <c r="G713" s="240">
        <v>0</v>
      </c>
      <c r="H713" s="240">
        <v>0</v>
      </c>
      <c r="I713" s="240">
        <v>0</v>
      </c>
      <c r="J713" s="240">
        <v>0</v>
      </c>
      <c r="K713" s="240">
        <v>0</v>
      </c>
      <c r="L713" s="240">
        <v>0</v>
      </c>
      <c r="M713" s="240">
        <v>0</v>
      </c>
      <c r="N713" s="240">
        <v>0</v>
      </c>
      <c r="O713" s="240">
        <v>0</v>
      </c>
      <c r="P713" s="240">
        <v>0</v>
      </c>
      <c r="Q713" s="240">
        <v>0</v>
      </c>
      <c r="R713" s="240">
        <v>0</v>
      </c>
      <c r="S713" s="245">
        <f t="shared" si="58"/>
        <v>0</v>
      </c>
      <c r="U713" s="186"/>
      <c r="Z713"/>
    </row>
    <row r="714" spans="1:26" x14ac:dyDescent="0.2">
      <c r="A714" s="159">
        <v>615220</v>
      </c>
      <c r="B714" s="160" t="s">
        <v>123</v>
      </c>
      <c r="C714" s="148" t="s">
        <v>76</v>
      </c>
      <c r="D714" s="148" t="s">
        <v>179</v>
      </c>
      <c r="E714" s="240">
        <v>0</v>
      </c>
      <c r="F714" s="240">
        <v>519.03</v>
      </c>
      <c r="G714" s="240">
        <v>519.03</v>
      </c>
      <c r="H714" s="240">
        <v>519.03</v>
      </c>
      <c r="I714" s="240">
        <v>519.03</v>
      </c>
      <c r="J714" s="240">
        <v>518.94000000000005</v>
      </c>
      <c r="K714" s="240">
        <v>519.75</v>
      </c>
      <c r="L714" s="240">
        <v>519.75</v>
      </c>
      <c r="M714" s="240">
        <v>519.75</v>
      </c>
      <c r="N714" s="240">
        <v>519.75</v>
      </c>
      <c r="O714" s="240">
        <v>519.75</v>
      </c>
      <c r="P714" s="240">
        <v>519.75</v>
      </c>
      <c r="Q714" s="240">
        <v>519.75</v>
      </c>
      <c r="R714" s="240">
        <v>0</v>
      </c>
      <c r="S714" s="245">
        <f t="shared" si="58"/>
        <v>6233.3099999999995</v>
      </c>
      <c r="U714" s="186"/>
      <c r="Z714"/>
    </row>
    <row r="715" spans="1:26" x14ac:dyDescent="0.2">
      <c r="A715" s="270"/>
      <c r="B715" s="235"/>
      <c r="C715" s="148"/>
      <c r="D715" s="148"/>
      <c r="E715" s="240"/>
      <c r="F715" s="240"/>
      <c r="G715" s="240"/>
      <c r="H715" s="240"/>
      <c r="I715" s="240"/>
      <c r="J715" s="240"/>
      <c r="K715" s="240"/>
      <c r="L715" s="240"/>
      <c r="M715" s="240"/>
      <c r="N715" s="240"/>
      <c r="O715" s="240"/>
      <c r="P715" s="240"/>
      <c r="Q715" s="240"/>
      <c r="R715" s="240"/>
      <c r="S715" s="245">
        <f t="shared" si="58"/>
        <v>0</v>
      </c>
      <c r="Z715"/>
    </row>
    <row r="716" spans="1:26" x14ac:dyDescent="0.2">
      <c r="A716" s="159">
        <v>615220</v>
      </c>
      <c r="B716" s="160" t="s">
        <v>123</v>
      </c>
      <c r="C716" s="148" t="s">
        <v>70</v>
      </c>
      <c r="D716" s="148" t="s">
        <v>179</v>
      </c>
      <c r="E716" s="240">
        <v>0</v>
      </c>
      <c r="F716" s="240">
        <v>476</v>
      </c>
      <c r="G716" s="240">
        <v>476</v>
      </c>
      <c r="H716" s="240">
        <v>476</v>
      </c>
      <c r="I716" s="240">
        <v>476</v>
      </c>
      <c r="J716" s="240">
        <v>476</v>
      </c>
      <c r="K716" s="240">
        <v>476</v>
      </c>
      <c r="L716" s="240">
        <v>476</v>
      </c>
      <c r="M716" s="240">
        <v>476</v>
      </c>
      <c r="N716" s="240">
        <v>476</v>
      </c>
      <c r="O716" s="240">
        <v>476</v>
      </c>
      <c r="P716" s="240">
        <v>476</v>
      </c>
      <c r="Q716" s="240">
        <v>476</v>
      </c>
      <c r="R716" s="240">
        <v>0</v>
      </c>
      <c r="S716" s="245">
        <f t="shared" si="58"/>
        <v>5712</v>
      </c>
      <c r="U716" s="186"/>
      <c r="Z716"/>
    </row>
    <row r="717" spans="1:26" x14ac:dyDescent="0.2">
      <c r="A717" s="159">
        <v>615220</v>
      </c>
      <c r="B717" s="160" t="s">
        <v>123</v>
      </c>
      <c r="C717" s="148" t="s">
        <v>108</v>
      </c>
      <c r="D717" s="148" t="s">
        <v>192</v>
      </c>
      <c r="E717" s="240">
        <v>0</v>
      </c>
      <c r="F717" s="240">
        <v>0</v>
      </c>
      <c r="G717" s="240">
        <v>0</v>
      </c>
      <c r="H717" s="240">
        <v>0</v>
      </c>
      <c r="I717" s="240">
        <v>0</v>
      </c>
      <c r="J717" s="240">
        <v>0</v>
      </c>
      <c r="K717" s="240">
        <v>0</v>
      </c>
      <c r="L717" s="240">
        <v>0</v>
      </c>
      <c r="M717" s="240">
        <v>0</v>
      </c>
      <c r="N717" s="240">
        <v>0</v>
      </c>
      <c r="O717" s="240">
        <v>0</v>
      </c>
      <c r="P717" s="240">
        <v>0</v>
      </c>
      <c r="Q717" s="240">
        <v>0</v>
      </c>
      <c r="R717" s="240">
        <v>0</v>
      </c>
      <c r="S717" s="245">
        <f t="shared" si="58"/>
        <v>0</v>
      </c>
      <c r="U717" s="273"/>
      <c r="Z717"/>
    </row>
    <row r="718" spans="1:26" x14ac:dyDescent="0.2">
      <c r="A718" s="159">
        <v>615220</v>
      </c>
      <c r="B718" s="160" t="s">
        <v>123</v>
      </c>
      <c r="C718" s="148" t="s">
        <v>108</v>
      </c>
      <c r="D718" s="148" t="s">
        <v>179</v>
      </c>
      <c r="E718" s="240">
        <v>-43.08</v>
      </c>
      <c r="F718" s="240">
        <v>295.45</v>
      </c>
      <c r="G718" s="240">
        <v>295.45</v>
      </c>
      <c r="H718" s="240">
        <v>295.45</v>
      </c>
      <c r="I718" s="240">
        <v>295.45</v>
      </c>
      <c r="J718" s="240">
        <v>295.45</v>
      </c>
      <c r="K718" s="240">
        <v>295.45</v>
      </c>
      <c r="L718" s="240">
        <v>295.45</v>
      </c>
      <c r="M718" s="240">
        <v>295.45</v>
      </c>
      <c r="N718" s="240">
        <v>295.45</v>
      </c>
      <c r="O718" s="240">
        <v>295.45</v>
      </c>
      <c r="P718" s="240">
        <v>295.45</v>
      </c>
      <c r="Q718" s="240">
        <v>295.42</v>
      </c>
      <c r="R718" s="240">
        <v>0</v>
      </c>
      <c r="S718" s="245">
        <f t="shared" si="58"/>
        <v>3502.2899999999995</v>
      </c>
      <c r="U718" s="273"/>
      <c r="Z718"/>
    </row>
    <row r="719" spans="1:26" x14ac:dyDescent="0.2">
      <c r="A719" s="159">
        <v>615220</v>
      </c>
      <c r="B719" s="160" t="s">
        <v>123</v>
      </c>
      <c r="C719" s="148" t="s">
        <v>72</v>
      </c>
      <c r="D719" s="148" t="s">
        <v>179</v>
      </c>
      <c r="E719" s="240">
        <v>0</v>
      </c>
      <c r="F719" s="240">
        <v>64.430000000000007</v>
      </c>
      <c r="G719" s="240">
        <v>64.430000000000007</v>
      </c>
      <c r="H719" s="240">
        <v>64.430000000000007</v>
      </c>
      <c r="I719" s="240">
        <v>64.430000000000007</v>
      </c>
      <c r="J719" s="240">
        <v>64.430000000000007</v>
      </c>
      <c r="K719" s="240">
        <v>64.430000000000007</v>
      </c>
      <c r="L719" s="240">
        <v>64.430000000000007</v>
      </c>
      <c r="M719" s="240">
        <v>64.430000000000007</v>
      </c>
      <c r="N719" s="240">
        <v>64.430000000000007</v>
      </c>
      <c r="O719" s="240">
        <v>64.430000000000007</v>
      </c>
      <c r="P719" s="240">
        <v>64.430000000000007</v>
      </c>
      <c r="Q719" s="240">
        <v>64.33</v>
      </c>
      <c r="R719" s="240">
        <v>0</v>
      </c>
      <c r="S719" s="245">
        <f t="shared" si="58"/>
        <v>773.06000000000029</v>
      </c>
      <c r="U719" s="273"/>
      <c r="Z719"/>
    </row>
    <row r="720" spans="1:26" x14ac:dyDescent="0.2">
      <c r="A720" s="270"/>
      <c r="B720" s="235"/>
      <c r="C720" s="148"/>
      <c r="D720" s="148"/>
      <c r="E720" s="240"/>
      <c r="F720" s="240"/>
      <c r="G720" s="240"/>
      <c r="H720" s="240"/>
      <c r="I720" s="240"/>
      <c r="J720" s="240"/>
      <c r="K720" s="240"/>
      <c r="L720" s="240"/>
      <c r="M720" s="240"/>
      <c r="N720" s="240"/>
      <c r="O720" s="240"/>
      <c r="P720" s="240"/>
      <c r="Q720" s="240"/>
      <c r="R720" s="240"/>
      <c r="S720" s="245">
        <f t="shared" si="58"/>
        <v>0</v>
      </c>
      <c r="Z720"/>
    </row>
    <row r="721" spans="1:26" x14ac:dyDescent="0.2">
      <c r="A721" s="159">
        <v>615220</v>
      </c>
      <c r="B721" s="160" t="s">
        <v>123</v>
      </c>
      <c r="C721" s="148" t="s">
        <v>75</v>
      </c>
      <c r="D721" s="148" t="s">
        <v>179</v>
      </c>
      <c r="E721" s="240">
        <v>0</v>
      </c>
      <c r="F721" s="240">
        <v>423.11</v>
      </c>
      <c r="G721" s="240">
        <v>423.11</v>
      </c>
      <c r="H721" s="240">
        <v>423.11</v>
      </c>
      <c r="I721" s="240">
        <v>423.11</v>
      </c>
      <c r="J721" s="240">
        <v>423.11</v>
      </c>
      <c r="K721" s="240">
        <v>423.11</v>
      </c>
      <c r="L721" s="240">
        <v>423.11</v>
      </c>
      <c r="M721" s="240">
        <v>423.11</v>
      </c>
      <c r="N721" s="240">
        <v>423.11</v>
      </c>
      <c r="O721" s="240">
        <v>423.11</v>
      </c>
      <c r="P721" s="240">
        <v>423.11</v>
      </c>
      <c r="Q721" s="240">
        <v>423.11</v>
      </c>
      <c r="R721" s="240">
        <v>0</v>
      </c>
      <c r="S721" s="245">
        <f t="shared" si="58"/>
        <v>5077.32</v>
      </c>
      <c r="Z721"/>
    </row>
    <row r="722" spans="1:26" x14ac:dyDescent="0.2">
      <c r="A722" s="159">
        <v>615220</v>
      </c>
      <c r="B722" s="160" t="s">
        <v>123</v>
      </c>
      <c r="C722" s="148" t="s">
        <v>75</v>
      </c>
      <c r="D722" s="148" t="s">
        <v>192</v>
      </c>
      <c r="E722" s="240">
        <v>0</v>
      </c>
      <c r="F722" s="240">
        <v>0</v>
      </c>
      <c r="G722" s="240">
        <v>0</v>
      </c>
      <c r="H722" s="240">
        <v>0</v>
      </c>
      <c r="I722" s="240">
        <v>0</v>
      </c>
      <c r="J722" s="240">
        <v>0</v>
      </c>
      <c r="K722" s="240">
        <v>0</v>
      </c>
      <c r="L722" s="240">
        <v>0</v>
      </c>
      <c r="M722" s="240">
        <v>0</v>
      </c>
      <c r="N722" s="240">
        <v>0</v>
      </c>
      <c r="O722" s="240">
        <v>0</v>
      </c>
      <c r="P722" s="240">
        <v>0</v>
      </c>
      <c r="Q722" s="240">
        <v>0</v>
      </c>
      <c r="R722" s="240">
        <v>0</v>
      </c>
      <c r="S722" s="245">
        <f t="shared" si="58"/>
        <v>0</v>
      </c>
      <c r="U722" s="273"/>
      <c r="Z722"/>
    </row>
    <row r="723" spans="1:26" x14ac:dyDescent="0.2">
      <c r="A723" s="159">
        <v>615220</v>
      </c>
      <c r="B723" s="160" t="s">
        <v>123</v>
      </c>
      <c r="C723" s="148" t="s">
        <v>163</v>
      </c>
      <c r="D723" s="148" t="s">
        <v>179</v>
      </c>
      <c r="E723" s="240">
        <v>-84</v>
      </c>
      <c r="F723" s="240">
        <v>243.36</v>
      </c>
      <c r="G723" s="240">
        <v>243.36</v>
      </c>
      <c r="H723" s="240">
        <v>243.36</v>
      </c>
      <c r="I723" s="240">
        <v>243.36</v>
      </c>
      <c r="J723" s="240">
        <v>243.36</v>
      </c>
      <c r="K723" s="240">
        <v>243.36</v>
      </c>
      <c r="L723" s="240">
        <v>194.36</v>
      </c>
      <c r="M723" s="240">
        <v>236.36</v>
      </c>
      <c r="N723" s="240">
        <v>236.36</v>
      </c>
      <c r="O723" s="240">
        <v>236.36</v>
      </c>
      <c r="P723" s="240">
        <v>236.36</v>
      </c>
      <c r="Q723" s="240">
        <v>236.22000000000003</v>
      </c>
      <c r="R723" s="240">
        <v>0</v>
      </c>
      <c r="S723" s="245">
        <f t="shared" si="58"/>
        <v>2752.1800000000012</v>
      </c>
      <c r="U723" s="273"/>
      <c r="Z723"/>
    </row>
    <row r="724" spans="1:26" x14ac:dyDescent="0.2">
      <c r="A724" s="159">
        <v>615220</v>
      </c>
      <c r="B724" s="160" t="s">
        <v>123</v>
      </c>
      <c r="C724" s="148" t="s">
        <v>163</v>
      </c>
      <c r="D724" s="148">
        <v>999999</v>
      </c>
      <c r="E724" s="240">
        <v>0</v>
      </c>
      <c r="F724" s="240">
        <v>0</v>
      </c>
      <c r="G724" s="240">
        <v>0</v>
      </c>
      <c r="H724" s="240">
        <v>0</v>
      </c>
      <c r="I724" s="240">
        <v>0</v>
      </c>
      <c r="J724" s="240">
        <v>0</v>
      </c>
      <c r="K724" s="240">
        <v>0</v>
      </c>
      <c r="L724" s="240">
        <v>0</v>
      </c>
      <c r="M724" s="240">
        <v>0</v>
      </c>
      <c r="N724" s="240">
        <v>0</v>
      </c>
      <c r="O724" s="240">
        <v>0</v>
      </c>
      <c r="P724" s="240">
        <v>0</v>
      </c>
      <c r="Q724" s="240">
        <v>0</v>
      </c>
      <c r="R724" s="240">
        <v>0</v>
      </c>
      <c r="S724" s="245">
        <f t="shared" si="58"/>
        <v>0</v>
      </c>
      <c r="U724" s="273"/>
      <c r="Z724"/>
    </row>
    <row r="725" spans="1:26" x14ac:dyDescent="0.2">
      <c r="A725" s="159">
        <v>615220</v>
      </c>
      <c r="B725" s="160" t="s">
        <v>123</v>
      </c>
      <c r="C725" s="148" t="s">
        <v>74</v>
      </c>
      <c r="D725" s="148" t="s">
        <v>179</v>
      </c>
      <c r="E725" s="240">
        <v>0</v>
      </c>
      <c r="F725" s="240">
        <v>128.36000000000001</v>
      </c>
      <c r="G725" s="240">
        <v>128.36000000000001</v>
      </c>
      <c r="H725" s="240">
        <v>128.36000000000001</v>
      </c>
      <c r="I725" s="240">
        <v>128.36000000000001</v>
      </c>
      <c r="J725" s="240">
        <v>128.36000000000001</v>
      </c>
      <c r="K725" s="240">
        <v>128.36000000000001</v>
      </c>
      <c r="L725" s="240">
        <v>128.36000000000001</v>
      </c>
      <c r="M725" s="240">
        <v>128.36000000000001</v>
      </c>
      <c r="N725" s="240">
        <v>128.36000000000001</v>
      </c>
      <c r="O725" s="240">
        <v>128.36000000000001</v>
      </c>
      <c r="P725" s="240">
        <v>128.32</v>
      </c>
      <c r="Q725" s="240">
        <v>84.27000000000001</v>
      </c>
      <c r="R725" s="240">
        <v>0</v>
      </c>
      <c r="S725" s="245">
        <f t="shared" si="58"/>
        <v>1496.1900000000003</v>
      </c>
      <c r="U725" s="273"/>
      <c r="Z725"/>
    </row>
    <row r="726" spans="1:26" x14ac:dyDescent="0.2">
      <c r="A726" s="270"/>
      <c r="B726" s="235"/>
      <c r="C726" s="148"/>
      <c r="D726" s="148"/>
      <c r="E726" s="240"/>
      <c r="F726" s="240"/>
      <c r="G726" s="240"/>
      <c r="H726" s="240"/>
      <c r="I726" s="240"/>
      <c r="J726" s="240"/>
      <c r="K726" s="240"/>
      <c r="L726" s="240"/>
      <c r="M726" s="240"/>
      <c r="N726" s="240"/>
      <c r="O726" s="240"/>
      <c r="P726" s="240"/>
      <c r="Q726" s="240"/>
      <c r="R726" s="240"/>
      <c r="S726" s="245">
        <f t="shared" si="58"/>
        <v>0</v>
      </c>
      <c r="Z726"/>
    </row>
    <row r="727" spans="1:26" x14ac:dyDescent="0.2">
      <c r="A727" s="159">
        <v>615220</v>
      </c>
      <c r="B727" s="160" t="s">
        <v>123</v>
      </c>
      <c r="C727" s="148" t="s">
        <v>234</v>
      </c>
      <c r="D727" s="148" t="s">
        <v>179</v>
      </c>
      <c r="E727" s="240">
        <v>0</v>
      </c>
      <c r="F727" s="240">
        <v>218.17</v>
      </c>
      <c r="G727" s="240">
        <v>218.17</v>
      </c>
      <c r="H727" s="240">
        <v>218.17</v>
      </c>
      <c r="I727" s="240">
        <v>218.17</v>
      </c>
      <c r="J727" s="240">
        <v>218.17</v>
      </c>
      <c r="K727" s="240">
        <v>218.17</v>
      </c>
      <c r="L727" s="240">
        <v>218.17</v>
      </c>
      <c r="M727" s="240">
        <v>218.17</v>
      </c>
      <c r="N727" s="240">
        <v>218.17</v>
      </c>
      <c r="O727" s="240">
        <v>218.17</v>
      </c>
      <c r="P727" s="240">
        <v>218.17</v>
      </c>
      <c r="Q727" s="240">
        <v>218.17</v>
      </c>
      <c r="R727" s="240">
        <v>0</v>
      </c>
      <c r="S727" s="245">
        <f t="shared" si="58"/>
        <v>2618.0400000000004</v>
      </c>
      <c r="Z727"/>
    </row>
    <row r="728" spans="1:26" x14ac:dyDescent="0.2">
      <c r="A728" s="159">
        <v>615220</v>
      </c>
      <c r="B728" s="160" t="s">
        <v>123</v>
      </c>
      <c r="C728" s="148" t="s">
        <v>130</v>
      </c>
      <c r="D728" s="148" t="s">
        <v>179</v>
      </c>
      <c r="E728" s="240">
        <v>-37.799999999999997</v>
      </c>
      <c r="F728" s="240">
        <v>323.64</v>
      </c>
      <c r="G728" s="240">
        <v>323.64</v>
      </c>
      <c r="H728" s="240">
        <v>323.64</v>
      </c>
      <c r="I728" s="240">
        <v>323.64</v>
      </c>
      <c r="J728" s="240">
        <v>323.64</v>
      </c>
      <c r="K728" s="240">
        <v>323.64</v>
      </c>
      <c r="L728" s="240">
        <v>323.64</v>
      </c>
      <c r="M728" s="240">
        <v>323.64</v>
      </c>
      <c r="N728" s="240">
        <v>323.64</v>
      </c>
      <c r="O728" s="240">
        <v>323.64</v>
      </c>
      <c r="P728" s="240">
        <v>323.64</v>
      </c>
      <c r="Q728" s="240">
        <v>323.59000000000003</v>
      </c>
      <c r="R728" s="240">
        <v>0</v>
      </c>
      <c r="S728" s="245">
        <f>SUM(E728:Q728)</f>
        <v>3845.8299999999995</v>
      </c>
      <c r="U728" s="273"/>
      <c r="Z728"/>
    </row>
    <row r="729" spans="1:26" x14ac:dyDescent="0.2">
      <c r="A729" s="159">
        <v>615220</v>
      </c>
      <c r="B729" s="160" t="s">
        <v>123</v>
      </c>
      <c r="C729" s="148" t="s">
        <v>130</v>
      </c>
      <c r="D729" s="148" t="s">
        <v>192</v>
      </c>
      <c r="E729" s="240">
        <v>0</v>
      </c>
      <c r="F729" s="240">
        <v>0</v>
      </c>
      <c r="G729" s="240">
        <v>0</v>
      </c>
      <c r="H729" s="240">
        <v>0</v>
      </c>
      <c r="I729" s="240">
        <v>0</v>
      </c>
      <c r="J729" s="240">
        <v>0</v>
      </c>
      <c r="K729" s="240">
        <v>1998</v>
      </c>
      <c r="L729" s="240">
        <v>0</v>
      </c>
      <c r="M729" s="240">
        <v>0</v>
      </c>
      <c r="N729" s="240">
        <v>0</v>
      </c>
      <c r="O729" s="240">
        <v>0</v>
      </c>
      <c r="P729" s="240">
        <v>0</v>
      </c>
      <c r="Q729" s="240">
        <v>0</v>
      </c>
      <c r="R729" s="240">
        <v>0</v>
      </c>
      <c r="S729" s="245">
        <f t="shared" si="58"/>
        <v>1998</v>
      </c>
      <c r="U729" s="273"/>
      <c r="Z729"/>
    </row>
    <row r="730" spans="1:26" x14ac:dyDescent="0.2">
      <c r="A730" s="159">
        <v>615220</v>
      </c>
      <c r="B730" s="160" t="s">
        <v>123</v>
      </c>
      <c r="C730" s="148" t="s">
        <v>68</v>
      </c>
      <c r="D730" s="148" t="s">
        <v>179</v>
      </c>
      <c r="E730" s="240">
        <v>0</v>
      </c>
      <c r="F730" s="240">
        <v>43.89</v>
      </c>
      <c r="G730" s="240">
        <v>43.89</v>
      </c>
      <c r="H730" s="240">
        <v>43.89</v>
      </c>
      <c r="I730" s="240">
        <v>43.89</v>
      </c>
      <c r="J730" s="240">
        <v>43.89</v>
      </c>
      <c r="K730" s="240">
        <v>43.89</v>
      </c>
      <c r="L730" s="240">
        <v>43.89</v>
      </c>
      <c r="M730" s="240">
        <v>43.89</v>
      </c>
      <c r="N730" s="240">
        <v>43.89</v>
      </c>
      <c r="O730" s="240">
        <v>43.89</v>
      </c>
      <c r="P730" s="240">
        <v>43.85</v>
      </c>
      <c r="Q730" s="240">
        <v>0</v>
      </c>
      <c r="R730" s="240">
        <v>0</v>
      </c>
      <c r="S730" s="245">
        <f t="shared" si="58"/>
        <v>482.74999999999994</v>
      </c>
      <c r="U730" s="273"/>
      <c r="Z730"/>
    </row>
    <row r="731" spans="1:26" x14ac:dyDescent="0.2">
      <c r="A731" s="270"/>
      <c r="B731" s="235"/>
      <c r="C731" s="148"/>
      <c r="D731" s="148"/>
      <c r="E731" s="240"/>
      <c r="F731" s="240"/>
      <c r="G731" s="240"/>
      <c r="H731" s="240"/>
      <c r="I731" s="240"/>
      <c r="J731" s="240"/>
      <c r="K731" s="240"/>
      <c r="L731" s="240"/>
      <c r="M731" s="240"/>
      <c r="N731" s="240"/>
      <c r="O731" s="240"/>
      <c r="P731" s="240"/>
      <c r="Q731" s="240"/>
      <c r="R731" s="240"/>
      <c r="S731" s="245">
        <f t="shared" si="58"/>
        <v>0</v>
      </c>
      <c r="Z731"/>
    </row>
    <row r="732" spans="1:26" x14ac:dyDescent="0.2">
      <c r="A732" s="159">
        <v>615220</v>
      </c>
      <c r="B732" s="160" t="s">
        <v>123</v>
      </c>
      <c r="C732" s="148" t="s">
        <v>194</v>
      </c>
      <c r="D732" s="148" t="s">
        <v>179</v>
      </c>
      <c r="E732" s="240">
        <v>0</v>
      </c>
      <c r="F732" s="240">
        <v>158.66999999999999</v>
      </c>
      <c r="G732" s="240">
        <v>158.66999999999999</v>
      </c>
      <c r="H732" s="240">
        <v>158.66999999999999</v>
      </c>
      <c r="I732" s="240">
        <v>158.66999999999999</v>
      </c>
      <c r="J732" s="240">
        <v>158.66999999999999</v>
      </c>
      <c r="K732" s="240">
        <v>158.66999999999999</v>
      </c>
      <c r="L732" s="240">
        <v>158.66999999999999</v>
      </c>
      <c r="M732" s="240">
        <v>158.66999999999999</v>
      </c>
      <c r="N732" s="240">
        <v>158.66999999999999</v>
      </c>
      <c r="O732" s="240">
        <v>158.66999999999999</v>
      </c>
      <c r="P732" s="240">
        <v>158.66999999999999</v>
      </c>
      <c r="Q732" s="240">
        <v>158.66999999999999</v>
      </c>
      <c r="R732" s="240">
        <v>0</v>
      </c>
      <c r="S732" s="245">
        <f t="shared" si="58"/>
        <v>1904.0400000000002</v>
      </c>
      <c r="Z732"/>
    </row>
    <row r="733" spans="1:26" x14ac:dyDescent="0.2">
      <c r="A733" s="159">
        <v>615220</v>
      </c>
      <c r="B733" s="160" t="s">
        <v>123</v>
      </c>
      <c r="C733" s="148" t="s">
        <v>153</v>
      </c>
      <c r="D733" s="148" t="s">
        <v>179</v>
      </c>
      <c r="E733" s="240">
        <v>-70.08</v>
      </c>
      <c r="F733" s="240">
        <v>157.12</v>
      </c>
      <c r="G733" s="240">
        <v>157.12</v>
      </c>
      <c r="H733" s="240">
        <v>157.12</v>
      </c>
      <c r="I733" s="240">
        <v>157.124</v>
      </c>
      <c r="J733" s="240">
        <v>157.12</v>
      </c>
      <c r="K733" s="240">
        <v>157.12</v>
      </c>
      <c r="L733" s="240">
        <v>157.12</v>
      </c>
      <c r="M733" s="240">
        <v>157.12</v>
      </c>
      <c r="N733" s="240">
        <v>157.12</v>
      </c>
      <c r="O733" s="240">
        <v>157.12</v>
      </c>
      <c r="P733" s="240">
        <v>157.12</v>
      </c>
      <c r="Q733" s="240">
        <v>157.05000000000001</v>
      </c>
      <c r="R733" s="240">
        <v>0</v>
      </c>
      <c r="S733" s="245">
        <f t="shared" si="58"/>
        <v>1815.2939999999996</v>
      </c>
      <c r="U733" s="273"/>
      <c r="Z733"/>
    </row>
    <row r="734" spans="1:26" x14ac:dyDescent="0.2">
      <c r="A734" s="159">
        <v>615220</v>
      </c>
      <c r="B734" s="160" t="s">
        <v>123</v>
      </c>
      <c r="C734" s="148" t="s">
        <v>153</v>
      </c>
      <c r="D734" s="148" t="s">
        <v>192</v>
      </c>
      <c r="E734" s="240">
        <v>0</v>
      </c>
      <c r="F734" s="240">
        <v>0</v>
      </c>
      <c r="G734" s="240">
        <v>0</v>
      </c>
      <c r="H734" s="240">
        <v>0</v>
      </c>
      <c r="I734" s="240">
        <v>0</v>
      </c>
      <c r="J734" s="240">
        <v>0</v>
      </c>
      <c r="K734" s="240">
        <v>0</v>
      </c>
      <c r="L734" s="240">
        <v>679</v>
      </c>
      <c r="M734" s="240">
        <v>0</v>
      </c>
      <c r="N734" s="240">
        <v>-679</v>
      </c>
      <c r="O734" s="240">
        <v>0</v>
      </c>
      <c r="P734" s="240">
        <v>0</v>
      </c>
      <c r="Q734" s="240">
        <v>0</v>
      </c>
      <c r="R734" s="240">
        <v>0</v>
      </c>
      <c r="S734" s="245">
        <f t="shared" si="58"/>
        <v>0</v>
      </c>
      <c r="Z734"/>
    </row>
    <row r="735" spans="1:26" x14ac:dyDescent="0.2">
      <c r="A735" s="159">
        <v>615220</v>
      </c>
      <c r="B735" s="160" t="s">
        <v>123</v>
      </c>
      <c r="C735" s="148" t="s">
        <v>63</v>
      </c>
      <c r="D735" s="148" t="s">
        <v>179</v>
      </c>
      <c r="E735" s="240">
        <v>0</v>
      </c>
      <c r="F735" s="240">
        <v>35.47</v>
      </c>
      <c r="G735" s="240">
        <v>35.47</v>
      </c>
      <c r="H735" s="240">
        <v>35.47</v>
      </c>
      <c r="I735" s="240">
        <v>35.47</v>
      </c>
      <c r="J735" s="240">
        <v>35.47</v>
      </c>
      <c r="K735" s="240">
        <v>35.47</v>
      </c>
      <c r="L735" s="240">
        <v>35.47</v>
      </c>
      <c r="M735" s="240">
        <v>35.47</v>
      </c>
      <c r="N735" s="240">
        <v>35.47</v>
      </c>
      <c r="O735" s="240">
        <v>35.47</v>
      </c>
      <c r="P735" s="240">
        <v>35.47</v>
      </c>
      <c r="Q735" s="240">
        <v>35.47</v>
      </c>
      <c r="R735" s="240">
        <v>0</v>
      </c>
      <c r="S735" s="245">
        <f t="shared" ref="S735:S760" si="59">SUM(E735:Q735)</f>
        <v>425.6400000000001</v>
      </c>
      <c r="U735" s="273"/>
      <c r="Z735"/>
    </row>
    <row r="736" spans="1:26" x14ac:dyDescent="0.2">
      <c r="A736" s="270"/>
      <c r="B736" s="235"/>
      <c r="C736" s="148"/>
      <c r="D736" s="148"/>
      <c r="E736" s="240"/>
      <c r="F736" s="240"/>
      <c r="G736" s="240"/>
      <c r="H736" s="240"/>
      <c r="I736" s="240"/>
      <c r="J736" s="240"/>
      <c r="K736" s="240"/>
      <c r="L736" s="240"/>
      <c r="M736" s="240"/>
      <c r="N736" s="240"/>
      <c r="O736" s="240"/>
      <c r="P736" s="240"/>
      <c r="Q736" s="240"/>
      <c r="R736" s="240"/>
      <c r="S736" s="245">
        <f t="shared" si="59"/>
        <v>0</v>
      </c>
      <c r="Z736"/>
    </row>
    <row r="737" spans="1:26" x14ac:dyDescent="0.2">
      <c r="A737" s="159">
        <v>615220</v>
      </c>
      <c r="B737" s="160" t="s">
        <v>123</v>
      </c>
      <c r="C737" s="148" t="s">
        <v>235</v>
      </c>
      <c r="D737" s="148" t="s">
        <v>179</v>
      </c>
      <c r="E737" s="240">
        <v>0</v>
      </c>
      <c r="F737" s="240">
        <v>251.22</v>
      </c>
      <c r="G737" s="240">
        <v>251.22</v>
      </c>
      <c r="H737" s="240">
        <v>251.22</v>
      </c>
      <c r="I737" s="240">
        <v>251.22</v>
      </c>
      <c r="J737" s="240">
        <v>251.22</v>
      </c>
      <c r="K737" s="240">
        <v>251.22</v>
      </c>
      <c r="L737" s="240">
        <v>251.22</v>
      </c>
      <c r="M737" s="240">
        <v>251.22</v>
      </c>
      <c r="N737" s="240">
        <v>251.22</v>
      </c>
      <c r="O737" s="240">
        <v>251.22</v>
      </c>
      <c r="P737" s="240">
        <v>251.22</v>
      </c>
      <c r="Q737" s="240">
        <v>251.22</v>
      </c>
      <c r="R737" s="240">
        <v>0</v>
      </c>
      <c r="S737" s="245">
        <f t="shared" si="59"/>
        <v>3014.6399999999994</v>
      </c>
      <c r="U737" s="688"/>
      <c r="Z737"/>
    </row>
    <row r="738" spans="1:26" x14ac:dyDescent="0.2">
      <c r="A738" s="159">
        <v>615220</v>
      </c>
      <c r="B738" s="160" t="s">
        <v>123</v>
      </c>
      <c r="C738" s="148" t="s">
        <v>235</v>
      </c>
      <c r="D738" s="148">
        <v>9999999</v>
      </c>
      <c r="E738" s="240">
        <v>0</v>
      </c>
      <c r="F738" s="240">
        <v>0</v>
      </c>
      <c r="G738" s="240">
        <v>0</v>
      </c>
      <c r="H738" s="240">
        <v>0</v>
      </c>
      <c r="I738" s="240">
        <v>0</v>
      </c>
      <c r="J738" s="240">
        <v>0</v>
      </c>
      <c r="K738" s="240">
        <v>0</v>
      </c>
      <c r="L738" s="240">
        <v>0</v>
      </c>
      <c r="M738" s="240">
        <v>0</v>
      </c>
      <c r="N738" s="240">
        <v>0</v>
      </c>
      <c r="O738" s="240">
        <v>0</v>
      </c>
      <c r="P738" s="240">
        <v>0</v>
      </c>
      <c r="Q738" s="240">
        <v>0</v>
      </c>
      <c r="R738" s="240">
        <v>0</v>
      </c>
      <c r="S738" s="245">
        <f t="shared" si="59"/>
        <v>0</v>
      </c>
      <c r="U738" s="688"/>
      <c r="Z738"/>
    </row>
    <row r="739" spans="1:26" x14ac:dyDescent="0.2">
      <c r="A739" s="159">
        <v>615220</v>
      </c>
      <c r="B739" s="160" t="s">
        <v>123</v>
      </c>
      <c r="C739" s="148" t="s">
        <v>143</v>
      </c>
      <c r="D739" s="148" t="s">
        <v>179</v>
      </c>
      <c r="E739" s="240">
        <v>-37.799999999999997</v>
      </c>
      <c r="F739" s="240">
        <v>295.45</v>
      </c>
      <c r="G739" s="240">
        <v>295.45</v>
      </c>
      <c r="H739" s="240">
        <v>295.45</v>
      </c>
      <c r="I739" s="240">
        <v>295.45</v>
      </c>
      <c r="J739" s="240">
        <v>295.45</v>
      </c>
      <c r="K739" s="240">
        <v>295.45</v>
      </c>
      <c r="L739" s="240">
        <v>295.45</v>
      </c>
      <c r="M739" s="240">
        <v>295.45</v>
      </c>
      <c r="N739" s="240">
        <v>295.45</v>
      </c>
      <c r="O739" s="240">
        <v>295.45</v>
      </c>
      <c r="P739" s="240">
        <v>295.45</v>
      </c>
      <c r="Q739" s="240">
        <v>295.42</v>
      </c>
      <c r="R739" s="240">
        <v>0</v>
      </c>
      <c r="S739" s="245">
        <f t="shared" si="59"/>
        <v>3507.5699999999997</v>
      </c>
      <c r="Z739"/>
    </row>
    <row r="740" spans="1:26" x14ac:dyDescent="0.2">
      <c r="A740" s="159">
        <v>615220</v>
      </c>
      <c r="B740" s="160" t="s">
        <v>123</v>
      </c>
      <c r="C740" s="148" t="s">
        <v>143</v>
      </c>
      <c r="D740" s="148">
        <v>9999999</v>
      </c>
      <c r="E740" s="240">
        <v>0</v>
      </c>
      <c r="F740" s="240">
        <v>0</v>
      </c>
      <c r="G740" s="240">
        <v>0</v>
      </c>
      <c r="H740" s="240">
        <v>0</v>
      </c>
      <c r="I740" s="240">
        <v>0</v>
      </c>
      <c r="J740" s="240">
        <v>0</v>
      </c>
      <c r="K740" s="240">
        <v>0</v>
      </c>
      <c r="L740" s="240">
        <v>0</v>
      </c>
      <c r="M740" s="240">
        <v>0</v>
      </c>
      <c r="N740" s="240">
        <v>0</v>
      </c>
      <c r="O740" s="240">
        <v>0</v>
      </c>
      <c r="P740" s="240">
        <v>0</v>
      </c>
      <c r="Q740" s="240">
        <v>0</v>
      </c>
      <c r="R740" s="240">
        <v>0</v>
      </c>
      <c r="S740" s="245">
        <f t="shared" si="59"/>
        <v>0</v>
      </c>
      <c r="U740" s="273"/>
      <c r="W740" s="331"/>
      <c r="Z740"/>
    </row>
    <row r="741" spans="1:26" x14ac:dyDescent="0.2">
      <c r="A741" s="159">
        <v>615220</v>
      </c>
      <c r="B741" s="160" t="s">
        <v>123</v>
      </c>
      <c r="C741" s="148" t="s">
        <v>81</v>
      </c>
      <c r="D741" s="148" t="s">
        <v>179</v>
      </c>
      <c r="E741" s="240">
        <v>-150</v>
      </c>
      <c r="F741" s="240">
        <v>99.5</v>
      </c>
      <c r="G741" s="240">
        <v>99.5</v>
      </c>
      <c r="H741" s="240">
        <v>99.5</v>
      </c>
      <c r="I741" s="240">
        <v>99.5</v>
      </c>
      <c r="J741" s="240">
        <v>99.5</v>
      </c>
      <c r="K741" s="240">
        <v>99.5</v>
      </c>
      <c r="L741" s="240">
        <v>99.5</v>
      </c>
      <c r="M741" s="240">
        <v>99.5</v>
      </c>
      <c r="N741" s="240">
        <v>99.5</v>
      </c>
      <c r="O741" s="240">
        <v>99.5</v>
      </c>
      <c r="P741" s="240">
        <v>99.460000000000008</v>
      </c>
      <c r="Q741" s="240">
        <v>55.61</v>
      </c>
      <c r="R741" s="240">
        <v>0</v>
      </c>
      <c r="S741" s="245">
        <f t="shared" si="59"/>
        <v>1000.07</v>
      </c>
      <c r="U741" s="273"/>
      <c r="Z741"/>
    </row>
    <row r="742" spans="1:26" x14ac:dyDescent="0.2">
      <c r="A742" s="270"/>
      <c r="B742" s="235"/>
      <c r="C742" s="148"/>
      <c r="D742" s="148"/>
      <c r="E742" s="240"/>
      <c r="F742" s="240"/>
      <c r="G742" s="240"/>
      <c r="H742" s="240"/>
      <c r="I742" s="240"/>
      <c r="J742" s="240"/>
      <c r="K742" s="240"/>
      <c r="L742" s="240"/>
      <c r="M742" s="240"/>
      <c r="N742" s="240"/>
      <c r="O742" s="240"/>
      <c r="P742" s="240"/>
      <c r="Q742" s="240"/>
      <c r="R742" s="240"/>
      <c r="S742" s="245">
        <f t="shared" si="59"/>
        <v>0</v>
      </c>
      <c r="Z742"/>
    </row>
    <row r="743" spans="1:26" x14ac:dyDescent="0.2">
      <c r="A743" s="159">
        <v>615220</v>
      </c>
      <c r="B743" s="160" t="s">
        <v>123</v>
      </c>
      <c r="C743" s="148" t="s">
        <v>236</v>
      </c>
      <c r="D743" s="148" t="s">
        <v>192</v>
      </c>
      <c r="E743" s="240">
        <v>0</v>
      </c>
      <c r="F743" s="240">
        <v>0</v>
      </c>
      <c r="G743" s="240">
        <v>0</v>
      </c>
      <c r="H743" s="240">
        <v>0</v>
      </c>
      <c r="I743" s="240">
        <v>0</v>
      </c>
      <c r="J743" s="240">
        <v>0</v>
      </c>
      <c r="K743" s="240">
        <v>0</v>
      </c>
      <c r="L743" s="240">
        <v>0</v>
      </c>
      <c r="M743" s="240">
        <v>0</v>
      </c>
      <c r="N743" s="240">
        <v>0</v>
      </c>
      <c r="O743" s="240">
        <v>0</v>
      </c>
      <c r="P743" s="240">
        <v>0</v>
      </c>
      <c r="Q743" s="240">
        <v>0</v>
      </c>
      <c r="R743" s="240">
        <v>0</v>
      </c>
      <c r="S743" s="245">
        <f t="shared" si="59"/>
        <v>0</v>
      </c>
      <c r="Z743"/>
    </row>
    <row r="744" spans="1:26" x14ac:dyDescent="0.2">
      <c r="A744" s="159">
        <v>615220</v>
      </c>
      <c r="B744" s="160" t="s">
        <v>123</v>
      </c>
      <c r="C744" s="148" t="s">
        <v>236</v>
      </c>
      <c r="D744" s="148" t="s">
        <v>179</v>
      </c>
      <c r="E744" s="240">
        <v>0</v>
      </c>
      <c r="F744" s="240">
        <v>442.94</v>
      </c>
      <c r="G744" s="240">
        <v>442.94</v>
      </c>
      <c r="H744" s="240">
        <v>442.94</v>
      </c>
      <c r="I744" s="240">
        <v>442.94</v>
      </c>
      <c r="J744" s="240">
        <v>442.94</v>
      </c>
      <c r="K744" s="240">
        <v>442.94</v>
      </c>
      <c r="L744" s="240">
        <v>442.94</v>
      </c>
      <c r="M744" s="240">
        <v>442.94</v>
      </c>
      <c r="N744" s="240">
        <v>442.94</v>
      </c>
      <c r="O744" s="240">
        <v>442.94</v>
      </c>
      <c r="P744" s="240">
        <v>442.94</v>
      </c>
      <c r="Q744" s="240">
        <v>442.94</v>
      </c>
      <c r="R744" s="240">
        <v>0</v>
      </c>
      <c r="S744" s="245">
        <f t="shared" si="59"/>
        <v>5315.2799999999988</v>
      </c>
      <c r="Z744"/>
    </row>
    <row r="745" spans="1:26" x14ac:dyDescent="0.2">
      <c r="A745" s="159">
        <v>615220</v>
      </c>
      <c r="B745" s="160" t="s">
        <v>123</v>
      </c>
      <c r="C745" s="148" t="s">
        <v>157</v>
      </c>
      <c r="D745" s="148" t="s">
        <v>179</v>
      </c>
      <c r="E745" s="240">
        <v>-829.92000000000007</v>
      </c>
      <c r="F745" s="240">
        <v>265.91000000000003</v>
      </c>
      <c r="G745" s="240">
        <v>265.91000000000003</v>
      </c>
      <c r="H745" s="240">
        <v>265.91000000000003</v>
      </c>
      <c r="I745" s="240">
        <v>265.91000000000003</v>
      </c>
      <c r="J745" s="240">
        <v>265.91000000000003</v>
      </c>
      <c r="K745" s="240">
        <v>265.91000000000003</v>
      </c>
      <c r="L745" s="240">
        <v>265.91000000000003</v>
      </c>
      <c r="M745" s="240">
        <v>265.91000000000003</v>
      </c>
      <c r="N745" s="240">
        <v>265.91000000000003</v>
      </c>
      <c r="O745" s="240">
        <v>265.91000000000003</v>
      </c>
      <c r="P745" s="240">
        <v>265.91000000000003</v>
      </c>
      <c r="Q745" s="240">
        <v>265.85000000000002</v>
      </c>
      <c r="R745" s="240">
        <v>0</v>
      </c>
      <c r="S745" s="245">
        <f t="shared" si="59"/>
        <v>2360.9400000000005</v>
      </c>
      <c r="U745" s="273"/>
      <c r="Z745"/>
    </row>
    <row r="746" spans="1:26" x14ac:dyDescent="0.2">
      <c r="A746" s="159">
        <v>615220</v>
      </c>
      <c r="B746" s="160" t="s">
        <v>123</v>
      </c>
      <c r="C746" s="148" t="s">
        <v>157</v>
      </c>
      <c r="D746" s="148" t="s">
        <v>192</v>
      </c>
      <c r="E746" s="240">
        <v>0</v>
      </c>
      <c r="F746" s="240">
        <v>0</v>
      </c>
      <c r="G746" s="240">
        <v>0</v>
      </c>
      <c r="H746" s="240">
        <v>0</v>
      </c>
      <c r="I746" s="240">
        <v>0</v>
      </c>
      <c r="J746" s="240">
        <v>0</v>
      </c>
      <c r="K746" s="240">
        <v>0</v>
      </c>
      <c r="L746" s="240">
        <v>0</v>
      </c>
      <c r="M746" s="240">
        <v>0</v>
      </c>
      <c r="N746" s="240">
        <v>0</v>
      </c>
      <c r="O746" s="240">
        <v>0</v>
      </c>
      <c r="P746" s="240">
        <v>391.02</v>
      </c>
      <c r="Q746" s="240">
        <v>0</v>
      </c>
      <c r="R746" s="240">
        <v>0</v>
      </c>
      <c r="S746" s="245">
        <f t="shared" si="59"/>
        <v>391.02</v>
      </c>
      <c r="U746" s="273"/>
      <c r="Z746"/>
    </row>
    <row r="747" spans="1:26" x14ac:dyDescent="0.2">
      <c r="A747" s="159">
        <v>615220</v>
      </c>
      <c r="B747" s="160" t="s">
        <v>123</v>
      </c>
      <c r="C747" s="148" t="s">
        <v>155</v>
      </c>
      <c r="D747" s="148" t="s">
        <v>179</v>
      </c>
      <c r="E747" s="240">
        <v>0</v>
      </c>
      <c r="F747" s="240">
        <v>171.95</v>
      </c>
      <c r="G747" s="240">
        <v>171.95</v>
      </c>
      <c r="H747" s="240">
        <v>171.95</v>
      </c>
      <c r="I747" s="240">
        <v>171.95</v>
      </c>
      <c r="J747" s="240">
        <v>171.95</v>
      </c>
      <c r="K747" s="240">
        <v>171.95</v>
      </c>
      <c r="L747" s="240">
        <v>171.95</v>
      </c>
      <c r="M747" s="240">
        <v>171.95</v>
      </c>
      <c r="N747" s="240">
        <v>171.95</v>
      </c>
      <c r="O747" s="240">
        <v>171.95</v>
      </c>
      <c r="P747" s="240">
        <v>171.91</v>
      </c>
      <c r="Q747" s="240">
        <v>128.06</v>
      </c>
      <c r="R747" s="240">
        <v>0</v>
      </c>
      <c r="S747" s="245">
        <f t="shared" si="59"/>
        <v>2019.4700000000003</v>
      </c>
      <c r="U747" s="273"/>
      <c r="Z747"/>
    </row>
    <row r="748" spans="1:26" ht="17.25" customHeight="1" x14ac:dyDescent="0.2">
      <c r="A748" s="270"/>
      <c r="B748" s="235"/>
      <c r="C748" s="148"/>
      <c r="D748" s="148"/>
      <c r="E748" s="240"/>
      <c r="F748" s="240"/>
      <c r="G748" s="240"/>
      <c r="H748" s="240"/>
      <c r="I748" s="240"/>
      <c r="J748" s="240"/>
      <c r="K748" s="240"/>
      <c r="L748" s="240"/>
      <c r="M748" s="240"/>
      <c r="N748" s="240"/>
      <c r="O748" s="240"/>
      <c r="P748" s="240"/>
      <c r="Q748" s="240"/>
      <c r="R748" s="240"/>
      <c r="S748" s="245">
        <f t="shared" si="59"/>
        <v>0</v>
      </c>
      <c r="Z748"/>
    </row>
    <row r="749" spans="1:26" ht="13.9" customHeight="1" x14ac:dyDescent="0.2">
      <c r="A749" s="159">
        <v>615220</v>
      </c>
      <c r="B749" s="160" t="s">
        <v>123</v>
      </c>
      <c r="C749" s="148" t="s">
        <v>79</v>
      </c>
      <c r="D749" s="148" t="s">
        <v>179</v>
      </c>
      <c r="E749" s="240">
        <v>-6</v>
      </c>
      <c r="F749" s="240">
        <v>-236.37</v>
      </c>
      <c r="G749" s="240">
        <v>899</v>
      </c>
      <c r="H749" s="240">
        <v>-656.6299999999992</v>
      </c>
      <c r="I749" s="240">
        <v>0</v>
      </c>
      <c r="J749" s="240">
        <v>275.87</v>
      </c>
      <c r="K749" s="240">
        <v>985.56</v>
      </c>
      <c r="L749" s="240">
        <v>-1261.4299999999998</v>
      </c>
      <c r="M749" s="240">
        <v>0</v>
      </c>
      <c r="N749" s="240">
        <v>602.54</v>
      </c>
      <c r="O749" s="240">
        <v>-602.54</v>
      </c>
      <c r="P749" s="240">
        <v>0</v>
      </c>
      <c r="Q749" s="240">
        <v>0</v>
      </c>
      <c r="R749" s="240">
        <v>0</v>
      </c>
      <c r="S749" s="245">
        <f>SUM(E749:Q749)</f>
        <v>9.0949470177292824E-13</v>
      </c>
      <c r="U749" s="273"/>
      <c r="W749" s="331"/>
      <c r="Z749"/>
    </row>
    <row r="750" spans="1:26" ht="13.9" customHeight="1" x14ac:dyDescent="0.2">
      <c r="A750" s="159">
        <v>615220</v>
      </c>
      <c r="B750" s="160" t="s">
        <v>123</v>
      </c>
      <c r="C750" s="148" t="s">
        <v>693</v>
      </c>
      <c r="D750" s="148" t="s">
        <v>179</v>
      </c>
      <c r="E750" s="240">
        <v>-10206.49</v>
      </c>
      <c r="F750" s="240">
        <v>43738.139999999992</v>
      </c>
      <c r="G750" s="240">
        <v>44429.17</v>
      </c>
      <c r="H750" s="240">
        <v>44902.04</v>
      </c>
      <c r="I750" s="240">
        <v>45954.30999999999</v>
      </c>
      <c r="J750" s="240">
        <v>43862.93</v>
      </c>
      <c r="K750" s="240">
        <v>45370.039999999994</v>
      </c>
      <c r="L750" s="240">
        <v>35705.070000000007</v>
      </c>
      <c r="M750" s="240">
        <v>43223.359999999993</v>
      </c>
      <c r="N750" s="240">
        <v>39575.420000000013</v>
      </c>
      <c r="O750" s="240">
        <v>47270.45</v>
      </c>
      <c r="P750" s="240">
        <v>48001.81</v>
      </c>
      <c r="Q750" s="240">
        <v>38950.499999999993</v>
      </c>
      <c r="R750" s="240">
        <v>0</v>
      </c>
      <c r="S750" s="245">
        <f t="shared" si="59"/>
        <v>510776.75</v>
      </c>
      <c r="U750" s="273"/>
      <c r="W750" s="331"/>
      <c r="Z750"/>
    </row>
    <row r="751" spans="1:26" x14ac:dyDescent="0.2">
      <c r="A751" s="159">
        <v>615220</v>
      </c>
      <c r="B751" s="160" t="s">
        <v>123</v>
      </c>
      <c r="C751" s="148" t="s">
        <v>319</v>
      </c>
      <c r="D751" s="148" t="s">
        <v>179</v>
      </c>
      <c r="E751" s="240">
        <v>0</v>
      </c>
      <c r="F751" s="240">
        <v>2114</v>
      </c>
      <c r="G751" s="240">
        <v>2114</v>
      </c>
      <c r="H751" s="240">
        <v>2114</v>
      </c>
      <c r="I751" s="240">
        <v>2114</v>
      </c>
      <c r="J751" s="240">
        <v>2114</v>
      </c>
      <c r="K751" s="240">
        <v>2114</v>
      </c>
      <c r="L751" s="240">
        <v>2114</v>
      </c>
      <c r="M751" s="240">
        <v>2114</v>
      </c>
      <c r="N751" s="240">
        <v>2114</v>
      </c>
      <c r="O751" s="240">
        <v>2114</v>
      </c>
      <c r="P751" s="240">
        <v>2114</v>
      </c>
      <c r="Q751" s="240">
        <v>0</v>
      </c>
      <c r="R751" s="240">
        <v>0</v>
      </c>
      <c r="S751" s="245">
        <f t="shared" si="59"/>
        <v>23254</v>
      </c>
      <c r="U751" s="273"/>
      <c r="Z751"/>
    </row>
    <row r="752" spans="1:26" x14ac:dyDescent="0.2">
      <c r="A752" s="270"/>
      <c r="B752" s="235"/>
      <c r="C752" s="148"/>
      <c r="D752" s="148"/>
      <c r="E752" s="240"/>
      <c r="F752" s="240"/>
      <c r="G752" s="240"/>
      <c r="H752" s="240"/>
      <c r="I752" s="240"/>
      <c r="J752" s="240"/>
      <c r="K752" s="240"/>
      <c r="L752" s="240"/>
      <c r="M752" s="240"/>
      <c r="N752" s="240"/>
      <c r="O752" s="240"/>
      <c r="P752" s="240"/>
      <c r="Q752" s="240"/>
      <c r="R752" s="240"/>
      <c r="S752" s="245">
        <f t="shared" si="59"/>
        <v>0</v>
      </c>
      <c r="Z752"/>
    </row>
    <row r="753" spans="1:26" x14ac:dyDescent="0.2">
      <c r="A753" s="159">
        <v>615220</v>
      </c>
      <c r="B753" s="160" t="s">
        <v>123</v>
      </c>
      <c r="C753" s="148" t="s">
        <v>237</v>
      </c>
      <c r="D753" s="148" t="s">
        <v>179</v>
      </c>
      <c r="E753" s="240">
        <v>0</v>
      </c>
      <c r="F753" s="240">
        <v>138.83000000000001</v>
      </c>
      <c r="G753" s="240">
        <v>138.83000000000001</v>
      </c>
      <c r="H753" s="240">
        <v>138.83000000000001</v>
      </c>
      <c r="I753" s="240">
        <v>138.83000000000001</v>
      </c>
      <c r="J753" s="240">
        <v>138.83000000000001</v>
      </c>
      <c r="K753" s="240">
        <v>138.83000000000001</v>
      </c>
      <c r="L753" s="240">
        <v>138.83000000000001</v>
      </c>
      <c r="M753" s="240">
        <v>138.83000000000001</v>
      </c>
      <c r="N753" s="240">
        <v>138.83000000000001</v>
      </c>
      <c r="O753" s="240">
        <v>138.83000000000001</v>
      </c>
      <c r="P753" s="240">
        <v>138.83000000000001</v>
      </c>
      <c r="Q753" s="240">
        <v>138.83000000000001</v>
      </c>
      <c r="R753" s="240">
        <v>0</v>
      </c>
      <c r="S753" s="245">
        <f t="shared" si="59"/>
        <v>1665.9599999999998</v>
      </c>
      <c r="U753" s="273"/>
      <c r="Z753"/>
    </row>
    <row r="754" spans="1:26" x14ac:dyDescent="0.2">
      <c r="A754" s="159">
        <v>615220</v>
      </c>
      <c r="B754" s="160" t="s">
        <v>123</v>
      </c>
      <c r="C754" s="148" t="s">
        <v>205</v>
      </c>
      <c r="D754" s="148" t="s">
        <v>179</v>
      </c>
      <c r="E754" s="240">
        <v>-80.760000000000005</v>
      </c>
      <c r="F754" s="240">
        <v>51.35</v>
      </c>
      <c r="G754" s="240">
        <v>51.35</v>
      </c>
      <c r="H754" s="240">
        <v>51.35</v>
      </c>
      <c r="I754" s="240">
        <v>51.35</v>
      </c>
      <c r="J754" s="240">
        <v>51.35</v>
      </c>
      <c r="K754" s="240">
        <v>51.35</v>
      </c>
      <c r="L754" s="240">
        <v>2.3500000000000014</v>
      </c>
      <c r="M754" s="240">
        <v>44.35</v>
      </c>
      <c r="N754" s="240">
        <v>44.35</v>
      </c>
      <c r="O754" s="240">
        <v>44.35</v>
      </c>
      <c r="P754" s="240">
        <v>44.35</v>
      </c>
      <c r="Q754" s="240">
        <v>44.28</v>
      </c>
      <c r="R754" s="240">
        <v>0</v>
      </c>
      <c r="S754" s="245">
        <f t="shared" si="59"/>
        <v>451.37</v>
      </c>
      <c r="U754" s="273"/>
      <c r="Z754"/>
    </row>
    <row r="755" spans="1:26" x14ac:dyDescent="0.2">
      <c r="A755" s="159">
        <v>615220</v>
      </c>
      <c r="B755" s="160" t="s">
        <v>123</v>
      </c>
      <c r="C755" s="148" t="s">
        <v>309</v>
      </c>
      <c r="D755" s="148" t="s">
        <v>179</v>
      </c>
      <c r="E755" s="240">
        <v>0</v>
      </c>
      <c r="F755" s="240">
        <v>35.47</v>
      </c>
      <c r="G755" s="240">
        <v>35.47</v>
      </c>
      <c r="H755" s="240">
        <v>35.47</v>
      </c>
      <c r="I755" s="240">
        <v>35.47</v>
      </c>
      <c r="J755" s="240">
        <v>35.47</v>
      </c>
      <c r="K755" s="240">
        <v>35.47</v>
      </c>
      <c r="L755" s="240">
        <v>35.47</v>
      </c>
      <c r="M755" s="240">
        <v>35.47</v>
      </c>
      <c r="N755" s="240">
        <v>35.47</v>
      </c>
      <c r="O755" s="240">
        <v>35.47</v>
      </c>
      <c r="P755" s="240">
        <v>35.47</v>
      </c>
      <c r="Q755" s="240">
        <v>35.47</v>
      </c>
      <c r="R755" s="240">
        <v>0</v>
      </c>
      <c r="S755" s="245">
        <f t="shared" si="59"/>
        <v>425.6400000000001</v>
      </c>
      <c r="U755" s="273"/>
      <c r="Z755"/>
    </row>
    <row r="756" spans="1:26" x14ac:dyDescent="0.2">
      <c r="A756" s="159"/>
      <c r="B756" s="160"/>
      <c r="C756" s="148"/>
      <c r="D756" s="148"/>
      <c r="E756" s="240"/>
      <c r="F756" s="240"/>
      <c r="G756" s="240"/>
      <c r="H756" s="240"/>
      <c r="I756" s="240"/>
      <c r="J756" s="240"/>
      <c r="K756" s="240"/>
      <c r="L756" s="240"/>
      <c r="M756" s="240"/>
      <c r="N756" s="240"/>
      <c r="O756" s="240"/>
      <c r="P756" s="240"/>
      <c r="Q756" s="240"/>
      <c r="R756" s="240"/>
      <c r="S756" s="245">
        <f t="shared" si="59"/>
        <v>0</v>
      </c>
      <c r="Z756"/>
    </row>
    <row r="757" spans="1:26" x14ac:dyDescent="0.2">
      <c r="A757" s="159">
        <v>615220</v>
      </c>
      <c r="B757" s="160" t="s">
        <v>123</v>
      </c>
      <c r="C757" s="148" t="s">
        <v>365</v>
      </c>
      <c r="D757" s="148"/>
      <c r="E757" s="240"/>
      <c r="F757" s="240">
        <v>282.62</v>
      </c>
      <c r="G757" s="240">
        <f>-282.62+1045.24</f>
        <v>762.62</v>
      </c>
      <c r="H757" s="240">
        <f>-1045.24+1175.86</f>
        <v>130.61999999999989</v>
      </c>
      <c r="I757" s="240">
        <f>-1175.86+2258.48</f>
        <v>1082.6200000000001</v>
      </c>
      <c r="J757" s="240">
        <f>-2258.48+3341.1</f>
        <v>1082.6199999999999</v>
      </c>
      <c r="K757" s="240">
        <f>-3341.1+5711.72</f>
        <v>2370.6200000000003</v>
      </c>
      <c r="L757" s="240">
        <f>-5711.72+6954.34</f>
        <v>1242.6199999999999</v>
      </c>
      <c r="M757" s="240">
        <f>-6954.34+5452.96</f>
        <v>-1501.38</v>
      </c>
      <c r="N757" s="240">
        <f>-5452.96+5638.58</f>
        <v>185.61999999999989</v>
      </c>
      <c r="O757" s="240">
        <f>-5638.58+6357.2</f>
        <v>718.61999999999989</v>
      </c>
      <c r="P757" s="240">
        <f>-6357.2+910.82</f>
        <v>-5446.38</v>
      </c>
      <c r="Q757" s="240"/>
      <c r="R757" s="240"/>
      <c r="S757" s="245">
        <f t="shared" si="59"/>
        <v>910.81999999999971</v>
      </c>
      <c r="Z757"/>
    </row>
    <row r="758" spans="1:26" x14ac:dyDescent="0.2">
      <c r="A758" s="159">
        <v>615220</v>
      </c>
      <c r="B758" s="160" t="s">
        <v>123</v>
      </c>
      <c r="C758" s="148" t="s">
        <v>366</v>
      </c>
      <c r="D758" s="148"/>
      <c r="E758" s="240"/>
      <c r="F758" s="240"/>
      <c r="G758" s="240"/>
      <c r="H758" s="240"/>
      <c r="I758" s="240"/>
      <c r="J758" s="240"/>
      <c r="K758" s="240"/>
      <c r="L758" s="240"/>
      <c r="M758" s="240"/>
      <c r="N758" s="240"/>
      <c r="O758" s="240"/>
      <c r="P758" s="240"/>
      <c r="Q758" s="240"/>
      <c r="R758" s="240"/>
      <c r="S758" s="245">
        <f t="shared" si="59"/>
        <v>0</v>
      </c>
      <c r="Z758"/>
    </row>
    <row r="759" spans="1:26" x14ac:dyDescent="0.2">
      <c r="A759" s="159">
        <v>615220</v>
      </c>
      <c r="B759" s="160" t="s">
        <v>123</v>
      </c>
      <c r="C759" s="148" t="s">
        <v>368</v>
      </c>
      <c r="D759" s="148"/>
      <c r="E759" s="240"/>
      <c r="F759" s="240">
        <v>125.9</v>
      </c>
      <c r="G759" s="240">
        <f>-125.9+251.8</f>
        <v>125.9</v>
      </c>
      <c r="H759" s="240">
        <f>-251.8+383.7</f>
        <v>131.89999999999998</v>
      </c>
      <c r="I759" s="240">
        <f>-383.7+509.6</f>
        <v>125.90000000000003</v>
      </c>
      <c r="J759" s="240">
        <f>-509.6+635.59</f>
        <v>125.99000000000001</v>
      </c>
      <c r="K759" s="240">
        <f>-635.59+916.77</f>
        <v>281.17999999999995</v>
      </c>
      <c r="L759" s="240">
        <f>-916.77+1041.95</f>
        <v>125.18000000000006</v>
      </c>
      <c r="M759" s="240">
        <f>-1041.95+1167.13</f>
        <v>125.18000000000006</v>
      </c>
      <c r="N759" s="240">
        <f>-1167.13+1196.31</f>
        <v>29.179999999999836</v>
      </c>
      <c r="O759" s="240">
        <f>-1196.31+1157.49</f>
        <v>-38.819999999999936</v>
      </c>
      <c r="P759" s="240">
        <f>-1157.49+1.83</f>
        <v>-1155.6600000000001</v>
      </c>
      <c r="Q759" s="240"/>
      <c r="R759" s="240"/>
      <c r="S759" s="245">
        <f t="shared" si="59"/>
        <v>1.8299999999999272</v>
      </c>
      <c r="Z759"/>
    </row>
    <row r="760" spans="1:26" x14ac:dyDescent="0.2">
      <c r="A760" s="159">
        <v>615220</v>
      </c>
      <c r="B760" s="160" t="s">
        <v>123</v>
      </c>
      <c r="C760" s="148" t="s">
        <v>381</v>
      </c>
      <c r="D760" s="148"/>
      <c r="E760" s="240">
        <v>0</v>
      </c>
      <c r="F760" s="240">
        <v>0</v>
      </c>
      <c r="G760" s="240">
        <v>0</v>
      </c>
      <c r="H760" s="240">
        <v>0</v>
      </c>
      <c r="I760" s="240">
        <v>0</v>
      </c>
      <c r="J760" s="240">
        <v>0</v>
      </c>
      <c r="K760" s="240">
        <v>0</v>
      </c>
      <c r="L760" s="240">
        <v>0</v>
      </c>
      <c r="M760" s="240">
        <v>0</v>
      </c>
      <c r="N760" s="240">
        <v>0</v>
      </c>
      <c r="O760" s="240">
        <v>0</v>
      </c>
      <c r="P760" s="240">
        <v>0</v>
      </c>
      <c r="Q760" s="240">
        <v>0</v>
      </c>
      <c r="R760" s="240">
        <v>0</v>
      </c>
      <c r="S760" s="245">
        <f t="shared" si="59"/>
        <v>0</v>
      </c>
      <c r="T760" s="331"/>
      <c r="Z760"/>
    </row>
    <row r="761" spans="1:26" s="185" customFormat="1" ht="24" customHeight="1" x14ac:dyDescent="0.2">
      <c r="A761" s="267"/>
      <c r="B761" s="268"/>
      <c r="C761" s="267" t="s">
        <v>66</v>
      </c>
      <c r="D761" s="267"/>
      <c r="E761" s="269">
        <f t="shared" ref="E761:Q761" si="60">SUM(E709:E760)</f>
        <v>-11642.77</v>
      </c>
      <c r="F761" s="269">
        <f t="shared" si="60"/>
        <v>52032.45</v>
      </c>
      <c r="G761" s="269">
        <f t="shared" si="60"/>
        <v>54338.850000000006</v>
      </c>
      <c r="H761" s="269">
        <f t="shared" si="60"/>
        <v>52630.090000000004</v>
      </c>
      <c r="I761" s="269">
        <f t="shared" si="60"/>
        <v>55284.993999999999</v>
      </c>
      <c r="J761" s="269">
        <f t="shared" si="60"/>
        <v>53469.48</v>
      </c>
      <c r="K761" s="269">
        <f t="shared" si="60"/>
        <v>59128.28</v>
      </c>
      <c r="L761" s="269">
        <f t="shared" si="60"/>
        <v>44515.320000000014</v>
      </c>
      <c r="M761" s="269">
        <f t="shared" si="60"/>
        <v>49956.04</v>
      </c>
      <c r="N761" s="269">
        <f t="shared" si="60"/>
        <v>47822.640000000014</v>
      </c>
      <c r="O761" s="269">
        <f t="shared" si="60"/>
        <v>55456.590000000004</v>
      </c>
      <c r="P761" s="269">
        <f t="shared" si="60"/>
        <v>49899.509999999995</v>
      </c>
      <c r="Q761" s="269">
        <f t="shared" si="60"/>
        <v>44769.069999999992</v>
      </c>
      <c r="R761" s="269">
        <f>SUM(R709:R760)</f>
        <v>0</v>
      </c>
      <c r="S761" s="269">
        <f>SUM(S709:S760)</f>
        <v>607660.54399999988</v>
      </c>
      <c r="T761" s="185" t="e">
        <f>IF(Ctrl($A760)+S760+S759+S757=S761,"Ok",Ctrl(A760))</f>
        <v>#VALUE!</v>
      </c>
      <c r="U761" s="212">
        <v>561185.22</v>
      </c>
      <c r="V761" s="334">
        <f>U761-S761</f>
        <v>-46475.323999999906</v>
      </c>
      <c r="W761" s="185" t="s">
        <v>853</v>
      </c>
      <c r="X761" s="569"/>
      <c r="Z761"/>
    </row>
    <row r="762" spans="1:26" ht="12.6" customHeight="1" x14ac:dyDescent="0.2">
      <c r="A762" s="159">
        <v>615230</v>
      </c>
      <c r="B762" s="160" t="s">
        <v>124</v>
      </c>
      <c r="C762" s="148" t="s">
        <v>76</v>
      </c>
      <c r="D762" s="148" t="s">
        <v>192</v>
      </c>
      <c r="E762" s="240">
        <v>0</v>
      </c>
      <c r="F762" s="240">
        <v>0</v>
      </c>
      <c r="G762" s="240">
        <v>0</v>
      </c>
      <c r="H762" s="240">
        <v>0</v>
      </c>
      <c r="I762" s="240">
        <v>0</v>
      </c>
      <c r="J762" s="240">
        <v>0</v>
      </c>
      <c r="K762" s="240">
        <v>0</v>
      </c>
      <c r="L762" s="240">
        <v>0</v>
      </c>
      <c r="M762" s="240">
        <v>0</v>
      </c>
      <c r="N762" s="240">
        <v>0</v>
      </c>
      <c r="O762" s="240">
        <v>0</v>
      </c>
      <c r="P762" s="240">
        <v>1860.6</v>
      </c>
      <c r="Q762" s="240">
        <v>322.88</v>
      </c>
      <c r="R762" s="240">
        <v>0</v>
      </c>
      <c r="S762" s="245">
        <f>SUM(E762:Q762)</f>
        <v>2183.48</v>
      </c>
      <c r="U762" s="273"/>
      <c r="Z762"/>
    </row>
    <row r="763" spans="1:26" x14ac:dyDescent="0.2">
      <c r="A763" s="159">
        <v>615230</v>
      </c>
      <c r="B763" s="160" t="s">
        <v>124</v>
      </c>
      <c r="C763" s="148" t="s">
        <v>76</v>
      </c>
      <c r="D763" s="148" t="s">
        <v>179</v>
      </c>
      <c r="E763" s="240">
        <v>0</v>
      </c>
      <c r="F763" s="240">
        <v>883.80000000000007</v>
      </c>
      <c r="G763" s="240">
        <v>789.1</v>
      </c>
      <c r="H763" s="240">
        <v>789.1</v>
      </c>
      <c r="I763" s="240">
        <v>851.22</v>
      </c>
      <c r="J763" s="240">
        <v>800.67000000000007</v>
      </c>
      <c r="K763" s="240">
        <v>800.67000000000007</v>
      </c>
      <c r="L763" s="240">
        <v>904.97000000000014</v>
      </c>
      <c r="M763" s="240">
        <v>800.67000000000007</v>
      </c>
      <c r="N763" s="240">
        <v>800.67000000000007</v>
      </c>
      <c r="O763" s="240">
        <v>876.6400000000001</v>
      </c>
      <c r="P763" s="240">
        <v>800.67000000000007</v>
      </c>
      <c r="Q763" s="240">
        <v>800.67000000000007</v>
      </c>
      <c r="R763" s="240">
        <v>0</v>
      </c>
      <c r="S763" s="245">
        <f>SUM(E763:Q763)</f>
        <v>9898.85</v>
      </c>
      <c r="Z763"/>
    </row>
    <row r="764" spans="1:26" x14ac:dyDescent="0.2">
      <c r="A764" s="270"/>
      <c r="B764" s="235"/>
      <c r="C764" s="148"/>
      <c r="D764" s="148"/>
      <c r="E764" s="240"/>
      <c r="F764" s="240"/>
      <c r="G764" s="240"/>
      <c r="H764" s="240"/>
      <c r="I764" s="240"/>
      <c r="J764" s="240"/>
      <c r="K764" s="240"/>
      <c r="L764" s="240"/>
      <c r="M764" s="240"/>
      <c r="N764" s="240"/>
      <c r="O764" s="240"/>
      <c r="P764" s="240"/>
      <c r="Q764" s="240"/>
      <c r="R764" s="240"/>
      <c r="S764" s="245"/>
      <c r="Z764"/>
    </row>
    <row r="765" spans="1:26" x14ac:dyDescent="0.2">
      <c r="A765" s="159">
        <v>615230</v>
      </c>
      <c r="B765" s="160" t="s">
        <v>124</v>
      </c>
      <c r="C765" s="148" t="s">
        <v>72</v>
      </c>
      <c r="D765" s="148" t="s">
        <v>192</v>
      </c>
      <c r="E765" s="240">
        <v>0</v>
      </c>
      <c r="F765" s="240">
        <v>0</v>
      </c>
      <c r="G765" s="240">
        <v>0</v>
      </c>
      <c r="H765" s="240">
        <v>0</v>
      </c>
      <c r="I765" s="240">
        <v>0</v>
      </c>
      <c r="J765" s="240">
        <v>0</v>
      </c>
      <c r="K765" s="240">
        <v>0</v>
      </c>
      <c r="L765" s="240">
        <v>0</v>
      </c>
      <c r="M765" s="240">
        <v>0</v>
      </c>
      <c r="N765" s="240">
        <v>0</v>
      </c>
      <c r="O765" s="240">
        <v>0</v>
      </c>
      <c r="P765" s="240">
        <v>0</v>
      </c>
      <c r="Q765" s="240">
        <v>0</v>
      </c>
      <c r="R765" s="240">
        <v>0</v>
      </c>
      <c r="S765" s="245">
        <f>SUM(E765:Q765)</f>
        <v>0</v>
      </c>
      <c r="Z765"/>
    </row>
    <row r="766" spans="1:26" x14ac:dyDescent="0.2">
      <c r="A766" s="159">
        <v>615230</v>
      </c>
      <c r="B766" s="160" t="s">
        <v>124</v>
      </c>
      <c r="C766" s="148" t="s">
        <v>72</v>
      </c>
      <c r="D766" s="148" t="s">
        <v>179</v>
      </c>
      <c r="E766" s="240">
        <v>0</v>
      </c>
      <c r="F766" s="240">
        <v>743.93000000000006</v>
      </c>
      <c r="G766" s="240">
        <v>536.54000000000008</v>
      </c>
      <c r="H766" s="240">
        <v>536.54000000000008</v>
      </c>
      <c r="I766" s="240">
        <v>631.85000000000014</v>
      </c>
      <c r="J766" s="240">
        <v>542.32000000000016</v>
      </c>
      <c r="K766" s="240">
        <v>542.32000000000005</v>
      </c>
      <c r="L766" s="240">
        <v>626.18999999999994</v>
      </c>
      <c r="M766" s="240">
        <v>525.63</v>
      </c>
      <c r="N766" s="240">
        <v>525.63</v>
      </c>
      <c r="O766" s="240">
        <v>622.77</v>
      </c>
      <c r="P766" s="240">
        <v>525.63</v>
      </c>
      <c r="Q766" s="240">
        <v>525.63</v>
      </c>
      <c r="R766" s="240">
        <v>0</v>
      </c>
      <c r="S766" s="245">
        <f>SUM(E766:Q766)</f>
        <v>6884.9800000000014</v>
      </c>
      <c r="Z766"/>
    </row>
    <row r="767" spans="1:26" x14ac:dyDescent="0.2">
      <c r="A767" s="270"/>
      <c r="B767" s="235"/>
      <c r="C767" s="148"/>
      <c r="D767" s="148"/>
      <c r="E767" s="240"/>
      <c r="F767" s="240"/>
      <c r="G767" s="240"/>
      <c r="H767" s="240"/>
      <c r="I767" s="240"/>
      <c r="J767" s="240"/>
      <c r="K767" s="240"/>
      <c r="L767" s="240"/>
      <c r="M767" s="240"/>
      <c r="N767" s="240"/>
      <c r="O767" s="240"/>
      <c r="P767" s="240"/>
      <c r="Q767" s="240"/>
      <c r="R767" s="240"/>
      <c r="S767" s="245"/>
      <c r="Z767"/>
    </row>
    <row r="768" spans="1:26" x14ac:dyDescent="0.2">
      <c r="A768" s="159">
        <v>615230</v>
      </c>
      <c r="B768" s="160" t="s">
        <v>124</v>
      </c>
      <c r="C768" s="148" t="s">
        <v>74</v>
      </c>
      <c r="D768" s="148" t="s">
        <v>192</v>
      </c>
      <c r="E768" s="240">
        <v>0</v>
      </c>
      <c r="F768" s="240">
        <v>0</v>
      </c>
      <c r="G768" s="240">
        <v>0</v>
      </c>
      <c r="H768" s="240">
        <v>0</v>
      </c>
      <c r="I768" s="240">
        <v>0</v>
      </c>
      <c r="J768" s="240">
        <v>0</v>
      </c>
      <c r="K768" s="240">
        <v>0</v>
      </c>
      <c r="L768" s="240">
        <v>0</v>
      </c>
      <c r="M768" s="240">
        <v>0</v>
      </c>
      <c r="N768" s="240">
        <v>0</v>
      </c>
      <c r="O768" s="240">
        <v>0</v>
      </c>
      <c r="P768" s="240">
        <v>95</v>
      </c>
      <c r="Q768" s="240">
        <v>0</v>
      </c>
      <c r="R768" s="240">
        <v>0</v>
      </c>
      <c r="S768" s="245">
        <f>SUM(E768:Q768)</f>
        <v>95</v>
      </c>
      <c r="Z768"/>
    </row>
    <row r="769" spans="1:26" x14ac:dyDescent="0.2">
      <c r="A769" s="159">
        <v>615230</v>
      </c>
      <c r="B769" s="160" t="s">
        <v>124</v>
      </c>
      <c r="C769" s="148" t="s">
        <v>74</v>
      </c>
      <c r="D769" s="148" t="s">
        <v>179</v>
      </c>
      <c r="E769" s="240">
        <v>1.1899999999999977</v>
      </c>
      <c r="F769" s="240">
        <v>450.15</v>
      </c>
      <c r="G769" s="240">
        <v>450.14</v>
      </c>
      <c r="H769" s="240">
        <v>459.09</v>
      </c>
      <c r="I769" s="240">
        <v>459.07</v>
      </c>
      <c r="J769" s="240">
        <v>465.67999999999995</v>
      </c>
      <c r="K769" s="240">
        <v>441.86999999999995</v>
      </c>
      <c r="L769" s="240">
        <v>441.86999999999995</v>
      </c>
      <c r="M769" s="240">
        <v>441.86999999999995</v>
      </c>
      <c r="N769" s="240">
        <v>483.74999999999994</v>
      </c>
      <c r="O769" s="240">
        <v>405.54999999999995</v>
      </c>
      <c r="P769" s="240">
        <v>432.74999999999994</v>
      </c>
      <c r="Q769" s="240">
        <v>405.54999999999995</v>
      </c>
      <c r="R769" s="240">
        <v>0</v>
      </c>
      <c r="S769" s="245">
        <f>SUM(E769:Q769)</f>
        <v>5338.53</v>
      </c>
      <c r="Z769"/>
    </row>
    <row r="770" spans="1:26" x14ac:dyDescent="0.2">
      <c r="A770" s="270"/>
      <c r="B770" s="235"/>
      <c r="C770" s="148"/>
      <c r="D770" s="148"/>
      <c r="E770" s="240"/>
      <c r="F770" s="240"/>
      <c r="G770" s="240"/>
      <c r="H770" s="240"/>
      <c r="I770" s="240"/>
      <c r="J770" s="240"/>
      <c r="K770" s="240"/>
      <c r="L770" s="240"/>
      <c r="M770" s="240"/>
      <c r="N770" s="240"/>
      <c r="O770" s="240"/>
      <c r="P770" s="240"/>
      <c r="Q770" s="240"/>
      <c r="R770" s="240"/>
      <c r="S770" s="245">
        <f>SUM(E770:Q770)</f>
        <v>0</v>
      </c>
      <c r="Z770"/>
    </row>
    <row r="771" spans="1:26" x14ac:dyDescent="0.2">
      <c r="A771" s="159">
        <v>615230</v>
      </c>
      <c r="B771" s="160" t="s">
        <v>124</v>
      </c>
      <c r="C771" s="148" t="s">
        <v>68</v>
      </c>
      <c r="D771" s="148" t="s">
        <v>192</v>
      </c>
      <c r="E771" s="240">
        <v>0</v>
      </c>
      <c r="F771" s="240">
        <v>0</v>
      </c>
      <c r="G771" s="240">
        <v>0</v>
      </c>
      <c r="H771" s="240">
        <v>0</v>
      </c>
      <c r="I771" s="240">
        <v>0</v>
      </c>
      <c r="J771" s="240">
        <v>0</v>
      </c>
      <c r="K771" s="240">
        <v>0</v>
      </c>
      <c r="L771" s="240">
        <v>0</v>
      </c>
      <c r="M771" s="240">
        <v>0</v>
      </c>
      <c r="N771" s="240">
        <v>0</v>
      </c>
      <c r="O771" s="240">
        <v>0</v>
      </c>
      <c r="P771" s="240">
        <v>0</v>
      </c>
      <c r="Q771" s="240">
        <v>0</v>
      </c>
      <c r="R771" s="240">
        <v>0</v>
      </c>
      <c r="S771" s="245">
        <f>SUM(E771:Q771)</f>
        <v>0</v>
      </c>
      <c r="Z771"/>
    </row>
    <row r="772" spans="1:26" x14ac:dyDescent="0.2">
      <c r="A772" s="159">
        <v>615230</v>
      </c>
      <c r="B772" s="160" t="s">
        <v>124</v>
      </c>
      <c r="C772" s="148" t="s">
        <v>68</v>
      </c>
      <c r="D772" s="148" t="s">
        <v>179</v>
      </c>
      <c r="E772" s="240">
        <v>0</v>
      </c>
      <c r="F772" s="240">
        <v>666.87</v>
      </c>
      <c r="G772" s="240">
        <v>638.16999999999996</v>
      </c>
      <c r="H772" s="240">
        <v>638.13</v>
      </c>
      <c r="I772" s="240">
        <v>638.13</v>
      </c>
      <c r="J772" s="240">
        <v>638.11</v>
      </c>
      <c r="K772" s="240">
        <v>638.11</v>
      </c>
      <c r="L772" s="240">
        <v>696.32</v>
      </c>
      <c r="M772" s="240">
        <v>720.52</v>
      </c>
      <c r="N772" s="240">
        <v>638.12</v>
      </c>
      <c r="O772" s="240">
        <v>638.12</v>
      </c>
      <c r="P772" s="240">
        <v>713.9</v>
      </c>
      <c r="Q772" s="240">
        <v>638.12</v>
      </c>
      <c r="R772" s="240">
        <v>0</v>
      </c>
      <c r="S772" s="245">
        <f>SUM(E772:Q772)</f>
        <v>7902.62</v>
      </c>
      <c r="Z772"/>
    </row>
    <row r="773" spans="1:26" x14ac:dyDescent="0.2">
      <c r="A773" s="270"/>
      <c r="B773" s="235"/>
      <c r="C773" s="148"/>
      <c r="D773" s="148"/>
      <c r="E773" s="240"/>
      <c r="F773" s="240"/>
      <c r="G773" s="240"/>
      <c r="H773" s="240"/>
      <c r="I773" s="240"/>
      <c r="J773" s="240"/>
      <c r="K773" s="240"/>
      <c r="L773" s="240"/>
      <c r="M773" s="240"/>
      <c r="N773" s="240"/>
      <c r="O773" s="240"/>
      <c r="P773" s="240"/>
      <c r="Q773" s="240"/>
      <c r="R773" s="240"/>
      <c r="S773" s="245"/>
      <c r="Z773"/>
    </row>
    <row r="774" spans="1:26" x14ac:dyDescent="0.2">
      <c r="A774" s="159">
        <v>615230</v>
      </c>
      <c r="B774" s="160" t="s">
        <v>124</v>
      </c>
      <c r="C774" s="148" t="s">
        <v>63</v>
      </c>
      <c r="D774" s="148" t="s">
        <v>192</v>
      </c>
      <c r="E774" s="240">
        <v>0</v>
      </c>
      <c r="F774" s="240">
        <v>0</v>
      </c>
      <c r="G774" s="240">
        <v>0</v>
      </c>
      <c r="H774" s="240">
        <v>0</v>
      </c>
      <c r="I774" s="240">
        <v>0</v>
      </c>
      <c r="J774" s="240">
        <v>0</v>
      </c>
      <c r="K774" s="240">
        <v>0</v>
      </c>
      <c r="L774" s="240">
        <v>0</v>
      </c>
      <c r="M774" s="240">
        <v>0</v>
      </c>
      <c r="N774" s="240">
        <v>0</v>
      </c>
      <c r="O774" s="240">
        <v>0</v>
      </c>
      <c r="P774" s="240">
        <v>0</v>
      </c>
      <c r="Q774" s="240">
        <v>0</v>
      </c>
      <c r="R774" s="240">
        <v>0</v>
      </c>
      <c r="S774" s="245">
        <f>SUM(E774:Q774)</f>
        <v>0</v>
      </c>
      <c r="Z774"/>
    </row>
    <row r="775" spans="1:26" x14ac:dyDescent="0.2">
      <c r="A775" s="159">
        <v>615230</v>
      </c>
      <c r="B775" s="160" t="s">
        <v>124</v>
      </c>
      <c r="C775" s="148" t="s">
        <v>63</v>
      </c>
      <c r="D775" s="148" t="s">
        <v>179</v>
      </c>
      <c r="E775" s="240">
        <v>-40</v>
      </c>
      <c r="F775" s="240">
        <v>267.01</v>
      </c>
      <c r="G775" s="240">
        <v>299.5</v>
      </c>
      <c r="H775" s="240">
        <v>267.01</v>
      </c>
      <c r="I775" s="240">
        <v>266.99</v>
      </c>
      <c r="J775" s="240">
        <v>287.23</v>
      </c>
      <c r="K775" s="240">
        <v>271.01</v>
      </c>
      <c r="L775" s="240">
        <v>254.38</v>
      </c>
      <c r="M775" s="240">
        <v>272.58999999999997</v>
      </c>
      <c r="N775" s="240">
        <v>254.38</v>
      </c>
      <c r="O775" s="240">
        <v>254.38</v>
      </c>
      <c r="P775" s="240">
        <v>275.05</v>
      </c>
      <c r="Q775" s="240">
        <v>269.38</v>
      </c>
      <c r="R775" s="240">
        <v>0</v>
      </c>
      <c r="S775" s="245">
        <f>SUM(E775:Q775)</f>
        <v>3198.9100000000008</v>
      </c>
      <c r="Z775"/>
    </row>
    <row r="776" spans="1:26" x14ac:dyDescent="0.2">
      <c r="A776" s="270"/>
      <c r="B776" s="235"/>
      <c r="C776" s="148"/>
      <c r="D776" s="148"/>
      <c r="E776" s="240"/>
      <c r="F776" s="240"/>
      <c r="G776" s="240"/>
      <c r="H776" s="240"/>
      <c r="I776" s="240"/>
      <c r="J776" s="240"/>
      <c r="K776" s="240"/>
      <c r="L776" s="240"/>
      <c r="M776" s="240"/>
      <c r="N776" s="240"/>
      <c r="O776" s="240"/>
      <c r="P776" s="240"/>
      <c r="Q776" s="240"/>
      <c r="R776" s="240"/>
      <c r="S776" s="245"/>
      <c r="Z776"/>
    </row>
    <row r="777" spans="1:26" x14ac:dyDescent="0.2">
      <c r="A777" s="159">
        <v>615230</v>
      </c>
      <c r="B777" s="160" t="s">
        <v>124</v>
      </c>
      <c r="C777" s="148" t="s">
        <v>81</v>
      </c>
      <c r="D777" s="148" t="s">
        <v>192</v>
      </c>
      <c r="E777" s="240">
        <v>0</v>
      </c>
      <c r="F777" s="240">
        <v>0</v>
      </c>
      <c r="G777" s="240">
        <v>0</v>
      </c>
      <c r="H777" s="240">
        <v>0</v>
      </c>
      <c r="I777" s="240">
        <v>0</v>
      </c>
      <c r="J777" s="240">
        <v>0</v>
      </c>
      <c r="K777" s="240">
        <v>0</v>
      </c>
      <c r="L777" s="240">
        <v>0</v>
      </c>
      <c r="M777" s="240">
        <v>0</v>
      </c>
      <c r="N777" s="240">
        <v>0</v>
      </c>
      <c r="O777" s="240">
        <v>0</v>
      </c>
      <c r="P777" s="240">
        <v>0</v>
      </c>
      <c r="Q777" s="240">
        <v>0</v>
      </c>
      <c r="R777" s="240">
        <v>0</v>
      </c>
      <c r="S777" s="245">
        <f>SUM(E777:Q777)</f>
        <v>0</v>
      </c>
      <c r="Z777"/>
    </row>
    <row r="778" spans="1:26" x14ac:dyDescent="0.2">
      <c r="A778" s="159">
        <v>615230</v>
      </c>
      <c r="B778" s="160" t="s">
        <v>124</v>
      </c>
      <c r="C778" s="148" t="s">
        <v>81</v>
      </c>
      <c r="D778" s="148" t="s">
        <v>179</v>
      </c>
      <c r="E778" s="240">
        <v>0</v>
      </c>
      <c r="F778" s="240">
        <v>544.82000000000005</v>
      </c>
      <c r="G778" s="240">
        <v>630.95000000000005</v>
      </c>
      <c r="H778" s="240">
        <v>544.82000000000005</v>
      </c>
      <c r="I778" s="240">
        <v>1219.82</v>
      </c>
      <c r="J778" s="240">
        <v>833.0100000000001</v>
      </c>
      <c r="K778" s="240">
        <v>748.66000000000008</v>
      </c>
      <c r="L778" s="240">
        <v>748.66000000000008</v>
      </c>
      <c r="M778" s="240">
        <v>828.29000000000008</v>
      </c>
      <c r="N778" s="240">
        <v>748.66000000000008</v>
      </c>
      <c r="O778" s="240">
        <v>748.66000000000008</v>
      </c>
      <c r="P778" s="240">
        <v>833.1400000000001</v>
      </c>
      <c r="Q778" s="240">
        <v>748.66000000000008</v>
      </c>
      <c r="R778" s="240">
        <v>0</v>
      </c>
      <c r="S778" s="245">
        <f>SUM(E778:Q778)</f>
        <v>9178.15</v>
      </c>
      <c r="Z778"/>
    </row>
    <row r="779" spans="1:26" x14ac:dyDescent="0.2">
      <c r="A779" s="159"/>
      <c r="B779" s="160"/>
      <c r="C779" s="148"/>
      <c r="D779" s="148"/>
      <c r="E779" s="240"/>
      <c r="F779" s="240"/>
      <c r="G779" s="240"/>
      <c r="H779" s="240"/>
      <c r="I779" s="240"/>
      <c r="J779" s="240"/>
      <c r="K779" s="240"/>
      <c r="L779" s="240"/>
      <c r="M779" s="240"/>
      <c r="N779" s="240"/>
      <c r="O779" s="240"/>
      <c r="P779" s="240"/>
      <c r="Q779" s="240"/>
      <c r="R779" s="240"/>
      <c r="S779" s="245"/>
      <c r="Z779"/>
    </row>
    <row r="780" spans="1:26" x14ac:dyDescent="0.2">
      <c r="A780" s="159">
        <v>615230</v>
      </c>
      <c r="B780" s="160" t="s">
        <v>124</v>
      </c>
      <c r="C780" s="148" t="s">
        <v>155</v>
      </c>
      <c r="D780" s="148" t="s">
        <v>192</v>
      </c>
      <c r="E780" s="240">
        <v>0</v>
      </c>
      <c r="F780" s="240">
        <v>0</v>
      </c>
      <c r="G780" s="240">
        <v>0</v>
      </c>
      <c r="H780" s="240">
        <v>0</v>
      </c>
      <c r="I780" s="240">
        <v>0</v>
      </c>
      <c r="J780" s="240">
        <v>0</v>
      </c>
      <c r="K780" s="240">
        <v>0</v>
      </c>
      <c r="L780" s="240">
        <v>0</v>
      </c>
      <c r="M780" s="240">
        <v>0</v>
      </c>
      <c r="N780" s="240">
        <v>0</v>
      </c>
      <c r="O780" s="240">
        <v>0</v>
      </c>
      <c r="P780" s="240">
        <v>0</v>
      </c>
      <c r="Q780" s="240">
        <v>0</v>
      </c>
      <c r="R780" s="240">
        <v>0</v>
      </c>
      <c r="S780" s="245">
        <f>SUM(E780:Q780)</f>
        <v>0</v>
      </c>
      <c r="Z780"/>
    </row>
    <row r="781" spans="1:26" x14ac:dyDescent="0.2">
      <c r="A781" s="159">
        <v>615230</v>
      </c>
      <c r="B781" s="160" t="s">
        <v>124</v>
      </c>
      <c r="C781" s="148" t="s">
        <v>155</v>
      </c>
      <c r="D781" s="148" t="s">
        <v>179</v>
      </c>
      <c r="E781" s="240">
        <v>-30</v>
      </c>
      <c r="F781" s="240">
        <v>671.14</v>
      </c>
      <c r="G781" s="240">
        <v>739.26</v>
      </c>
      <c r="H781" s="240">
        <v>672.09</v>
      </c>
      <c r="I781" s="240">
        <v>672.04000000000008</v>
      </c>
      <c r="J781" s="240">
        <v>785.67000000000007</v>
      </c>
      <c r="K781" s="240">
        <v>682.53000000000009</v>
      </c>
      <c r="L781" s="240">
        <v>682.53000000000009</v>
      </c>
      <c r="M781" s="240">
        <v>763.75000000000011</v>
      </c>
      <c r="N781" s="240">
        <v>682.53000000000009</v>
      </c>
      <c r="O781" s="240">
        <v>682.53000000000009</v>
      </c>
      <c r="P781" s="240">
        <v>771.86</v>
      </c>
      <c r="Q781" s="240">
        <v>697.12000000000012</v>
      </c>
      <c r="R781" s="240">
        <v>0</v>
      </c>
      <c r="S781" s="245">
        <f>SUM(E781:Q781)</f>
        <v>8473.0499999999993</v>
      </c>
      <c r="Z781"/>
    </row>
    <row r="782" spans="1:26" x14ac:dyDescent="0.2">
      <c r="A782" s="270"/>
      <c r="B782" s="235"/>
      <c r="C782" s="148"/>
      <c r="D782" s="148"/>
      <c r="E782" s="240"/>
      <c r="F782" s="240"/>
      <c r="G782" s="240"/>
      <c r="H782" s="240"/>
      <c r="I782" s="240"/>
      <c r="J782" s="240"/>
      <c r="K782" s="240"/>
      <c r="L782" s="240"/>
      <c r="M782" s="240"/>
      <c r="N782" s="240"/>
      <c r="O782" s="240"/>
      <c r="P782" s="240"/>
      <c r="Q782" s="240"/>
      <c r="R782" s="240"/>
      <c r="S782" s="245"/>
      <c r="Z782"/>
    </row>
    <row r="783" spans="1:26" x14ac:dyDescent="0.2">
      <c r="A783" s="159">
        <v>615230</v>
      </c>
      <c r="B783" s="160" t="s">
        <v>124</v>
      </c>
      <c r="C783" s="148" t="s">
        <v>79</v>
      </c>
      <c r="D783" s="148" t="s">
        <v>192</v>
      </c>
      <c r="E783" s="240">
        <v>0</v>
      </c>
      <c r="F783" s="240">
        <v>0</v>
      </c>
      <c r="G783" s="240">
        <v>0</v>
      </c>
      <c r="H783" s="240">
        <v>0</v>
      </c>
      <c r="I783" s="240">
        <v>0</v>
      </c>
      <c r="J783" s="240">
        <v>220</v>
      </c>
      <c r="K783" s="240">
        <v>0</v>
      </c>
      <c r="L783" s="240">
        <v>0</v>
      </c>
      <c r="M783" s="240">
        <v>0</v>
      </c>
      <c r="N783" s="240">
        <v>0</v>
      </c>
      <c r="O783" s="240">
        <v>0</v>
      </c>
      <c r="P783" s="240">
        <v>1380</v>
      </c>
      <c r="Q783" s="240">
        <v>0</v>
      </c>
      <c r="R783" s="240">
        <v>0</v>
      </c>
      <c r="S783" s="245">
        <f>SUM(E783:Q783)</f>
        <v>1600</v>
      </c>
      <c r="Z783"/>
    </row>
    <row r="784" spans="1:26" x14ac:dyDescent="0.2">
      <c r="A784" s="159">
        <v>615230</v>
      </c>
      <c r="B784" s="160" t="s">
        <v>124</v>
      </c>
      <c r="C784" s="148" t="s">
        <v>79</v>
      </c>
      <c r="D784" s="148" t="s">
        <v>179</v>
      </c>
      <c r="E784" s="240">
        <v>-480.15999999999997</v>
      </c>
      <c r="F784" s="240">
        <v>3035.45</v>
      </c>
      <c r="G784" s="240">
        <v>3100.4399999999996</v>
      </c>
      <c r="H784" s="240">
        <v>1882.8399999999997</v>
      </c>
      <c r="I784" s="240">
        <v>2171.0899999999997</v>
      </c>
      <c r="J784" s="240">
        <v>1981.3</v>
      </c>
      <c r="K784" s="240">
        <v>2508.7299999999996</v>
      </c>
      <c r="L784" s="240">
        <v>872.36000000000013</v>
      </c>
      <c r="M784" s="240">
        <v>1617.51</v>
      </c>
      <c r="N784" s="240">
        <v>1812.95</v>
      </c>
      <c r="O784" s="240">
        <v>1755.3100000000002</v>
      </c>
      <c r="P784" s="240">
        <v>2659.9500000000007</v>
      </c>
      <c r="Q784" s="240">
        <v>1597.89</v>
      </c>
      <c r="R784" s="240">
        <v>0</v>
      </c>
      <c r="S784" s="245">
        <f>SUM(E784:Q784)</f>
        <v>24515.66</v>
      </c>
      <c r="U784" s="273"/>
      <c r="Z784"/>
    </row>
    <row r="785" spans="1:26" x14ac:dyDescent="0.2">
      <c r="A785" s="270"/>
      <c r="B785" s="235"/>
      <c r="C785" s="148"/>
      <c r="D785" s="148"/>
      <c r="E785" s="240"/>
      <c r="F785" s="240"/>
      <c r="G785" s="240"/>
      <c r="H785" s="240"/>
      <c r="I785" s="240"/>
      <c r="J785" s="240"/>
      <c r="K785" s="240"/>
      <c r="L785" s="240"/>
      <c r="M785" s="240"/>
      <c r="N785" s="240"/>
      <c r="O785" s="240"/>
      <c r="P785" s="240"/>
      <c r="Q785" s="240"/>
      <c r="R785" s="240"/>
      <c r="S785" s="242"/>
      <c r="Z785"/>
    </row>
    <row r="786" spans="1:26" x14ac:dyDescent="0.2">
      <c r="A786" s="159">
        <v>615230</v>
      </c>
      <c r="B786" s="160" t="s">
        <v>124</v>
      </c>
      <c r="C786" s="148" t="s">
        <v>309</v>
      </c>
      <c r="D786" s="148" t="s">
        <v>192</v>
      </c>
      <c r="E786" s="240">
        <v>0</v>
      </c>
      <c r="F786" s="240">
        <v>0</v>
      </c>
      <c r="G786" s="240">
        <v>0</v>
      </c>
      <c r="H786" s="240">
        <v>0</v>
      </c>
      <c r="I786" s="240">
        <v>0</v>
      </c>
      <c r="J786" s="240">
        <v>0</v>
      </c>
      <c r="K786" s="240">
        <v>0</v>
      </c>
      <c r="L786" s="240">
        <v>0</v>
      </c>
      <c r="M786" s="240">
        <v>0</v>
      </c>
      <c r="N786" s="240">
        <v>0</v>
      </c>
      <c r="O786" s="240">
        <v>0</v>
      </c>
      <c r="P786" s="240">
        <v>0</v>
      </c>
      <c r="Q786" s="240">
        <v>0</v>
      </c>
      <c r="R786" s="240">
        <v>0</v>
      </c>
      <c r="S786" s="242">
        <f>SUM(E786:Q786)</f>
        <v>0</v>
      </c>
      <c r="Z786"/>
    </row>
    <row r="787" spans="1:26" x14ac:dyDescent="0.2">
      <c r="A787" s="159">
        <v>615230</v>
      </c>
      <c r="B787" s="160" t="s">
        <v>124</v>
      </c>
      <c r="C787" s="148" t="s">
        <v>309</v>
      </c>
      <c r="D787" s="148" t="s">
        <v>179</v>
      </c>
      <c r="E787" s="240">
        <v>24.28</v>
      </c>
      <c r="F787" s="240">
        <v>14.59</v>
      </c>
      <c r="G787" s="240">
        <v>14.59</v>
      </c>
      <c r="H787" s="240">
        <v>14.59</v>
      </c>
      <c r="I787" s="240">
        <v>71.290000000000006</v>
      </c>
      <c r="J787" s="240">
        <v>33.39</v>
      </c>
      <c r="K787" s="240">
        <v>33.39</v>
      </c>
      <c r="L787" s="240">
        <v>33.39</v>
      </c>
      <c r="M787" s="240">
        <v>61.86</v>
      </c>
      <c r="N787" s="240">
        <v>14.51</v>
      </c>
      <c r="O787" s="240">
        <v>14.58</v>
      </c>
      <c r="P787" s="240">
        <v>14.59</v>
      </c>
      <c r="Q787" s="240">
        <v>14.59</v>
      </c>
      <c r="R787" s="240">
        <v>0</v>
      </c>
      <c r="S787" s="242">
        <f>SUM(E787:Q787)</f>
        <v>359.63999999999993</v>
      </c>
      <c r="T787" s="331">
        <f>359.64-S787</f>
        <v>0</v>
      </c>
      <c r="U787" s="273"/>
      <c r="Z787"/>
    </row>
    <row r="788" spans="1:26" x14ac:dyDescent="0.2">
      <c r="A788" s="159"/>
      <c r="B788" s="160"/>
      <c r="C788" s="148"/>
      <c r="D788" s="148"/>
      <c r="E788" s="240"/>
      <c r="F788" s="240"/>
      <c r="G788" s="240"/>
      <c r="H788" s="240"/>
      <c r="I788" s="240"/>
      <c r="J788" s="240"/>
      <c r="K788" s="240"/>
      <c r="L788" s="240"/>
      <c r="M788" s="240"/>
      <c r="N788" s="240"/>
      <c r="O788" s="240"/>
      <c r="P788" s="240"/>
      <c r="Q788" s="240"/>
      <c r="R788" s="240"/>
      <c r="S788" s="242">
        <f>SUM(E788:Q788)</f>
        <v>0</v>
      </c>
      <c r="Z788"/>
    </row>
    <row r="789" spans="1:26" x14ac:dyDescent="0.2">
      <c r="A789" s="159">
        <v>615230</v>
      </c>
      <c r="B789" s="160" t="s">
        <v>124</v>
      </c>
      <c r="C789" s="148" t="s">
        <v>368</v>
      </c>
      <c r="D789" s="148"/>
      <c r="E789" s="240"/>
      <c r="F789" s="240">
        <v>-284.5</v>
      </c>
      <c r="G789" s="240">
        <f>284.5-196.65</f>
        <v>87.85</v>
      </c>
      <c r="H789" s="240">
        <f>196.65+303.31</f>
        <v>499.96000000000004</v>
      </c>
      <c r="I789" s="240">
        <f>-303.31+480.23</f>
        <v>176.92000000000002</v>
      </c>
      <c r="J789" s="240">
        <f>-480.23-166.88</f>
        <v>-647.11</v>
      </c>
      <c r="K789" s="240">
        <f>166.88-415.04</f>
        <v>-248.16000000000003</v>
      </c>
      <c r="L789" s="240">
        <f>415.04-557.92</f>
        <v>-142.87999999999994</v>
      </c>
      <c r="M789" s="240">
        <f>557.92-845.55</f>
        <v>-287.63</v>
      </c>
      <c r="N789" s="240">
        <f>845.55-1219.3</f>
        <v>-373.75</v>
      </c>
      <c r="O789" s="240">
        <f>1219.3+208.82</f>
        <v>1428.12</v>
      </c>
      <c r="P789" s="240">
        <f>-208.82-0.31</f>
        <v>-209.13</v>
      </c>
      <c r="Q789" s="240"/>
      <c r="R789" s="240"/>
      <c r="S789" s="242">
        <f>SUM(E789:Q789)</f>
        <v>-0.30999999999983174</v>
      </c>
      <c r="Z789"/>
    </row>
    <row r="790" spans="1:26" x14ac:dyDescent="0.2">
      <c r="A790" s="159">
        <v>615230</v>
      </c>
      <c r="B790" s="160" t="s">
        <v>124</v>
      </c>
      <c r="C790" s="148" t="s">
        <v>381</v>
      </c>
      <c r="D790" s="148"/>
      <c r="E790" s="240">
        <v>0</v>
      </c>
      <c r="F790" s="240">
        <v>0</v>
      </c>
      <c r="G790" s="240">
        <v>0</v>
      </c>
      <c r="H790" s="240">
        <v>0</v>
      </c>
      <c r="I790" s="240">
        <v>0</v>
      </c>
      <c r="J790" s="240">
        <v>0</v>
      </c>
      <c r="K790" s="240">
        <v>0</v>
      </c>
      <c r="L790" s="240">
        <v>0</v>
      </c>
      <c r="M790" s="240">
        <v>0</v>
      </c>
      <c r="N790" s="240">
        <v>0</v>
      </c>
      <c r="O790" s="240">
        <v>0</v>
      </c>
      <c r="P790" s="240">
        <v>0</v>
      </c>
      <c r="Q790" s="240">
        <v>0</v>
      </c>
      <c r="R790" s="240">
        <v>0</v>
      </c>
      <c r="S790" s="242">
        <f>SUM(E790:Q790)</f>
        <v>0</v>
      </c>
      <c r="T790" s="331"/>
      <c r="Z790"/>
    </row>
    <row r="791" spans="1:26" s="185" customFormat="1" ht="24" customHeight="1" x14ac:dyDescent="0.2">
      <c r="A791" s="267"/>
      <c r="B791" s="268"/>
      <c r="C791" s="267" t="s">
        <v>66</v>
      </c>
      <c r="D791" s="267"/>
      <c r="E791" s="269">
        <f>SUM(E762:E790)</f>
        <v>-524.69000000000005</v>
      </c>
      <c r="F791" s="269">
        <f t="shared" ref="F791:S791" si="61">SUM(F762:F790)</f>
        <v>6993.26</v>
      </c>
      <c r="G791" s="269">
        <f t="shared" si="61"/>
        <v>7286.5400000000009</v>
      </c>
      <c r="H791" s="269">
        <f t="shared" si="61"/>
        <v>6304.17</v>
      </c>
      <c r="I791" s="269">
        <f t="shared" si="61"/>
        <v>7158.4199999999992</v>
      </c>
      <c r="J791" s="269">
        <f t="shared" si="61"/>
        <v>5940.2700000000013</v>
      </c>
      <c r="K791" s="269">
        <f t="shared" si="61"/>
        <v>6419.13</v>
      </c>
      <c r="L791" s="269">
        <f t="shared" si="61"/>
        <v>5117.7900000000009</v>
      </c>
      <c r="M791" s="269">
        <f t="shared" si="61"/>
        <v>5745.06</v>
      </c>
      <c r="N791" s="269">
        <f t="shared" si="61"/>
        <v>5587.45</v>
      </c>
      <c r="O791" s="269">
        <f t="shared" si="61"/>
        <v>7426.66</v>
      </c>
      <c r="P791" s="269">
        <f t="shared" si="61"/>
        <v>10154.010000000002</v>
      </c>
      <c r="Q791" s="269">
        <f t="shared" si="61"/>
        <v>6020.4900000000007</v>
      </c>
      <c r="R791" s="269">
        <f>SUM(R762:R790)</f>
        <v>0</v>
      </c>
      <c r="S791" s="269">
        <f t="shared" si="61"/>
        <v>79628.560000000012</v>
      </c>
      <c r="T791" s="185" t="e">
        <f>IF(Ctrl($A790)+S790+S789=S791,"Ok",Ctrl(A790))</f>
        <v>#VALUE!</v>
      </c>
      <c r="U791" s="212">
        <v>73623.070000000007</v>
      </c>
      <c r="V791" s="334">
        <f>U791-S791</f>
        <v>-6005.4900000000052</v>
      </c>
      <c r="W791" s="185" t="s">
        <v>853</v>
      </c>
      <c r="X791" s="569"/>
      <c r="Z791"/>
    </row>
    <row r="792" spans="1:26" x14ac:dyDescent="0.2">
      <c r="A792" s="159">
        <v>628500</v>
      </c>
      <c r="B792" s="160" t="s">
        <v>125</v>
      </c>
      <c r="C792" s="148" t="s">
        <v>78</v>
      </c>
      <c r="D792" s="148">
        <v>999999</v>
      </c>
      <c r="E792" s="240">
        <v>0</v>
      </c>
      <c r="F792" s="240">
        <v>14289.42</v>
      </c>
      <c r="G792" s="240">
        <v>14289.42</v>
      </c>
      <c r="H792" s="240">
        <v>14289.42</v>
      </c>
      <c r="I792" s="240">
        <v>14289.42</v>
      </c>
      <c r="J792" s="240">
        <v>14289.42</v>
      </c>
      <c r="K792" s="240">
        <v>14289.42</v>
      </c>
      <c r="L792" s="240">
        <v>14289.42</v>
      </c>
      <c r="M792" s="240">
        <v>14289.42</v>
      </c>
      <c r="N792" s="240">
        <v>14289.42</v>
      </c>
      <c r="O792" s="240">
        <v>14289.42</v>
      </c>
      <c r="P792" s="240">
        <v>14502.62</v>
      </c>
      <c r="Q792" s="240">
        <v>0</v>
      </c>
      <c r="R792" s="240">
        <v>0</v>
      </c>
      <c r="S792" s="245">
        <f t="shared" ref="S792:S809" si="62">SUM(E792:Q792)</f>
        <v>157396.82</v>
      </c>
      <c r="U792" s="185"/>
      <c r="Z792"/>
    </row>
    <row r="793" spans="1:26" x14ac:dyDescent="0.2">
      <c r="A793" s="270"/>
      <c r="B793" s="235"/>
      <c r="C793" s="148"/>
      <c r="D793" s="148"/>
      <c r="E793" s="240"/>
      <c r="F793" s="240"/>
      <c r="G793" s="240"/>
      <c r="H793" s="240"/>
      <c r="I793" s="240"/>
      <c r="J793" s="240"/>
      <c r="K793" s="240"/>
      <c r="L793" s="240"/>
      <c r="M793" s="240"/>
      <c r="N793" s="240"/>
      <c r="O793" s="240"/>
      <c r="P793" s="240"/>
      <c r="Q793" s="240"/>
      <c r="R793" s="240"/>
      <c r="S793" s="245">
        <f t="shared" si="62"/>
        <v>0</v>
      </c>
      <c r="Z793"/>
    </row>
    <row r="794" spans="1:26" x14ac:dyDescent="0.2">
      <c r="A794" s="159">
        <v>628500</v>
      </c>
      <c r="B794" s="160" t="s">
        <v>125</v>
      </c>
      <c r="C794" s="148" t="s">
        <v>71</v>
      </c>
      <c r="D794" s="148">
        <v>999999</v>
      </c>
      <c r="E794" s="240">
        <v>403.0099999999984</v>
      </c>
      <c r="F794" s="240">
        <v>16412.93</v>
      </c>
      <c r="G794" s="240">
        <v>14472.570000000002</v>
      </c>
      <c r="H794" s="240">
        <v>15991.52</v>
      </c>
      <c r="I794" s="240">
        <v>16197.380000000001</v>
      </c>
      <c r="J794" s="240">
        <v>17355.27</v>
      </c>
      <c r="K794" s="240">
        <v>15836.320000000002</v>
      </c>
      <c r="L794" s="240">
        <v>16703.7</v>
      </c>
      <c r="M794" s="240">
        <v>16497.84</v>
      </c>
      <c r="N794" s="240">
        <v>15500.730000000001</v>
      </c>
      <c r="O794" s="240">
        <v>16181.86</v>
      </c>
      <c r="P794" s="240">
        <v>16342.640000000001</v>
      </c>
      <c r="Q794" s="240">
        <v>93.04</v>
      </c>
      <c r="R794" s="240">
        <v>0</v>
      </c>
      <c r="S794" s="245">
        <f t="shared" si="62"/>
        <v>177988.81000000003</v>
      </c>
      <c r="Z794"/>
    </row>
    <row r="795" spans="1:26" x14ac:dyDescent="0.2">
      <c r="A795" s="159">
        <v>628500</v>
      </c>
      <c r="B795" s="160" t="s">
        <v>125</v>
      </c>
      <c r="C795" s="148" t="s">
        <v>463</v>
      </c>
      <c r="D795" s="148">
        <v>999999</v>
      </c>
      <c r="E795" s="240">
        <v>0</v>
      </c>
      <c r="F795" s="240">
        <v>0</v>
      </c>
      <c r="G795" s="240">
        <v>0</v>
      </c>
      <c r="H795" s="240">
        <v>0</v>
      </c>
      <c r="I795" s="240">
        <v>0</v>
      </c>
      <c r="J795" s="240">
        <v>0</v>
      </c>
      <c r="K795" s="240">
        <v>0</v>
      </c>
      <c r="L795" s="240">
        <v>0</v>
      </c>
      <c r="M795" s="240">
        <v>0</v>
      </c>
      <c r="N795" s="240">
        <v>0</v>
      </c>
      <c r="O795" s="240">
        <v>0</v>
      </c>
      <c r="P795" s="240">
        <v>0</v>
      </c>
      <c r="Q795" s="240">
        <v>0</v>
      </c>
      <c r="R795" s="240">
        <v>0</v>
      </c>
      <c r="S795" s="245">
        <f t="shared" si="62"/>
        <v>0</v>
      </c>
      <c r="Z795"/>
    </row>
    <row r="796" spans="1:26" x14ac:dyDescent="0.2">
      <c r="A796" s="270"/>
      <c r="B796" s="235"/>
      <c r="C796" s="148"/>
      <c r="D796" s="148"/>
      <c r="E796" s="240"/>
      <c r="F796" s="240"/>
      <c r="G796" s="240"/>
      <c r="H796" s="240"/>
      <c r="I796" s="240"/>
      <c r="J796" s="240"/>
      <c r="K796" s="240"/>
      <c r="L796" s="240"/>
      <c r="M796" s="240"/>
      <c r="N796" s="240"/>
      <c r="O796" s="240"/>
      <c r="P796" s="240"/>
      <c r="Q796" s="240"/>
      <c r="R796" s="240"/>
      <c r="S796" s="245">
        <f t="shared" si="62"/>
        <v>0</v>
      </c>
      <c r="Z796"/>
    </row>
    <row r="797" spans="1:26" x14ac:dyDescent="0.2">
      <c r="A797" s="159">
        <v>628500</v>
      </c>
      <c r="B797" s="160" t="s">
        <v>125</v>
      </c>
      <c r="C797" s="148" t="s">
        <v>73</v>
      </c>
      <c r="D797" s="148">
        <v>999999</v>
      </c>
      <c r="E797" s="240">
        <v>380.09000000000015</v>
      </c>
      <c r="F797" s="240">
        <v>11033.48</v>
      </c>
      <c r="G797" s="240">
        <v>9857.9600000000009</v>
      </c>
      <c r="H797" s="240">
        <v>10816.800000000001</v>
      </c>
      <c r="I797" s="240">
        <v>11021.07</v>
      </c>
      <c r="J797" s="240">
        <v>11775.640000000001</v>
      </c>
      <c r="K797" s="240">
        <v>10816.800000000001</v>
      </c>
      <c r="L797" s="240">
        <v>16412.21</v>
      </c>
      <c r="M797" s="240">
        <v>16496.489999999998</v>
      </c>
      <c r="N797" s="240">
        <v>15483.85</v>
      </c>
      <c r="O797" s="240">
        <v>16040.83</v>
      </c>
      <c r="P797" s="240">
        <v>16496.489999999998</v>
      </c>
      <c r="Q797" s="240">
        <v>91.69</v>
      </c>
      <c r="R797" s="240">
        <v>0</v>
      </c>
      <c r="S797" s="245">
        <f t="shared" si="62"/>
        <v>146723.4</v>
      </c>
      <c r="Z797"/>
    </row>
    <row r="798" spans="1:26" x14ac:dyDescent="0.2">
      <c r="A798" s="270"/>
      <c r="B798" s="235"/>
      <c r="C798" s="148"/>
      <c r="D798" s="148"/>
      <c r="E798" s="240"/>
      <c r="F798" s="240"/>
      <c r="G798" s="240"/>
      <c r="H798" s="240"/>
      <c r="I798" s="240"/>
      <c r="J798" s="240"/>
      <c r="K798" s="240"/>
      <c r="L798" s="240"/>
      <c r="M798" s="240"/>
      <c r="N798" s="240"/>
      <c r="O798" s="240"/>
      <c r="P798" s="240"/>
      <c r="Q798" s="240"/>
      <c r="R798" s="240"/>
      <c r="S798" s="245">
        <f t="shared" si="62"/>
        <v>0</v>
      </c>
      <c r="Z798"/>
    </row>
    <row r="799" spans="1:26" x14ac:dyDescent="0.2">
      <c r="A799" s="159">
        <v>628500</v>
      </c>
      <c r="B799" s="160" t="s">
        <v>125</v>
      </c>
      <c r="C799" s="148" t="s">
        <v>67</v>
      </c>
      <c r="D799" s="148">
        <v>999999</v>
      </c>
      <c r="E799" s="240">
        <v>0</v>
      </c>
      <c r="F799" s="240">
        <v>13832.81</v>
      </c>
      <c r="G799" s="240">
        <v>13832.81</v>
      </c>
      <c r="H799" s="240">
        <v>13832.81</v>
      </c>
      <c r="I799" s="240">
        <v>13832.81</v>
      </c>
      <c r="J799" s="240">
        <v>13832.81</v>
      </c>
      <c r="K799" s="240">
        <v>13832.81</v>
      </c>
      <c r="L799" s="240">
        <v>13832.81</v>
      </c>
      <c r="M799" s="240">
        <v>13832.81</v>
      </c>
      <c r="N799" s="240">
        <v>13832.81</v>
      </c>
      <c r="O799" s="240">
        <v>13832.81</v>
      </c>
      <c r="P799" s="240">
        <v>13925.5</v>
      </c>
      <c r="Q799" s="240">
        <v>14521.699999999999</v>
      </c>
      <c r="R799" s="240">
        <v>0</v>
      </c>
      <c r="S799" s="245">
        <f t="shared" si="62"/>
        <v>166775.30000000002</v>
      </c>
      <c r="Z799"/>
    </row>
    <row r="800" spans="1:26" x14ac:dyDescent="0.2">
      <c r="A800" s="270"/>
      <c r="B800" s="235"/>
      <c r="C800" s="148"/>
      <c r="D800" s="148"/>
      <c r="E800" s="240"/>
      <c r="F800" s="240"/>
      <c r="G800" s="240"/>
      <c r="H800" s="240"/>
      <c r="I800" s="240"/>
      <c r="J800" s="240"/>
      <c r="K800" s="240"/>
      <c r="L800" s="240"/>
      <c r="M800" s="240"/>
      <c r="N800" s="240"/>
      <c r="O800" s="240"/>
      <c r="P800" s="240"/>
      <c r="Q800" s="240"/>
      <c r="R800" s="240"/>
      <c r="S800" s="245">
        <f t="shared" si="62"/>
        <v>0</v>
      </c>
      <c r="Z800"/>
    </row>
    <row r="801" spans="1:41" x14ac:dyDescent="0.2">
      <c r="A801" s="159">
        <v>628500</v>
      </c>
      <c r="B801" s="160" t="s">
        <v>125</v>
      </c>
      <c r="C801" s="148" t="s">
        <v>62</v>
      </c>
      <c r="D801" s="148">
        <v>999999</v>
      </c>
      <c r="E801" s="240">
        <v>0</v>
      </c>
      <c r="F801" s="240">
        <v>0</v>
      </c>
      <c r="G801" s="240">
        <v>0</v>
      </c>
      <c r="H801" s="240">
        <v>0</v>
      </c>
      <c r="I801" s="240">
        <v>0</v>
      </c>
      <c r="J801" s="240">
        <v>0</v>
      </c>
      <c r="K801" s="240">
        <v>0</v>
      </c>
      <c r="L801" s="240">
        <v>0</v>
      </c>
      <c r="M801" s="240">
        <v>0</v>
      </c>
      <c r="N801" s="240">
        <v>0</v>
      </c>
      <c r="O801" s="240">
        <v>0</v>
      </c>
      <c r="P801" s="240">
        <v>0</v>
      </c>
      <c r="Q801" s="240">
        <v>0</v>
      </c>
      <c r="R801" s="240">
        <v>0</v>
      </c>
      <c r="S801" s="245">
        <f t="shared" si="62"/>
        <v>0</v>
      </c>
      <c r="Z801"/>
    </row>
    <row r="802" spans="1:41" x14ac:dyDescent="0.2">
      <c r="A802" s="270"/>
      <c r="B802" s="235"/>
      <c r="C802" s="148"/>
      <c r="D802" s="148"/>
      <c r="E802" s="240"/>
      <c r="F802" s="240"/>
      <c r="G802" s="240"/>
      <c r="H802" s="240"/>
      <c r="I802" s="240"/>
      <c r="J802" s="240"/>
      <c r="K802" s="240"/>
      <c r="L802" s="240"/>
      <c r="M802" s="240"/>
      <c r="N802" s="240"/>
      <c r="O802" s="240"/>
      <c r="P802" s="240"/>
      <c r="Q802" s="240"/>
      <c r="R802" s="240"/>
      <c r="S802" s="245">
        <f t="shared" si="62"/>
        <v>0</v>
      </c>
      <c r="Z802"/>
    </row>
    <row r="803" spans="1:41" x14ac:dyDescent="0.2">
      <c r="A803" s="159">
        <v>628500</v>
      </c>
      <c r="B803" s="160" t="s">
        <v>125</v>
      </c>
      <c r="C803" s="148" t="s">
        <v>80</v>
      </c>
      <c r="D803" s="148">
        <v>999999</v>
      </c>
      <c r="E803" s="240">
        <v>-110</v>
      </c>
      <c r="F803" s="240">
        <v>3345.73</v>
      </c>
      <c r="G803" s="240">
        <v>3239.72</v>
      </c>
      <c r="H803" s="240">
        <v>3239.72</v>
      </c>
      <c r="I803" s="240">
        <v>3239.72</v>
      </c>
      <c r="J803" s="240">
        <v>3239.72</v>
      </c>
      <c r="K803" s="240">
        <v>3239.72</v>
      </c>
      <c r="L803" s="240">
        <v>3239.72</v>
      </c>
      <c r="M803" s="240">
        <v>3239.72</v>
      </c>
      <c r="N803" s="240">
        <v>3239.72</v>
      </c>
      <c r="O803" s="240">
        <v>3239.72</v>
      </c>
      <c r="P803" s="240">
        <v>3590.5699999999997</v>
      </c>
      <c r="Q803" s="240">
        <v>3696.58</v>
      </c>
      <c r="R803" s="240">
        <v>0</v>
      </c>
      <c r="S803" s="245">
        <f t="shared" si="62"/>
        <v>39680.36</v>
      </c>
      <c r="U803" s="273"/>
      <c r="Z803"/>
    </row>
    <row r="804" spans="1:41" x14ac:dyDescent="0.2">
      <c r="A804" s="270"/>
      <c r="B804" s="235"/>
      <c r="C804" s="148"/>
      <c r="D804" s="148"/>
      <c r="E804" s="240"/>
      <c r="F804" s="240"/>
      <c r="G804" s="240"/>
      <c r="H804" s="240"/>
      <c r="I804" s="240"/>
      <c r="J804" s="240"/>
      <c r="K804" s="240"/>
      <c r="L804" s="240"/>
      <c r="M804" s="240"/>
      <c r="N804" s="240"/>
      <c r="O804" s="240"/>
      <c r="P804" s="240"/>
      <c r="Q804" s="240"/>
      <c r="R804" s="240"/>
      <c r="S804" s="245">
        <f t="shared" si="62"/>
        <v>0</v>
      </c>
      <c r="U804" s="186"/>
      <c r="X804" s="186"/>
      <c r="Y804" s="186"/>
      <c r="Z804"/>
      <c r="AA804" s="186"/>
      <c r="AB804" s="186"/>
      <c r="AC804" s="186"/>
      <c r="AD804" s="186"/>
      <c r="AE804" s="186"/>
      <c r="AF804" s="186"/>
      <c r="AG804" s="186"/>
      <c r="AH804" s="186"/>
      <c r="AI804" s="186"/>
      <c r="AJ804" s="186"/>
      <c r="AK804" s="186"/>
      <c r="AL804" s="186"/>
      <c r="AM804" s="186"/>
      <c r="AN804" s="186"/>
      <c r="AO804" s="186"/>
    </row>
    <row r="805" spans="1:41" x14ac:dyDescent="0.2">
      <c r="A805" s="159">
        <v>628500</v>
      </c>
      <c r="B805" s="160" t="s">
        <v>125</v>
      </c>
      <c r="C805" s="148" t="s">
        <v>156</v>
      </c>
      <c r="D805" s="148">
        <v>999999</v>
      </c>
      <c r="E805" s="240">
        <v>0</v>
      </c>
      <c r="F805" s="240">
        <v>16891.170000000002</v>
      </c>
      <c r="G805" s="240">
        <v>16891.170000000002</v>
      </c>
      <c r="H805" s="240">
        <v>16891.170000000002</v>
      </c>
      <c r="I805" s="240">
        <v>16891.170000000002</v>
      </c>
      <c r="J805" s="240">
        <v>16891.170000000002</v>
      </c>
      <c r="K805" s="240">
        <v>16891.170000000002</v>
      </c>
      <c r="L805" s="240">
        <v>16891.170000000002</v>
      </c>
      <c r="M805" s="240">
        <v>16891.170000000002</v>
      </c>
      <c r="N805" s="240">
        <v>16891.170000000002</v>
      </c>
      <c r="O805" s="240">
        <v>16891.170000000002</v>
      </c>
      <c r="P805" s="240">
        <v>16891.170000000002</v>
      </c>
      <c r="Q805" s="240">
        <v>94.31</v>
      </c>
      <c r="R805" s="240">
        <v>0</v>
      </c>
      <c r="S805" s="245">
        <f t="shared" si="62"/>
        <v>185897.18000000005</v>
      </c>
      <c r="Z805"/>
    </row>
    <row r="806" spans="1:41" x14ac:dyDescent="0.2">
      <c r="A806" s="270"/>
      <c r="B806" s="235"/>
      <c r="C806" s="148"/>
      <c r="D806" s="148"/>
      <c r="E806" s="240"/>
      <c r="F806" s="240"/>
      <c r="G806" s="240"/>
      <c r="H806" s="240"/>
      <c r="I806" s="240"/>
      <c r="J806" s="240"/>
      <c r="K806" s="240"/>
      <c r="L806" s="240"/>
      <c r="M806" s="240"/>
      <c r="N806" s="240"/>
      <c r="O806" s="240"/>
      <c r="P806" s="240"/>
      <c r="Q806" s="240"/>
      <c r="R806" s="240"/>
      <c r="S806" s="245">
        <f t="shared" si="62"/>
        <v>0</v>
      </c>
      <c r="Z806"/>
    </row>
    <row r="807" spans="1:41" x14ac:dyDescent="0.2">
      <c r="A807" s="159">
        <v>628500</v>
      </c>
      <c r="B807" s="160" t="s">
        <v>125</v>
      </c>
      <c r="C807" s="148" t="s">
        <v>79</v>
      </c>
      <c r="D807" s="148">
        <v>999999</v>
      </c>
      <c r="E807" s="240">
        <v>-0.15999999999996817</v>
      </c>
      <c r="F807" s="240">
        <v>3477.9900000000002</v>
      </c>
      <c r="G807" s="240">
        <v>2603.87</v>
      </c>
      <c r="H807" s="240">
        <v>2603.87</v>
      </c>
      <c r="I807" s="240">
        <v>2603.87</v>
      </c>
      <c r="J807" s="240">
        <v>2603.87</v>
      </c>
      <c r="K807" s="240">
        <v>2603.87</v>
      </c>
      <c r="L807" s="240">
        <v>2603.56</v>
      </c>
      <c r="M807" s="240">
        <v>2603.87</v>
      </c>
      <c r="N807" s="240">
        <v>2603.87</v>
      </c>
      <c r="O807" s="240">
        <v>2603.87</v>
      </c>
      <c r="P807" s="240">
        <v>2604.0299999999997</v>
      </c>
      <c r="Q807" s="240">
        <v>207.49</v>
      </c>
      <c r="R807" s="240">
        <v>0</v>
      </c>
      <c r="S807" s="245">
        <f t="shared" si="62"/>
        <v>29723.869999999995</v>
      </c>
      <c r="Z807"/>
    </row>
    <row r="808" spans="1:41" x14ac:dyDescent="0.2">
      <c r="A808" s="159"/>
      <c r="B808" s="160"/>
      <c r="C808" s="148"/>
      <c r="D808" s="148"/>
      <c r="E808" s="240"/>
      <c r="F808" s="240"/>
      <c r="G808" s="240"/>
      <c r="H808" s="240"/>
      <c r="I808" s="240"/>
      <c r="J808" s="240"/>
      <c r="K808" s="240"/>
      <c r="L808" s="240"/>
      <c r="M808" s="240"/>
      <c r="N808" s="240"/>
      <c r="O808" s="240"/>
      <c r="P808" s="240"/>
      <c r="Q808" s="240"/>
      <c r="R808" s="240"/>
      <c r="S808" s="245">
        <f t="shared" si="62"/>
        <v>0</v>
      </c>
      <c r="Z808"/>
    </row>
    <row r="809" spans="1:41" x14ac:dyDescent="0.2">
      <c r="A809" s="159">
        <v>628500</v>
      </c>
      <c r="B809" s="160" t="s">
        <v>125</v>
      </c>
      <c r="C809" s="148" t="s">
        <v>172</v>
      </c>
      <c r="D809" s="148">
        <v>999999</v>
      </c>
      <c r="E809" s="240">
        <v>-281.12</v>
      </c>
      <c r="F809" s="240">
        <v>20.91</v>
      </c>
      <c r="G809" s="240">
        <v>20.91</v>
      </c>
      <c r="H809" s="240">
        <v>20.91</v>
      </c>
      <c r="I809" s="240">
        <v>20.91</v>
      </c>
      <c r="J809" s="240">
        <v>20.91</v>
      </c>
      <c r="K809" s="240">
        <v>20.91</v>
      </c>
      <c r="L809" s="240">
        <v>20.91</v>
      </c>
      <c r="M809" s="240">
        <v>20.91</v>
      </c>
      <c r="N809" s="240">
        <v>20.91</v>
      </c>
      <c r="O809" s="240">
        <v>20.91</v>
      </c>
      <c r="P809" s="240">
        <v>20.91</v>
      </c>
      <c r="Q809" s="240">
        <v>20.91</v>
      </c>
      <c r="R809" s="240">
        <v>0</v>
      </c>
      <c r="S809" s="245">
        <f t="shared" si="62"/>
        <v>-30.200000000000014</v>
      </c>
      <c r="Z809"/>
    </row>
    <row r="810" spans="1:41" x14ac:dyDescent="0.2">
      <c r="A810" s="159"/>
      <c r="B810" s="160"/>
      <c r="C810" s="148"/>
      <c r="D810" s="148"/>
      <c r="E810" s="240"/>
      <c r="F810" s="240"/>
      <c r="G810" s="240"/>
      <c r="H810" s="240"/>
      <c r="I810" s="240"/>
      <c r="J810" s="240"/>
      <c r="K810" s="240"/>
      <c r="L810" s="240"/>
      <c r="M810" s="240"/>
      <c r="N810" s="240"/>
      <c r="O810" s="240"/>
      <c r="P810" s="240"/>
      <c r="Q810" s="240"/>
      <c r="R810" s="240"/>
      <c r="S810" s="245"/>
      <c r="Z810"/>
    </row>
    <row r="811" spans="1:41" x14ac:dyDescent="0.2">
      <c r="A811" s="159">
        <v>628500</v>
      </c>
      <c r="B811" s="160" t="s">
        <v>125</v>
      </c>
      <c r="C811" s="148" t="s">
        <v>367</v>
      </c>
      <c r="D811" s="148"/>
      <c r="E811" s="240"/>
      <c r="F811" s="240">
        <v>-771.07</v>
      </c>
      <c r="G811" s="240">
        <f>771.07-1335</f>
        <v>-563.92999999999995</v>
      </c>
      <c r="H811" s="240">
        <f>1335+1842.39</f>
        <v>3177.3900000000003</v>
      </c>
      <c r="I811" s="240">
        <f>-1842.39+2321.09</f>
        <v>478.70000000000005</v>
      </c>
      <c r="J811" s="240">
        <f>-2321.09+3596.61</f>
        <v>1275.52</v>
      </c>
      <c r="K811" s="240">
        <f>-3596.61+3857.79</f>
        <v>261.17999999999984</v>
      </c>
      <c r="L811" s="240">
        <f>-3857.79+11633.32</f>
        <v>7775.53</v>
      </c>
      <c r="M811" s="240">
        <f>-11633.32+8236.01</f>
        <v>-3397.3099999999995</v>
      </c>
      <c r="N811" s="240">
        <f>-8236.01+11195.34</f>
        <v>2959.33</v>
      </c>
      <c r="O811" s="240">
        <f>-11195.34+12161.73</f>
        <v>966.38999999999942</v>
      </c>
      <c r="P811" s="240">
        <f>-12161.73+1.21</f>
        <v>-12160.52</v>
      </c>
      <c r="Q811" s="240"/>
      <c r="R811" s="240"/>
      <c r="S811" s="245">
        <f>SUM(E811:Q811)</f>
        <v>1.2099999999991269</v>
      </c>
      <c r="Z811"/>
    </row>
    <row r="812" spans="1:41" x14ac:dyDescent="0.2">
      <c r="A812" s="159"/>
      <c r="B812" s="160"/>
      <c r="C812" s="148"/>
      <c r="D812" s="148"/>
      <c r="E812" s="240"/>
      <c r="F812" s="240"/>
      <c r="G812" s="240"/>
      <c r="H812" s="240"/>
      <c r="I812" s="240"/>
      <c r="J812" s="240"/>
      <c r="K812" s="240"/>
      <c r="L812" s="240"/>
      <c r="M812" s="240"/>
      <c r="N812" s="240"/>
      <c r="O812" s="240"/>
      <c r="P812" s="240"/>
      <c r="Q812" s="240"/>
      <c r="R812" s="240"/>
      <c r="S812" s="245">
        <f>SUM(E812:Q812)</f>
        <v>0</v>
      </c>
      <c r="Z812"/>
    </row>
    <row r="813" spans="1:41" s="185" customFormat="1" ht="24" customHeight="1" x14ac:dyDescent="0.2">
      <c r="A813" s="267"/>
      <c r="B813" s="268"/>
      <c r="C813" s="267" t="s">
        <v>66</v>
      </c>
      <c r="D813" s="267"/>
      <c r="E813" s="269">
        <f>SUM(E792:E812)</f>
        <v>391.81999999999857</v>
      </c>
      <c r="F813" s="269">
        <f t="shared" ref="F813:S813" si="63">SUM(F792:F812)</f>
        <v>78533.37000000001</v>
      </c>
      <c r="G813" s="269">
        <f t="shared" si="63"/>
        <v>74644.500000000015</v>
      </c>
      <c r="H813" s="269">
        <f t="shared" si="63"/>
        <v>80863.61</v>
      </c>
      <c r="I813" s="269">
        <f t="shared" si="63"/>
        <v>78575.05</v>
      </c>
      <c r="J813" s="269">
        <f t="shared" si="63"/>
        <v>81284.33</v>
      </c>
      <c r="K813" s="269">
        <f t="shared" si="63"/>
        <v>77792.2</v>
      </c>
      <c r="L813" s="269">
        <f t="shared" si="63"/>
        <v>91769.03</v>
      </c>
      <c r="M813" s="269">
        <f t="shared" si="63"/>
        <v>80474.92</v>
      </c>
      <c r="N813" s="269">
        <f t="shared" si="63"/>
        <v>84821.81</v>
      </c>
      <c r="O813" s="269">
        <f t="shared" si="63"/>
        <v>84066.98</v>
      </c>
      <c r="P813" s="269">
        <f t="shared" si="63"/>
        <v>72213.41</v>
      </c>
      <c r="Q813" s="269">
        <f t="shared" si="63"/>
        <v>18725.72</v>
      </c>
      <c r="R813" s="269">
        <f>SUM(R792:R812)</f>
        <v>0</v>
      </c>
      <c r="S813" s="269">
        <f t="shared" si="63"/>
        <v>904156.75000000012</v>
      </c>
      <c r="T813" s="185" t="e">
        <f>IF(Ctrl($A811)+S812+S811=S813,"Ok",Ctrl(A811))</f>
        <v>#VALUE!</v>
      </c>
      <c r="U813" s="212">
        <v>883666.84</v>
      </c>
      <c r="V813" s="334">
        <f>U813-S813</f>
        <v>-20489.910000000149</v>
      </c>
      <c r="W813" s="185" t="s">
        <v>853</v>
      </c>
      <c r="Z813"/>
    </row>
    <row r="1000" spans="1:26" x14ac:dyDescent="0.2">
      <c r="A1000" s="3"/>
      <c r="B1000" s="1"/>
      <c r="D1000" s="236"/>
      <c r="P1000" s="237"/>
      <c r="R1000" s="238"/>
      <c r="S1000"/>
      <c r="T1000" s="184"/>
      <c r="U1000" s="332"/>
      <c r="V1000"/>
      <c r="W1000" s="184"/>
      <c r="Y1000" s="15"/>
      <c r="Z1000" s="184"/>
    </row>
  </sheetData>
  <customSheetViews>
    <customSheetView guid="{4BA9EA0D-01E7-49D1-8245-80B9A9A68B6F}" showPageBreaks="1" zeroValues="0" printArea="1">
      <pane xSplit="4" ySplit="3" topLeftCell="I775" activePane="bottomRight" state="frozen"/>
      <selection pane="bottomRight" activeCell="V807" sqref="V807"/>
      <pageMargins left="0.70866141732283472" right="0.70866141732283472" top="0.74803149606299213" bottom="0.74803149606299213" header="0.31496062992125984" footer="0.31496062992125984"/>
      <pageSetup paperSize="9" scale="55" fitToHeight="0" orientation="landscape" r:id="rId1"/>
      <headerFooter alignWithMargins="0">
        <oddFooter>&amp;R&amp;8Le &amp;D
&amp;T</oddFooter>
      </headerFooter>
    </customSheetView>
    <customSheetView guid="{B5B04B19-0628-445C-9CF3-7F5D4D937774}" zeroValues="0">
      <pane xSplit="4" ySplit="3" topLeftCell="I775" activePane="bottomRight" state="frozen"/>
      <selection pane="bottomRight" activeCell="V807" sqref="V807"/>
      <pageMargins left="0.70866141732283472" right="0.70866141732283472" top="0.74803149606299213" bottom="0.74803149606299213" header="0.31496062992125984" footer="0.31496062992125984"/>
      <pageSetup paperSize="9" scale="55" fitToHeight="0" orientation="landscape" r:id="rId2"/>
      <headerFooter alignWithMargins="0">
        <oddFooter>&amp;R&amp;8Le &amp;D
&amp;T</oddFooter>
      </headerFooter>
    </customSheetView>
    <customSheetView guid="{DD021BEF-F767-4779-A362-C9308ACC088B}" zeroValues="0" printArea="1">
      <pane xSplit="4" ySplit="3" topLeftCell="G667" activePane="bottomRight" state="frozen"/>
      <selection pane="bottomRight" activeCell="P683" sqref="P683"/>
      <pageMargins left="0.70866141732283472" right="0.70866141732283472" top="0.74803149606299213" bottom="0.74803149606299213" header="0.31496062992125984" footer="0.31496062992125984"/>
      <pageSetup paperSize="9" scale="55" fitToHeight="0" orientation="landscape" r:id="rId3"/>
      <headerFooter alignWithMargins="0">
        <oddFooter>&amp;R&amp;8Le &amp;D
&amp;T</oddFooter>
      </headerFooter>
    </customSheetView>
    <customSheetView guid="{C8B269C8-9E4E-47CC-A407-F213FAC1E35C}" zeroValues="0">
      <pane xSplit="4" ySplit="3" topLeftCell="I775" activePane="bottomRight" state="frozen"/>
      <selection pane="bottomRight" activeCell="V807" sqref="V807"/>
      <pageMargins left="0.70866141732283472" right="0.70866141732283472" top="0.74803149606299213" bottom="0.74803149606299213" header="0.31496062992125984" footer="0.31496062992125984"/>
      <pageSetup paperSize="9" scale="55" fitToHeight="0" orientation="landscape" r:id="rId4"/>
      <headerFooter alignWithMargins="0">
        <oddFooter>&amp;R&amp;8Le &amp;D
&amp;T</oddFooter>
      </headerFooter>
    </customSheetView>
  </customSheetViews>
  <mergeCells count="1">
    <mergeCell ref="U737:U738"/>
  </mergeCells>
  <phoneticPr fontId="0" type="noConversion"/>
  <pageMargins left="0.70866141732283472" right="0.70866141732283472" top="0.74803149606299213" bottom="0.74803149606299213" header="0.31496062992125984" footer="0.31496062992125984"/>
  <pageSetup paperSize="9" scale="55" fitToHeight="0" orientation="landscape" r:id="rId5"/>
  <headerFooter alignWithMargins="0">
    <oddFooter>&amp;R&amp;8Le &amp;D
&amp;T</oddFooter>
  </headerFooter>
  <ignoredErrors>
    <ignoredError sqref="S295" formula="1"/>
  </ignoredErrors>
  <drawing r:id="rId6"/>
  <legacyDrawing r:id="rId7"/>
  <controls>
    <mc:AlternateContent xmlns:mc="http://schemas.openxmlformats.org/markup-compatibility/2006">
      <mc:Choice Requires="x14">
        <control shapeId="16385" r:id="rId8" name="ComboBox1">
          <controlPr defaultSize="0" autoFill="0" autoLine="0" listFillRange="COMPTE" r:id="rId9">
            <anchor>
              <from>
                <xdr:col>1</xdr:col>
                <xdr:colOff>142875</xdr:colOff>
                <xdr:row>0</xdr:row>
                <xdr:rowOff>38100</xdr:rowOff>
              </from>
              <to>
                <xdr:col>2</xdr:col>
                <xdr:colOff>95250</xdr:colOff>
                <xdr:row>1</xdr:row>
                <xdr:rowOff>114300</xdr:rowOff>
              </to>
            </anchor>
          </controlPr>
        </control>
      </mc:Choice>
      <mc:Fallback>
        <control shapeId="16385" r:id="rId8" name="ComboBox1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V812"/>
  <sheetViews>
    <sheetView showZeros="0" zoomScale="85" zoomScaleNormal="85" zoomScaleSheetLayoutView="85" workbookViewId="0">
      <pane xSplit="4" ySplit="3" topLeftCell="E4" activePane="bottomRight" state="frozen"/>
      <selection activeCell="T231" sqref="T231:U231"/>
      <selection pane="topRight" activeCell="T231" sqref="T231:U231"/>
      <selection pane="bottomLeft" activeCell="T231" sqref="T231:U231"/>
      <selection pane="bottomRight" activeCell="E24" sqref="E24"/>
    </sheetView>
  </sheetViews>
  <sheetFormatPr baseColWidth="10" defaultRowHeight="12.75" x14ac:dyDescent="0.2"/>
  <cols>
    <col min="1" max="1" width="8.7109375" style="15" bestFit="1" customWidth="1"/>
    <col min="2" max="2" width="24.85546875" style="3" customWidth="1"/>
    <col min="3" max="3" width="8.7109375" style="1" customWidth="1"/>
    <col min="4" max="4" width="9.7109375" style="1" customWidth="1"/>
    <col min="5" max="5" width="12" style="236" bestFit="1" customWidth="1"/>
    <col min="6" max="6" width="13.28515625" style="236" customWidth="1"/>
    <col min="7" max="7" width="12.42578125" style="236" bestFit="1" customWidth="1"/>
    <col min="8" max="10" width="11.28515625" style="236" bestFit="1" customWidth="1"/>
    <col min="11" max="11" width="12" style="236" bestFit="1" customWidth="1"/>
    <col min="12" max="13" width="11.28515625" style="236" bestFit="1" customWidth="1"/>
    <col min="14" max="16" width="12.42578125" style="236" bestFit="1" customWidth="1"/>
    <col min="17" max="18" width="12.42578125" style="237" bestFit="1" customWidth="1"/>
    <col min="19" max="19" width="13.28515625" style="238" bestFit="1" customWidth="1"/>
    <col min="20" max="20" width="11.85546875" style="184" bestFit="1" customWidth="1"/>
    <col min="21" max="21" width="15.28515625" style="332" bestFit="1" customWidth="1"/>
    <col min="22" max="22" width="11.5703125" customWidth="1"/>
    <col min="23" max="23" width="13.7109375" style="184" bestFit="1" customWidth="1"/>
    <col min="24" max="24" width="13.5703125" style="184" bestFit="1" customWidth="1"/>
    <col min="25" max="16384" width="11.42578125" style="184"/>
  </cols>
  <sheetData>
    <row r="1" spans="1:24" x14ac:dyDescent="0.2">
      <c r="A1" s="162">
        <v>2017</v>
      </c>
    </row>
    <row r="3" spans="1:24" s="174" customFormat="1" ht="25.5" customHeight="1" x14ac:dyDescent="0.2">
      <c r="A3" s="161" t="s">
        <v>3</v>
      </c>
      <c r="B3" s="161" t="s">
        <v>209</v>
      </c>
      <c r="C3" s="161" t="s">
        <v>210</v>
      </c>
      <c r="D3" s="161" t="s">
        <v>211</v>
      </c>
      <c r="E3" s="555">
        <v>2016</v>
      </c>
      <c r="F3" s="239" t="s">
        <v>55</v>
      </c>
      <c r="G3" s="239" t="s">
        <v>56</v>
      </c>
      <c r="H3" s="239" t="s">
        <v>5</v>
      </c>
      <c r="I3" s="239" t="s">
        <v>6</v>
      </c>
      <c r="J3" s="239" t="s">
        <v>7</v>
      </c>
      <c r="K3" s="239" t="s">
        <v>8</v>
      </c>
      <c r="L3" s="239" t="s">
        <v>65</v>
      </c>
      <c r="M3" s="239" t="s">
        <v>64</v>
      </c>
      <c r="N3" s="239" t="s">
        <v>49</v>
      </c>
      <c r="O3" s="239" t="s">
        <v>50</v>
      </c>
      <c r="P3" s="239" t="s">
        <v>59</v>
      </c>
      <c r="Q3" s="239" t="s">
        <v>51</v>
      </c>
      <c r="R3" s="239" t="s">
        <v>866</v>
      </c>
      <c r="S3" s="239" t="s">
        <v>66</v>
      </c>
      <c r="U3" s="333"/>
      <c r="X3" s="174">
        <f>SUM(X4:X812)</f>
        <v>-1259.6899999999441</v>
      </c>
    </row>
    <row r="4" spans="1:24" x14ac:dyDescent="0.2">
      <c r="A4" s="159">
        <v>615111</v>
      </c>
      <c r="B4" s="160" t="s">
        <v>110</v>
      </c>
      <c r="C4" s="148" t="s">
        <v>77</v>
      </c>
      <c r="D4" s="148" t="s">
        <v>179</v>
      </c>
      <c r="E4" s="240">
        <f>FLEURY!H12+FLEURY!H11</f>
        <v>-819.2</v>
      </c>
      <c r="F4" s="240">
        <f>FLEURY!I12+FLEURY!I11</f>
        <v>2537.4</v>
      </c>
      <c r="G4" s="240">
        <f>FLEURY!J12+FLEURY!J11</f>
        <v>3981</v>
      </c>
      <c r="H4" s="240">
        <f>FLEURY!K12+FLEURY!K11</f>
        <v>3553.9</v>
      </c>
      <c r="I4" s="240">
        <f>FLEURY!L12+FLEURY!L11</f>
        <v>3098.45</v>
      </c>
      <c r="J4" s="240">
        <f>FLEURY!M12+FLEURY!M11</f>
        <v>3825.1</v>
      </c>
      <c r="K4" s="240">
        <f>FLEURY!N12+FLEURY!N11</f>
        <v>3243.85</v>
      </c>
      <c r="L4" s="240">
        <f>FLEURY!O12+FLEURY!O11</f>
        <v>3555.55</v>
      </c>
      <c r="M4" s="240">
        <f>FLEURY!P12+FLEURY!P11</f>
        <v>4032.3999999999996</v>
      </c>
      <c r="N4" s="240">
        <f>FLEURY!Q12+FLEURY!Q11</f>
        <v>3774.3</v>
      </c>
      <c r="O4" s="240">
        <f>FLEURY!R12+FLEURY!R11</f>
        <v>4268.8999999999996</v>
      </c>
      <c r="P4" s="240">
        <f>FLEURY!S12+FLEURY!S11</f>
        <v>4001.95</v>
      </c>
      <c r="Q4" s="240">
        <f>FLEURY!T12+FLEURY!T11</f>
        <v>0</v>
      </c>
      <c r="R4" s="240">
        <f>FLEURY!U12+FLEURY!U11</f>
        <v>0</v>
      </c>
      <c r="S4" s="245">
        <f>SUM(E4:Q4)</f>
        <v>39053.599999999991</v>
      </c>
      <c r="V4" s="483"/>
    </row>
    <row r="5" spans="1:24" x14ac:dyDescent="0.2">
      <c r="A5" s="159">
        <v>615111</v>
      </c>
      <c r="B5" s="160" t="s">
        <v>110</v>
      </c>
      <c r="C5" s="148" t="s">
        <v>77</v>
      </c>
      <c r="D5" s="148" t="s">
        <v>192</v>
      </c>
      <c r="E5" s="240">
        <f>+FLEURY!H10</f>
        <v>0</v>
      </c>
      <c r="F5" s="240">
        <f>+FLEURY!I10</f>
        <v>0</v>
      </c>
      <c r="G5" s="240">
        <f>+FLEURY!J10</f>
        <v>0</v>
      </c>
      <c r="H5" s="240">
        <f>+FLEURY!K10</f>
        <v>0</v>
      </c>
      <c r="I5" s="240">
        <f>+FLEURY!L10</f>
        <v>0</v>
      </c>
      <c r="J5" s="240">
        <f>+FLEURY!M10</f>
        <v>0</v>
      </c>
      <c r="K5" s="240">
        <f>+FLEURY!N10</f>
        <v>0</v>
      </c>
      <c r="L5" s="240">
        <f>+FLEURY!O10</f>
        <v>0</v>
      </c>
      <c r="M5" s="240">
        <f>+FLEURY!P10</f>
        <v>0</v>
      </c>
      <c r="N5" s="240">
        <f>+FLEURY!Q10</f>
        <v>0</v>
      </c>
      <c r="O5" s="240">
        <f>+FLEURY!R10</f>
        <v>0</v>
      </c>
      <c r="P5" s="240">
        <f>+FLEURY!S10</f>
        <v>0</v>
      </c>
      <c r="Q5" s="240">
        <f>+FLEURY!T10</f>
        <v>0</v>
      </c>
      <c r="R5" s="240">
        <f>+FLEURY!U10</f>
        <v>0</v>
      </c>
      <c r="S5" s="245">
        <f>SUM(E5:Q5)</f>
        <v>0</v>
      </c>
    </row>
    <row r="6" spans="1:24" x14ac:dyDescent="0.2">
      <c r="A6" s="159"/>
      <c r="B6" s="160"/>
      <c r="C6" s="148"/>
      <c r="D6" s="148"/>
      <c r="E6" s="240"/>
      <c r="F6" s="240"/>
      <c r="G6" s="240"/>
      <c r="H6" s="240"/>
      <c r="I6" s="240"/>
      <c r="J6" s="240"/>
      <c r="K6" s="240"/>
      <c r="L6" s="240"/>
      <c r="M6" s="240"/>
      <c r="N6" s="240"/>
      <c r="O6" s="240"/>
      <c r="P6" s="240"/>
      <c r="Q6" s="240"/>
      <c r="R6" s="240"/>
      <c r="S6" s="245"/>
    </row>
    <row r="7" spans="1:24" x14ac:dyDescent="0.2">
      <c r="A7" s="159">
        <v>615111</v>
      </c>
      <c r="B7" s="160" t="s">
        <v>110</v>
      </c>
      <c r="C7" s="148" t="s">
        <v>70</v>
      </c>
      <c r="D7" s="148" t="s">
        <v>179</v>
      </c>
      <c r="E7" s="240">
        <f>+AIX!H11</f>
        <v>0</v>
      </c>
      <c r="F7" s="240">
        <f>+AIX!I11</f>
        <v>1886.78</v>
      </c>
      <c r="G7" s="240">
        <f>+AIX!J11</f>
        <v>1886.78</v>
      </c>
      <c r="H7" s="240">
        <f>+AIX!K11</f>
        <v>1886.78</v>
      </c>
      <c r="I7" s="240">
        <f>+AIX!L11</f>
        <v>1886.78</v>
      </c>
      <c r="J7" s="240">
        <f>+AIX!M11</f>
        <v>1886.78</v>
      </c>
      <c r="K7" s="240">
        <f>+AIX!N11</f>
        <v>1886.78</v>
      </c>
      <c r="L7" s="240">
        <f>+AIX!O11</f>
        <v>1886.78</v>
      </c>
      <c r="M7" s="240">
        <f>+AIX!P11</f>
        <v>1886.78</v>
      </c>
      <c r="N7" s="240">
        <f>+AIX!Q11</f>
        <v>1886.78</v>
      </c>
      <c r="O7" s="240">
        <f>+AIX!R11</f>
        <v>1886.78</v>
      </c>
      <c r="P7" s="240">
        <f>+AIX!S11</f>
        <v>1886.78</v>
      </c>
      <c r="Q7" s="240">
        <f>+AIX!T11</f>
        <v>0</v>
      </c>
      <c r="R7" s="240">
        <f>+AIX!U11</f>
        <v>0</v>
      </c>
      <c r="S7" s="245">
        <f>SUM(E7:Q7)</f>
        <v>20754.579999999998</v>
      </c>
      <c r="T7" s="273"/>
      <c r="V7" s="483"/>
    </row>
    <row r="8" spans="1:24" x14ac:dyDescent="0.2">
      <c r="A8" s="159">
        <v>615111</v>
      </c>
      <c r="B8" s="160" t="s">
        <v>110</v>
      </c>
      <c r="C8" s="148" t="s">
        <v>108</v>
      </c>
      <c r="D8" s="148" t="s">
        <v>179</v>
      </c>
      <c r="E8" s="240">
        <f>+AIX!H12</f>
        <v>0</v>
      </c>
      <c r="F8" s="240">
        <f>+AIX!I12</f>
        <v>8550.65</v>
      </c>
      <c r="G8" s="240">
        <f>+AIX!J12</f>
        <v>8550.65</v>
      </c>
      <c r="H8" s="240">
        <f>+AIX!K12</f>
        <v>8550.65</v>
      </c>
      <c r="I8" s="240">
        <f>+AIX!L12</f>
        <v>8550.65</v>
      </c>
      <c r="J8" s="240">
        <f>+AIX!M12</f>
        <v>8550.65</v>
      </c>
      <c r="K8" s="240">
        <f>+AIX!N12</f>
        <v>8550.65</v>
      </c>
      <c r="L8" s="240">
        <f>+AIX!O12</f>
        <v>8550.65</v>
      </c>
      <c r="M8" s="240">
        <f>+AIX!P12</f>
        <v>8550.65</v>
      </c>
      <c r="N8" s="240">
        <f>+AIX!Q12</f>
        <v>8550.65</v>
      </c>
      <c r="O8" s="240">
        <f>+AIX!R12</f>
        <v>8550.65</v>
      </c>
      <c r="P8" s="240">
        <f>+AIX!S12</f>
        <v>8550.65</v>
      </c>
      <c r="Q8" s="240">
        <f>+AIX!T12</f>
        <v>0</v>
      </c>
      <c r="R8" s="240">
        <f>+AIX!U12</f>
        <v>0</v>
      </c>
      <c r="S8" s="245">
        <f>SUM(E8:Q8)</f>
        <v>94057.14999999998</v>
      </c>
      <c r="V8" s="483"/>
    </row>
    <row r="9" spans="1:24" x14ac:dyDescent="0.2">
      <c r="A9" s="159">
        <v>615111</v>
      </c>
      <c r="B9" s="160" t="s">
        <v>110</v>
      </c>
      <c r="C9" s="148" t="s">
        <v>108</v>
      </c>
      <c r="D9" s="148" t="s">
        <v>192</v>
      </c>
      <c r="E9" s="240">
        <f>+AIX!H13</f>
        <v>0</v>
      </c>
      <c r="F9" s="240">
        <f>+AIX!I13</f>
        <v>0</v>
      </c>
      <c r="G9" s="240">
        <f>+AIX!J13</f>
        <v>0</v>
      </c>
      <c r="H9" s="240">
        <f>+AIX!K13</f>
        <v>0</v>
      </c>
      <c r="I9" s="240">
        <f>+AIX!L13</f>
        <v>0</v>
      </c>
      <c r="J9" s="240">
        <f>+AIX!M13</f>
        <v>0</v>
      </c>
      <c r="K9" s="240">
        <f>+AIX!N13</f>
        <v>0</v>
      </c>
      <c r="L9" s="240">
        <f>+AIX!O13</f>
        <v>0</v>
      </c>
      <c r="M9" s="240">
        <f>+AIX!P13</f>
        <v>0</v>
      </c>
      <c r="N9" s="240">
        <f>+AIX!Q13</f>
        <v>1470</v>
      </c>
      <c r="O9" s="240">
        <f>+AIX!R13</f>
        <v>0</v>
      </c>
      <c r="P9" s="240">
        <f>+AIX!S13</f>
        <v>3340</v>
      </c>
      <c r="Q9" s="240">
        <f>+AIX!T13</f>
        <v>0</v>
      </c>
      <c r="R9" s="240">
        <f>+AIX!U13</f>
        <v>0</v>
      </c>
      <c r="S9" s="245">
        <f>SUM(E9:Q9)</f>
        <v>4810</v>
      </c>
      <c r="T9" s="273"/>
      <c r="V9" s="483"/>
    </row>
    <row r="10" spans="1:24" x14ac:dyDescent="0.2">
      <c r="A10" s="159"/>
      <c r="B10" s="160"/>
      <c r="C10" s="148"/>
      <c r="D10" s="148"/>
      <c r="E10" s="240"/>
      <c r="F10" s="240"/>
      <c r="G10" s="240"/>
      <c r="H10" s="240"/>
      <c r="I10" s="240"/>
      <c r="J10" s="240"/>
      <c r="K10" s="240"/>
      <c r="L10" s="240"/>
      <c r="M10" s="240"/>
      <c r="N10" s="240"/>
      <c r="O10" s="240"/>
      <c r="P10" s="240"/>
      <c r="Q10" s="240"/>
      <c r="R10" s="240"/>
      <c r="S10" s="245"/>
    </row>
    <row r="11" spans="1:24" x14ac:dyDescent="0.2">
      <c r="A11" s="159">
        <v>615111</v>
      </c>
      <c r="B11" s="160" t="s">
        <v>110</v>
      </c>
      <c r="C11" s="148" t="s">
        <v>75</v>
      </c>
      <c r="D11" s="148" t="s">
        <v>179</v>
      </c>
      <c r="E11" s="240">
        <f>SUM(LYON!H10:H11)</f>
        <v>224.96000000000004</v>
      </c>
      <c r="F11" s="240">
        <f>SUM(LYON!I10:I11)</f>
        <v>2264.96</v>
      </c>
      <c r="G11" s="240">
        <f>SUM(LYON!J10:J11)</f>
        <v>2003.6</v>
      </c>
      <c r="H11" s="240">
        <f>SUM(LYON!K10:K11)</f>
        <v>-369.36000000000013</v>
      </c>
      <c r="I11" s="240">
        <f>SUM(LYON!L10:L11)</f>
        <v>469</v>
      </c>
      <c r="J11" s="240">
        <f>SUM(LYON!M10:M11)</f>
        <v>2800</v>
      </c>
      <c r="K11" s="240">
        <f>SUM(LYON!N10:N11)</f>
        <v>2800</v>
      </c>
      <c r="L11" s="240">
        <f>SUM(LYON!O10:O11)</f>
        <v>-152</v>
      </c>
      <c r="M11" s="240">
        <f>SUM(LYON!P10:P11)</f>
        <v>2832</v>
      </c>
      <c r="N11" s="240">
        <f>SUM(LYON!Q10:Q11)</f>
        <v>2832</v>
      </c>
      <c r="O11" s="240">
        <f>SUM(LYON!R10:R11)</f>
        <v>-686</v>
      </c>
      <c r="P11" s="240">
        <f>SUM(LYON!S10:S11)</f>
        <v>2832</v>
      </c>
      <c r="Q11" s="240">
        <f>SUM(LYON!T10:T11)</f>
        <v>0</v>
      </c>
      <c r="R11" s="240">
        <f>SUM(LYON!U10:U11)</f>
        <v>0</v>
      </c>
      <c r="S11" s="245">
        <f>SUM(E11:Q11)</f>
        <v>17851.16</v>
      </c>
      <c r="V11" s="483"/>
    </row>
    <row r="12" spans="1:24" x14ac:dyDescent="0.2">
      <c r="A12" s="159">
        <v>615111</v>
      </c>
      <c r="B12" s="160" t="s">
        <v>110</v>
      </c>
      <c r="C12" s="148" t="s">
        <v>163</v>
      </c>
      <c r="D12" s="148" t="s">
        <v>179</v>
      </c>
      <c r="E12" s="240">
        <f>+LYON!H12+LYON!H13</f>
        <v>0</v>
      </c>
      <c r="F12" s="240">
        <f>+LYON!I12+LYON!I13</f>
        <v>7734.88</v>
      </c>
      <c r="G12" s="240">
        <f>+LYON!J12+LYON!J13</f>
        <v>7734.88</v>
      </c>
      <c r="H12" s="240">
        <f>+LYON!K12+LYON!K13</f>
        <v>7734.88</v>
      </c>
      <c r="I12" s="240">
        <f>+LYON!L12+LYON!L13</f>
        <v>13815</v>
      </c>
      <c r="J12" s="240">
        <f>+LYON!M12+LYON!M13</f>
        <v>9550</v>
      </c>
      <c r="K12" s="240">
        <f>+LYON!N12+LYON!N13</f>
        <v>8950</v>
      </c>
      <c r="L12" s="240">
        <f>+LYON!O12+LYON!O13</f>
        <v>8950</v>
      </c>
      <c r="M12" s="240">
        <f>+LYON!P12+LYON!P13</f>
        <v>8494</v>
      </c>
      <c r="N12" s="240">
        <f>+LYON!Q12+LYON!Q13</f>
        <v>8494</v>
      </c>
      <c r="O12" s="240">
        <f>+LYON!R12+LYON!R13</f>
        <v>8494</v>
      </c>
      <c r="P12" s="240">
        <f>+LYON!S12+LYON!S13</f>
        <v>12319</v>
      </c>
      <c r="Q12" s="240">
        <f>+LYON!T12+LYON!T13</f>
        <v>0</v>
      </c>
      <c r="R12" s="240">
        <f>+LYON!U12+LYON!U13</f>
        <v>0</v>
      </c>
      <c r="S12" s="245">
        <f>SUM(E12:Q12)</f>
        <v>102270.64</v>
      </c>
      <c r="V12" s="483"/>
    </row>
    <row r="13" spans="1:24" x14ac:dyDescent="0.2">
      <c r="A13" s="159"/>
      <c r="B13" s="160"/>
      <c r="C13" s="148"/>
      <c r="D13" s="148"/>
      <c r="E13" s="240"/>
      <c r="F13" s="240"/>
      <c r="G13" s="240"/>
      <c r="H13" s="240"/>
      <c r="I13" s="240"/>
      <c r="J13" s="240"/>
      <c r="K13" s="240"/>
      <c r="L13" s="240"/>
      <c r="M13" s="240"/>
      <c r="N13" s="240"/>
      <c r="O13" s="240"/>
      <c r="P13" s="240"/>
      <c r="Q13" s="240"/>
      <c r="R13" s="240"/>
      <c r="S13" s="245"/>
    </row>
    <row r="14" spans="1:24" x14ac:dyDescent="0.2">
      <c r="A14" s="159">
        <v>615111</v>
      </c>
      <c r="B14" s="160" t="s">
        <v>110</v>
      </c>
      <c r="C14" s="148" t="s">
        <v>234</v>
      </c>
      <c r="D14" s="148" t="s">
        <v>179</v>
      </c>
      <c r="E14" s="240">
        <f>+BORDEAUX!H10</f>
        <v>0</v>
      </c>
      <c r="F14" s="240">
        <f>+BORDEAUX!I10</f>
        <v>360</v>
      </c>
      <c r="G14" s="240">
        <f>+BORDEAUX!J10</f>
        <v>400</v>
      </c>
      <c r="H14" s="240">
        <f>+BORDEAUX!K10</f>
        <v>400</v>
      </c>
      <c r="I14" s="240">
        <f>+BORDEAUX!L10</f>
        <v>540</v>
      </c>
      <c r="J14" s="240">
        <f>+BORDEAUX!M10</f>
        <v>320</v>
      </c>
      <c r="K14" s="240">
        <f>+BORDEAUX!N10</f>
        <v>400</v>
      </c>
      <c r="L14" s="240">
        <f>+BORDEAUX!O10</f>
        <v>520</v>
      </c>
      <c r="M14" s="240">
        <f>+BORDEAUX!P10</f>
        <v>480</v>
      </c>
      <c r="N14" s="240">
        <f>+BORDEAUX!Q10</f>
        <v>520</v>
      </c>
      <c r="O14" s="240">
        <f>+BORDEAUX!R10</f>
        <v>360</v>
      </c>
      <c r="P14" s="240">
        <f>+BORDEAUX!S10</f>
        <v>360</v>
      </c>
      <c r="Q14" s="240">
        <f>+BORDEAUX!T10</f>
        <v>0</v>
      </c>
      <c r="R14" s="240">
        <f>+BORDEAUX!U10</f>
        <v>0</v>
      </c>
      <c r="S14" s="245">
        <f>SUM(F14:Q14)</f>
        <v>4660</v>
      </c>
      <c r="T14" s="273"/>
      <c r="V14" s="483"/>
    </row>
    <row r="15" spans="1:24" x14ac:dyDescent="0.2">
      <c r="A15" s="159">
        <v>615111</v>
      </c>
      <c r="B15" s="160" t="s">
        <v>110</v>
      </c>
      <c r="C15" s="148" t="s">
        <v>234</v>
      </c>
      <c r="D15" s="148" t="s">
        <v>192</v>
      </c>
      <c r="E15" s="240">
        <f>BORDEAUX!H11</f>
        <v>0</v>
      </c>
      <c r="F15" s="240">
        <f>BORDEAUX!I11</f>
        <v>0</v>
      </c>
      <c r="G15" s="240">
        <f>BORDEAUX!J11</f>
        <v>0</v>
      </c>
      <c r="H15" s="240">
        <f>BORDEAUX!K11</f>
        <v>0</v>
      </c>
      <c r="I15" s="240">
        <f>BORDEAUX!L11</f>
        <v>0</v>
      </c>
      <c r="J15" s="240">
        <f>BORDEAUX!M11</f>
        <v>0</v>
      </c>
      <c r="K15" s="240">
        <f>BORDEAUX!N11</f>
        <v>0</v>
      </c>
      <c r="L15" s="240">
        <f>BORDEAUX!O11</f>
        <v>0</v>
      </c>
      <c r="M15" s="240">
        <f>BORDEAUX!P11</f>
        <v>0</v>
      </c>
      <c r="N15" s="240">
        <f>BORDEAUX!Q11</f>
        <v>0</v>
      </c>
      <c r="O15" s="240">
        <f>BORDEAUX!R11</f>
        <v>0</v>
      </c>
      <c r="P15" s="240">
        <f>BORDEAUX!S11</f>
        <v>0</v>
      </c>
      <c r="Q15" s="240">
        <f>BORDEAUX!T10</f>
        <v>0</v>
      </c>
      <c r="R15" s="240">
        <f>BORDEAUX!U10</f>
        <v>0</v>
      </c>
      <c r="S15" s="245">
        <f>SUM(E15:Q15)</f>
        <v>0</v>
      </c>
      <c r="V15" s="483"/>
    </row>
    <row r="16" spans="1:24" x14ac:dyDescent="0.2">
      <c r="A16" s="159">
        <v>615111</v>
      </c>
      <c r="B16" s="160" t="s">
        <v>110</v>
      </c>
      <c r="C16" s="148" t="s">
        <v>130</v>
      </c>
      <c r="D16" s="148" t="s">
        <v>192</v>
      </c>
      <c r="E16" s="240">
        <f>BORDEAUX!H12</f>
        <v>0</v>
      </c>
      <c r="F16" s="240">
        <f>BORDEAUX!I12</f>
        <v>0</v>
      </c>
      <c r="G16" s="240">
        <f>BORDEAUX!J12</f>
        <v>0</v>
      </c>
      <c r="H16" s="240">
        <f>BORDEAUX!K12</f>
        <v>0</v>
      </c>
      <c r="I16" s="240">
        <f>BORDEAUX!L12</f>
        <v>0</v>
      </c>
      <c r="J16" s="240">
        <f>BORDEAUX!M12</f>
        <v>0</v>
      </c>
      <c r="K16" s="240">
        <f>BORDEAUX!N12</f>
        <v>0</v>
      </c>
      <c r="L16" s="240">
        <f>BORDEAUX!O12</f>
        <v>0</v>
      </c>
      <c r="M16" s="240">
        <f>BORDEAUX!P12</f>
        <v>0</v>
      </c>
      <c r="N16" s="240">
        <f>BORDEAUX!Q12</f>
        <v>0</v>
      </c>
      <c r="O16" s="240">
        <f>BORDEAUX!R12</f>
        <v>0</v>
      </c>
      <c r="P16" s="240">
        <f>BORDEAUX!S12</f>
        <v>0</v>
      </c>
      <c r="Q16" s="240">
        <f>BORDEAUX!T12</f>
        <v>0</v>
      </c>
      <c r="R16" s="240">
        <f>BORDEAUX!U12</f>
        <v>0</v>
      </c>
      <c r="S16" s="245">
        <f>SUM(E16:Q16)</f>
        <v>0</v>
      </c>
      <c r="V16" s="483"/>
    </row>
    <row r="17" spans="1:24" x14ac:dyDescent="0.2">
      <c r="A17" s="159">
        <v>615111</v>
      </c>
      <c r="B17" s="160" t="s">
        <v>110</v>
      </c>
      <c r="C17" s="148" t="s">
        <v>130</v>
      </c>
      <c r="D17" s="148" t="s">
        <v>179</v>
      </c>
      <c r="E17" s="240">
        <f>BORDEAUX!H13</f>
        <v>0</v>
      </c>
      <c r="F17" s="240">
        <f>BORDEAUX!I13</f>
        <v>7243</v>
      </c>
      <c r="G17" s="240">
        <f>BORDEAUX!J13</f>
        <v>7243</v>
      </c>
      <c r="H17" s="240">
        <f>BORDEAUX!K13</f>
        <v>7243</v>
      </c>
      <c r="I17" s="240">
        <f>BORDEAUX!L13</f>
        <v>7243</v>
      </c>
      <c r="J17" s="240">
        <f>BORDEAUX!M13</f>
        <v>7243</v>
      </c>
      <c r="K17" s="240">
        <f>BORDEAUX!N13</f>
        <v>7243</v>
      </c>
      <c r="L17" s="240">
        <f>BORDEAUX!O13</f>
        <v>7243</v>
      </c>
      <c r="M17" s="240">
        <f>BORDEAUX!P13</f>
        <v>7243</v>
      </c>
      <c r="N17" s="240">
        <f>BORDEAUX!Q13</f>
        <v>7243</v>
      </c>
      <c r="O17" s="240">
        <f>BORDEAUX!R13</f>
        <v>7243</v>
      </c>
      <c r="P17" s="240">
        <f>BORDEAUX!S13</f>
        <v>7243</v>
      </c>
      <c r="Q17" s="240">
        <f>BORDEAUX!T13</f>
        <v>7243</v>
      </c>
      <c r="R17" s="240">
        <f>BORDEAUX!U13</f>
        <v>0</v>
      </c>
      <c r="S17" s="245">
        <f>SUM(E17:Q17)</f>
        <v>86916</v>
      </c>
      <c r="V17" s="483"/>
    </row>
    <row r="18" spans="1:24" x14ac:dyDescent="0.2">
      <c r="A18" s="159"/>
      <c r="B18" s="160"/>
      <c r="C18" s="148"/>
      <c r="D18" s="148"/>
      <c r="E18" s="240"/>
      <c r="F18" s="240"/>
      <c r="G18" s="240"/>
      <c r="H18" s="240"/>
      <c r="I18" s="240"/>
      <c r="J18" s="240"/>
      <c r="K18" s="240"/>
      <c r="L18" s="240"/>
      <c r="M18" s="240"/>
      <c r="N18" s="240"/>
      <c r="O18" s="240"/>
      <c r="P18" s="240"/>
      <c r="Q18" s="240"/>
      <c r="R18" s="240"/>
      <c r="S18" s="245"/>
    </row>
    <row r="19" spans="1:24" x14ac:dyDescent="0.2">
      <c r="A19" s="159">
        <v>615111</v>
      </c>
      <c r="B19" s="160" t="s">
        <v>110</v>
      </c>
      <c r="C19" s="148" t="s">
        <v>194</v>
      </c>
      <c r="D19" s="148" t="s">
        <v>179</v>
      </c>
      <c r="E19" s="240">
        <f>+NANCY!H12</f>
        <v>0.14999999999997726</v>
      </c>
      <c r="F19" s="240">
        <f>+NANCY!I12</f>
        <v>325.39999999999998</v>
      </c>
      <c r="G19" s="240">
        <f>+NANCY!J12</f>
        <v>325.39999999999998</v>
      </c>
      <c r="H19" s="240">
        <f>+NANCY!K12</f>
        <v>325.39999999999998</v>
      </c>
      <c r="I19" s="240">
        <f>+NANCY!L12</f>
        <v>325.39999999999998</v>
      </c>
      <c r="J19" s="240">
        <f>+NANCY!M12</f>
        <v>325.39999999999998</v>
      </c>
      <c r="K19" s="240">
        <f>+NANCY!N12</f>
        <v>325.39999999999998</v>
      </c>
      <c r="L19" s="240">
        <f>+NANCY!O12</f>
        <v>400.55</v>
      </c>
      <c r="M19" s="240">
        <f>+NANCY!P12</f>
        <v>325.39999999999998</v>
      </c>
      <c r="N19" s="240">
        <f>+NANCY!Q12</f>
        <v>325.39999999999998</v>
      </c>
      <c r="O19" s="240">
        <f>+NANCY!R12</f>
        <v>325.39999999999998</v>
      </c>
      <c r="P19" s="240">
        <f>+NANCY!S12</f>
        <v>325.39999999999998</v>
      </c>
      <c r="Q19" s="240">
        <f>+NANCY!T12</f>
        <v>0</v>
      </c>
      <c r="R19" s="240"/>
      <c r="S19" s="245">
        <f>SUM(E19:Q19)</f>
        <v>3654.7000000000007</v>
      </c>
      <c r="V19" s="483"/>
    </row>
    <row r="20" spans="1:24" x14ac:dyDescent="0.2">
      <c r="A20" s="159"/>
      <c r="B20" s="160"/>
      <c r="C20" s="148"/>
      <c r="D20" s="148"/>
      <c r="E20" s="240"/>
      <c r="F20" s="240"/>
      <c r="G20" s="240"/>
      <c r="H20" s="240"/>
      <c r="I20" s="240"/>
      <c r="J20" s="240"/>
      <c r="K20" s="240"/>
      <c r="L20" s="240"/>
      <c r="M20" s="240"/>
      <c r="N20" s="240"/>
      <c r="O20" s="240"/>
      <c r="P20" s="240"/>
      <c r="Q20" s="240"/>
      <c r="R20" s="240"/>
      <c r="S20" s="245"/>
      <c r="V20" s="483"/>
    </row>
    <row r="21" spans="1:24" x14ac:dyDescent="0.2">
      <c r="A21" s="159">
        <v>615111</v>
      </c>
      <c r="B21" s="160" t="s">
        <v>110</v>
      </c>
      <c r="C21" s="148" t="s">
        <v>235</v>
      </c>
      <c r="D21" s="148" t="s">
        <v>179</v>
      </c>
      <c r="E21" s="240">
        <f>RENNES!H12+RENNES!H11</f>
        <v>0</v>
      </c>
      <c r="F21" s="240">
        <f>RENNES!I12+RENNES!I11</f>
        <v>478.95</v>
      </c>
      <c r="G21" s="240">
        <f>RENNES!J12+RENNES!J11</f>
        <v>638.6</v>
      </c>
      <c r="H21" s="240">
        <f>RENNES!K12+RENNES!K11</f>
        <v>762.2</v>
      </c>
      <c r="I21" s="240">
        <f>RENNES!L12+RENNES!L11</f>
        <v>566.5</v>
      </c>
      <c r="J21" s="240">
        <f>RENNES!M12+RENNES!M11</f>
        <v>623.15</v>
      </c>
      <c r="K21" s="240">
        <f>RENNES!N12+RENNES!N11</f>
        <v>798.25</v>
      </c>
      <c r="L21" s="240">
        <f>RENNES!O12+RENNES!O11</f>
        <v>602.54999999999995</v>
      </c>
      <c r="M21" s="240">
        <f>RENNES!P12+RENNES!P11</f>
        <v>602.55000000000007</v>
      </c>
      <c r="N21" s="240">
        <f>RENNES!Q12+RENNES!Q11</f>
        <v>798.25</v>
      </c>
      <c r="O21" s="240">
        <f>RENNES!R12+RENNES!R11</f>
        <v>623.15</v>
      </c>
      <c r="P21" s="240">
        <f>RENNES!S12+RENNES!S11</f>
        <v>478.95000000000005</v>
      </c>
      <c r="Q21" s="240">
        <f>RENNES!T12+RENNES!T11</f>
        <v>159.65</v>
      </c>
      <c r="R21" s="240">
        <f>RENNES!U12+RENNES!U11</f>
        <v>0</v>
      </c>
      <c r="S21" s="245">
        <f>SUM(E21:Q21)</f>
        <v>7132.7499999999991</v>
      </c>
      <c r="V21" s="483"/>
    </row>
    <row r="22" spans="1:24" x14ac:dyDescent="0.2">
      <c r="A22" s="159">
        <v>615111</v>
      </c>
      <c r="B22" s="160" t="s">
        <v>110</v>
      </c>
      <c r="C22" s="148" t="s">
        <v>143</v>
      </c>
      <c r="D22" s="148" t="s">
        <v>192</v>
      </c>
      <c r="E22" s="240">
        <f>+RENNES!H10</f>
        <v>0</v>
      </c>
      <c r="F22" s="240">
        <f>+RENNES!I10</f>
        <v>0</v>
      </c>
      <c r="G22" s="240">
        <f>+RENNES!J10</f>
        <v>0</v>
      </c>
      <c r="H22" s="240">
        <f>+RENNES!K10</f>
        <v>0</v>
      </c>
      <c r="I22" s="240">
        <f>+RENNES!L10</f>
        <v>0</v>
      </c>
      <c r="J22" s="240">
        <f>+RENNES!M10</f>
        <v>0</v>
      </c>
      <c r="K22" s="240">
        <f>+RENNES!N10</f>
        <v>0</v>
      </c>
      <c r="L22" s="240">
        <f>+RENNES!O10</f>
        <v>0</v>
      </c>
      <c r="M22" s="240">
        <f>+RENNES!P10</f>
        <v>0</v>
      </c>
      <c r="N22" s="240">
        <f>+RENNES!Q10</f>
        <v>0</v>
      </c>
      <c r="O22" s="240">
        <f>+RENNES!R10</f>
        <v>0</v>
      </c>
      <c r="P22" s="240">
        <f>+RENNES!S10</f>
        <v>0</v>
      </c>
      <c r="Q22" s="240">
        <f>+RENNES!T10</f>
        <v>0</v>
      </c>
      <c r="R22" s="240">
        <f>+RENNES!U10</f>
        <v>0</v>
      </c>
      <c r="S22" s="242">
        <f>SUM(E22:Q22)</f>
        <v>0</v>
      </c>
      <c r="V22" s="483"/>
    </row>
    <row r="23" spans="1:24" x14ac:dyDescent="0.2">
      <c r="A23" s="159"/>
      <c r="B23" s="160"/>
      <c r="C23" s="148"/>
      <c r="D23" s="148"/>
      <c r="E23" s="240"/>
      <c r="F23" s="240"/>
      <c r="G23" s="240"/>
      <c r="H23" s="240"/>
      <c r="I23" s="240"/>
      <c r="J23" s="240"/>
      <c r="K23" s="240"/>
      <c r="L23" s="240"/>
      <c r="M23" s="240"/>
      <c r="N23" s="240"/>
      <c r="O23" s="240"/>
      <c r="P23" s="240"/>
      <c r="Q23" s="240"/>
      <c r="R23" s="240"/>
      <c r="S23" s="245">
        <f t="shared" ref="S23:S28" si="0">SUM(E23:Q23)</f>
        <v>0</v>
      </c>
    </row>
    <row r="24" spans="1:24" x14ac:dyDescent="0.2">
      <c r="A24" s="159">
        <v>615111</v>
      </c>
      <c r="B24" s="160" t="s">
        <v>110</v>
      </c>
      <c r="C24" s="148" t="s">
        <v>236</v>
      </c>
      <c r="D24" s="148" t="s">
        <v>192</v>
      </c>
      <c r="E24" s="241">
        <f>BEAUVAIS!H13</f>
        <v>0</v>
      </c>
      <c r="F24" s="241">
        <f>BEAUVAIS!I13</f>
        <v>0</v>
      </c>
      <c r="G24" s="241">
        <f>BEAUVAIS!J13</f>
        <v>0</v>
      </c>
      <c r="H24" s="241">
        <f>BEAUVAIS!K13</f>
        <v>0</v>
      </c>
      <c r="I24" s="241">
        <f>BEAUVAIS!L13</f>
        <v>0</v>
      </c>
      <c r="J24" s="241">
        <f>BEAUVAIS!M13</f>
        <v>0</v>
      </c>
      <c r="K24" s="241">
        <f>BEAUVAIS!N13</f>
        <v>0</v>
      </c>
      <c r="L24" s="241">
        <f>BEAUVAIS!O13</f>
        <v>0</v>
      </c>
      <c r="M24" s="241">
        <f>BEAUVAIS!P13</f>
        <v>0</v>
      </c>
      <c r="N24" s="241">
        <f>BEAUVAIS!Q13</f>
        <v>0</v>
      </c>
      <c r="O24" s="241">
        <f>BEAUVAIS!R13</f>
        <v>0</v>
      </c>
      <c r="P24" s="241">
        <f>BEAUVAIS!S13</f>
        <v>0</v>
      </c>
      <c r="Q24" s="241">
        <f>BEAUVAIS!T13</f>
        <v>0</v>
      </c>
      <c r="R24" s="241">
        <f>BEAUVAIS!U13</f>
        <v>0</v>
      </c>
      <c r="S24" s="245">
        <f t="shared" si="0"/>
        <v>0</v>
      </c>
      <c r="V24" s="483"/>
    </row>
    <row r="25" spans="1:24" x14ac:dyDescent="0.2">
      <c r="A25" s="159">
        <v>615111</v>
      </c>
      <c r="B25" s="160" t="s">
        <v>110</v>
      </c>
      <c r="C25" s="148" t="s">
        <v>236</v>
      </c>
      <c r="D25" s="148" t="s">
        <v>179</v>
      </c>
      <c r="E25" s="241">
        <f>+BEAUVAIS!H11+BEAUVAIS!H12</f>
        <v>-238</v>
      </c>
      <c r="F25" s="241">
        <f>+BEAUVAIS!I11+BEAUVAIS!I12</f>
        <v>612</v>
      </c>
      <c r="G25" s="241">
        <f>+BEAUVAIS!J11+BEAUVAIS!J12</f>
        <v>544</v>
      </c>
      <c r="H25" s="241">
        <f>+BEAUVAIS!K11+BEAUVAIS!K12</f>
        <v>544</v>
      </c>
      <c r="I25" s="241">
        <f>+BEAUVAIS!L11+BEAUVAIS!L12</f>
        <v>578</v>
      </c>
      <c r="J25" s="241">
        <f>+BEAUVAIS!M11+BEAUVAIS!M12</f>
        <v>578</v>
      </c>
      <c r="K25" s="241">
        <f>+BEAUVAIS!N11+BEAUVAIS!N12</f>
        <v>544</v>
      </c>
      <c r="L25" s="241">
        <f>+BEAUVAIS!O11+BEAUVAIS!O12</f>
        <v>714</v>
      </c>
      <c r="M25" s="241">
        <f>+BEAUVAIS!P11+BEAUVAIS!P12</f>
        <v>340</v>
      </c>
      <c r="N25" s="241">
        <f>+BEAUVAIS!Q11+BEAUVAIS!Q12</f>
        <v>578</v>
      </c>
      <c r="O25" s="241">
        <f>+BEAUVAIS!R11+BEAUVAIS!R12</f>
        <v>612</v>
      </c>
      <c r="P25" s="241">
        <f>+BEAUVAIS!S11+BEAUVAIS!S12</f>
        <v>646</v>
      </c>
      <c r="Q25" s="241">
        <f>+BEAUVAIS!T11+BEAUVAIS!T12</f>
        <v>0</v>
      </c>
      <c r="R25" s="241">
        <f>+BEAUVAIS!U11+BEAUVAIS!U12</f>
        <v>0</v>
      </c>
      <c r="S25" s="245">
        <f t="shared" si="0"/>
        <v>6052</v>
      </c>
      <c r="V25" s="483"/>
    </row>
    <row r="26" spans="1:24" x14ac:dyDescent="0.2">
      <c r="A26" s="159"/>
      <c r="B26" s="160"/>
      <c r="C26" s="148"/>
      <c r="D26" s="148"/>
      <c r="E26" s="240"/>
      <c r="F26" s="240"/>
      <c r="G26" s="240"/>
      <c r="H26" s="240"/>
      <c r="I26" s="240"/>
      <c r="J26" s="240"/>
      <c r="K26" s="240"/>
      <c r="L26" s="240"/>
      <c r="M26" s="240"/>
      <c r="N26" s="240"/>
      <c r="O26" s="240"/>
      <c r="P26" s="240"/>
      <c r="Q26" s="240"/>
      <c r="R26" s="240"/>
      <c r="S26" s="245">
        <f t="shared" si="0"/>
        <v>0</v>
      </c>
    </row>
    <row r="27" spans="1:24" x14ac:dyDescent="0.2">
      <c r="A27" s="159">
        <v>615111</v>
      </c>
      <c r="B27" s="160" t="s">
        <v>110</v>
      </c>
      <c r="C27" s="148" t="s">
        <v>237</v>
      </c>
      <c r="D27" s="148" t="s">
        <v>179</v>
      </c>
      <c r="E27" s="240">
        <f>SUM(TOULOUSE!H10:H11)</f>
        <v>2.32000000000005</v>
      </c>
      <c r="F27" s="240">
        <f>SUM(TOULOUSE!I10:I11)</f>
        <v>560.88</v>
      </c>
      <c r="G27" s="240">
        <f>SUM(TOULOUSE!J10:J11)</f>
        <v>717.84</v>
      </c>
      <c r="H27" s="240">
        <f>SUM(TOULOUSE!K10:K11)</f>
        <v>747.84</v>
      </c>
      <c r="I27" s="240">
        <f>SUM(TOULOUSE!L10:L11)</f>
        <v>747.84</v>
      </c>
      <c r="J27" s="240">
        <f>SUM(TOULOUSE!M10:M11)</f>
        <v>997.12</v>
      </c>
      <c r="K27" s="240">
        <f>SUM(TOULOUSE!N10:N11)</f>
        <v>623.20000000000005</v>
      </c>
      <c r="L27" s="240">
        <f>SUM(TOULOUSE!O10:O11)</f>
        <v>655.52</v>
      </c>
      <c r="M27" s="240">
        <f>SUM(TOULOUSE!P10:P11)</f>
        <v>623.20000000000005</v>
      </c>
      <c r="N27" s="240">
        <f>SUM(TOULOUSE!Q10:Q11)</f>
        <v>747.84</v>
      </c>
      <c r="O27" s="240">
        <f>SUM(TOULOUSE!R10:R11)</f>
        <v>658.38</v>
      </c>
      <c r="P27" s="240">
        <f>SUM(TOULOUSE!S10:S11)</f>
        <v>671.24</v>
      </c>
      <c r="Q27" s="240">
        <f>SUM(TOULOUSE!T10:T11)</f>
        <v>0</v>
      </c>
      <c r="R27" s="240">
        <f>SUM(TOULOUSE!U10:U11)</f>
        <v>0</v>
      </c>
      <c r="S27" s="245">
        <f t="shared" si="0"/>
        <v>7753.2199999999993</v>
      </c>
      <c r="V27" s="483"/>
    </row>
    <row r="28" spans="1:24" x14ac:dyDescent="0.2">
      <c r="A28" s="159">
        <v>615111</v>
      </c>
      <c r="B28" s="160" t="s">
        <v>110</v>
      </c>
      <c r="C28" s="148" t="s">
        <v>205</v>
      </c>
      <c r="D28" s="148" t="s">
        <v>192</v>
      </c>
      <c r="E28" s="240">
        <f>+TOULOUSE!H12</f>
        <v>0</v>
      </c>
      <c r="F28" s="240">
        <f>+TOULOUSE!I12</f>
        <v>0</v>
      </c>
      <c r="G28" s="240">
        <f>+TOULOUSE!J12</f>
        <v>0</v>
      </c>
      <c r="H28" s="240">
        <f>+TOULOUSE!K12</f>
        <v>0</v>
      </c>
      <c r="I28" s="240">
        <f>+TOULOUSE!L12</f>
        <v>0</v>
      </c>
      <c r="J28" s="240">
        <f>+TOULOUSE!M12</f>
        <v>0</v>
      </c>
      <c r="K28" s="240">
        <f>+TOULOUSE!N12</f>
        <v>0</v>
      </c>
      <c r="L28" s="240">
        <f>+TOULOUSE!O12</f>
        <v>0</v>
      </c>
      <c r="M28" s="240">
        <f>+TOULOUSE!P12</f>
        <v>0</v>
      </c>
      <c r="N28" s="240">
        <f>+TOULOUSE!Q12</f>
        <v>0</v>
      </c>
      <c r="O28" s="240">
        <f>+TOULOUSE!R12</f>
        <v>0</v>
      </c>
      <c r="P28" s="240">
        <f>+TOULOUSE!S12</f>
        <v>0</v>
      </c>
      <c r="Q28" s="240">
        <f>+TOULOUSE!T12</f>
        <v>0</v>
      </c>
      <c r="R28" s="240">
        <f>+TOULOUSE!U12</f>
        <v>0</v>
      </c>
      <c r="S28" s="245">
        <f t="shared" si="0"/>
        <v>0</v>
      </c>
    </row>
    <row r="29" spans="1:24" x14ac:dyDescent="0.2">
      <c r="A29" s="159"/>
      <c r="B29" s="160"/>
      <c r="C29" s="148"/>
      <c r="D29" s="148"/>
      <c r="E29" s="240"/>
      <c r="F29" s="240"/>
      <c r="G29" s="240"/>
      <c r="H29" s="240"/>
      <c r="I29" s="240"/>
      <c r="J29" s="240"/>
      <c r="K29" s="240"/>
      <c r="L29" s="240"/>
      <c r="M29" s="240"/>
      <c r="N29" s="240"/>
      <c r="O29" s="240"/>
      <c r="P29" s="240"/>
      <c r="Q29" s="240"/>
      <c r="R29" s="240"/>
      <c r="S29" s="245"/>
    </row>
    <row r="30" spans="1:24" x14ac:dyDescent="0.2">
      <c r="A30" s="159">
        <v>615111</v>
      </c>
      <c r="B30" s="160" t="s">
        <v>110</v>
      </c>
      <c r="C30" s="148" t="s">
        <v>365</v>
      </c>
      <c r="D30" s="148"/>
      <c r="E30" s="240"/>
      <c r="F30" s="240">
        <v>-1445.64</v>
      </c>
      <c r="G30" s="240">
        <f>1445.64+18.04</f>
        <v>1463.68</v>
      </c>
      <c r="H30" s="240">
        <f>-18.04+788.04</f>
        <v>770</v>
      </c>
      <c r="I30" s="240">
        <f>-788.04+2766.12</f>
        <v>1978.08</v>
      </c>
      <c r="J30" s="240">
        <f>-2766.12+8.96</f>
        <v>-2757.16</v>
      </c>
      <c r="K30" s="240">
        <f>-8.96-796.41</f>
        <v>-805.37</v>
      </c>
      <c r="L30" s="240">
        <f>796.41-2386.76</f>
        <v>-1590.3500000000004</v>
      </c>
      <c r="M30" s="240">
        <f>2386.76-1089.21</f>
        <v>1297.5500000000002</v>
      </c>
      <c r="N30" s="240">
        <f>1089.21+704.59</f>
        <v>1793.8000000000002</v>
      </c>
      <c r="O30" s="240">
        <f>-704.59+323.87</f>
        <v>-380.72</v>
      </c>
      <c r="P30" s="240">
        <f>-323.87+1.09</f>
        <v>-322.78000000000003</v>
      </c>
      <c r="Q30" s="240"/>
      <c r="R30" s="240"/>
      <c r="S30" s="242">
        <f>SUM(E30:Q30)</f>
        <v>1.0900000000000887</v>
      </c>
    </row>
    <row r="31" spans="1:24" x14ac:dyDescent="0.2">
      <c r="A31" s="159">
        <v>615111</v>
      </c>
      <c r="B31" s="160" t="s">
        <v>110</v>
      </c>
      <c r="C31" s="148" t="s">
        <v>366</v>
      </c>
      <c r="D31" s="148"/>
      <c r="E31" s="240"/>
      <c r="F31" s="240">
        <v>571.29</v>
      </c>
      <c r="G31" s="240">
        <f>+-571.29+1014.94</f>
        <v>443.65000000000009</v>
      </c>
      <c r="H31" s="240">
        <f>-1014.94+1521.41</f>
        <v>506.47</v>
      </c>
      <c r="I31" s="240">
        <f>-1521.41-4090.24</f>
        <v>-5611.65</v>
      </c>
      <c r="J31" s="240">
        <f>4090.24-5566.89</f>
        <v>-1476.6500000000005</v>
      </c>
      <c r="K31" s="240">
        <f>5566.89-2280.54</f>
        <v>3286.3500000000004</v>
      </c>
      <c r="L31" s="240">
        <f>2280.54-392.19</f>
        <v>1888.35</v>
      </c>
      <c r="M31" s="240">
        <f>392.19+1424.16</f>
        <v>1816.3500000000001</v>
      </c>
      <c r="N31" s="240">
        <f>-1424.16+152.51</f>
        <v>-1271.6500000000001</v>
      </c>
      <c r="O31" s="240">
        <f>-152.51-2239.14</f>
        <v>-2391.6499999999996</v>
      </c>
      <c r="P31" s="240">
        <f>2239.14+3.21</f>
        <v>2242.35</v>
      </c>
      <c r="Q31" s="240"/>
      <c r="R31" s="240"/>
      <c r="S31" s="242">
        <f>SUM(E31:Q31)</f>
        <v>3.2100000000004911</v>
      </c>
    </row>
    <row r="32" spans="1:24" s="185" customFormat="1" ht="23.25" customHeight="1" x14ac:dyDescent="0.2">
      <c r="A32" s="267"/>
      <c r="B32" s="268"/>
      <c r="C32" s="267" t="s">
        <v>66</v>
      </c>
      <c r="D32" s="267"/>
      <c r="E32" s="269">
        <f t="shared" ref="E32:S32" si="1">SUM(E4:E31)</f>
        <v>-829.77</v>
      </c>
      <c r="F32" s="269">
        <f t="shared" si="1"/>
        <v>31680.550000000007</v>
      </c>
      <c r="G32" s="269">
        <f t="shared" si="1"/>
        <v>35933.08</v>
      </c>
      <c r="H32" s="269">
        <f t="shared" si="1"/>
        <v>32655.760000000002</v>
      </c>
      <c r="I32" s="269">
        <f t="shared" si="1"/>
        <v>34187.049999999996</v>
      </c>
      <c r="J32" s="269">
        <f t="shared" si="1"/>
        <v>32465.390000000007</v>
      </c>
      <c r="K32" s="269">
        <f t="shared" si="1"/>
        <v>37846.109999999993</v>
      </c>
      <c r="L32" s="269">
        <f t="shared" si="1"/>
        <v>33224.6</v>
      </c>
      <c r="M32" s="269">
        <f t="shared" si="1"/>
        <v>38523.880000000005</v>
      </c>
      <c r="N32" s="269">
        <f t="shared" si="1"/>
        <v>37742.369999999995</v>
      </c>
      <c r="O32" s="269">
        <f t="shared" si="1"/>
        <v>29563.89</v>
      </c>
      <c r="P32" s="269">
        <f t="shared" si="1"/>
        <v>44574.539999999994</v>
      </c>
      <c r="Q32" s="269">
        <f t="shared" si="1"/>
        <v>7402.65</v>
      </c>
      <c r="R32" s="646">
        <f t="shared" si="1"/>
        <v>0</v>
      </c>
      <c r="S32" s="269">
        <f t="shared" si="1"/>
        <v>394970.1</v>
      </c>
      <c r="T32" s="212">
        <v>383729</v>
      </c>
      <c r="U32" s="334">
        <f>S32-T32</f>
        <v>11241.099999999977</v>
      </c>
      <c r="V32" s="185" t="s">
        <v>853</v>
      </c>
      <c r="X32" s="569">
        <f>U32-CENTRALISATION!V32</f>
        <v>0</v>
      </c>
    </row>
    <row r="33" spans="1:22" x14ac:dyDescent="0.2">
      <c r="A33" s="159">
        <v>615113</v>
      </c>
      <c r="B33" s="160" t="s">
        <v>520</v>
      </c>
      <c r="C33" s="148" t="s">
        <v>145</v>
      </c>
      <c r="D33" s="148" t="s">
        <v>192</v>
      </c>
      <c r="E33" s="240">
        <f>+FLEURY!H16</f>
        <v>0</v>
      </c>
      <c r="F33" s="240">
        <f>+FLEURY!I16</f>
        <v>0</v>
      </c>
      <c r="G33" s="240">
        <f>+FLEURY!J16</f>
        <v>0</v>
      </c>
      <c r="H33" s="240">
        <f>+FLEURY!K16</f>
        <v>0</v>
      </c>
      <c r="I33" s="240">
        <f>+FLEURY!L16</f>
        <v>0</v>
      </c>
      <c r="J33" s="240">
        <f>+FLEURY!M16</f>
        <v>0</v>
      </c>
      <c r="K33" s="240">
        <f>+FLEURY!N16</f>
        <v>0</v>
      </c>
      <c r="L33" s="240">
        <f>+FLEURY!O16</f>
        <v>0</v>
      </c>
      <c r="M33" s="240">
        <f>+FLEURY!P16</f>
        <v>0</v>
      </c>
      <c r="N33" s="240">
        <f>+FLEURY!Q16</f>
        <v>1200</v>
      </c>
      <c r="O33" s="240">
        <f>+FLEURY!R16</f>
        <v>0</v>
      </c>
      <c r="P33" s="240">
        <f>+FLEURY!S16</f>
        <v>0</v>
      </c>
      <c r="Q33" s="240">
        <f>+FLEURY!T16</f>
        <v>0</v>
      </c>
      <c r="R33" s="240">
        <f>+FLEURY!U16</f>
        <v>0</v>
      </c>
      <c r="S33" s="242">
        <f>+SUM(E33:Q33)</f>
        <v>1200</v>
      </c>
    </row>
    <row r="34" spans="1:22" s="185" customFormat="1" ht="12.75" customHeight="1" x14ac:dyDescent="0.2">
      <c r="A34" s="181">
        <v>615113</v>
      </c>
      <c r="B34" s="182" t="s">
        <v>520</v>
      </c>
      <c r="C34" s="148" t="s">
        <v>145</v>
      </c>
      <c r="D34" s="183" t="s">
        <v>269</v>
      </c>
      <c r="E34" s="244">
        <f>FLEURY!H17+FLEURY!H18</f>
        <v>-89.779999999999973</v>
      </c>
      <c r="F34" s="244">
        <f>FLEURY!I17+FLEURY!I18</f>
        <v>3078.6899999999996</v>
      </c>
      <c r="G34" s="244">
        <f>FLEURY!J17+FLEURY!J18</f>
        <v>3092.13</v>
      </c>
      <c r="H34" s="244">
        <f>FLEURY!K17+FLEURY!K18</f>
        <v>4457.46</v>
      </c>
      <c r="I34" s="244">
        <f>FLEURY!L17+FLEURY!L18</f>
        <v>3310.64</v>
      </c>
      <c r="J34" s="244">
        <f>FLEURY!M17+FLEURY!M18</f>
        <v>3444.8599999999997</v>
      </c>
      <c r="K34" s="244">
        <f>FLEURY!N17+FLEURY!N18</f>
        <v>4045.4900000000002</v>
      </c>
      <c r="L34" s="244">
        <f>FLEURY!O17+FLEURY!O18</f>
        <v>2313.27</v>
      </c>
      <c r="M34" s="244">
        <f>FLEURY!P17+FLEURY!P18</f>
        <v>2802.72</v>
      </c>
      <c r="N34" s="244">
        <f>FLEURY!Q17+FLEURY!Q18</f>
        <v>2503.1099999999997</v>
      </c>
      <c r="O34" s="244">
        <f>FLEURY!R17+FLEURY!R18</f>
        <v>2823.29</v>
      </c>
      <c r="P34" s="244">
        <f>FLEURY!S17+FLEURY!S18</f>
        <v>2510.88</v>
      </c>
      <c r="Q34" s="244">
        <f>FLEURY!T17+FLEURY!T18</f>
        <v>0</v>
      </c>
      <c r="R34" s="244">
        <f>FLEURY!U17+FLEURY!U18</f>
        <v>0</v>
      </c>
      <c r="S34" s="242">
        <f>+SUM(E34:Q34)</f>
        <v>34292.76</v>
      </c>
      <c r="U34" s="334"/>
      <c r="V34" s="500"/>
    </row>
    <row r="35" spans="1:22" s="185" customFormat="1" ht="12.75" customHeight="1" x14ac:dyDescent="0.2">
      <c r="A35" s="181"/>
      <c r="B35" s="182"/>
      <c r="C35" s="148"/>
      <c r="D35" s="183"/>
      <c r="E35" s="244"/>
      <c r="F35" s="244"/>
      <c r="G35" s="244"/>
      <c r="H35" s="244"/>
      <c r="I35" s="244"/>
      <c r="J35" s="244"/>
      <c r="K35" s="244"/>
      <c r="L35" s="244"/>
      <c r="M35" s="244"/>
      <c r="N35" s="244"/>
      <c r="O35" s="244"/>
      <c r="P35" s="244"/>
      <c r="Q35" s="244"/>
      <c r="R35" s="244"/>
      <c r="S35" s="242"/>
      <c r="U35" s="334"/>
    </row>
    <row r="36" spans="1:22" x14ac:dyDescent="0.2">
      <c r="A36" s="159">
        <v>615113</v>
      </c>
      <c r="B36" s="160" t="s">
        <v>520</v>
      </c>
      <c r="C36" s="148" t="s">
        <v>108</v>
      </c>
      <c r="D36" s="148" t="s">
        <v>269</v>
      </c>
      <c r="E36" s="240">
        <f>+AIX!H17</f>
        <v>-1000</v>
      </c>
      <c r="F36" s="240">
        <f>+AIX!I17</f>
        <v>0</v>
      </c>
      <c r="G36" s="240">
        <f>+AIX!J17</f>
        <v>1168.1600000000001</v>
      </c>
      <c r="H36" s="240">
        <f>+AIX!K17</f>
        <v>1001.28</v>
      </c>
      <c r="I36" s="240">
        <f>+AIX!L17</f>
        <v>0</v>
      </c>
      <c r="J36" s="240">
        <f>+AIX!M17</f>
        <v>0</v>
      </c>
      <c r="K36" s="240">
        <f>+AIX!N17</f>
        <v>0</v>
      </c>
      <c r="L36" s="240">
        <f>+AIX!O17</f>
        <v>0</v>
      </c>
      <c r="M36" s="240">
        <f>+AIX!P17</f>
        <v>0</v>
      </c>
      <c r="N36" s="240">
        <f>+AIX!Q17</f>
        <v>0</v>
      </c>
      <c r="O36" s="240">
        <f>+AIX!R17</f>
        <v>0</v>
      </c>
      <c r="P36" s="240">
        <f>+AIX!S17</f>
        <v>0</v>
      </c>
      <c r="Q36" s="240">
        <f>+AIX!T17</f>
        <v>0</v>
      </c>
      <c r="R36" s="240">
        <f>+AIX!U17</f>
        <v>0</v>
      </c>
      <c r="S36" s="242">
        <f>+SUM(E36:Q36)</f>
        <v>1169.44</v>
      </c>
    </row>
    <row r="37" spans="1:22" s="185" customFormat="1" ht="12.75" customHeight="1" x14ac:dyDescent="0.2">
      <c r="A37" s="181"/>
      <c r="B37" s="182"/>
      <c r="C37" s="183"/>
      <c r="D37" s="183"/>
      <c r="E37" s="244"/>
      <c r="F37" s="244"/>
      <c r="G37" s="244"/>
      <c r="H37" s="244"/>
      <c r="I37" s="244"/>
      <c r="J37" s="244"/>
      <c r="K37" s="244"/>
      <c r="L37" s="244"/>
      <c r="M37" s="244"/>
      <c r="N37" s="244"/>
      <c r="O37" s="244"/>
      <c r="P37" s="244"/>
      <c r="Q37" s="244"/>
      <c r="R37" s="244"/>
      <c r="S37" s="242">
        <f t="shared" ref="S37:S53" si="2">+SUM(E37:Q37)</f>
        <v>0</v>
      </c>
      <c r="U37" s="334"/>
    </row>
    <row r="38" spans="1:22" x14ac:dyDescent="0.2">
      <c r="A38" s="159">
        <v>615113</v>
      </c>
      <c r="B38" s="160" t="s">
        <v>520</v>
      </c>
      <c r="C38" s="148" t="s">
        <v>163</v>
      </c>
      <c r="D38" s="148" t="s">
        <v>192</v>
      </c>
      <c r="E38" s="240">
        <f>+LYON!H17</f>
        <v>0</v>
      </c>
      <c r="F38" s="240">
        <f>+LYON!I17</f>
        <v>0</v>
      </c>
      <c r="G38" s="240">
        <f>+LYON!J17</f>
        <v>0</v>
      </c>
      <c r="H38" s="240">
        <f>+LYON!K17</f>
        <v>0</v>
      </c>
      <c r="I38" s="240">
        <f>+LYON!L17</f>
        <v>0</v>
      </c>
      <c r="J38" s="240">
        <f>+LYON!M17</f>
        <v>0</v>
      </c>
      <c r="K38" s="240">
        <f>+LYON!N17</f>
        <v>0</v>
      </c>
      <c r="L38" s="240">
        <f>+LYON!O17</f>
        <v>0</v>
      </c>
      <c r="M38" s="240">
        <f>+LYON!P17</f>
        <v>0</v>
      </c>
      <c r="N38" s="240">
        <f>+LYON!Q17</f>
        <v>0</v>
      </c>
      <c r="O38" s="240">
        <f>+LYON!R17</f>
        <v>0</v>
      </c>
      <c r="P38" s="240">
        <f>+LYON!S17</f>
        <v>0</v>
      </c>
      <c r="Q38" s="240">
        <f>+LYON!T17</f>
        <v>0</v>
      </c>
      <c r="R38" s="240">
        <f>+LYON!U17</f>
        <v>0</v>
      </c>
      <c r="S38" s="242">
        <f t="shared" si="2"/>
        <v>0</v>
      </c>
    </row>
    <row r="39" spans="1:22" s="185" customFormat="1" ht="12.75" customHeight="1" x14ac:dyDescent="0.2">
      <c r="A39" s="181"/>
      <c r="B39" s="182"/>
      <c r="C39" s="183"/>
      <c r="D39" s="183"/>
      <c r="E39" s="244"/>
      <c r="F39" s="244"/>
      <c r="G39" s="244"/>
      <c r="H39" s="244"/>
      <c r="I39" s="244"/>
      <c r="J39" s="244"/>
      <c r="K39" s="244"/>
      <c r="L39" s="244"/>
      <c r="M39" s="244"/>
      <c r="N39" s="244"/>
      <c r="O39" s="244"/>
      <c r="P39" s="244"/>
      <c r="Q39" s="244"/>
      <c r="R39" s="244"/>
      <c r="S39" s="242">
        <f t="shared" si="2"/>
        <v>0</v>
      </c>
      <c r="U39" s="334"/>
    </row>
    <row r="40" spans="1:22" s="185" customFormat="1" ht="12.75" customHeight="1" x14ac:dyDescent="0.2">
      <c r="A40" s="181">
        <v>615113</v>
      </c>
      <c r="B40" s="160" t="s">
        <v>520</v>
      </c>
      <c r="C40" s="183" t="s">
        <v>163</v>
      </c>
      <c r="D40" s="183" t="s">
        <v>269</v>
      </c>
      <c r="E40" s="244">
        <f>LYON!H18</f>
        <v>0</v>
      </c>
      <c r="F40" s="244">
        <f>LYON!I18</f>
        <v>0</v>
      </c>
      <c r="G40" s="244">
        <f>LYON!J18</f>
        <v>0</v>
      </c>
      <c r="H40" s="244">
        <f>LYON!K18</f>
        <v>0</v>
      </c>
      <c r="I40" s="244">
        <f>LYON!L18</f>
        <v>0</v>
      </c>
      <c r="J40" s="244">
        <f>LYON!M18</f>
        <v>0</v>
      </c>
      <c r="K40" s="244">
        <f>LYON!N18</f>
        <v>0</v>
      </c>
      <c r="L40" s="244">
        <f>LYON!O18</f>
        <v>0</v>
      </c>
      <c r="M40" s="244">
        <f>LYON!P18</f>
        <v>0</v>
      </c>
      <c r="N40" s="244">
        <f>LYON!Q18</f>
        <v>0</v>
      </c>
      <c r="O40" s="244">
        <f>LYON!R18</f>
        <v>0</v>
      </c>
      <c r="P40" s="244">
        <f>LYON!S18</f>
        <v>0</v>
      </c>
      <c r="Q40" s="244">
        <f>LYON!T18</f>
        <v>0</v>
      </c>
      <c r="R40" s="244">
        <f>LYON!U18</f>
        <v>0</v>
      </c>
      <c r="S40" s="242">
        <f t="shared" si="2"/>
        <v>0</v>
      </c>
      <c r="U40" s="334"/>
    </row>
    <row r="41" spans="1:22" s="185" customFormat="1" ht="12.75" customHeight="1" x14ac:dyDescent="0.2">
      <c r="A41" s="181"/>
      <c r="B41" s="182"/>
      <c r="C41" s="183"/>
      <c r="D41" s="183"/>
      <c r="E41" s="244"/>
      <c r="F41" s="244"/>
      <c r="G41" s="244"/>
      <c r="H41" s="244"/>
      <c r="I41" s="244"/>
      <c r="J41" s="244"/>
      <c r="K41" s="244"/>
      <c r="L41" s="244"/>
      <c r="M41" s="244"/>
      <c r="N41" s="244"/>
      <c r="O41" s="244"/>
      <c r="P41" s="244"/>
      <c r="Q41" s="244"/>
      <c r="R41" s="244"/>
      <c r="S41" s="242">
        <f t="shared" si="2"/>
        <v>0</v>
      </c>
      <c r="U41" s="334"/>
    </row>
    <row r="42" spans="1:22" x14ac:dyDescent="0.2">
      <c r="A42" s="159">
        <v>615113</v>
      </c>
      <c r="B42" s="160" t="s">
        <v>520</v>
      </c>
      <c r="C42" s="148" t="s">
        <v>130</v>
      </c>
      <c r="D42" s="148" t="s">
        <v>192</v>
      </c>
      <c r="E42" s="240">
        <f>+BORDEAUX!H17</f>
        <v>0</v>
      </c>
      <c r="F42" s="240">
        <f>+BORDEAUX!I17</f>
        <v>0</v>
      </c>
      <c r="G42" s="240">
        <f>+BORDEAUX!J17</f>
        <v>0</v>
      </c>
      <c r="H42" s="240">
        <f>+BORDEAUX!K17</f>
        <v>0</v>
      </c>
      <c r="I42" s="240">
        <f>+BORDEAUX!L17</f>
        <v>0</v>
      </c>
      <c r="J42" s="240">
        <f>+BORDEAUX!M17</f>
        <v>0</v>
      </c>
      <c r="K42" s="240">
        <f>+BORDEAUX!N17</f>
        <v>0</v>
      </c>
      <c r="L42" s="240">
        <f>+BORDEAUX!O17</f>
        <v>0</v>
      </c>
      <c r="M42" s="240">
        <f>+BORDEAUX!P17</f>
        <v>0</v>
      </c>
      <c r="N42" s="240">
        <f>+BORDEAUX!Q17</f>
        <v>0</v>
      </c>
      <c r="O42" s="240">
        <f>+BORDEAUX!R17</f>
        <v>0</v>
      </c>
      <c r="P42" s="240">
        <f>+BORDEAUX!S17</f>
        <v>0</v>
      </c>
      <c r="Q42" s="240">
        <f>+BORDEAUX!T17</f>
        <v>0</v>
      </c>
      <c r="R42" s="240">
        <f>+BORDEAUX!U17</f>
        <v>0</v>
      </c>
      <c r="S42" s="242">
        <f t="shared" si="2"/>
        <v>0</v>
      </c>
    </row>
    <row r="43" spans="1:22" s="185" customFormat="1" ht="12.75" customHeight="1" x14ac:dyDescent="0.2">
      <c r="A43" s="181"/>
      <c r="B43" s="182"/>
      <c r="C43" s="183"/>
      <c r="D43" s="183"/>
      <c r="E43" s="244"/>
      <c r="F43" s="244"/>
      <c r="G43" s="244"/>
      <c r="H43" s="244"/>
      <c r="I43" s="244"/>
      <c r="J43" s="244"/>
      <c r="K43" s="244"/>
      <c r="L43" s="244"/>
      <c r="M43" s="244"/>
      <c r="N43" s="244"/>
      <c r="O43" s="244"/>
      <c r="P43" s="244"/>
      <c r="Q43" s="244"/>
      <c r="R43" s="244"/>
      <c r="S43" s="242">
        <f t="shared" si="2"/>
        <v>0</v>
      </c>
      <c r="U43" s="334"/>
    </row>
    <row r="44" spans="1:22" x14ac:dyDescent="0.2">
      <c r="A44" s="159">
        <v>615113</v>
      </c>
      <c r="B44" s="160" t="s">
        <v>520</v>
      </c>
      <c r="C44" s="148" t="s">
        <v>153</v>
      </c>
      <c r="D44" s="148" t="s">
        <v>269</v>
      </c>
      <c r="E44" s="240">
        <f>+NANCY!H16</f>
        <v>0</v>
      </c>
      <c r="F44" s="240">
        <f>+NANCY!I16</f>
        <v>0</v>
      </c>
      <c r="G44" s="240">
        <f>+NANCY!J16</f>
        <v>0</v>
      </c>
      <c r="H44" s="240">
        <f>+NANCY!K16</f>
        <v>0</v>
      </c>
      <c r="I44" s="240">
        <f>+NANCY!L16</f>
        <v>0</v>
      </c>
      <c r="J44" s="240">
        <f>+NANCY!M16</f>
        <v>0</v>
      </c>
      <c r="K44" s="240">
        <f>+NANCY!N16</f>
        <v>0</v>
      </c>
      <c r="L44" s="240">
        <f>+NANCY!O16</f>
        <v>0</v>
      </c>
      <c r="M44" s="240">
        <f>+NANCY!P16</f>
        <v>0</v>
      </c>
      <c r="N44" s="240">
        <f>+NANCY!Q16</f>
        <v>0</v>
      </c>
      <c r="O44" s="240">
        <f>+NANCY!R16</f>
        <v>0</v>
      </c>
      <c r="P44" s="240">
        <f>+NANCY!S16</f>
        <v>0</v>
      </c>
      <c r="Q44" s="240">
        <f>+NANCY!T16</f>
        <v>0</v>
      </c>
      <c r="R44" s="240">
        <f>+NANCY!U16</f>
        <v>0</v>
      </c>
      <c r="S44" s="242">
        <f t="shared" si="2"/>
        <v>0</v>
      </c>
    </row>
    <row r="45" spans="1:22" s="185" customFormat="1" ht="12.75" customHeight="1" x14ac:dyDescent="0.2">
      <c r="A45" s="181"/>
      <c r="B45" s="182"/>
      <c r="C45" s="183"/>
      <c r="D45" s="183"/>
      <c r="E45" s="244"/>
      <c r="F45" s="244"/>
      <c r="G45" s="244"/>
      <c r="H45" s="244"/>
      <c r="I45" s="244"/>
      <c r="J45" s="244"/>
      <c r="K45" s="244"/>
      <c r="L45" s="244"/>
      <c r="M45" s="244"/>
      <c r="N45" s="244"/>
      <c r="O45" s="244"/>
      <c r="P45" s="244"/>
      <c r="Q45" s="244"/>
      <c r="R45" s="244"/>
      <c r="S45" s="242">
        <f t="shared" si="2"/>
        <v>0</v>
      </c>
      <c r="U45" s="334"/>
    </row>
    <row r="46" spans="1:22" x14ac:dyDescent="0.2">
      <c r="A46" s="159">
        <v>615113</v>
      </c>
      <c r="B46" s="160" t="s">
        <v>520</v>
      </c>
      <c r="C46" s="148" t="s">
        <v>143</v>
      </c>
      <c r="D46" s="148" t="s">
        <v>192</v>
      </c>
      <c r="E46" s="240">
        <f>+RENNES!H18</f>
        <v>0</v>
      </c>
      <c r="F46" s="240">
        <f>+RENNES!I18</f>
        <v>340</v>
      </c>
      <c r="G46" s="240">
        <f>+RENNES!J18</f>
        <v>0</v>
      </c>
      <c r="H46" s="240">
        <f>+RENNES!K18</f>
        <v>0</v>
      </c>
      <c r="I46" s="240">
        <f>+RENNES!L18</f>
        <v>0</v>
      </c>
      <c r="J46" s="240">
        <f>+RENNES!M18</f>
        <v>780</v>
      </c>
      <c r="K46" s="240">
        <f>+RENNES!N18</f>
        <v>0</v>
      </c>
      <c r="L46" s="240">
        <f>+RENNES!O18</f>
        <v>0</v>
      </c>
      <c r="M46" s="240">
        <f>+RENNES!P18</f>
        <v>0</v>
      </c>
      <c r="N46" s="240">
        <f>+RENNES!Q18</f>
        <v>874.15</v>
      </c>
      <c r="O46" s="240">
        <f>+RENNES!R18</f>
        <v>884.62</v>
      </c>
      <c r="P46" s="240">
        <f>+RENNES!S18</f>
        <v>887.21</v>
      </c>
      <c r="Q46" s="240">
        <f>+RENNES!T18</f>
        <v>0</v>
      </c>
      <c r="R46" s="240">
        <f>+RENNES!U18</f>
        <v>0</v>
      </c>
      <c r="S46" s="242">
        <f t="shared" si="2"/>
        <v>3765.98</v>
      </c>
    </row>
    <row r="47" spans="1:22" s="185" customFormat="1" ht="12.75" customHeight="1" x14ac:dyDescent="0.2">
      <c r="A47" s="181"/>
      <c r="B47" s="182"/>
      <c r="C47" s="183"/>
      <c r="D47" s="183"/>
      <c r="E47" s="244"/>
      <c r="F47" s="244"/>
      <c r="G47" s="244"/>
      <c r="H47" s="244"/>
      <c r="I47" s="244"/>
      <c r="J47" s="244"/>
      <c r="K47" s="244"/>
      <c r="L47" s="244"/>
      <c r="M47" s="244"/>
      <c r="N47" s="244"/>
      <c r="O47" s="244"/>
      <c r="P47" s="244"/>
      <c r="Q47" s="244"/>
      <c r="R47" s="244"/>
      <c r="S47" s="242">
        <f t="shared" si="2"/>
        <v>0</v>
      </c>
      <c r="U47" s="334"/>
    </row>
    <row r="48" spans="1:22" x14ac:dyDescent="0.2">
      <c r="A48" s="159">
        <v>615113</v>
      </c>
      <c r="B48" s="160" t="s">
        <v>520</v>
      </c>
      <c r="C48" s="148" t="s">
        <v>157</v>
      </c>
      <c r="D48" s="148" t="s">
        <v>805</v>
      </c>
      <c r="E48" s="240"/>
      <c r="F48" s="240">
        <f>+BEAUVAIS!I18</f>
        <v>0</v>
      </c>
      <c r="G48" s="240">
        <f>+BEAUVAIS!J18</f>
        <v>0</v>
      </c>
      <c r="H48" s="240">
        <f>+BEAUVAIS!K18</f>
        <v>0</v>
      </c>
      <c r="I48" s="240">
        <f>+BEAUVAIS!L18</f>
        <v>0</v>
      </c>
      <c r="J48" s="240">
        <f>+BEAUVAIS!M18</f>
        <v>0</v>
      </c>
      <c r="K48" s="240">
        <f>+BEAUVAIS!N18</f>
        <v>0</v>
      </c>
      <c r="L48" s="240">
        <f>+BEAUVAIS!O18</f>
        <v>360</v>
      </c>
      <c r="M48" s="240">
        <f>+BEAUVAIS!P18</f>
        <v>0</v>
      </c>
      <c r="N48" s="240">
        <f>+BEAUVAIS!Q18</f>
        <v>0</v>
      </c>
      <c r="O48" s="240">
        <f>+BEAUVAIS!R18</f>
        <v>0</v>
      </c>
      <c r="P48" s="240">
        <f>+BEAUVAIS!S18</f>
        <v>0</v>
      </c>
      <c r="Q48" s="240">
        <f>+BEAUVAIS!T18</f>
        <v>0</v>
      </c>
      <c r="R48" s="240">
        <f>+BEAUVAIS!U18</f>
        <v>0</v>
      </c>
      <c r="S48" s="242">
        <f t="shared" si="2"/>
        <v>360</v>
      </c>
    </row>
    <row r="49" spans="1:24" s="185" customFormat="1" ht="12.75" customHeight="1" x14ac:dyDescent="0.2">
      <c r="A49" s="181"/>
      <c r="B49" s="182"/>
      <c r="C49" s="183"/>
      <c r="D49" s="183"/>
      <c r="E49" s="244"/>
      <c r="F49" s="244"/>
      <c r="G49" s="244"/>
      <c r="H49" s="244"/>
      <c r="I49" s="244"/>
      <c r="J49" s="244"/>
      <c r="K49" s="244"/>
      <c r="L49" s="244"/>
      <c r="M49" s="244"/>
      <c r="N49" s="244"/>
      <c r="O49" s="244"/>
      <c r="P49" s="244"/>
      <c r="Q49" s="244"/>
      <c r="R49" s="244"/>
      <c r="S49" s="242">
        <f t="shared" si="2"/>
        <v>0</v>
      </c>
      <c r="U49" s="334"/>
    </row>
    <row r="50" spans="1:24" x14ac:dyDescent="0.2">
      <c r="A50" s="159">
        <v>615113</v>
      </c>
      <c r="B50" s="160" t="s">
        <v>520</v>
      </c>
      <c r="C50" s="148" t="s">
        <v>205</v>
      </c>
      <c r="D50" s="148"/>
      <c r="E50" s="240"/>
      <c r="F50" s="240"/>
      <c r="G50" s="240"/>
      <c r="H50" s="240"/>
      <c r="I50" s="240"/>
      <c r="J50" s="240"/>
      <c r="K50" s="240"/>
      <c r="L50" s="240"/>
      <c r="M50" s="240"/>
      <c r="N50" s="240"/>
      <c r="O50" s="240"/>
      <c r="P50" s="240"/>
      <c r="Q50" s="240"/>
      <c r="R50" s="240"/>
      <c r="S50" s="242">
        <f t="shared" si="2"/>
        <v>0</v>
      </c>
    </row>
    <row r="51" spans="1:24" x14ac:dyDescent="0.2">
      <c r="A51" s="159"/>
      <c r="B51" s="160"/>
      <c r="C51" s="148"/>
      <c r="D51" s="148"/>
      <c r="E51" s="240"/>
      <c r="F51" s="240"/>
      <c r="G51" s="240"/>
      <c r="H51" s="240"/>
      <c r="I51" s="240"/>
      <c r="J51" s="240"/>
      <c r="K51" s="240"/>
      <c r="L51" s="240"/>
      <c r="M51" s="240"/>
      <c r="N51" s="240"/>
      <c r="O51" s="240"/>
      <c r="P51" s="240"/>
      <c r="Q51" s="240"/>
      <c r="R51" s="240"/>
      <c r="S51" s="242">
        <f t="shared" si="2"/>
        <v>0</v>
      </c>
    </row>
    <row r="52" spans="1:24" x14ac:dyDescent="0.2">
      <c r="A52" s="159">
        <v>615113</v>
      </c>
      <c r="B52" s="160" t="s">
        <v>520</v>
      </c>
      <c r="C52" s="148" t="s">
        <v>366</v>
      </c>
      <c r="D52" s="148"/>
      <c r="E52" s="240"/>
      <c r="F52" s="240">
        <v>7145.78</v>
      </c>
      <c r="G52" s="240">
        <f>-7145.78+14163.09</f>
        <v>7017.31</v>
      </c>
      <c r="H52" s="240">
        <f>-14163.09+13652.52</f>
        <v>-510.56999999999971</v>
      </c>
      <c r="I52" s="240">
        <f>-13652.52+20584.92</f>
        <v>6932.3999999999978</v>
      </c>
      <c r="J52" s="240">
        <f>-20584.92+27656.42</f>
        <v>7071.5</v>
      </c>
      <c r="K52" s="240">
        <f>-27656.42+37346.56</f>
        <v>9690.14</v>
      </c>
      <c r="L52" s="240">
        <f>-37346.56+44135.42</f>
        <v>6788.8600000000006</v>
      </c>
      <c r="M52" s="240">
        <f>-44135.42+53919.8</f>
        <v>9784.3800000000047</v>
      </c>
      <c r="N52" s="240">
        <f>-53919.8+61333.81</f>
        <v>7414.0099999999948</v>
      </c>
      <c r="O52" s="240">
        <f>-61333.81+69541.32</f>
        <v>8207.5100000000093</v>
      </c>
      <c r="P52" s="240">
        <f>-69541.32+38172.19</f>
        <v>-31369.130000000005</v>
      </c>
      <c r="Q52" s="240"/>
      <c r="R52" s="240"/>
      <c r="S52" s="242">
        <f t="shared" si="2"/>
        <v>38172.19</v>
      </c>
    </row>
    <row r="53" spans="1:24" x14ac:dyDescent="0.2">
      <c r="A53" s="159"/>
      <c r="B53" s="160"/>
      <c r="C53" s="148"/>
      <c r="D53" s="148"/>
      <c r="E53" s="240"/>
      <c r="F53" s="240"/>
      <c r="G53" s="240"/>
      <c r="H53" s="240"/>
      <c r="I53" s="240"/>
      <c r="J53" s="240"/>
      <c r="K53" s="240"/>
      <c r="L53" s="240"/>
      <c r="M53" s="240"/>
      <c r="N53" s="240"/>
      <c r="O53" s="240"/>
      <c r="P53" s="240"/>
      <c r="Q53" s="240"/>
      <c r="R53" s="240"/>
      <c r="S53" s="242">
        <f t="shared" si="2"/>
        <v>0</v>
      </c>
    </row>
    <row r="54" spans="1:24" s="185" customFormat="1" ht="23.25" customHeight="1" x14ac:dyDescent="0.2">
      <c r="A54" s="267"/>
      <c r="B54" s="268"/>
      <c r="C54" s="267" t="s">
        <v>66</v>
      </c>
      <c r="D54" s="267"/>
      <c r="E54" s="269">
        <f>SUM(E33:E53)</f>
        <v>-1089.78</v>
      </c>
      <c r="F54" s="269">
        <f t="shared" ref="F54:Q54" si="3">SUM(F33:F53)</f>
        <v>10564.47</v>
      </c>
      <c r="G54" s="269">
        <f t="shared" si="3"/>
        <v>11277.6</v>
      </c>
      <c r="H54" s="269">
        <f t="shared" si="3"/>
        <v>4948.17</v>
      </c>
      <c r="I54" s="269">
        <f t="shared" si="3"/>
        <v>10243.039999999997</v>
      </c>
      <c r="J54" s="269">
        <f t="shared" si="3"/>
        <v>11296.36</v>
      </c>
      <c r="K54" s="269">
        <f t="shared" si="3"/>
        <v>13735.63</v>
      </c>
      <c r="L54" s="269">
        <f t="shared" si="3"/>
        <v>9462.130000000001</v>
      </c>
      <c r="M54" s="269">
        <f t="shared" si="3"/>
        <v>12587.100000000004</v>
      </c>
      <c r="N54" s="269">
        <f t="shared" si="3"/>
        <v>11991.269999999993</v>
      </c>
      <c r="O54" s="269">
        <f t="shared" si="3"/>
        <v>11915.420000000009</v>
      </c>
      <c r="P54" s="269">
        <f t="shared" si="3"/>
        <v>-27971.040000000005</v>
      </c>
      <c r="Q54" s="269">
        <f t="shared" si="3"/>
        <v>0</v>
      </c>
      <c r="R54" s="269">
        <f>SUM(R33:R53)</f>
        <v>0</v>
      </c>
      <c r="S54" s="269">
        <f>SUM(S33:S53)</f>
        <v>78960.37000000001</v>
      </c>
      <c r="T54" s="212">
        <v>78815</v>
      </c>
      <c r="U54" s="334">
        <f>T54-S54</f>
        <v>-145.3700000000099</v>
      </c>
      <c r="V54" s="185" t="s">
        <v>853</v>
      </c>
      <c r="X54" s="569">
        <f>U54-CENTRALISATION!V54</f>
        <v>0</v>
      </c>
    </row>
    <row r="55" spans="1:24" s="185" customFormat="1" ht="12" customHeight="1" x14ac:dyDescent="0.2">
      <c r="A55" s="181">
        <v>615114</v>
      </c>
      <c r="B55" s="182" t="s">
        <v>535</v>
      </c>
      <c r="C55" s="183" t="s">
        <v>77</v>
      </c>
      <c r="D55" s="183" t="s">
        <v>192</v>
      </c>
      <c r="E55" s="244">
        <f>+FLEURY!H22</f>
        <v>-320</v>
      </c>
      <c r="F55" s="244">
        <f>+FLEURY!I22</f>
        <v>320</v>
      </c>
      <c r="G55" s="244">
        <f>+FLEURY!J22</f>
        <v>0</v>
      </c>
      <c r="H55" s="244">
        <f>+FLEURY!K22</f>
        <v>-160</v>
      </c>
      <c r="I55" s="244">
        <f>+FLEURY!L22</f>
        <v>480</v>
      </c>
      <c r="J55" s="244">
        <f>+FLEURY!M22</f>
        <v>0</v>
      </c>
      <c r="K55" s="244">
        <f>+FLEURY!N22</f>
        <v>160</v>
      </c>
      <c r="L55" s="244">
        <f>+FLEURY!O22</f>
        <v>480</v>
      </c>
      <c r="M55" s="244">
        <f>+FLEURY!P22</f>
        <v>0</v>
      </c>
      <c r="N55" s="244">
        <f>+FLEURY!Q22</f>
        <v>320</v>
      </c>
      <c r="O55" s="244">
        <f>+FLEURY!R22</f>
        <v>480</v>
      </c>
      <c r="P55" s="244">
        <f>+FLEURY!S22</f>
        <v>480</v>
      </c>
      <c r="Q55" s="244">
        <f>+FLEURY!T22</f>
        <v>0</v>
      </c>
      <c r="R55" s="244">
        <f>+FLEURY!U22</f>
        <v>0</v>
      </c>
      <c r="S55" s="243">
        <f>SUM(E55:Q55)</f>
        <v>2240</v>
      </c>
      <c r="T55" s="212"/>
      <c r="U55" s="334"/>
      <c r="V55" s="500"/>
    </row>
    <row r="56" spans="1:24" s="185" customFormat="1" ht="12" customHeight="1" x14ac:dyDescent="0.2">
      <c r="A56" s="181"/>
      <c r="B56" s="182"/>
      <c r="C56" s="183"/>
      <c r="D56" s="183"/>
      <c r="E56" s="244"/>
      <c r="F56" s="244"/>
      <c r="G56" s="244"/>
      <c r="H56" s="244"/>
      <c r="I56" s="244"/>
      <c r="J56" s="244"/>
      <c r="K56" s="244"/>
      <c r="L56" s="500"/>
      <c r="M56" s="244"/>
      <c r="N56" s="244"/>
      <c r="O56" s="244"/>
      <c r="P56" s="244"/>
      <c r="Q56" s="244">
        <f>+AIX!T23</f>
        <v>0</v>
      </c>
      <c r="R56" s="244">
        <f>+AIX!U23</f>
        <v>0</v>
      </c>
      <c r="S56" s="243"/>
      <c r="T56" s="212"/>
      <c r="U56" s="334"/>
      <c r="V56" s="500"/>
    </row>
    <row r="57" spans="1:24" s="185" customFormat="1" ht="12" customHeight="1" x14ac:dyDescent="0.2">
      <c r="A57" s="181">
        <v>615114</v>
      </c>
      <c r="B57" s="182" t="s">
        <v>535</v>
      </c>
      <c r="C57" s="183" t="s">
        <v>70</v>
      </c>
      <c r="D57" s="183" t="s">
        <v>192</v>
      </c>
      <c r="E57" s="244">
        <f>+AIX!H23</f>
        <v>-320</v>
      </c>
      <c r="F57" s="244">
        <f>+AIX!I23</f>
        <v>160</v>
      </c>
      <c r="G57" s="244">
        <f>+AIX!J23</f>
        <v>320</v>
      </c>
      <c r="H57" s="244">
        <f>+AIX!K23</f>
        <v>160</v>
      </c>
      <c r="I57" s="244">
        <f>+AIX!L23</f>
        <v>0</v>
      </c>
      <c r="J57" s="244">
        <f>+AIX!M23</f>
        <v>0</v>
      </c>
      <c r="K57" s="244">
        <f>+AIX!N23</f>
        <v>0</v>
      </c>
      <c r="L57" s="244">
        <f>+AIX!O23</f>
        <v>160</v>
      </c>
      <c r="M57" s="244">
        <f>+AIX!P23</f>
        <v>0</v>
      </c>
      <c r="N57" s="244">
        <f>+AIX!Q23</f>
        <v>0</v>
      </c>
      <c r="O57" s="244">
        <f>+AIX!R23</f>
        <v>320</v>
      </c>
      <c r="P57" s="244">
        <f>+AIX!S23</f>
        <v>-160</v>
      </c>
      <c r="Q57" s="244">
        <f>+AIX!T23</f>
        <v>0</v>
      </c>
      <c r="R57" s="244">
        <f>+AIX!U23</f>
        <v>0</v>
      </c>
      <c r="S57" s="243">
        <f>SUM(E57:Q57)</f>
        <v>640</v>
      </c>
      <c r="T57" s="212"/>
      <c r="U57" s="334"/>
      <c r="V57" s="500"/>
    </row>
    <row r="58" spans="1:24" s="185" customFormat="1" ht="12" customHeight="1" x14ac:dyDescent="0.2">
      <c r="A58" s="181"/>
      <c r="B58" s="182"/>
      <c r="C58" s="183"/>
      <c r="D58" s="183"/>
      <c r="E58" s="244"/>
      <c r="F58" s="244"/>
      <c r="G58" s="244"/>
      <c r="H58" s="244"/>
      <c r="I58" s="244"/>
      <c r="J58" s="244"/>
      <c r="K58" s="244"/>
      <c r="L58" s="244"/>
      <c r="M58" s="244"/>
      <c r="N58" s="244"/>
      <c r="O58" s="244"/>
      <c r="P58" s="244"/>
      <c r="Q58" s="244"/>
      <c r="R58" s="244"/>
      <c r="S58" s="243"/>
      <c r="T58" s="212"/>
      <c r="U58" s="334"/>
      <c r="V58" s="500"/>
    </row>
    <row r="59" spans="1:24" s="185" customFormat="1" ht="12" customHeight="1" x14ac:dyDescent="0.2">
      <c r="A59" s="181">
        <v>615114</v>
      </c>
      <c r="B59" s="182" t="s">
        <v>535</v>
      </c>
      <c r="C59" s="183" t="s">
        <v>75</v>
      </c>
      <c r="D59" s="183" t="s">
        <v>192</v>
      </c>
      <c r="E59" s="244">
        <f>+LYON!H24</f>
        <v>160</v>
      </c>
      <c r="F59" s="244">
        <f>+LYON!I24</f>
        <v>160</v>
      </c>
      <c r="G59" s="244">
        <f>+LYON!J24</f>
        <v>320</v>
      </c>
      <c r="H59" s="244">
        <f>+LYON!K24</f>
        <v>0</v>
      </c>
      <c r="I59" s="244">
        <f>+LYON!L24</f>
        <v>640</v>
      </c>
      <c r="J59" s="244">
        <f>+LYON!M24</f>
        <v>160</v>
      </c>
      <c r="K59" s="244">
        <f>+LYON!N24</f>
        <v>160</v>
      </c>
      <c r="L59" s="244">
        <f>+LYON!O24</f>
        <v>1120</v>
      </c>
      <c r="M59" s="244">
        <f>+LYON!P24</f>
        <v>640</v>
      </c>
      <c r="N59" s="244">
        <f>+LYON!Q24</f>
        <v>480</v>
      </c>
      <c r="O59" s="244">
        <f>+LYON!R24</f>
        <v>320</v>
      </c>
      <c r="P59" s="244">
        <f>+LYON!S24</f>
        <v>640</v>
      </c>
      <c r="Q59" s="244">
        <f>+LYON!T24</f>
        <v>0</v>
      </c>
      <c r="R59" s="244">
        <f>+LYON!U24</f>
        <v>0</v>
      </c>
      <c r="S59" s="243">
        <f>SUM(E59:Q59)</f>
        <v>4800</v>
      </c>
      <c r="T59" s="212"/>
      <c r="U59" s="334"/>
      <c r="V59" s="500"/>
    </row>
    <row r="60" spans="1:24" s="185" customFormat="1" ht="12" customHeight="1" x14ac:dyDescent="0.2">
      <c r="A60" s="181"/>
      <c r="B60" s="182"/>
      <c r="C60" s="183"/>
      <c r="D60" s="183"/>
      <c r="E60" s="244"/>
      <c r="F60" s="244"/>
      <c r="G60" s="244"/>
      <c r="H60" s="244"/>
      <c r="I60" s="244"/>
      <c r="J60" s="244"/>
      <c r="K60" s="244"/>
      <c r="L60" s="244"/>
      <c r="M60" s="244"/>
      <c r="N60" s="244"/>
      <c r="O60" s="244"/>
      <c r="P60" s="244"/>
      <c r="Q60" s="244"/>
      <c r="R60" s="244"/>
      <c r="S60" s="243"/>
      <c r="T60" s="212"/>
      <c r="U60" s="334"/>
      <c r="V60" s="500"/>
    </row>
    <row r="61" spans="1:24" s="185" customFormat="1" ht="12" customHeight="1" x14ac:dyDescent="0.2">
      <c r="A61" s="181">
        <v>615114</v>
      </c>
      <c r="B61" s="182" t="s">
        <v>535</v>
      </c>
      <c r="C61" s="183" t="s">
        <v>234</v>
      </c>
      <c r="D61" s="183" t="s">
        <v>192</v>
      </c>
      <c r="E61" s="244">
        <f>+BORDEAUX!H23</f>
        <v>0</v>
      </c>
      <c r="F61" s="244">
        <f>+BORDEAUX!I23</f>
        <v>0</v>
      </c>
      <c r="G61" s="244">
        <f>+BORDEAUX!J23</f>
        <v>0</v>
      </c>
      <c r="H61" s="244">
        <f>+BORDEAUX!K23</f>
        <v>0</v>
      </c>
      <c r="I61" s="244">
        <f>+BORDEAUX!L23</f>
        <v>0</v>
      </c>
      <c r="J61" s="244">
        <f>+BORDEAUX!M23</f>
        <v>0</v>
      </c>
      <c r="K61" s="244">
        <f>+BORDEAUX!N23</f>
        <v>160</v>
      </c>
      <c r="L61" s="244">
        <f>+BORDEAUX!O23</f>
        <v>320</v>
      </c>
      <c r="M61" s="244">
        <f>+BORDEAUX!P23</f>
        <v>320</v>
      </c>
      <c r="N61" s="244">
        <f>+BORDEAUX!Q23</f>
        <v>0</v>
      </c>
      <c r="O61" s="244">
        <f>+BORDEAUX!R23</f>
        <v>640</v>
      </c>
      <c r="P61" s="244">
        <f>+BORDEAUX!S23</f>
        <v>480</v>
      </c>
      <c r="Q61" s="244">
        <f>+BORDEAUX!T23</f>
        <v>0</v>
      </c>
      <c r="R61" s="244">
        <f>+BORDEAUX!U23</f>
        <v>0</v>
      </c>
      <c r="S61" s="243">
        <f>SUM(E61:Q61)</f>
        <v>1920</v>
      </c>
      <c r="T61" s="212"/>
      <c r="U61" s="334"/>
      <c r="V61" s="500"/>
    </row>
    <row r="62" spans="1:24" s="185" customFormat="1" ht="12" customHeight="1" x14ac:dyDescent="0.2">
      <c r="A62" s="181"/>
      <c r="B62" s="182"/>
      <c r="C62" s="183"/>
      <c r="D62" s="183"/>
      <c r="E62" s="244"/>
      <c r="F62" s="244"/>
      <c r="G62" s="244"/>
      <c r="H62" s="244"/>
      <c r="I62" s="244"/>
      <c r="J62" s="244"/>
      <c r="K62" s="244"/>
      <c r="L62" s="244"/>
      <c r="M62" s="244"/>
      <c r="N62" s="244"/>
      <c r="O62" s="244"/>
      <c r="P62" s="244"/>
      <c r="Q62" s="244"/>
      <c r="R62" s="244"/>
      <c r="S62" s="243"/>
      <c r="T62" s="212"/>
      <c r="U62" s="334"/>
      <c r="V62" s="500"/>
    </row>
    <row r="63" spans="1:24" s="185" customFormat="1" ht="12" customHeight="1" x14ac:dyDescent="0.2">
      <c r="A63" s="181">
        <v>615114</v>
      </c>
      <c r="B63" s="182" t="s">
        <v>535</v>
      </c>
      <c r="C63" s="183" t="s">
        <v>194</v>
      </c>
      <c r="D63" s="183" t="s">
        <v>192</v>
      </c>
      <c r="E63" s="244">
        <f>+NANCY!H20</f>
        <v>-160</v>
      </c>
      <c r="F63" s="244">
        <f>+NANCY!I20</f>
        <v>160</v>
      </c>
      <c r="G63" s="244">
        <f>+NANCY!J20</f>
        <v>0</v>
      </c>
      <c r="H63" s="244">
        <f>+NANCY!K20</f>
        <v>0</v>
      </c>
      <c r="I63" s="244">
        <f>+NANCY!L20</f>
        <v>320</v>
      </c>
      <c r="J63" s="244">
        <f>+NANCY!M20</f>
        <v>160</v>
      </c>
      <c r="K63" s="244">
        <f>+NANCY!N20</f>
        <v>0</v>
      </c>
      <c r="L63" s="244">
        <f>+NANCY!O20</f>
        <v>0</v>
      </c>
      <c r="M63" s="244">
        <f>+NANCY!P20</f>
        <v>160</v>
      </c>
      <c r="N63" s="244">
        <f>+NANCY!Q20</f>
        <v>160</v>
      </c>
      <c r="O63" s="244">
        <f>+NANCY!R20</f>
        <v>0</v>
      </c>
      <c r="P63" s="244">
        <f>+NANCY!S20</f>
        <v>0</v>
      </c>
      <c r="Q63" s="244">
        <f>+NANCY!T20</f>
        <v>0</v>
      </c>
      <c r="R63" s="244">
        <f>+NANCY!U20</f>
        <v>0</v>
      </c>
      <c r="S63" s="243">
        <f>SUM(E63:Q63)</f>
        <v>800</v>
      </c>
      <c r="T63" s="212"/>
      <c r="U63" s="334"/>
      <c r="V63" s="500"/>
    </row>
    <row r="64" spans="1:24" s="185" customFormat="1" ht="12" customHeight="1" x14ac:dyDescent="0.2">
      <c r="A64" s="181"/>
      <c r="B64" s="182"/>
      <c r="C64" s="183"/>
      <c r="D64" s="183"/>
      <c r="E64" s="244"/>
      <c r="F64" s="244"/>
      <c r="G64" s="244"/>
      <c r="H64" s="244"/>
      <c r="I64" s="244"/>
      <c r="J64" s="244"/>
      <c r="K64" s="244"/>
      <c r="L64" s="244"/>
      <c r="M64" s="244"/>
      <c r="N64" s="244"/>
      <c r="O64" s="244"/>
      <c r="P64" s="244"/>
      <c r="Q64" s="244"/>
      <c r="R64" s="244"/>
      <c r="S64" s="243"/>
      <c r="T64" s="212"/>
      <c r="U64" s="334"/>
      <c r="V64" s="500"/>
    </row>
    <row r="65" spans="1:24" s="185" customFormat="1" ht="12" customHeight="1" x14ac:dyDescent="0.2">
      <c r="A65" s="181">
        <v>615114</v>
      </c>
      <c r="B65" s="182" t="s">
        <v>535</v>
      </c>
      <c r="C65" s="183" t="s">
        <v>235</v>
      </c>
      <c r="D65" s="183" t="s">
        <v>192</v>
      </c>
      <c r="E65" s="244">
        <f>+RENNES!H23</f>
        <v>480</v>
      </c>
      <c r="F65" s="244">
        <f>+RENNES!I23</f>
        <v>320</v>
      </c>
      <c r="G65" s="244">
        <f>+RENNES!J23</f>
        <v>320</v>
      </c>
      <c r="H65" s="244">
        <f>+RENNES!K23</f>
        <v>0</v>
      </c>
      <c r="I65" s="244">
        <f>+RENNES!L23</f>
        <v>160</v>
      </c>
      <c r="J65" s="244">
        <f>+RENNES!M23</f>
        <v>160</v>
      </c>
      <c r="K65" s="244">
        <f>+RENNES!N23</f>
        <v>0</v>
      </c>
      <c r="L65" s="244">
        <f>+RENNES!O23</f>
        <v>320</v>
      </c>
      <c r="M65" s="244">
        <f>+RENNES!P23</f>
        <v>320</v>
      </c>
      <c r="N65" s="244">
        <f>+RENNES!Q23</f>
        <v>320</v>
      </c>
      <c r="O65" s="244">
        <f>+RENNES!R23</f>
        <v>320</v>
      </c>
      <c r="P65" s="244">
        <f>+RENNES!S23</f>
        <v>160</v>
      </c>
      <c r="Q65" s="244">
        <f>+RENNES!T23</f>
        <v>0</v>
      </c>
      <c r="R65" s="244">
        <f>+RENNES!U23</f>
        <v>0</v>
      </c>
      <c r="S65" s="243">
        <f>SUM(E65:Q65)</f>
        <v>2880</v>
      </c>
      <c r="T65" s="212"/>
      <c r="U65" s="334"/>
      <c r="V65" s="500"/>
    </row>
    <row r="66" spans="1:24" s="185" customFormat="1" ht="12" customHeight="1" x14ac:dyDescent="0.2">
      <c r="A66" s="181"/>
      <c r="B66" s="182"/>
      <c r="C66" s="183"/>
      <c r="D66" s="183"/>
      <c r="E66" s="244"/>
      <c r="F66" s="244"/>
      <c r="G66" s="244"/>
      <c r="H66" s="244"/>
      <c r="I66" s="244"/>
      <c r="J66" s="244"/>
      <c r="K66" s="244"/>
      <c r="L66" s="244"/>
      <c r="M66" s="244"/>
      <c r="N66" s="244"/>
      <c r="O66" s="244"/>
      <c r="P66" s="244"/>
      <c r="Q66" s="244"/>
      <c r="R66" s="244"/>
      <c r="S66" s="243"/>
      <c r="T66" s="212"/>
      <c r="U66" s="334"/>
      <c r="V66" s="500"/>
    </row>
    <row r="67" spans="1:24" s="185" customFormat="1" ht="12" customHeight="1" x14ac:dyDescent="0.2">
      <c r="A67" s="181">
        <v>615114</v>
      </c>
      <c r="B67" s="182" t="s">
        <v>535</v>
      </c>
      <c r="C67" s="183" t="s">
        <v>236</v>
      </c>
      <c r="D67" s="183" t="s">
        <v>192</v>
      </c>
      <c r="E67" s="244">
        <f>+BEAUVAIS!H21</f>
        <v>-480</v>
      </c>
      <c r="F67" s="244">
        <f>+BEAUVAIS!I21</f>
        <v>0</v>
      </c>
      <c r="G67" s="244">
        <f>+BEAUVAIS!J21</f>
        <v>160</v>
      </c>
      <c r="H67" s="244">
        <f>+BEAUVAIS!K21</f>
        <v>0</v>
      </c>
      <c r="I67" s="244">
        <f>+BEAUVAIS!L21</f>
        <v>320</v>
      </c>
      <c r="J67" s="244">
        <f>+BEAUVAIS!M21</f>
        <v>480</v>
      </c>
      <c r="K67" s="244">
        <f>+BEAUVAIS!N21</f>
        <v>-160</v>
      </c>
      <c r="L67" s="244">
        <f>+BEAUVAIS!O21</f>
        <v>160</v>
      </c>
      <c r="M67" s="244">
        <f>+BEAUVAIS!P21</f>
        <v>320</v>
      </c>
      <c r="N67" s="244">
        <f>+BEAUVAIS!Q21</f>
        <v>480</v>
      </c>
      <c r="O67" s="244">
        <f>+BEAUVAIS!R21</f>
        <v>160</v>
      </c>
      <c r="P67" s="244">
        <f>+BEAUVAIS!S21</f>
        <v>320</v>
      </c>
      <c r="Q67" s="244">
        <f>+BEAUVAIS!T21</f>
        <v>0</v>
      </c>
      <c r="R67" s="244">
        <f>+BEAUVAIS!U21</f>
        <v>0</v>
      </c>
      <c r="S67" s="243">
        <f>SUM(E67:Q67)</f>
        <v>1760</v>
      </c>
      <c r="T67" s="212"/>
      <c r="U67" s="334"/>
      <c r="V67" s="500"/>
    </row>
    <row r="68" spans="1:24" s="185" customFormat="1" ht="12" customHeight="1" x14ac:dyDescent="0.2">
      <c r="A68" s="181"/>
      <c r="B68" s="182"/>
      <c r="C68" s="183"/>
      <c r="D68" s="183"/>
      <c r="E68" s="244"/>
      <c r="F68" s="244"/>
      <c r="G68" s="244"/>
      <c r="H68" s="244"/>
      <c r="I68" s="244"/>
      <c r="J68" s="244"/>
      <c r="K68" s="244"/>
      <c r="L68" s="244"/>
      <c r="M68" s="244"/>
      <c r="N68" s="244"/>
      <c r="O68" s="244"/>
      <c r="P68" s="244"/>
      <c r="Q68" s="244"/>
      <c r="R68" s="244"/>
      <c r="S68" s="243">
        <f>SUM(E68:Q68)</f>
        <v>0</v>
      </c>
      <c r="T68" s="212"/>
      <c r="U68" s="334"/>
      <c r="V68" s="500"/>
    </row>
    <row r="69" spans="1:24" s="185" customFormat="1" ht="12" customHeight="1" x14ac:dyDescent="0.2">
      <c r="A69" s="181">
        <v>615114</v>
      </c>
      <c r="B69" s="182" t="s">
        <v>605</v>
      </c>
      <c r="C69" s="183" t="s">
        <v>237</v>
      </c>
      <c r="D69" s="183" t="s">
        <v>192</v>
      </c>
      <c r="E69" s="244">
        <f>+TOULOUSE!H17</f>
        <v>160</v>
      </c>
      <c r="F69" s="244">
        <f>+TOULOUSE!I17</f>
        <v>0</v>
      </c>
      <c r="G69" s="244">
        <f>+TOULOUSE!J17</f>
        <v>0</v>
      </c>
      <c r="H69" s="244">
        <f>+TOULOUSE!K17</f>
        <v>0</v>
      </c>
      <c r="I69" s="244">
        <f>+TOULOUSE!L17</f>
        <v>0</v>
      </c>
      <c r="J69" s="244">
        <f>+TOULOUSE!M17</f>
        <v>0</v>
      </c>
      <c r="K69" s="244">
        <f>+TOULOUSE!N17</f>
        <v>0</v>
      </c>
      <c r="L69" s="244">
        <f>+TOULOUSE!O17</f>
        <v>160</v>
      </c>
      <c r="M69" s="244">
        <f>+TOULOUSE!P17</f>
        <v>0</v>
      </c>
      <c r="N69" s="244">
        <f>+TOULOUSE!Q17</f>
        <v>0</v>
      </c>
      <c r="O69" s="244">
        <f>+TOULOUSE!R17</f>
        <v>0</v>
      </c>
      <c r="P69" s="244">
        <f>+TOULOUSE!S17</f>
        <v>160</v>
      </c>
      <c r="Q69" s="244">
        <f>+TOULOUSE!T17</f>
        <v>0</v>
      </c>
      <c r="R69" s="244">
        <f>+TOULOUSE!U17</f>
        <v>0</v>
      </c>
      <c r="S69" s="243">
        <f>SUM(E69:Q69)</f>
        <v>480</v>
      </c>
      <c r="T69" s="212"/>
      <c r="U69" s="334"/>
      <c r="V69" s="500"/>
    </row>
    <row r="70" spans="1:24" s="185" customFormat="1" ht="12" customHeight="1" x14ac:dyDescent="0.2">
      <c r="A70" s="181"/>
      <c r="B70" s="182"/>
      <c r="C70" s="183"/>
      <c r="D70" s="183"/>
      <c r="E70" s="244"/>
      <c r="F70" s="244"/>
      <c r="G70" s="244"/>
      <c r="H70" s="244"/>
      <c r="I70" s="244"/>
      <c r="J70" s="244"/>
      <c r="K70" s="244"/>
      <c r="L70" s="244"/>
      <c r="M70" s="244"/>
      <c r="N70" s="244"/>
      <c r="O70" s="244"/>
      <c r="P70" s="244"/>
      <c r="Q70" s="244"/>
      <c r="R70" s="244"/>
      <c r="S70" s="243">
        <f>SUM(E70:Q70)</f>
        <v>0</v>
      </c>
      <c r="T70" s="212"/>
      <c r="U70" s="334"/>
      <c r="V70" s="500"/>
    </row>
    <row r="71" spans="1:24" s="185" customFormat="1" ht="23.25" customHeight="1" x14ac:dyDescent="0.2">
      <c r="A71" s="267"/>
      <c r="B71" s="268"/>
      <c r="C71" s="267"/>
      <c r="D71" s="267"/>
      <c r="E71" s="269">
        <f>SUM(E55:E70)</f>
        <v>-480</v>
      </c>
      <c r="F71" s="269">
        <f>SUM(F55:F70)</f>
        <v>1120</v>
      </c>
      <c r="G71" s="269">
        <f t="shared" ref="G71:S71" si="4">SUM(G55:G70)</f>
        <v>1120</v>
      </c>
      <c r="H71" s="269">
        <f t="shared" si="4"/>
        <v>0</v>
      </c>
      <c r="I71" s="269">
        <f t="shared" si="4"/>
        <v>1920</v>
      </c>
      <c r="J71" s="269">
        <f t="shared" si="4"/>
        <v>960</v>
      </c>
      <c r="K71" s="269">
        <f t="shared" si="4"/>
        <v>320</v>
      </c>
      <c r="L71" s="269">
        <f t="shared" si="4"/>
        <v>2720</v>
      </c>
      <c r="M71" s="269">
        <f t="shared" si="4"/>
        <v>1760</v>
      </c>
      <c r="N71" s="269">
        <f t="shared" si="4"/>
        <v>1760</v>
      </c>
      <c r="O71" s="269">
        <f t="shared" si="4"/>
        <v>2240</v>
      </c>
      <c r="P71" s="269">
        <f t="shared" si="4"/>
        <v>2080</v>
      </c>
      <c r="Q71" s="269">
        <f t="shared" si="4"/>
        <v>0</v>
      </c>
      <c r="R71" s="269">
        <f>SUM(R55:R70)</f>
        <v>0</v>
      </c>
      <c r="S71" s="269">
        <f t="shared" si="4"/>
        <v>15520</v>
      </c>
      <c r="T71" s="212">
        <v>17120</v>
      </c>
      <c r="U71" s="334">
        <f>S71-T71</f>
        <v>-1600</v>
      </c>
      <c r="V71" s="185" t="s">
        <v>853</v>
      </c>
      <c r="X71" s="569">
        <f>U71-CENTRALISATION!V71</f>
        <v>0</v>
      </c>
    </row>
    <row r="72" spans="1:24" x14ac:dyDescent="0.2">
      <c r="A72" s="159">
        <v>615130</v>
      </c>
      <c r="B72" s="160" t="s">
        <v>298</v>
      </c>
      <c r="C72" s="148" t="s">
        <v>78</v>
      </c>
      <c r="D72" s="148" t="s">
        <v>248</v>
      </c>
      <c r="E72" s="240">
        <f>+FLEURY!H28</f>
        <v>1138</v>
      </c>
      <c r="F72" s="240">
        <f>+FLEURY!I28</f>
        <v>0</v>
      </c>
      <c r="G72" s="240">
        <f>+FLEURY!J28</f>
        <v>0</v>
      </c>
      <c r="H72" s="240">
        <f>+FLEURY!K28</f>
        <v>0</v>
      </c>
      <c r="I72" s="240">
        <f>+FLEURY!L28</f>
        <v>0</v>
      </c>
      <c r="J72" s="240">
        <f>+FLEURY!M28</f>
        <v>5604</v>
      </c>
      <c r="K72" s="240">
        <f>+FLEURY!N28</f>
        <v>9084.66</v>
      </c>
      <c r="L72" s="240">
        <f>+FLEURY!O28</f>
        <v>11212</v>
      </c>
      <c r="M72" s="240">
        <f>+FLEURY!P28</f>
        <v>15428.58</v>
      </c>
      <c r="N72" s="240">
        <f>+FLEURY!Q28</f>
        <v>24129.5</v>
      </c>
      <c r="O72" s="240">
        <f>+FLEURY!R28</f>
        <v>20766.32</v>
      </c>
      <c r="P72" s="240">
        <f>+FLEURY!S28</f>
        <v>54060.959999999999</v>
      </c>
      <c r="Q72" s="240">
        <f>+FLEURY!T28</f>
        <v>80434.399999999994</v>
      </c>
      <c r="R72" s="240">
        <f>+FLEURY!U28</f>
        <v>0</v>
      </c>
      <c r="S72" s="242">
        <f t="shared" ref="S72:S91" si="5">+SUM(E72:Q72)</f>
        <v>221858.41999999998</v>
      </c>
      <c r="U72" s="334"/>
      <c r="V72" s="500"/>
    </row>
    <row r="73" spans="1:24" s="185" customFormat="1" ht="12.75" customHeight="1" x14ac:dyDescent="0.2">
      <c r="A73" s="181"/>
      <c r="B73" s="182"/>
      <c r="C73" s="148"/>
      <c r="D73" s="183"/>
      <c r="E73" s="244"/>
      <c r="F73" s="244"/>
      <c r="G73" s="244"/>
      <c r="H73" s="244"/>
      <c r="I73" s="244"/>
      <c r="J73" s="244"/>
      <c r="K73" s="244"/>
      <c r="L73" s="244"/>
      <c r="M73" s="244"/>
      <c r="N73" s="244"/>
      <c r="O73" s="244"/>
      <c r="P73" s="244"/>
      <c r="Q73" s="244"/>
      <c r="R73" s="244"/>
      <c r="S73" s="242">
        <f t="shared" si="5"/>
        <v>0</v>
      </c>
      <c r="U73" s="334"/>
    </row>
    <row r="74" spans="1:24" x14ac:dyDescent="0.2">
      <c r="A74" s="159">
        <v>615130</v>
      </c>
      <c r="B74" s="160" t="s">
        <v>298</v>
      </c>
      <c r="C74" s="148" t="s">
        <v>71</v>
      </c>
      <c r="D74" s="148" t="s">
        <v>248</v>
      </c>
      <c r="E74" s="240">
        <f>+AIX!H27</f>
        <v>0</v>
      </c>
      <c r="F74" s="240">
        <f>+AIX!I27</f>
        <v>0</v>
      </c>
      <c r="G74" s="240">
        <f>+AIX!J27</f>
        <v>4528</v>
      </c>
      <c r="H74" s="240">
        <f>+AIX!K27</f>
        <v>4609.3999999999996</v>
      </c>
      <c r="I74" s="240">
        <f>+AIX!L27</f>
        <v>14763</v>
      </c>
      <c r="J74" s="240">
        <f>+AIX!M27</f>
        <v>5845</v>
      </c>
      <c r="K74" s="240">
        <f>+AIX!N27</f>
        <v>14417</v>
      </c>
      <c r="L74" s="240">
        <f>+AIX!O27</f>
        <v>1640</v>
      </c>
      <c r="M74" s="240">
        <f>+AIX!P27</f>
        <v>0</v>
      </c>
      <c r="N74" s="240">
        <f>+AIX!Q27</f>
        <v>14960</v>
      </c>
      <c r="O74" s="240">
        <f>+AIX!R27</f>
        <v>14396.599999999999</v>
      </c>
      <c r="P74" s="240">
        <f>+AIX!S27</f>
        <v>76970.63</v>
      </c>
      <c r="Q74" s="240">
        <f>+AIX!T27</f>
        <v>25704.26</v>
      </c>
      <c r="R74" s="240">
        <f>+AIX!U27</f>
        <v>0</v>
      </c>
      <c r="S74" s="242">
        <f t="shared" si="5"/>
        <v>177833.89</v>
      </c>
      <c r="U74" s="334"/>
      <c r="V74" s="500"/>
    </row>
    <row r="75" spans="1:24" s="185" customFormat="1" ht="12.75" customHeight="1" x14ac:dyDescent="0.2">
      <c r="A75" s="181"/>
      <c r="B75" s="182"/>
      <c r="C75" s="183"/>
      <c r="D75" s="183"/>
      <c r="E75" s="244"/>
      <c r="F75" s="244"/>
      <c r="G75" s="244"/>
      <c r="H75" s="244"/>
      <c r="I75" s="244"/>
      <c r="J75" s="244"/>
      <c r="K75" s="244"/>
      <c r="L75" s="244"/>
      <c r="M75" s="244"/>
      <c r="N75" s="244"/>
      <c r="O75" s="244"/>
      <c r="P75" s="244"/>
      <c r="Q75" s="244"/>
      <c r="R75" s="244"/>
      <c r="S75" s="242">
        <f t="shared" si="5"/>
        <v>0</v>
      </c>
      <c r="U75" s="334"/>
    </row>
    <row r="76" spans="1:24" x14ac:dyDescent="0.2">
      <c r="A76" s="159">
        <v>615130</v>
      </c>
      <c r="B76" s="160" t="s">
        <v>298</v>
      </c>
      <c r="C76" s="148" t="s">
        <v>73</v>
      </c>
      <c r="D76" s="148" t="s">
        <v>248</v>
      </c>
      <c r="E76" s="240">
        <f>+LYON!H28</f>
        <v>0</v>
      </c>
      <c r="F76" s="240">
        <f>+LYON!I28</f>
        <v>0</v>
      </c>
      <c r="G76" s="240">
        <f>+LYON!J28</f>
        <v>0</v>
      </c>
      <c r="H76" s="240">
        <f>+LYON!K28</f>
        <v>0</v>
      </c>
      <c r="I76" s="240">
        <f>+LYON!L28</f>
        <v>2686.87</v>
      </c>
      <c r="J76" s="240">
        <f>+LYON!M28</f>
        <v>6457</v>
      </c>
      <c r="K76" s="240">
        <f>+LYON!N28</f>
        <v>5799.96</v>
      </c>
      <c r="L76" s="240">
        <f>+LYON!O28</f>
        <v>4719.01</v>
      </c>
      <c r="M76" s="240">
        <f>+LYON!P28</f>
        <v>1866.7</v>
      </c>
      <c r="N76" s="240">
        <f>+LYON!Q28</f>
        <v>4646.28</v>
      </c>
      <c r="O76" s="240">
        <f>+LYON!R28</f>
        <v>5680.37</v>
      </c>
      <c r="P76" s="240">
        <f>+LYON!S28</f>
        <v>18341</v>
      </c>
      <c r="Q76" s="240">
        <f>+LYON!T28</f>
        <v>783.15</v>
      </c>
      <c r="R76" s="240">
        <f>+LYON!U28</f>
        <v>0</v>
      </c>
      <c r="S76" s="242">
        <f t="shared" si="5"/>
        <v>50980.34</v>
      </c>
      <c r="U76" s="334"/>
      <c r="V76" s="500"/>
    </row>
    <row r="77" spans="1:24" s="185" customFormat="1" ht="12.75" customHeight="1" x14ac:dyDescent="0.2">
      <c r="A77" s="181"/>
      <c r="B77" s="182"/>
      <c r="C77" s="183"/>
      <c r="D77" s="183"/>
      <c r="E77" s="244"/>
      <c r="F77" s="244"/>
      <c r="G77" s="244"/>
      <c r="H77" s="244"/>
      <c r="I77" s="244"/>
      <c r="J77" s="244"/>
      <c r="K77" s="244"/>
      <c r="L77" s="244"/>
      <c r="M77" s="244"/>
      <c r="N77" s="244"/>
      <c r="O77" s="244"/>
      <c r="P77" s="244"/>
      <c r="Q77" s="244"/>
      <c r="R77" s="244"/>
      <c r="S77" s="242">
        <f t="shared" si="5"/>
        <v>0</v>
      </c>
      <c r="U77" s="334"/>
    </row>
    <row r="78" spans="1:24" x14ac:dyDescent="0.2">
      <c r="A78" s="159">
        <v>615130</v>
      </c>
      <c r="B78" s="160" t="s">
        <v>298</v>
      </c>
      <c r="C78" s="148" t="s">
        <v>67</v>
      </c>
      <c r="D78" s="148" t="s">
        <v>248</v>
      </c>
      <c r="E78" s="240">
        <f>+BORDEAUX!H27</f>
        <v>0</v>
      </c>
      <c r="F78" s="240">
        <f>+BORDEAUX!I27</f>
        <v>0</v>
      </c>
      <c r="G78" s="240">
        <f>+BORDEAUX!J27</f>
        <v>0</v>
      </c>
      <c r="H78" s="240">
        <f>+BORDEAUX!K27</f>
        <v>0</v>
      </c>
      <c r="I78" s="240">
        <f>+BORDEAUX!L27</f>
        <v>0</v>
      </c>
      <c r="J78" s="240">
        <f>+BORDEAUX!M27</f>
        <v>0</v>
      </c>
      <c r="K78" s="240">
        <f>+BORDEAUX!N27</f>
        <v>0</v>
      </c>
      <c r="L78" s="240">
        <f>+BORDEAUX!O27</f>
        <v>3689.23</v>
      </c>
      <c r="M78" s="240">
        <f>+BORDEAUX!P27</f>
        <v>0</v>
      </c>
      <c r="N78" s="240">
        <f>+BORDEAUX!Q27</f>
        <v>0</v>
      </c>
      <c r="O78" s="240">
        <f>+BORDEAUX!R27</f>
        <v>0</v>
      </c>
      <c r="P78" s="240">
        <f>+BORDEAUX!S27</f>
        <v>26032.22</v>
      </c>
      <c r="Q78" s="240">
        <f>+BORDEAUX!T27</f>
        <v>0</v>
      </c>
      <c r="R78" s="240">
        <f>+BORDEAUX!U27</f>
        <v>0</v>
      </c>
      <c r="S78" s="242">
        <f t="shared" si="5"/>
        <v>29721.45</v>
      </c>
      <c r="U78" s="334"/>
    </row>
    <row r="79" spans="1:24" s="185" customFormat="1" ht="12.75" customHeight="1" x14ac:dyDescent="0.2">
      <c r="A79" s="181"/>
      <c r="B79" s="182"/>
      <c r="C79" s="183"/>
      <c r="D79" s="183"/>
      <c r="E79" s="244"/>
      <c r="F79" s="244"/>
      <c r="G79" s="244"/>
      <c r="H79" s="244"/>
      <c r="I79" s="244"/>
      <c r="J79" s="244"/>
      <c r="K79" s="244"/>
      <c r="L79" s="244"/>
      <c r="M79" s="244"/>
      <c r="N79" s="244"/>
      <c r="O79" s="244"/>
      <c r="P79" s="244"/>
      <c r="Q79" s="244"/>
      <c r="R79" s="244"/>
      <c r="S79" s="242">
        <f t="shared" si="5"/>
        <v>0</v>
      </c>
      <c r="U79" s="334"/>
    </row>
    <row r="80" spans="1:24" s="185" customFormat="1" ht="12.75" customHeight="1" x14ac:dyDescent="0.2">
      <c r="A80" s="159">
        <v>615130</v>
      </c>
      <c r="B80" s="160" t="s">
        <v>298</v>
      </c>
      <c r="C80" s="148" t="s">
        <v>62</v>
      </c>
      <c r="D80" s="148" t="s">
        <v>248</v>
      </c>
      <c r="E80" s="244"/>
      <c r="F80" s="244">
        <f>+NANCY!I26</f>
        <v>0</v>
      </c>
      <c r="G80" s="244">
        <f>+NANCY!J26</f>
        <v>0</v>
      </c>
      <c r="H80" s="244">
        <f>+NANCY!K26</f>
        <v>0</v>
      </c>
      <c r="I80" s="244">
        <f>+NANCY!L26</f>
        <v>0</v>
      </c>
      <c r="J80" s="244">
        <f>+NANCY!M26</f>
        <v>0</v>
      </c>
      <c r="K80" s="244">
        <f>+NANCY!N26</f>
        <v>0</v>
      </c>
      <c r="L80" s="244">
        <f>+NANCY!O26</f>
        <v>0</v>
      </c>
      <c r="M80" s="244">
        <f>+NANCY!P26</f>
        <v>0</v>
      </c>
      <c r="N80" s="244">
        <f>+NANCY!Q26</f>
        <v>0</v>
      </c>
      <c r="O80" s="244">
        <f>+NANCY!R26</f>
        <v>0</v>
      </c>
      <c r="P80" s="244">
        <f>+NANCY!S26</f>
        <v>10127</v>
      </c>
      <c r="Q80" s="244">
        <f>+NANCY!T26</f>
        <v>0</v>
      </c>
      <c r="R80" s="244">
        <f>+NANCY!U26</f>
        <v>0</v>
      </c>
      <c r="S80" s="242">
        <f t="shared" si="5"/>
        <v>10127</v>
      </c>
      <c r="U80" s="334"/>
    </row>
    <row r="81" spans="1:24" s="185" customFormat="1" ht="12.75" customHeight="1" x14ac:dyDescent="0.2">
      <c r="A81" s="181"/>
      <c r="B81" s="182"/>
      <c r="C81" s="183"/>
      <c r="D81" s="183"/>
      <c r="E81" s="244"/>
      <c r="F81" s="244"/>
      <c r="G81" s="244"/>
      <c r="H81" s="244"/>
      <c r="I81" s="244"/>
      <c r="J81" s="244"/>
      <c r="K81" s="244"/>
      <c r="L81" s="244"/>
      <c r="M81" s="244"/>
      <c r="N81" s="244"/>
      <c r="O81" s="244"/>
      <c r="P81" s="244"/>
      <c r="Q81" s="244"/>
      <c r="R81" s="244"/>
      <c r="S81" s="242"/>
      <c r="U81" s="334"/>
    </row>
    <row r="82" spans="1:24" x14ac:dyDescent="0.2">
      <c r="A82" s="159">
        <v>615130</v>
      </c>
      <c r="B82" s="160" t="s">
        <v>298</v>
      </c>
      <c r="C82" s="148" t="s">
        <v>80</v>
      </c>
      <c r="D82" s="148" t="s">
        <v>248</v>
      </c>
      <c r="E82" s="240">
        <f>+RENNES!H27</f>
        <v>0</v>
      </c>
      <c r="F82" s="240">
        <f>+RENNES!I27</f>
        <v>0</v>
      </c>
      <c r="G82" s="240">
        <f>+RENNES!J27</f>
        <v>0</v>
      </c>
      <c r="H82" s="240">
        <f>+RENNES!K27</f>
        <v>0</v>
      </c>
      <c r="I82" s="240">
        <f>+RENNES!L27</f>
        <v>0</v>
      </c>
      <c r="J82" s="240">
        <f>+RENNES!M27</f>
        <v>0</v>
      </c>
      <c r="K82" s="240">
        <f>+RENNES!N27</f>
        <v>4074</v>
      </c>
      <c r="L82" s="240">
        <f>+RENNES!O27</f>
        <v>9039</v>
      </c>
      <c r="M82" s="240">
        <f>+RENNES!P27</f>
        <v>0</v>
      </c>
      <c r="N82" s="240">
        <f>+RENNES!Q27</f>
        <v>9213.58</v>
      </c>
      <c r="O82" s="240">
        <f>+RENNES!R27</f>
        <v>8944</v>
      </c>
      <c r="P82" s="240">
        <f>+RENNES!S27</f>
        <v>76898.590000000011</v>
      </c>
      <c r="Q82" s="240">
        <f>+RENNES!T27</f>
        <v>4822.16</v>
      </c>
      <c r="R82" s="240">
        <f>+RENNES!U27</f>
        <v>0</v>
      </c>
      <c r="S82" s="242">
        <f t="shared" si="5"/>
        <v>112991.33000000002</v>
      </c>
      <c r="U82" s="334"/>
    </row>
    <row r="83" spans="1:24" s="185" customFormat="1" ht="12.75" customHeight="1" x14ac:dyDescent="0.2">
      <c r="A83" s="181"/>
      <c r="B83" s="182"/>
      <c r="C83" s="183"/>
      <c r="D83" s="183"/>
      <c r="E83" s="244"/>
      <c r="F83" s="244"/>
      <c r="G83" s="244"/>
      <c r="H83" s="244"/>
      <c r="I83" s="244"/>
      <c r="J83" s="244"/>
      <c r="K83" s="244"/>
      <c r="L83" s="244"/>
      <c r="M83" s="244"/>
      <c r="N83" s="244"/>
      <c r="O83" s="244"/>
      <c r="P83" s="244"/>
      <c r="Q83" s="244"/>
      <c r="R83" s="244"/>
      <c r="S83" s="242">
        <f t="shared" si="5"/>
        <v>0</v>
      </c>
      <c r="U83" s="334"/>
    </row>
    <row r="84" spans="1:24" x14ac:dyDescent="0.2">
      <c r="A84" s="159">
        <v>615130</v>
      </c>
      <c r="B84" s="160" t="s">
        <v>298</v>
      </c>
      <c r="C84" s="148" t="s">
        <v>156</v>
      </c>
      <c r="D84" s="148" t="s">
        <v>248</v>
      </c>
      <c r="E84" s="240">
        <f>+BEAUVAIS!H26</f>
        <v>0</v>
      </c>
      <c r="F84" s="240">
        <f>+BEAUVAIS!I26</f>
        <v>0</v>
      </c>
      <c r="G84" s="240">
        <f>+BEAUVAIS!J26</f>
        <v>0</v>
      </c>
      <c r="H84" s="240">
        <f>+BEAUVAIS!K26</f>
        <v>5200</v>
      </c>
      <c r="I84" s="240">
        <f>+BEAUVAIS!L26</f>
        <v>2236.85</v>
      </c>
      <c r="J84" s="240">
        <f>+BEAUVAIS!M26</f>
        <v>6950</v>
      </c>
      <c r="K84" s="240">
        <f>+BEAUVAIS!N26</f>
        <v>515.67999999999995</v>
      </c>
      <c r="L84" s="240">
        <f>+BEAUVAIS!O26</f>
        <v>1203.28</v>
      </c>
      <c r="M84" s="240">
        <f>+BEAUVAIS!P26</f>
        <v>6936.83</v>
      </c>
      <c r="N84" s="240">
        <f>+BEAUVAIS!Q26</f>
        <v>8312</v>
      </c>
      <c r="O84" s="240">
        <f>+BEAUVAIS!R26</f>
        <v>64796.49</v>
      </c>
      <c r="P84" s="240">
        <f>+BEAUVAIS!S26</f>
        <v>70782</v>
      </c>
      <c r="Q84" s="240">
        <f>+BEAUVAIS!T26</f>
        <v>23575.07</v>
      </c>
      <c r="R84" s="240">
        <f>+BEAUVAIS!U26</f>
        <v>0</v>
      </c>
      <c r="S84" s="242">
        <f t="shared" si="5"/>
        <v>190508.2</v>
      </c>
      <c r="U84" s="334"/>
    </row>
    <row r="85" spans="1:24" s="185" customFormat="1" ht="12.75" customHeight="1" x14ac:dyDescent="0.2">
      <c r="A85" s="181"/>
      <c r="B85" s="182"/>
      <c r="C85" s="183"/>
      <c r="D85" s="183"/>
      <c r="E85" s="244"/>
      <c r="F85" s="244"/>
      <c r="G85" s="244"/>
      <c r="H85" s="244"/>
      <c r="I85" s="244"/>
      <c r="J85" s="244"/>
      <c r="K85" s="244"/>
      <c r="L85" s="244"/>
      <c r="M85" s="244"/>
      <c r="N85" s="244"/>
      <c r="O85" s="244"/>
      <c r="P85" s="244"/>
      <c r="Q85" s="244"/>
      <c r="R85" s="244"/>
      <c r="S85" s="242">
        <f t="shared" si="5"/>
        <v>0</v>
      </c>
      <c r="U85" s="334"/>
    </row>
    <row r="86" spans="1:24" x14ac:dyDescent="0.2">
      <c r="A86" s="159">
        <v>615130</v>
      </c>
      <c r="B86" s="160" t="s">
        <v>298</v>
      </c>
      <c r="C86" s="148" t="s">
        <v>172</v>
      </c>
      <c r="D86" s="148" t="s">
        <v>248</v>
      </c>
      <c r="E86" s="240">
        <f>+TOULOUSE!H20</f>
        <v>0</v>
      </c>
      <c r="F86" s="240">
        <f>+TOULOUSE!I20</f>
        <v>0</v>
      </c>
      <c r="G86" s="240">
        <f>+TOULOUSE!J20</f>
        <v>0</v>
      </c>
      <c r="H86" s="240">
        <f>+TOULOUSE!K20</f>
        <v>0</v>
      </c>
      <c r="I86" s="240">
        <f>+TOULOUSE!L20</f>
        <v>0</v>
      </c>
      <c r="J86" s="240">
        <f>+TOULOUSE!M20</f>
        <v>0</v>
      </c>
      <c r="K86" s="240">
        <f>+TOULOUSE!N20</f>
        <v>0</v>
      </c>
      <c r="L86" s="240">
        <f>+TOULOUSE!O20</f>
        <v>0</v>
      </c>
      <c r="M86" s="240">
        <f>+TOULOUSE!P20</f>
        <v>0</v>
      </c>
      <c r="N86" s="240">
        <f>+TOULOUSE!Q20</f>
        <v>0</v>
      </c>
      <c r="O86" s="240">
        <f>+TOULOUSE!R20</f>
        <v>0</v>
      </c>
      <c r="P86" s="240">
        <f>+TOULOUSE!S20</f>
        <v>0</v>
      </c>
      <c r="Q86" s="240">
        <f>+TOULOUSE!T20</f>
        <v>0</v>
      </c>
      <c r="R86" s="240">
        <f>+TOULOUSE!U20</f>
        <v>0</v>
      </c>
      <c r="S86" s="242">
        <f t="shared" si="5"/>
        <v>0</v>
      </c>
      <c r="U86" s="334"/>
    </row>
    <row r="87" spans="1:24" s="185" customFormat="1" ht="12.75" customHeight="1" x14ac:dyDescent="0.2">
      <c r="A87" s="181"/>
      <c r="B87" s="182"/>
      <c r="C87" s="183"/>
      <c r="D87" s="183"/>
      <c r="E87" s="244"/>
      <c r="F87" s="244"/>
      <c r="G87" s="244"/>
      <c r="H87" s="244"/>
      <c r="I87" s="244"/>
      <c r="J87" s="244"/>
      <c r="K87" s="244"/>
      <c r="L87" s="244"/>
      <c r="M87" s="244"/>
      <c r="N87" s="244"/>
      <c r="O87" s="244"/>
      <c r="P87" s="244"/>
      <c r="Q87" s="244"/>
      <c r="R87" s="244"/>
      <c r="S87" s="242">
        <f t="shared" si="5"/>
        <v>0</v>
      </c>
      <c r="U87" s="334"/>
    </row>
    <row r="88" spans="1:24" x14ac:dyDescent="0.2">
      <c r="A88" s="159">
        <v>615130</v>
      </c>
      <c r="B88" s="160" t="s">
        <v>298</v>
      </c>
      <c r="C88" s="148" t="s">
        <v>79</v>
      </c>
      <c r="D88" s="148" t="s">
        <v>248</v>
      </c>
      <c r="E88" s="240">
        <f>+SIEGE!H11</f>
        <v>0</v>
      </c>
      <c r="F88" s="240">
        <f>+SIEGE!I11</f>
        <v>0</v>
      </c>
      <c r="G88" s="240">
        <f>+SIEGE!J11</f>
        <v>0</v>
      </c>
      <c r="H88" s="240">
        <f>+SIEGE!K11</f>
        <v>0</v>
      </c>
      <c r="I88" s="240">
        <f>+SIEGE!L11</f>
        <v>0</v>
      </c>
      <c r="J88" s="240">
        <f>+SIEGE!M11</f>
        <v>1435</v>
      </c>
      <c r="K88" s="240">
        <f>+SIEGE!N11</f>
        <v>2440</v>
      </c>
      <c r="L88" s="240">
        <f>+SIEGE!O11</f>
        <v>0</v>
      </c>
      <c r="M88" s="240">
        <f>+SIEGE!P11</f>
        <v>0</v>
      </c>
      <c r="N88" s="240">
        <f>+SIEGE!Q11</f>
        <v>0</v>
      </c>
      <c r="O88" s="240">
        <f>+SIEGE!R11</f>
        <v>20000</v>
      </c>
      <c r="P88" s="240">
        <f>+SIEGE!S11</f>
        <v>8310</v>
      </c>
      <c r="Q88" s="240">
        <f>+SIEGE!T11</f>
        <v>6053</v>
      </c>
      <c r="R88" s="240">
        <f>+SIEGE!U11</f>
        <v>0</v>
      </c>
      <c r="S88" s="242">
        <f t="shared" si="5"/>
        <v>38238</v>
      </c>
      <c r="U88" s="334"/>
    </row>
    <row r="89" spans="1:24" x14ac:dyDescent="0.2">
      <c r="A89" s="159"/>
      <c r="B89" s="160"/>
      <c r="C89" s="148"/>
      <c r="D89" s="148"/>
      <c r="E89" s="240"/>
      <c r="F89" s="240"/>
      <c r="G89" s="240"/>
      <c r="H89" s="240"/>
      <c r="I89" s="240"/>
      <c r="J89" s="240"/>
      <c r="K89" s="240"/>
      <c r="L89" s="240"/>
      <c r="M89" s="240"/>
      <c r="N89" s="240"/>
      <c r="O89" s="240"/>
      <c r="P89" s="240"/>
      <c r="Q89" s="240"/>
      <c r="R89" s="240"/>
      <c r="S89" s="242">
        <f t="shared" si="5"/>
        <v>0</v>
      </c>
      <c r="U89" s="334"/>
    </row>
    <row r="90" spans="1:24" x14ac:dyDescent="0.2">
      <c r="A90" s="159">
        <v>615130</v>
      </c>
      <c r="B90" s="160" t="s">
        <v>298</v>
      </c>
      <c r="C90" s="148" t="s">
        <v>367</v>
      </c>
      <c r="D90" s="148" t="s">
        <v>248</v>
      </c>
      <c r="E90" s="240"/>
      <c r="F90" s="240">
        <v>30114</v>
      </c>
      <c r="G90" s="240">
        <f>-30114+56838</f>
        <v>26724</v>
      </c>
      <c r="H90" s="240">
        <f>-56838+41566.82</f>
        <v>-15271.18</v>
      </c>
      <c r="I90" s="240">
        <f>-41566.82+46272.79</f>
        <v>4705.9700000000012</v>
      </c>
      <c r="J90" s="240">
        <f>-46272.79+74700.79</f>
        <v>28427.999999999993</v>
      </c>
      <c r="K90" s="240">
        <f>-74700.79+14867.08</f>
        <v>-59833.709999999992</v>
      </c>
      <c r="L90" s="240">
        <f>-14867.08+1390.56</f>
        <v>-13476.52</v>
      </c>
      <c r="M90" s="240">
        <f>-1390.56+19614.26</f>
        <v>18223.699999999997</v>
      </c>
      <c r="N90" s="240">
        <f>-19614.26-57093.97</f>
        <v>-76708.23</v>
      </c>
      <c r="O90" s="240">
        <f>57093.97-138983.89</f>
        <v>-81889.920000000013</v>
      </c>
      <c r="P90" s="240">
        <f>138983.89-1.01</f>
        <v>138982.88</v>
      </c>
      <c r="Q90" s="240"/>
      <c r="R90" s="240"/>
      <c r="S90" s="242">
        <f t="shared" si="5"/>
        <v>-1.0100000000093132</v>
      </c>
      <c r="U90" s="334"/>
    </row>
    <row r="91" spans="1:24" x14ac:dyDescent="0.2">
      <c r="A91" s="159">
        <v>615130</v>
      </c>
      <c r="B91" s="160" t="s">
        <v>298</v>
      </c>
      <c r="C91" s="148" t="s">
        <v>381</v>
      </c>
      <c r="D91" s="148">
        <v>999999</v>
      </c>
      <c r="E91" s="240"/>
      <c r="F91" s="240">
        <v>416</v>
      </c>
      <c r="G91" s="240">
        <f>-416+832</f>
        <v>416</v>
      </c>
      <c r="H91" s="240">
        <f>-832-2028</f>
        <v>-2860</v>
      </c>
      <c r="I91" s="240">
        <f>2028-1612</f>
        <v>416</v>
      </c>
      <c r="J91" s="240">
        <f>1612-1796</f>
        <v>-184</v>
      </c>
      <c r="K91" s="240">
        <f>1796-1381</f>
        <v>415</v>
      </c>
      <c r="L91" s="240">
        <f>1380-965</f>
        <v>415</v>
      </c>
      <c r="M91" s="240">
        <f>965-549</f>
        <v>416</v>
      </c>
      <c r="N91" s="240">
        <f>550-15390</f>
        <v>-14840</v>
      </c>
      <c r="O91" s="240">
        <f>15390-10314</f>
        <v>5076</v>
      </c>
      <c r="P91" s="240">
        <v>10314</v>
      </c>
      <c r="Q91" s="240"/>
      <c r="R91" s="240"/>
      <c r="S91" s="242">
        <f t="shared" si="5"/>
        <v>0</v>
      </c>
      <c r="U91" s="334"/>
    </row>
    <row r="92" spans="1:24" s="185" customFormat="1" ht="23.25" customHeight="1" x14ac:dyDescent="0.2">
      <c r="A92" s="267"/>
      <c r="B92" s="268"/>
      <c r="C92" s="267" t="s">
        <v>66</v>
      </c>
      <c r="D92" s="267"/>
      <c r="E92" s="269">
        <f>SUM(E72:E91)</f>
        <v>1138</v>
      </c>
      <c r="F92" s="269">
        <f t="shared" ref="F92:S92" si="6">SUM(F72:F91)</f>
        <v>30530</v>
      </c>
      <c r="G92" s="269">
        <f t="shared" si="6"/>
        <v>31668</v>
      </c>
      <c r="H92" s="269">
        <f t="shared" si="6"/>
        <v>-8321.7800000000007</v>
      </c>
      <c r="I92" s="269">
        <f t="shared" si="6"/>
        <v>24808.69</v>
      </c>
      <c r="J92" s="269">
        <f t="shared" si="6"/>
        <v>54534.999999999993</v>
      </c>
      <c r="K92" s="269">
        <f t="shared" si="6"/>
        <v>-23087.409999999996</v>
      </c>
      <c r="L92" s="269">
        <f t="shared" si="6"/>
        <v>18441</v>
      </c>
      <c r="M92" s="269">
        <f t="shared" si="6"/>
        <v>42871.81</v>
      </c>
      <c r="N92" s="269">
        <f t="shared" si="6"/>
        <v>-30286.869999999995</v>
      </c>
      <c r="O92" s="269">
        <f t="shared" si="6"/>
        <v>57769.859999999986</v>
      </c>
      <c r="P92" s="269">
        <f t="shared" si="6"/>
        <v>490819.28</v>
      </c>
      <c r="Q92" s="269">
        <f t="shared" si="6"/>
        <v>141372.03999999998</v>
      </c>
      <c r="R92" s="269">
        <f>SUM(R72:R91)</f>
        <v>0</v>
      </c>
      <c r="S92" s="269">
        <f t="shared" si="6"/>
        <v>832257.62000000011</v>
      </c>
      <c r="T92" s="212">
        <v>806618</v>
      </c>
      <c r="U92" s="334">
        <f>S92-T92</f>
        <v>25639.620000000112</v>
      </c>
      <c r="V92" s="185" t="s">
        <v>853</v>
      </c>
      <c r="X92" s="569">
        <f>U92-CENTRALISATION!V92</f>
        <v>0</v>
      </c>
    </row>
    <row r="93" spans="1:24" s="185" customFormat="1" ht="12" customHeight="1" x14ac:dyDescent="0.2">
      <c r="A93" s="159">
        <v>615135</v>
      </c>
      <c r="B93" s="160" t="s">
        <v>352</v>
      </c>
      <c r="C93" s="148" t="s">
        <v>143</v>
      </c>
      <c r="D93" s="148" t="s">
        <v>192</v>
      </c>
      <c r="E93" s="243">
        <f>+RENNES!H31</f>
        <v>0</v>
      </c>
      <c r="F93" s="243">
        <f>+RENNES!I31</f>
        <v>0</v>
      </c>
      <c r="G93" s="244">
        <f>+RENNES!J31</f>
        <v>0</v>
      </c>
      <c r="H93" s="244">
        <f>+RENNES!K31</f>
        <v>383.71</v>
      </c>
      <c r="I93" s="243">
        <f>+RENNES!L31</f>
        <v>0</v>
      </c>
      <c r="J93" s="243">
        <f>+RENNES!M31</f>
        <v>0</v>
      </c>
      <c r="K93" s="243">
        <f>+RENNES!N31</f>
        <v>230.23000000000002</v>
      </c>
      <c r="L93" s="243">
        <f>+RENNES!O31</f>
        <v>0</v>
      </c>
      <c r="M93" s="243">
        <f>+RENNES!P31</f>
        <v>0</v>
      </c>
      <c r="N93" s="243">
        <f>+RENNES!Q31</f>
        <v>535.62</v>
      </c>
      <c r="O93" s="243">
        <f>+RENNES!R31</f>
        <v>591.16999999999996</v>
      </c>
      <c r="P93" s="243">
        <f>+RENNES!S31</f>
        <v>0</v>
      </c>
      <c r="Q93" s="243">
        <f>+RENNES!T31</f>
        <v>0</v>
      </c>
      <c r="R93" s="243">
        <f>+RENNES!U31</f>
        <v>0</v>
      </c>
      <c r="S93" s="243">
        <f>+SUM(E93:Q93)</f>
        <v>1740.73</v>
      </c>
      <c r="U93" s="335"/>
    </row>
    <row r="94" spans="1:24" s="185" customFormat="1" ht="23.25" customHeight="1" x14ac:dyDescent="0.2">
      <c r="A94" s="267"/>
      <c r="B94" s="268"/>
      <c r="C94" s="267" t="s">
        <v>66</v>
      </c>
      <c r="D94" s="267"/>
      <c r="E94" s="269">
        <f>+E93</f>
        <v>0</v>
      </c>
      <c r="F94" s="269">
        <f>+F93</f>
        <v>0</v>
      </c>
      <c r="G94" s="269">
        <f t="shared" ref="G94:S94" si="7">+G93</f>
        <v>0</v>
      </c>
      <c r="H94" s="269">
        <f t="shared" si="7"/>
        <v>383.71</v>
      </c>
      <c r="I94" s="269">
        <f t="shared" si="7"/>
        <v>0</v>
      </c>
      <c r="J94" s="269">
        <f t="shared" si="7"/>
        <v>0</v>
      </c>
      <c r="K94" s="269">
        <f t="shared" si="7"/>
        <v>230.23000000000002</v>
      </c>
      <c r="L94" s="269">
        <f t="shared" si="7"/>
        <v>0</v>
      </c>
      <c r="M94" s="269">
        <f t="shared" si="7"/>
        <v>0</v>
      </c>
      <c r="N94" s="269">
        <f t="shared" si="7"/>
        <v>535.62</v>
      </c>
      <c r="O94" s="269">
        <f t="shared" si="7"/>
        <v>591.16999999999996</v>
      </c>
      <c r="P94" s="269">
        <f t="shared" si="7"/>
        <v>0</v>
      </c>
      <c r="Q94" s="269">
        <f t="shared" si="7"/>
        <v>0</v>
      </c>
      <c r="R94" s="269">
        <f>+R93</f>
        <v>0</v>
      </c>
      <c r="S94" s="269">
        <f t="shared" si="7"/>
        <v>1740.73</v>
      </c>
      <c r="T94" s="558">
        <v>1740.73</v>
      </c>
      <c r="U94" s="334">
        <f>S94-T94</f>
        <v>0</v>
      </c>
      <c r="V94" s="185" t="s">
        <v>853</v>
      </c>
      <c r="X94" s="569">
        <f>U94-CENTRALISATION!V94</f>
        <v>0</v>
      </c>
    </row>
    <row r="95" spans="1:24" s="185" customFormat="1" ht="12" customHeight="1" x14ac:dyDescent="0.2">
      <c r="A95" s="181">
        <v>615136</v>
      </c>
      <c r="B95" s="266" t="s">
        <v>371</v>
      </c>
      <c r="C95" s="183" t="s">
        <v>145</v>
      </c>
      <c r="D95" s="183" t="s">
        <v>192</v>
      </c>
      <c r="E95" s="244">
        <f>+FLEURY!H31+FLEURY!H32</f>
        <v>0</v>
      </c>
      <c r="F95" s="244">
        <f>+FLEURY!I31+FLEURY!I32</f>
        <v>0</v>
      </c>
      <c r="G95" s="244">
        <f>+FLEURY!J31+FLEURY!J32</f>
        <v>0</v>
      </c>
      <c r="H95" s="244">
        <f>+FLEURY!K31+FLEURY!K32</f>
        <v>0</v>
      </c>
      <c r="I95" s="244">
        <f>+FLEURY!L31+FLEURY!L32</f>
        <v>0</v>
      </c>
      <c r="J95" s="244">
        <f>+FLEURY!M31+FLEURY!M32</f>
        <v>0</v>
      </c>
      <c r="K95" s="244">
        <f>+FLEURY!N31+FLEURY!N32</f>
        <v>0</v>
      </c>
      <c r="L95" s="244">
        <f>+FLEURY!O31+FLEURY!O32</f>
        <v>0</v>
      </c>
      <c r="M95" s="244">
        <f>+FLEURY!P31+FLEURY!P32</f>
        <v>0</v>
      </c>
      <c r="N95" s="244">
        <f>+FLEURY!Q31+FLEURY!Q32</f>
        <v>0</v>
      </c>
      <c r="O95" s="244">
        <f>+FLEURY!R31+FLEURY!R32</f>
        <v>0</v>
      </c>
      <c r="P95" s="244">
        <f>+FLEURY!S31+FLEURY!S32</f>
        <v>0</v>
      </c>
      <c r="Q95" s="244">
        <f>+FLEURY!T31+FLEURY!T32</f>
        <v>0</v>
      </c>
      <c r="R95" s="244">
        <f>+FLEURY!U31+FLEURY!U32</f>
        <v>0</v>
      </c>
      <c r="S95" s="243">
        <f t="shared" ref="S95:S112" si="8">SUM(E95:Q95)</f>
        <v>0</v>
      </c>
      <c r="U95" s="335"/>
    </row>
    <row r="96" spans="1:24" s="185" customFormat="1" ht="12" customHeight="1" x14ac:dyDescent="0.2">
      <c r="A96" s="181">
        <v>615136</v>
      </c>
      <c r="B96" s="266" t="s">
        <v>371</v>
      </c>
      <c r="C96" s="183" t="s">
        <v>145</v>
      </c>
      <c r="D96" s="183" t="s">
        <v>269</v>
      </c>
      <c r="E96" s="244">
        <f>FLEURY!H33+FLEURY!H34</f>
        <v>323.49</v>
      </c>
      <c r="F96" s="244">
        <f>FLEURY!I33+FLEURY!I34</f>
        <v>2610.4300000000003</v>
      </c>
      <c r="G96" s="244">
        <f>FLEURY!J33+FLEURY!J34</f>
        <v>3201.28</v>
      </c>
      <c r="H96" s="244">
        <f>FLEURY!K33+FLEURY!K34</f>
        <v>3511.65</v>
      </c>
      <c r="I96" s="244">
        <f>FLEURY!L33+FLEURY!L34</f>
        <v>2786.8199999999997</v>
      </c>
      <c r="J96" s="244">
        <f>FLEURY!M33+FLEURY!M34</f>
        <v>2775.79</v>
      </c>
      <c r="K96" s="244">
        <f>FLEURY!N33+FLEURY!N34</f>
        <v>3940.58</v>
      </c>
      <c r="L96" s="244">
        <f>FLEURY!O33+FLEURY!O34</f>
        <v>2409.3200000000002</v>
      </c>
      <c r="M96" s="244">
        <f>FLEURY!P33+FLEURY!P34</f>
        <v>2147.7399999999998</v>
      </c>
      <c r="N96" s="244">
        <f>FLEURY!Q33+FLEURY!Q34</f>
        <v>1915.02</v>
      </c>
      <c r="O96" s="244">
        <f>FLEURY!R33+FLEURY!R34</f>
        <v>2274.21</v>
      </c>
      <c r="P96" s="244">
        <f>FLEURY!S33+FLEURY!S34</f>
        <v>2087.41</v>
      </c>
      <c r="Q96" s="244">
        <f>FLEURY!T33+FLEURY!T34</f>
        <v>0</v>
      </c>
      <c r="R96" s="244">
        <f>FLEURY!U33+FLEURY!U34</f>
        <v>0</v>
      </c>
      <c r="S96" s="243">
        <f t="shared" si="8"/>
        <v>29983.739999999998</v>
      </c>
      <c r="U96" s="334"/>
    </row>
    <row r="97" spans="1:21" s="185" customFormat="1" ht="12" customHeight="1" x14ac:dyDescent="0.2">
      <c r="A97" s="181"/>
      <c r="B97" s="266"/>
      <c r="C97" s="181"/>
      <c r="D97" s="181"/>
      <c r="E97" s="244"/>
      <c r="F97" s="244"/>
      <c r="G97" s="244"/>
      <c r="H97" s="243"/>
      <c r="I97" s="244"/>
      <c r="J97" s="244"/>
      <c r="K97" s="244"/>
      <c r="L97" s="244"/>
      <c r="M97" s="244"/>
      <c r="N97" s="243"/>
      <c r="O97" s="243"/>
      <c r="P97" s="243"/>
      <c r="Q97" s="243"/>
      <c r="R97" s="243"/>
      <c r="S97" s="243">
        <f t="shared" si="8"/>
        <v>0</v>
      </c>
      <c r="U97" s="334"/>
    </row>
    <row r="98" spans="1:21" s="185" customFormat="1" ht="12" customHeight="1" x14ac:dyDescent="0.2">
      <c r="A98" s="181">
        <v>615136</v>
      </c>
      <c r="B98" s="266" t="s">
        <v>371</v>
      </c>
      <c r="C98" s="183" t="s">
        <v>108</v>
      </c>
      <c r="D98" s="183" t="s">
        <v>192</v>
      </c>
      <c r="E98" s="244">
        <f>+AIX!H30</f>
        <v>0</v>
      </c>
      <c r="F98" s="244">
        <f>+AIX!I30</f>
        <v>0</v>
      </c>
      <c r="G98" s="244">
        <f>+AIX!J30</f>
        <v>0</v>
      </c>
      <c r="H98" s="244">
        <f>+AIX!K30</f>
        <v>0</v>
      </c>
      <c r="I98" s="244">
        <f>+AIX!L30</f>
        <v>0</v>
      </c>
      <c r="J98" s="244">
        <f>+AIX!M30</f>
        <v>0</v>
      </c>
      <c r="K98" s="244">
        <f>+AIX!N30</f>
        <v>0</v>
      </c>
      <c r="L98" s="244">
        <f>+AIX!O30</f>
        <v>0</v>
      </c>
      <c r="M98" s="244">
        <f>+AIX!P30</f>
        <v>0</v>
      </c>
      <c r="N98" s="243">
        <f>+AIX!Q30</f>
        <v>0</v>
      </c>
      <c r="O98" s="243">
        <f>+AIX!R30</f>
        <v>0</v>
      </c>
      <c r="P98" s="243">
        <f>+AIX!S30</f>
        <v>0</v>
      </c>
      <c r="Q98" s="243">
        <f>+AIX!T30</f>
        <v>0</v>
      </c>
      <c r="R98" s="243">
        <f>+AIX!U30</f>
        <v>0</v>
      </c>
      <c r="S98" s="243">
        <f>SUM(E98:Q98)</f>
        <v>0</v>
      </c>
      <c r="U98" s="334"/>
    </row>
    <row r="99" spans="1:21" s="185" customFormat="1" ht="12" customHeight="1" x14ac:dyDescent="0.2">
      <c r="A99" s="181">
        <v>615136</v>
      </c>
      <c r="B99" s="266" t="s">
        <v>371</v>
      </c>
      <c r="C99" s="183" t="s">
        <v>108</v>
      </c>
      <c r="D99" s="183" t="s">
        <v>269</v>
      </c>
      <c r="E99" s="244">
        <f>+AIX!H31</f>
        <v>-1000</v>
      </c>
      <c r="F99" s="244">
        <f>+AIX!I31</f>
        <v>0</v>
      </c>
      <c r="G99" s="244">
        <f>+AIX!J31</f>
        <v>1168.1600000000001</v>
      </c>
      <c r="H99" s="244">
        <f>+AIX!K31</f>
        <v>1001.28</v>
      </c>
      <c r="I99" s="244">
        <f>+AIX!L31</f>
        <v>1335.04</v>
      </c>
      <c r="J99" s="244">
        <f>+AIX!M31</f>
        <v>1668.8</v>
      </c>
      <c r="K99" s="244">
        <f>+AIX!N31</f>
        <v>0</v>
      </c>
      <c r="L99" s="244">
        <f>+AIX!O31</f>
        <v>0</v>
      </c>
      <c r="M99" s="244">
        <f>+AIX!P31</f>
        <v>0</v>
      </c>
      <c r="N99" s="243">
        <f>+AIX!Q31</f>
        <v>1668.8</v>
      </c>
      <c r="O99" s="243">
        <f>+AIX!R31</f>
        <v>0</v>
      </c>
      <c r="P99" s="243">
        <f>+AIX!S31</f>
        <v>1700</v>
      </c>
      <c r="Q99" s="243">
        <f>+AIX!T31</f>
        <v>0</v>
      </c>
      <c r="R99" s="243">
        <f>+AIX!U31</f>
        <v>0</v>
      </c>
      <c r="S99" s="243">
        <f>SUM(E99:Q99)</f>
        <v>7542.08</v>
      </c>
      <c r="U99" s="334"/>
    </row>
    <row r="100" spans="1:21" s="185" customFormat="1" ht="12" customHeight="1" x14ac:dyDescent="0.2">
      <c r="A100" s="181"/>
      <c r="B100" s="266"/>
      <c r="C100" s="183"/>
      <c r="D100" s="183"/>
      <c r="E100" s="244"/>
      <c r="F100" s="244"/>
      <c r="G100" s="244"/>
      <c r="H100" s="243"/>
      <c r="I100" s="244"/>
      <c r="J100" s="244"/>
      <c r="K100" s="244"/>
      <c r="L100" s="244"/>
      <c r="M100" s="244"/>
      <c r="N100" s="243"/>
      <c r="O100" s="243"/>
      <c r="P100" s="243"/>
      <c r="Q100" s="243"/>
      <c r="R100" s="243"/>
      <c r="S100" s="243">
        <f t="shared" si="8"/>
        <v>0</v>
      </c>
      <c r="U100" s="334"/>
    </row>
    <row r="101" spans="1:21" s="185" customFormat="1" ht="12" customHeight="1" x14ac:dyDescent="0.2">
      <c r="A101" s="181">
        <v>615136</v>
      </c>
      <c r="B101" s="266" t="s">
        <v>371</v>
      </c>
      <c r="C101" s="183" t="s">
        <v>163</v>
      </c>
      <c r="D101" s="183" t="s">
        <v>269</v>
      </c>
      <c r="E101" s="244">
        <f>SUM(LYON!H32:'LYON'!H33)</f>
        <v>0</v>
      </c>
      <c r="F101" s="244">
        <f>SUM(LYON!I32:'LYON'!I33)</f>
        <v>0</v>
      </c>
      <c r="G101" s="244">
        <f>SUM(LYON!J32:'LYON'!J33)</f>
        <v>0</v>
      </c>
      <c r="H101" s="244">
        <f>SUM(LYON!K32:'LYON'!K33)</f>
        <v>0</v>
      </c>
      <c r="I101" s="244">
        <f>SUM(LYON!L32:'LYON'!L33)</f>
        <v>1930</v>
      </c>
      <c r="J101" s="244">
        <f>SUM(LYON!M32:'LYON'!M33)</f>
        <v>0</v>
      </c>
      <c r="K101" s="244">
        <f>SUM(LYON!N32:'LYON'!N33)</f>
        <v>0</v>
      </c>
      <c r="L101" s="244">
        <f>SUM(LYON!O32:'LYON'!O33)</f>
        <v>0</v>
      </c>
      <c r="M101" s="244">
        <f>SUM(LYON!P32:'LYON'!P33)</f>
        <v>0</v>
      </c>
      <c r="N101" s="244">
        <f>SUM(LYON!Q32:'LYON'!Q33)</f>
        <v>0</v>
      </c>
      <c r="O101" s="244">
        <f>SUM(LYON!R32:'LYON'!R33)</f>
        <v>0</v>
      </c>
      <c r="P101" s="244">
        <f>SUM(LYON!S32:'LYON'!S33)</f>
        <v>0</v>
      </c>
      <c r="Q101" s="244">
        <f>SUM(LYON!T32:'LYON'!T33)</f>
        <v>0</v>
      </c>
      <c r="R101" s="244">
        <f>SUM(LYON!U32:'LYON'!U33)</f>
        <v>0</v>
      </c>
      <c r="S101" s="243">
        <f>SUM(E101:Q101)</f>
        <v>1930</v>
      </c>
      <c r="U101" s="334"/>
    </row>
    <row r="102" spans="1:21" s="185" customFormat="1" ht="12" customHeight="1" x14ac:dyDescent="0.2">
      <c r="A102" s="181">
        <v>615136</v>
      </c>
      <c r="B102" s="266" t="s">
        <v>371</v>
      </c>
      <c r="C102" s="183" t="s">
        <v>163</v>
      </c>
      <c r="D102" s="183" t="s">
        <v>269</v>
      </c>
      <c r="E102" s="244">
        <f>+LYON!H31</f>
        <v>0</v>
      </c>
      <c r="F102" s="244">
        <f>+LYON!I31</f>
        <v>1824.5</v>
      </c>
      <c r="G102" s="244">
        <f>+LYON!J31</f>
        <v>0</v>
      </c>
      <c r="H102" s="244">
        <f>+LYON!K31</f>
        <v>0</v>
      </c>
      <c r="I102" s="244">
        <f>+LYON!L31</f>
        <v>0</v>
      </c>
      <c r="J102" s="244">
        <f>+LYON!M31</f>
        <v>0</v>
      </c>
      <c r="K102" s="244">
        <f>+LYON!N31</f>
        <v>0</v>
      </c>
      <c r="L102" s="244">
        <f>+LYON!O31</f>
        <v>2008.5</v>
      </c>
      <c r="M102" s="244">
        <f>+LYON!P31</f>
        <v>0</v>
      </c>
      <c r="N102" s="244">
        <f>+LYON!Q31</f>
        <v>0</v>
      </c>
      <c r="O102" s="244">
        <f>+LYON!R31</f>
        <v>0</v>
      </c>
      <c r="P102" s="244">
        <f>+LYON!S31</f>
        <v>0</v>
      </c>
      <c r="Q102" s="244">
        <f>+LYON!T31</f>
        <v>1981.5</v>
      </c>
      <c r="R102" s="244">
        <f>+LYON!U31</f>
        <v>0</v>
      </c>
      <c r="S102" s="243">
        <f t="shared" si="8"/>
        <v>5814.5</v>
      </c>
      <c r="U102" s="334"/>
    </row>
    <row r="103" spans="1:21" s="185" customFormat="1" ht="12" customHeight="1" x14ac:dyDescent="0.2">
      <c r="A103" s="181"/>
      <c r="B103" s="266"/>
      <c r="C103" s="183"/>
      <c r="D103" s="183"/>
      <c r="E103" s="244"/>
      <c r="F103" s="244"/>
      <c r="G103" s="244"/>
      <c r="H103" s="243"/>
      <c r="I103" s="244"/>
      <c r="J103" s="244"/>
      <c r="K103" s="244"/>
      <c r="L103" s="244"/>
      <c r="M103" s="244"/>
      <c r="N103" s="243"/>
      <c r="O103" s="243"/>
      <c r="P103" s="243"/>
      <c r="Q103" s="243"/>
      <c r="R103" s="243"/>
      <c r="S103" s="243">
        <f t="shared" si="8"/>
        <v>0</v>
      </c>
      <c r="U103" s="334"/>
    </row>
    <row r="104" spans="1:21" s="185" customFormat="1" ht="12" customHeight="1" x14ac:dyDescent="0.2">
      <c r="A104" s="181">
        <v>615136</v>
      </c>
      <c r="B104" s="266" t="s">
        <v>371</v>
      </c>
      <c r="C104" s="183" t="s">
        <v>130</v>
      </c>
      <c r="D104" s="183" t="s">
        <v>192</v>
      </c>
      <c r="E104" s="244">
        <f>+BORDEAUX!H30</f>
        <v>0</v>
      </c>
      <c r="F104" s="244">
        <f>+BORDEAUX!I30</f>
        <v>0</v>
      </c>
      <c r="G104" s="244">
        <f>+BORDEAUX!J30</f>
        <v>0</v>
      </c>
      <c r="H104" s="243">
        <f>+BORDEAUX!K30</f>
        <v>0</v>
      </c>
      <c r="I104" s="244">
        <f>+BORDEAUX!L30</f>
        <v>0</v>
      </c>
      <c r="J104" s="244">
        <f>+BORDEAUX!M30</f>
        <v>0</v>
      </c>
      <c r="K104" s="244">
        <f>+BORDEAUX!N30</f>
        <v>0</v>
      </c>
      <c r="L104" s="244">
        <f>+BORDEAUX!O30</f>
        <v>0</v>
      </c>
      <c r="M104" s="244">
        <f>+BORDEAUX!P30</f>
        <v>0</v>
      </c>
      <c r="N104" s="243">
        <f>+BORDEAUX!Q30</f>
        <v>0</v>
      </c>
      <c r="O104" s="243">
        <f>+BORDEAUX!R30</f>
        <v>0</v>
      </c>
      <c r="P104" s="243">
        <f>+BORDEAUX!S30</f>
        <v>0</v>
      </c>
      <c r="Q104" s="243">
        <f>+BORDEAUX!T30</f>
        <v>3780</v>
      </c>
      <c r="R104" s="243">
        <f>+BORDEAUX!U30</f>
        <v>0</v>
      </c>
      <c r="S104" s="243">
        <f t="shared" si="8"/>
        <v>3780</v>
      </c>
      <c r="U104" s="334"/>
    </row>
    <row r="105" spans="1:21" s="185" customFormat="1" ht="12" customHeight="1" x14ac:dyDescent="0.2">
      <c r="A105" s="181">
        <v>615136</v>
      </c>
      <c r="B105" s="266" t="s">
        <v>371</v>
      </c>
      <c r="C105" s="183" t="s">
        <v>130</v>
      </c>
      <c r="D105" s="183" t="s">
        <v>269</v>
      </c>
      <c r="E105" s="244">
        <f>+BORDEAUX!H31</f>
        <v>948.8</v>
      </c>
      <c r="F105" s="244">
        <f>+BORDEAUX!I31</f>
        <v>0</v>
      </c>
      <c r="G105" s="244">
        <f>+BORDEAUX!J31</f>
        <v>1269.29</v>
      </c>
      <c r="H105" s="243">
        <f>+BORDEAUX!K31</f>
        <v>0</v>
      </c>
      <c r="I105" s="244">
        <f>+BORDEAUX!L31</f>
        <v>0</v>
      </c>
      <c r="J105" s="244">
        <f>+BORDEAUX!M31</f>
        <v>340.96</v>
      </c>
      <c r="K105" s="244">
        <f>+BORDEAUX!N31</f>
        <v>0</v>
      </c>
      <c r="L105" s="244">
        <f>+BORDEAUX!O31</f>
        <v>0</v>
      </c>
      <c r="M105" s="244">
        <f>+BORDEAUX!P31</f>
        <v>853.27</v>
      </c>
      <c r="N105" s="243">
        <f>+BORDEAUX!Q31</f>
        <v>449.1</v>
      </c>
      <c r="O105" s="243">
        <f>+BORDEAUX!R31</f>
        <v>0</v>
      </c>
      <c r="P105" s="243">
        <f>+BORDEAUX!S31</f>
        <v>0</v>
      </c>
      <c r="Q105" s="243">
        <f>+BORDEAUX!T31</f>
        <v>0</v>
      </c>
      <c r="R105" s="243">
        <f>+BORDEAUX!U31</f>
        <v>0</v>
      </c>
      <c r="S105" s="243">
        <f t="shared" si="8"/>
        <v>3861.42</v>
      </c>
      <c r="U105" s="334"/>
    </row>
    <row r="106" spans="1:21" s="185" customFormat="1" ht="12" customHeight="1" x14ac:dyDescent="0.2">
      <c r="A106" s="181"/>
      <c r="B106" s="266"/>
      <c r="C106" s="183"/>
      <c r="D106" s="183"/>
      <c r="E106" s="244"/>
      <c r="F106" s="244"/>
      <c r="G106" s="244"/>
      <c r="H106" s="243"/>
      <c r="I106" s="244"/>
      <c r="J106" s="244"/>
      <c r="K106" s="244"/>
      <c r="L106" s="244"/>
      <c r="M106" s="244"/>
      <c r="N106" s="243"/>
      <c r="O106" s="243"/>
      <c r="P106" s="243"/>
      <c r="Q106" s="243"/>
      <c r="R106" s="243"/>
      <c r="S106" s="243">
        <f t="shared" si="8"/>
        <v>0</v>
      </c>
      <c r="U106" s="334"/>
    </row>
    <row r="107" spans="1:21" s="185" customFormat="1" ht="12" customHeight="1" x14ac:dyDescent="0.2">
      <c r="A107" s="181">
        <v>615136</v>
      </c>
      <c r="B107" s="266" t="s">
        <v>371</v>
      </c>
      <c r="C107" s="183" t="s">
        <v>153</v>
      </c>
      <c r="D107" s="183" t="s">
        <v>269</v>
      </c>
      <c r="E107" s="244">
        <f>NANCY!H29</f>
        <v>0</v>
      </c>
      <c r="F107" s="244">
        <f>NANCY!I29</f>
        <v>0</v>
      </c>
      <c r="G107" s="244">
        <f>NANCY!J29</f>
        <v>0</v>
      </c>
      <c r="H107" s="244">
        <f>NANCY!K29</f>
        <v>0</v>
      </c>
      <c r="I107" s="244">
        <f>NANCY!L29</f>
        <v>0</v>
      </c>
      <c r="J107" s="244">
        <f>NANCY!M29</f>
        <v>0</v>
      </c>
      <c r="K107" s="244">
        <f>NANCY!N29</f>
        <v>0</v>
      </c>
      <c r="L107" s="244">
        <f>NANCY!O29</f>
        <v>0</v>
      </c>
      <c r="M107" s="244">
        <f>NANCY!P29</f>
        <v>0</v>
      </c>
      <c r="N107" s="244">
        <f>NANCY!Q29</f>
        <v>0</v>
      </c>
      <c r="O107" s="244">
        <f>NANCY!R29</f>
        <v>0</v>
      </c>
      <c r="P107" s="244">
        <f>NANCY!S29</f>
        <v>0</v>
      </c>
      <c r="Q107" s="244">
        <f>NANCY!T29</f>
        <v>0</v>
      </c>
      <c r="R107" s="244">
        <f>NANCY!U29</f>
        <v>0</v>
      </c>
      <c r="S107" s="243">
        <f t="shared" si="8"/>
        <v>0</v>
      </c>
      <c r="U107" s="334"/>
    </row>
    <row r="108" spans="1:21" s="185" customFormat="1" ht="12" customHeight="1" x14ac:dyDescent="0.2">
      <c r="A108" s="181"/>
      <c r="B108" s="266"/>
      <c r="C108" s="183"/>
      <c r="D108" s="183"/>
      <c r="E108" s="244"/>
      <c r="F108" s="244"/>
      <c r="G108" s="244"/>
      <c r="H108" s="244"/>
      <c r="I108" s="244"/>
      <c r="J108" s="244"/>
      <c r="K108" s="244"/>
      <c r="L108" s="244"/>
      <c r="M108" s="244"/>
      <c r="N108" s="244"/>
      <c r="O108" s="244"/>
      <c r="P108" s="244"/>
      <c r="Q108" s="244"/>
      <c r="R108" s="244"/>
      <c r="S108" s="243">
        <f t="shared" si="8"/>
        <v>0</v>
      </c>
      <c r="U108" s="334"/>
    </row>
    <row r="109" spans="1:21" s="185" customFormat="1" ht="12" customHeight="1" x14ac:dyDescent="0.2">
      <c r="A109" s="181">
        <v>615136</v>
      </c>
      <c r="B109" s="266" t="s">
        <v>371</v>
      </c>
      <c r="C109" s="183" t="s">
        <v>143</v>
      </c>
      <c r="D109" s="183" t="s">
        <v>192</v>
      </c>
      <c r="E109" s="244">
        <f>RENNES!H35</f>
        <v>0</v>
      </c>
      <c r="F109" s="244">
        <f>RENNES!I35</f>
        <v>0</v>
      </c>
      <c r="G109" s="244">
        <f>RENNES!J35</f>
        <v>0</v>
      </c>
      <c r="H109" s="244">
        <f>RENNES!K35</f>
        <v>0</v>
      </c>
      <c r="I109" s="244">
        <f>RENNES!L35</f>
        <v>0</v>
      </c>
      <c r="J109" s="244">
        <f>RENNES!M35</f>
        <v>0</v>
      </c>
      <c r="K109" s="244">
        <f>RENNES!N35</f>
        <v>0</v>
      </c>
      <c r="L109" s="244">
        <f>RENNES!O35</f>
        <v>0</v>
      </c>
      <c r="M109" s="244">
        <f>RENNES!P35</f>
        <v>0</v>
      </c>
      <c r="N109" s="244">
        <f>RENNES!Q35</f>
        <v>0</v>
      </c>
      <c r="O109" s="244">
        <f>RENNES!R35</f>
        <v>0</v>
      </c>
      <c r="P109" s="244">
        <f>RENNES!S35</f>
        <v>0</v>
      </c>
      <c r="Q109" s="244">
        <f>RENNES!T35</f>
        <v>0</v>
      </c>
      <c r="R109" s="244">
        <f>RENNES!U35</f>
        <v>0</v>
      </c>
      <c r="S109" s="243">
        <f t="shared" si="8"/>
        <v>0</v>
      </c>
      <c r="U109" s="334"/>
    </row>
    <row r="110" spans="1:21" s="185" customFormat="1" ht="12" customHeight="1" x14ac:dyDescent="0.2">
      <c r="A110" s="181"/>
      <c r="B110" s="266"/>
      <c r="C110" s="183"/>
      <c r="D110" s="183"/>
      <c r="E110" s="244"/>
      <c r="F110" s="244"/>
      <c r="G110" s="244"/>
      <c r="H110" s="244"/>
      <c r="I110" s="244"/>
      <c r="J110" s="244"/>
      <c r="K110" s="244"/>
      <c r="L110" s="244"/>
      <c r="M110" s="244"/>
      <c r="N110" s="244"/>
      <c r="O110" s="244"/>
      <c r="P110" s="244"/>
      <c r="Q110" s="244"/>
      <c r="R110" s="244"/>
      <c r="S110" s="243">
        <f t="shared" si="8"/>
        <v>0</v>
      </c>
      <c r="U110" s="334"/>
    </row>
    <row r="111" spans="1:21" s="185" customFormat="1" ht="12" customHeight="1" x14ac:dyDescent="0.2">
      <c r="A111" s="181">
        <v>615136</v>
      </c>
      <c r="B111" s="266" t="s">
        <v>371</v>
      </c>
      <c r="C111" s="183" t="s">
        <v>157</v>
      </c>
      <c r="D111" s="183" t="s">
        <v>192</v>
      </c>
      <c r="E111" s="244">
        <f>BEAUVAIS!H29</f>
        <v>0</v>
      </c>
      <c r="F111" s="244">
        <f>BEAUVAIS!I29</f>
        <v>0</v>
      </c>
      <c r="G111" s="244">
        <f>BEAUVAIS!J29</f>
        <v>0</v>
      </c>
      <c r="H111" s="244">
        <f>BEAUVAIS!K29</f>
        <v>0</v>
      </c>
      <c r="I111" s="244">
        <f>BEAUVAIS!L29</f>
        <v>0</v>
      </c>
      <c r="J111" s="244">
        <f>BEAUVAIS!M29</f>
        <v>0</v>
      </c>
      <c r="K111" s="244">
        <f>BEAUVAIS!N29</f>
        <v>0</v>
      </c>
      <c r="L111" s="244">
        <f>BEAUVAIS!O29</f>
        <v>0</v>
      </c>
      <c r="M111" s="244">
        <f>BEAUVAIS!P29</f>
        <v>0</v>
      </c>
      <c r="N111" s="244">
        <f>BEAUVAIS!Q29</f>
        <v>0</v>
      </c>
      <c r="O111" s="244">
        <f>BEAUVAIS!R29</f>
        <v>0</v>
      </c>
      <c r="P111" s="244">
        <f>BEAUVAIS!S29</f>
        <v>0</v>
      </c>
      <c r="Q111" s="244">
        <f>BEAUVAIS!T29</f>
        <v>0</v>
      </c>
      <c r="R111" s="244">
        <f>BEAUVAIS!U29</f>
        <v>0</v>
      </c>
      <c r="S111" s="243">
        <f t="shared" si="8"/>
        <v>0</v>
      </c>
      <c r="U111" s="334"/>
    </row>
    <row r="112" spans="1:21" s="185" customFormat="1" ht="12" customHeight="1" x14ac:dyDescent="0.2">
      <c r="A112" s="181">
        <v>615136</v>
      </c>
      <c r="B112" s="266" t="s">
        <v>371</v>
      </c>
      <c r="C112" s="183" t="s">
        <v>157</v>
      </c>
      <c r="D112" s="183" t="s">
        <v>269</v>
      </c>
      <c r="E112" s="244">
        <f>BEAUVAIS!H30</f>
        <v>0</v>
      </c>
      <c r="F112" s="244">
        <f>BEAUVAIS!I30</f>
        <v>0</v>
      </c>
      <c r="G112" s="244">
        <f>BEAUVAIS!J30</f>
        <v>0</v>
      </c>
      <c r="H112" s="244">
        <f>BEAUVAIS!K30</f>
        <v>0</v>
      </c>
      <c r="I112" s="244">
        <f>BEAUVAIS!L30</f>
        <v>0</v>
      </c>
      <c r="J112" s="244">
        <f>BEAUVAIS!M30</f>
        <v>575</v>
      </c>
      <c r="K112" s="244">
        <f>BEAUVAIS!N30</f>
        <v>0</v>
      </c>
      <c r="L112" s="244">
        <f>BEAUVAIS!O30</f>
        <v>560</v>
      </c>
      <c r="M112" s="244">
        <f>BEAUVAIS!P30</f>
        <v>0</v>
      </c>
      <c r="N112" s="244">
        <f>BEAUVAIS!Q30</f>
        <v>0</v>
      </c>
      <c r="O112" s="244">
        <f>BEAUVAIS!R30</f>
        <v>402.5</v>
      </c>
      <c r="P112" s="244">
        <f>BEAUVAIS!S30</f>
        <v>0</v>
      </c>
      <c r="Q112" s="244">
        <f>BEAUVAIS!T30</f>
        <v>0</v>
      </c>
      <c r="R112" s="244">
        <f>BEAUVAIS!U30</f>
        <v>0</v>
      </c>
      <c r="S112" s="243">
        <f t="shared" si="8"/>
        <v>1537.5</v>
      </c>
      <c r="U112" s="334"/>
    </row>
    <row r="113" spans="1:24" s="185" customFormat="1" ht="12" customHeight="1" x14ac:dyDescent="0.2">
      <c r="A113" s="181"/>
      <c r="B113" s="266"/>
      <c r="C113" s="183"/>
      <c r="D113" s="183"/>
      <c r="E113" s="244"/>
      <c r="F113" s="244"/>
      <c r="G113" s="244"/>
      <c r="H113" s="244"/>
      <c r="I113" s="244"/>
      <c r="J113" s="244"/>
      <c r="K113" s="244"/>
      <c r="L113" s="244"/>
      <c r="M113" s="244"/>
      <c r="N113" s="244"/>
      <c r="O113" s="244"/>
      <c r="P113" s="244"/>
      <c r="Q113" s="244"/>
      <c r="R113" s="244"/>
      <c r="S113" s="243"/>
      <c r="U113" s="334"/>
    </row>
    <row r="114" spans="1:24" s="185" customFormat="1" ht="12" customHeight="1" x14ac:dyDescent="0.2">
      <c r="A114" s="181">
        <v>615136</v>
      </c>
      <c r="B114" s="266" t="s">
        <v>371</v>
      </c>
      <c r="C114" s="183" t="s">
        <v>366</v>
      </c>
      <c r="D114" s="183">
        <v>999999</v>
      </c>
      <c r="E114" s="244"/>
      <c r="F114" s="244">
        <v>2320.0100000000002</v>
      </c>
      <c r="G114" s="244">
        <f>-2320.01+7228.78</f>
        <v>4908.7699999999995</v>
      </c>
      <c r="H114" s="244">
        <f>-7228.78+10558.77</f>
        <v>3329.9900000000007</v>
      </c>
      <c r="I114" s="244">
        <f>-10558.77+13288.39</f>
        <v>2729.619999999999</v>
      </c>
      <c r="J114" s="244">
        <f>-13288.39+15820.26</f>
        <v>2531.8700000000008</v>
      </c>
      <c r="K114" s="244">
        <f>-15820.26+21674.71</f>
        <v>5854.4499999999989</v>
      </c>
      <c r="L114" s="244">
        <f>-21674.71+23743.69</f>
        <v>2068.9799999999996</v>
      </c>
      <c r="M114" s="244">
        <f>-23743.69+28192.31</f>
        <v>4448.6200000000026</v>
      </c>
      <c r="N114" s="244">
        <f>-28192.31+34792.46</f>
        <v>6600.1499999999978</v>
      </c>
      <c r="O114" s="244">
        <f>-34792.46+36809.04</f>
        <v>2016.5800000000017</v>
      </c>
      <c r="P114" s="244">
        <f>-36809.04+22645.83</f>
        <v>-14163.21</v>
      </c>
      <c r="Q114" s="244">
        <f>BEAUVAIS!T30</f>
        <v>0</v>
      </c>
      <c r="R114" s="244">
        <f>BEAUVAIS!U30</f>
        <v>0</v>
      </c>
      <c r="S114" s="243">
        <f>SUM(E114:Q114)</f>
        <v>22645.83</v>
      </c>
      <c r="U114" s="334"/>
    </row>
    <row r="115" spans="1:24" s="185" customFormat="1" ht="24" customHeight="1" x14ac:dyDescent="0.2">
      <c r="A115" s="267"/>
      <c r="B115" s="268"/>
      <c r="C115" s="267" t="s">
        <v>66</v>
      </c>
      <c r="D115" s="267"/>
      <c r="E115" s="269">
        <f>+SUM(E95:E107)</f>
        <v>272.28999999999996</v>
      </c>
      <c r="F115" s="269">
        <f t="shared" ref="F115:Q115" si="9">+SUM(F95:F114)</f>
        <v>6754.9400000000005</v>
      </c>
      <c r="G115" s="269">
        <f t="shared" si="9"/>
        <v>10547.5</v>
      </c>
      <c r="H115" s="269">
        <f t="shared" si="9"/>
        <v>7842.920000000001</v>
      </c>
      <c r="I115" s="269">
        <f t="shared" si="9"/>
        <v>8781.48</v>
      </c>
      <c r="J115" s="269">
        <f t="shared" si="9"/>
        <v>7892.420000000001</v>
      </c>
      <c r="K115" s="269">
        <f t="shared" si="9"/>
        <v>9795.0299999999988</v>
      </c>
      <c r="L115" s="269">
        <f t="shared" si="9"/>
        <v>7046.7999999999993</v>
      </c>
      <c r="M115" s="269">
        <f t="shared" si="9"/>
        <v>7449.6300000000028</v>
      </c>
      <c r="N115" s="269">
        <f t="shared" si="9"/>
        <v>10633.069999999998</v>
      </c>
      <c r="O115" s="269">
        <f t="shared" si="9"/>
        <v>4693.2900000000018</v>
      </c>
      <c r="P115" s="269">
        <f t="shared" si="9"/>
        <v>-10375.799999999999</v>
      </c>
      <c r="Q115" s="269">
        <f t="shared" si="9"/>
        <v>5761.5</v>
      </c>
      <c r="R115" s="269">
        <f>+SUM(R95:R114)</f>
        <v>0</v>
      </c>
      <c r="S115" s="269">
        <f>SUM(S95:S114)</f>
        <v>77095.070000000007</v>
      </c>
      <c r="T115" s="212">
        <v>71820</v>
      </c>
      <c r="U115" s="334">
        <f>T115-S115</f>
        <v>-5275.070000000007</v>
      </c>
      <c r="V115" s="185" t="s">
        <v>853</v>
      </c>
      <c r="X115" s="569">
        <f>U115-CENTRALISATION!V115</f>
        <v>0</v>
      </c>
    </row>
    <row r="116" spans="1:24" s="185" customFormat="1" ht="12" customHeight="1" x14ac:dyDescent="0.2">
      <c r="A116" s="181">
        <v>615137</v>
      </c>
      <c r="B116" s="266" t="s">
        <v>373</v>
      </c>
      <c r="C116" s="183" t="s">
        <v>77</v>
      </c>
      <c r="D116" s="183" t="s">
        <v>192</v>
      </c>
      <c r="E116" s="244">
        <f>+FLEURY!H38</f>
        <v>0</v>
      </c>
      <c r="F116" s="244">
        <f>+FLEURY!I38</f>
        <v>0</v>
      </c>
      <c r="G116" s="244">
        <f>+FLEURY!J38</f>
        <v>0</v>
      </c>
      <c r="H116" s="244">
        <f>+FLEURY!K38</f>
        <v>0</v>
      </c>
      <c r="I116" s="244">
        <f>+FLEURY!L38</f>
        <v>0</v>
      </c>
      <c r="J116" s="244">
        <f>+FLEURY!M38</f>
        <v>0</v>
      </c>
      <c r="K116" s="244">
        <f>+FLEURY!N38</f>
        <v>0</v>
      </c>
      <c r="L116" s="244">
        <f>+FLEURY!O38</f>
        <v>330</v>
      </c>
      <c r="M116" s="244">
        <f>+FLEURY!P38</f>
        <v>0</v>
      </c>
      <c r="N116" s="244">
        <f>+FLEURY!Q38</f>
        <v>0</v>
      </c>
      <c r="O116" s="244">
        <f>+FLEURY!R38</f>
        <v>0</v>
      </c>
      <c r="P116" s="244">
        <f>+FLEURY!S38</f>
        <v>0</v>
      </c>
      <c r="Q116" s="244">
        <f>+FLEURY!T38</f>
        <v>0</v>
      </c>
      <c r="R116" s="244">
        <f>+FLEURY!U38</f>
        <v>0</v>
      </c>
      <c r="S116" s="243">
        <f t="shared" ref="S116:S132" si="10">SUM(E116:Q116)</f>
        <v>330</v>
      </c>
      <c r="T116" s="509"/>
      <c r="U116" s="335"/>
    </row>
    <row r="117" spans="1:24" s="185" customFormat="1" ht="12" customHeight="1" x14ac:dyDescent="0.2">
      <c r="A117" s="181"/>
      <c r="B117" s="266"/>
      <c r="C117" s="181"/>
      <c r="D117" s="181"/>
      <c r="E117" s="244"/>
      <c r="F117" s="244"/>
      <c r="G117" s="244"/>
      <c r="H117" s="243"/>
      <c r="I117" s="243"/>
      <c r="J117" s="243"/>
      <c r="K117" s="243"/>
      <c r="L117" s="243"/>
      <c r="M117" s="243"/>
      <c r="N117" s="243"/>
      <c r="O117" s="243"/>
      <c r="P117" s="243"/>
      <c r="Q117" s="243"/>
      <c r="R117" s="243"/>
      <c r="S117" s="243">
        <f t="shared" si="10"/>
        <v>0</v>
      </c>
      <c r="U117" s="335"/>
    </row>
    <row r="118" spans="1:24" s="185" customFormat="1" ht="12" customHeight="1" x14ac:dyDescent="0.2">
      <c r="A118" s="181">
        <v>615137</v>
      </c>
      <c r="B118" s="266" t="s">
        <v>373</v>
      </c>
      <c r="C118" s="183" t="s">
        <v>70</v>
      </c>
      <c r="D118" s="183" t="s">
        <v>192</v>
      </c>
      <c r="E118" s="244">
        <f>+AIX!H36</f>
        <v>0</v>
      </c>
      <c r="F118" s="244">
        <f>+AIX!I36</f>
        <v>0</v>
      </c>
      <c r="G118" s="244">
        <f>+AIX!J36</f>
        <v>0</v>
      </c>
      <c r="H118" s="244">
        <f>+AIX!K36</f>
        <v>0</v>
      </c>
      <c r="I118" s="244">
        <f>+AIX!L36</f>
        <v>0</v>
      </c>
      <c r="J118" s="244">
        <f>+AIX!M36</f>
        <v>0</v>
      </c>
      <c r="K118" s="244">
        <f>+AIX!N36</f>
        <v>705</v>
      </c>
      <c r="L118" s="244">
        <f>+AIX!O36</f>
        <v>0</v>
      </c>
      <c r="M118" s="244">
        <f>+AIX!P36</f>
        <v>0</v>
      </c>
      <c r="N118" s="244">
        <f>+AIX!Q36</f>
        <v>0</v>
      </c>
      <c r="O118" s="244">
        <f>+AIX!R36</f>
        <v>0</v>
      </c>
      <c r="P118" s="244">
        <f>+AIX!S36</f>
        <v>2665</v>
      </c>
      <c r="Q118" s="244">
        <f>+AIX!T36</f>
        <v>0</v>
      </c>
      <c r="R118" s="244">
        <f>+AIX!U36</f>
        <v>0</v>
      </c>
      <c r="S118" s="243">
        <f t="shared" si="10"/>
        <v>3370</v>
      </c>
      <c r="U118" s="335"/>
    </row>
    <row r="119" spans="1:24" s="185" customFormat="1" ht="12" customHeight="1" x14ac:dyDescent="0.2">
      <c r="A119" s="181"/>
      <c r="B119" s="266"/>
      <c r="C119" s="183"/>
      <c r="D119" s="183"/>
      <c r="E119" s="244"/>
      <c r="F119" s="244"/>
      <c r="G119" s="244"/>
      <c r="H119" s="243"/>
      <c r="I119" s="243"/>
      <c r="J119" s="243"/>
      <c r="K119" s="243"/>
      <c r="L119" s="243"/>
      <c r="M119" s="243"/>
      <c r="N119" s="243"/>
      <c r="O119" s="243"/>
      <c r="P119" s="243"/>
      <c r="Q119" s="243"/>
      <c r="R119" s="243"/>
      <c r="S119" s="243">
        <f t="shared" si="10"/>
        <v>0</v>
      </c>
      <c r="U119" s="335"/>
    </row>
    <row r="120" spans="1:24" s="185" customFormat="1" ht="12" customHeight="1" x14ac:dyDescent="0.2">
      <c r="A120" s="181">
        <v>615137</v>
      </c>
      <c r="B120" s="266" t="s">
        <v>373</v>
      </c>
      <c r="C120" s="183" t="s">
        <v>75</v>
      </c>
      <c r="D120" s="183" t="s">
        <v>192</v>
      </c>
      <c r="E120" s="244">
        <f>+LYON!H38</f>
        <v>0</v>
      </c>
      <c r="F120" s="244">
        <f>+LYON!I38</f>
        <v>0</v>
      </c>
      <c r="G120" s="244">
        <f>+LYON!J38</f>
        <v>0</v>
      </c>
      <c r="H120" s="244">
        <f>+LYON!K38</f>
        <v>0</v>
      </c>
      <c r="I120" s="244">
        <f>+LYON!L38</f>
        <v>0</v>
      </c>
      <c r="J120" s="244">
        <f>+LYON!M38</f>
        <v>0</v>
      </c>
      <c r="K120" s="244">
        <f>+LYON!N38</f>
        <v>0</v>
      </c>
      <c r="L120" s="244">
        <f>+LYON!O38</f>
        <v>0</v>
      </c>
      <c r="M120" s="244">
        <f>+LYON!P38</f>
        <v>0</v>
      </c>
      <c r="N120" s="244">
        <f>+LYON!Q38</f>
        <v>0</v>
      </c>
      <c r="O120" s="244">
        <f>+LYON!R38</f>
        <v>0</v>
      </c>
      <c r="P120" s="244">
        <f>+LYON!S38</f>
        <v>0</v>
      </c>
      <c r="Q120" s="244">
        <f>+LYON!T38</f>
        <v>0</v>
      </c>
      <c r="R120" s="244">
        <f>+LYON!U38</f>
        <v>0</v>
      </c>
      <c r="S120" s="243">
        <f t="shared" si="10"/>
        <v>0</v>
      </c>
      <c r="U120" s="335"/>
    </row>
    <row r="121" spans="1:24" s="185" customFormat="1" ht="12" customHeight="1" x14ac:dyDescent="0.2">
      <c r="A121" s="181"/>
      <c r="B121" s="266"/>
      <c r="C121" s="183"/>
      <c r="D121" s="183"/>
      <c r="E121" s="244"/>
      <c r="F121" s="244"/>
      <c r="G121" s="244"/>
      <c r="H121" s="243"/>
      <c r="I121" s="243"/>
      <c r="J121" s="243"/>
      <c r="K121" s="243"/>
      <c r="L121" s="243"/>
      <c r="M121" s="243"/>
      <c r="N121" s="243"/>
      <c r="O121" s="243"/>
      <c r="P121" s="243"/>
      <c r="Q121" s="243"/>
      <c r="R121" s="243"/>
      <c r="S121" s="243">
        <f t="shared" si="10"/>
        <v>0</v>
      </c>
      <c r="U121" s="335"/>
    </row>
    <row r="122" spans="1:24" s="185" customFormat="1" ht="12" customHeight="1" x14ac:dyDescent="0.2">
      <c r="A122" s="181">
        <v>615137</v>
      </c>
      <c r="B122" s="266" t="s">
        <v>373</v>
      </c>
      <c r="C122" s="183" t="s">
        <v>234</v>
      </c>
      <c r="D122" s="183" t="s">
        <v>192</v>
      </c>
      <c r="E122" s="244">
        <f>+BORDEAUX!H36</f>
        <v>0</v>
      </c>
      <c r="F122" s="244">
        <f>+BORDEAUX!I36</f>
        <v>0</v>
      </c>
      <c r="G122" s="244">
        <f>+BORDEAUX!J36</f>
        <v>0</v>
      </c>
      <c r="H122" s="244">
        <f>+BORDEAUX!K36</f>
        <v>0</v>
      </c>
      <c r="I122" s="244">
        <f>+BORDEAUX!L36</f>
        <v>0</v>
      </c>
      <c r="J122" s="244">
        <f>+BORDEAUX!M36</f>
        <v>0</v>
      </c>
      <c r="K122" s="244">
        <f>+BORDEAUX!N36</f>
        <v>0</v>
      </c>
      <c r="L122" s="244">
        <f>+BORDEAUX!O36</f>
        <v>0</v>
      </c>
      <c r="M122" s="244">
        <f>+BORDEAUX!P36</f>
        <v>0</v>
      </c>
      <c r="N122" s="244">
        <f>+BORDEAUX!Q36</f>
        <v>0</v>
      </c>
      <c r="O122" s="244">
        <f>+BORDEAUX!R36</f>
        <v>0</v>
      </c>
      <c r="P122" s="244">
        <f>+BORDEAUX!S36</f>
        <v>0</v>
      </c>
      <c r="Q122" s="244">
        <f>+BORDEAUX!T36</f>
        <v>0</v>
      </c>
      <c r="R122" s="244">
        <f>+BORDEAUX!U36</f>
        <v>0</v>
      </c>
      <c r="S122" s="243">
        <f t="shared" si="10"/>
        <v>0</v>
      </c>
      <c r="U122" s="335"/>
    </row>
    <row r="123" spans="1:24" s="185" customFormat="1" ht="12" customHeight="1" x14ac:dyDescent="0.2">
      <c r="A123" s="181"/>
      <c r="B123" s="266"/>
      <c r="C123" s="183"/>
      <c r="D123" s="183"/>
      <c r="E123" s="244"/>
      <c r="F123" s="244"/>
      <c r="G123" s="244"/>
      <c r="H123" s="244"/>
      <c r="I123" s="244"/>
      <c r="J123" s="244"/>
      <c r="K123" s="244"/>
      <c r="L123" s="244"/>
      <c r="M123" s="244"/>
      <c r="N123" s="244"/>
      <c r="O123" s="244"/>
      <c r="P123" s="244"/>
      <c r="Q123" s="244"/>
      <c r="R123" s="244"/>
      <c r="S123" s="243">
        <f t="shared" si="10"/>
        <v>0</v>
      </c>
      <c r="U123" s="335"/>
    </row>
    <row r="124" spans="1:24" s="185" customFormat="1" ht="12" customHeight="1" x14ac:dyDescent="0.2">
      <c r="A124" s="181">
        <v>615137</v>
      </c>
      <c r="B124" s="266" t="s">
        <v>373</v>
      </c>
      <c r="C124" s="183" t="s">
        <v>194</v>
      </c>
      <c r="D124" s="183" t="s">
        <v>192</v>
      </c>
      <c r="E124" s="244">
        <f>+NANCY!H33</f>
        <v>0</v>
      </c>
      <c r="F124" s="244">
        <f>+NANCY!I33</f>
        <v>0</v>
      </c>
      <c r="G124" s="244">
        <f>+NANCY!J33</f>
        <v>0</v>
      </c>
      <c r="H124" s="244">
        <f>+NANCY!K33</f>
        <v>0</v>
      </c>
      <c r="I124" s="244">
        <f>+NANCY!L33</f>
        <v>0</v>
      </c>
      <c r="J124" s="244">
        <f>+NANCY!M33</f>
        <v>0</v>
      </c>
      <c r="K124" s="244">
        <f>+NANCY!N33</f>
        <v>0</v>
      </c>
      <c r="L124" s="244">
        <f>+NANCY!O33</f>
        <v>0</v>
      </c>
      <c r="M124" s="244">
        <f>+NANCY!P33</f>
        <v>0</v>
      </c>
      <c r="N124" s="244">
        <f>+NANCY!Q33</f>
        <v>0</v>
      </c>
      <c r="O124" s="244">
        <f>+NANCY!R33</f>
        <v>0</v>
      </c>
      <c r="P124" s="244">
        <f>+NANCY!S33</f>
        <v>0</v>
      </c>
      <c r="Q124" s="244">
        <f>+NANCY!T33</f>
        <v>0</v>
      </c>
      <c r="R124" s="244">
        <f>+NANCY!U33</f>
        <v>0</v>
      </c>
      <c r="S124" s="243">
        <f t="shared" si="10"/>
        <v>0</v>
      </c>
      <c r="U124" s="335"/>
    </row>
    <row r="125" spans="1:24" s="185" customFormat="1" ht="12" customHeight="1" x14ac:dyDescent="0.2">
      <c r="A125" s="181"/>
      <c r="B125" s="266"/>
      <c r="C125" s="183"/>
      <c r="D125" s="183"/>
      <c r="E125" s="244"/>
      <c r="F125" s="244"/>
      <c r="G125" s="244"/>
      <c r="H125" s="244"/>
      <c r="I125" s="244"/>
      <c r="J125" s="244"/>
      <c r="K125" s="244"/>
      <c r="L125" s="244"/>
      <c r="M125" s="244"/>
      <c r="N125" s="244"/>
      <c r="O125" s="244"/>
      <c r="P125" s="244"/>
      <c r="Q125" s="244"/>
      <c r="R125" s="244"/>
      <c r="S125" s="243">
        <f t="shared" si="10"/>
        <v>0</v>
      </c>
      <c r="U125" s="335"/>
    </row>
    <row r="126" spans="1:24" s="185" customFormat="1" ht="12" customHeight="1" x14ac:dyDescent="0.2">
      <c r="A126" s="181">
        <v>615137</v>
      </c>
      <c r="B126" s="266" t="s">
        <v>373</v>
      </c>
      <c r="C126" s="183" t="s">
        <v>235</v>
      </c>
      <c r="D126" s="183" t="s">
        <v>192</v>
      </c>
      <c r="E126" s="244">
        <f>+RENNES!H38</f>
        <v>-552.79999999999995</v>
      </c>
      <c r="F126" s="244">
        <f>+RENNES!I38</f>
        <v>2000</v>
      </c>
      <c r="G126" s="244">
        <f>+RENNES!J38</f>
        <v>0</v>
      </c>
      <c r="H126" s="244">
        <f>+RENNES!K38</f>
        <v>0</v>
      </c>
      <c r="I126" s="244">
        <f>+RENNES!L38</f>
        <v>0</v>
      </c>
      <c r="J126" s="244">
        <f>+RENNES!M38</f>
        <v>0</v>
      </c>
      <c r="K126" s="244">
        <f>+RENNES!N38</f>
        <v>0</v>
      </c>
      <c r="L126" s="244">
        <f>+RENNES!O38</f>
        <v>0</v>
      </c>
      <c r="M126" s="244">
        <f>+RENNES!P38</f>
        <v>0</v>
      </c>
      <c r="N126" s="244">
        <f>+RENNES!Q38</f>
        <v>0</v>
      </c>
      <c r="O126" s="244">
        <f>+RENNES!R38</f>
        <v>0</v>
      </c>
      <c r="P126" s="244">
        <f>+RENNES!S38</f>
        <v>0</v>
      </c>
      <c r="Q126" s="244">
        <f>+RENNES!T38</f>
        <v>0</v>
      </c>
      <c r="R126" s="244">
        <f>+RENNES!U38</f>
        <v>0</v>
      </c>
      <c r="S126" s="243">
        <f t="shared" si="10"/>
        <v>1447.2</v>
      </c>
      <c r="T126" s="509"/>
      <c r="U126" s="335"/>
    </row>
    <row r="127" spans="1:24" s="185" customFormat="1" ht="12" customHeight="1" x14ac:dyDescent="0.2">
      <c r="A127" s="181"/>
      <c r="B127" s="266"/>
      <c r="C127" s="183"/>
      <c r="D127" s="183"/>
      <c r="E127" s="244"/>
      <c r="F127" s="244"/>
      <c r="G127" s="244"/>
      <c r="H127" s="244"/>
      <c r="I127" s="244"/>
      <c r="J127" s="244"/>
      <c r="K127" s="244"/>
      <c r="L127" s="244"/>
      <c r="M127" s="244"/>
      <c r="N127" s="244"/>
      <c r="O127" s="244"/>
      <c r="P127" s="244"/>
      <c r="Q127" s="244"/>
      <c r="R127" s="244"/>
      <c r="S127" s="243">
        <f t="shared" si="10"/>
        <v>0</v>
      </c>
      <c r="U127" s="335"/>
    </row>
    <row r="128" spans="1:24" s="185" customFormat="1" ht="12" customHeight="1" x14ac:dyDescent="0.2">
      <c r="A128" s="181">
        <v>615137</v>
      </c>
      <c r="B128" s="266" t="s">
        <v>373</v>
      </c>
      <c r="C128" s="183" t="s">
        <v>236</v>
      </c>
      <c r="D128" s="183" t="s">
        <v>192</v>
      </c>
      <c r="E128" s="244">
        <f>+BEAUVAIS!H34</f>
        <v>0</v>
      </c>
      <c r="F128" s="244">
        <f>+BEAUVAIS!I34</f>
        <v>0</v>
      </c>
      <c r="G128" s="244">
        <f>+BEAUVAIS!J34</f>
        <v>0</v>
      </c>
      <c r="H128" s="244">
        <f>+BEAUVAIS!K34</f>
        <v>0</v>
      </c>
      <c r="I128" s="244">
        <f>+BEAUVAIS!L34</f>
        <v>0</v>
      </c>
      <c r="J128" s="244">
        <f>+BEAUVAIS!M34</f>
        <v>1197</v>
      </c>
      <c r="K128" s="244">
        <f>+BEAUVAIS!N34</f>
        <v>0</v>
      </c>
      <c r="L128" s="244">
        <f>+BEAUVAIS!O34</f>
        <v>0</v>
      </c>
      <c r="M128" s="244">
        <f>+BEAUVAIS!P34</f>
        <v>0</v>
      </c>
      <c r="N128" s="244">
        <f>+BEAUVAIS!Q34</f>
        <v>0</v>
      </c>
      <c r="O128" s="244">
        <f>+BEAUVAIS!R34</f>
        <v>0</v>
      </c>
      <c r="P128" s="244">
        <f>+BEAUVAIS!S34</f>
        <v>0</v>
      </c>
      <c r="Q128" s="244">
        <f>+BEAUVAIS!T34</f>
        <v>0</v>
      </c>
      <c r="R128" s="244">
        <f>+BEAUVAIS!U34</f>
        <v>0</v>
      </c>
      <c r="S128" s="243">
        <f t="shared" si="10"/>
        <v>1197</v>
      </c>
      <c r="U128" s="335"/>
    </row>
    <row r="129" spans="1:24" s="185" customFormat="1" ht="12" customHeight="1" x14ac:dyDescent="0.2">
      <c r="A129" s="181"/>
      <c r="B129" s="266"/>
      <c r="C129" s="183"/>
      <c r="D129" s="183"/>
      <c r="E129" s="244"/>
      <c r="F129" s="244"/>
      <c r="G129" s="244"/>
      <c r="H129" s="244"/>
      <c r="I129" s="244"/>
      <c r="J129" s="244"/>
      <c r="K129" s="244"/>
      <c r="L129" s="244"/>
      <c r="M129" s="244"/>
      <c r="N129" s="244"/>
      <c r="O129" s="244"/>
      <c r="P129" s="244"/>
      <c r="Q129" s="244"/>
      <c r="R129" s="244"/>
      <c r="S129" s="243">
        <f t="shared" si="10"/>
        <v>0</v>
      </c>
      <c r="U129" s="335"/>
    </row>
    <row r="130" spans="1:24" s="185" customFormat="1" ht="12" customHeight="1" x14ac:dyDescent="0.2">
      <c r="A130" s="181">
        <v>615137</v>
      </c>
      <c r="B130" s="266" t="s">
        <v>373</v>
      </c>
      <c r="C130" s="183" t="s">
        <v>237</v>
      </c>
      <c r="D130" s="183" t="s">
        <v>192</v>
      </c>
      <c r="E130" s="244">
        <f>+TOULOUSE!H25</f>
        <v>0</v>
      </c>
      <c r="F130" s="244">
        <f>+TOULOUSE!I25</f>
        <v>0</v>
      </c>
      <c r="G130" s="244">
        <f>+TOULOUSE!J25</f>
        <v>0</v>
      </c>
      <c r="H130" s="244">
        <f>+TOULOUSE!K25</f>
        <v>0</v>
      </c>
      <c r="I130" s="244">
        <f>+TOULOUSE!L25</f>
        <v>0</v>
      </c>
      <c r="J130" s="244">
        <f>+TOULOUSE!M25</f>
        <v>0</v>
      </c>
      <c r="K130" s="244">
        <f>+TOULOUSE!N25</f>
        <v>0</v>
      </c>
      <c r="L130" s="244">
        <f>+TOULOUSE!O25</f>
        <v>88.09</v>
      </c>
      <c r="M130" s="244">
        <f>+TOULOUSE!P25</f>
        <v>0</v>
      </c>
      <c r="N130" s="244">
        <f>+TOULOUSE!Q25</f>
        <v>0</v>
      </c>
      <c r="O130" s="244">
        <f>+TOULOUSE!R25</f>
        <v>0</v>
      </c>
      <c r="P130" s="244">
        <f>+TOULOUSE!S25</f>
        <v>0</v>
      </c>
      <c r="Q130" s="244">
        <f>+TOULOUSE!T25</f>
        <v>0</v>
      </c>
      <c r="R130" s="244">
        <f>+TOULOUSE!U25</f>
        <v>0</v>
      </c>
      <c r="S130" s="243">
        <f t="shared" si="10"/>
        <v>88.09</v>
      </c>
      <c r="U130" s="335"/>
    </row>
    <row r="131" spans="1:24" s="185" customFormat="1" ht="12" customHeight="1" x14ac:dyDescent="0.2">
      <c r="A131" s="181"/>
      <c r="B131" s="266"/>
      <c r="C131" s="183"/>
      <c r="D131" s="183"/>
      <c r="E131" s="244"/>
      <c r="F131" s="244"/>
      <c r="G131" s="244"/>
      <c r="H131" s="244"/>
      <c r="I131" s="244"/>
      <c r="J131" s="244"/>
      <c r="K131" s="244"/>
      <c r="L131" s="244"/>
      <c r="M131" s="244"/>
      <c r="N131" s="244"/>
      <c r="O131" s="244"/>
      <c r="P131" s="244"/>
      <c r="Q131" s="244"/>
      <c r="R131" s="244"/>
      <c r="S131" s="243">
        <f t="shared" si="10"/>
        <v>0</v>
      </c>
      <c r="U131" s="335"/>
    </row>
    <row r="132" spans="1:24" s="185" customFormat="1" ht="12" customHeight="1" x14ac:dyDescent="0.2">
      <c r="A132" s="181">
        <v>615137</v>
      </c>
      <c r="B132" s="266" t="s">
        <v>373</v>
      </c>
      <c r="C132" s="183" t="s">
        <v>365</v>
      </c>
      <c r="D132" s="183">
        <v>999999</v>
      </c>
      <c r="E132" s="244"/>
      <c r="F132" s="244">
        <v>263.64</v>
      </c>
      <c r="G132" s="244">
        <f>-263.64+1178.98</f>
        <v>915.34</v>
      </c>
      <c r="H132" s="244">
        <f>-1178.98-1179.24</f>
        <v>-2358.2200000000003</v>
      </c>
      <c r="I132" s="244">
        <f>1179.24-1548.53</f>
        <v>-369.28999999999996</v>
      </c>
      <c r="J132" s="244">
        <f>1548.53-1752.68</f>
        <v>-204.15000000000009</v>
      </c>
      <c r="K132" s="243">
        <f>3832.01+1752.68</f>
        <v>5584.6900000000005</v>
      </c>
      <c r="L132" s="243">
        <f>-3832.01+3561.38</f>
        <v>-270.63000000000011</v>
      </c>
      <c r="M132" s="243">
        <f>-3561.38+5068.41</f>
        <v>1507.0299999999997</v>
      </c>
      <c r="N132" s="243">
        <f>-5068.41+4887.6</f>
        <v>-180.80999999999949</v>
      </c>
      <c r="O132" s="243">
        <f>-4887.6+4310.33</f>
        <v>-577.27000000000044</v>
      </c>
      <c r="P132" s="243">
        <f>-4310.33-753.43</f>
        <v>-5063.76</v>
      </c>
      <c r="Q132" s="244"/>
      <c r="R132" s="244"/>
      <c r="S132" s="243">
        <f t="shared" si="10"/>
        <v>-753.43000000000029</v>
      </c>
      <c r="U132" s="335"/>
    </row>
    <row r="133" spans="1:24" s="185" customFormat="1" ht="24" customHeight="1" x14ac:dyDescent="0.2">
      <c r="A133" s="267"/>
      <c r="B133" s="268"/>
      <c r="C133" s="267" t="s">
        <v>66</v>
      </c>
      <c r="D133" s="267"/>
      <c r="E133" s="269">
        <f>+SUM(E116:E132)</f>
        <v>-552.79999999999995</v>
      </c>
      <c r="F133" s="269">
        <f>+SUM(F116:F132)</f>
        <v>2263.64</v>
      </c>
      <c r="G133" s="269">
        <f t="shared" ref="G133:S133" si="11">+SUM(G116:G132)</f>
        <v>915.34</v>
      </c>
      <c r="H133" s="269">
        <f t="shared" si="11"/>
        <v>-2358.2200000000003</v>
      </c>
      <c r="I133" s="269">
        <f t="shared" si="11"/>
        <v>-369.28999999999996</v>
      </c>
      <c r="J133" s="269">
        <f t="shared" si="11"/>
        <v>992.84999999999991</v>
      </c>
      <c r="K133" s="269">
        <f t="shared" si="11"/>
        <v>6289.6900000000005</v>
      </c>
      <c r="L133" s="269">
        <f t="shared" si="11"/>
        <v>147.45999999999992</v>
      </c>
      <c r="M133" s="269">
        <f t="shared" si="11"/>
        <v>1507.0299999999997</v>
      </c>
      <c r="N133" s="269">
        <f t="shared" si="11"/>
        <v>-180.80999999999949</v>
      </c>
      <c r="O133" s="269">
        <f t="shared" si="11"/>
        <v>-577.27000000000044</v>
      </c>
      <c r="P133" s="269">
        <f t="shared" si="11"/>
        <v>-2398.7600000000002</v>
      </c>
      <c r="Q133" s="269">
        <f t="shared" si="11"/>
        <v>0</v>
      </c>
      <c r="R133" s="269">
        <f>+SUM(R116:R132)</f>
        <v>0</v>
      </c>
      <c r="S133" s="269">
        <f t="shared" si="11"/>
        <v>5678.86</v>
      </c>
      <c r="T133" s="212">
        <v>3013.86</v>
      </c>
      <c r="U133" s="334">
        <f>T133-S133</f>
        <v>-2664.9999999999995</v>
      </c>
      <c r="V133" s="185" t="s">
        <v>853</v>
      </c>
      <c r="X133" s="569">
        <f>U133-CENTRALISATION!V133</f>
        <v>0</v>
      </c>
    </row>
    <row r="134" spans="1:24" x14ac:dyDescent="0.2">
      <c r="A134" s="159">
        <v>615140</v>
      </c>
      <c r="B134" s="160" t="s">
        <v>111</v>
      </c>
      <c r="C134" s="148" t="s">
        <v>78</v>
      </c>
      <c r="D134" s="148" t="s">
        <v>179</v>
      </c>
      <c r="E134" s="240">
        <f>FLEURY!H44</f>
        <v>0</v>
      </c>
      <c r="F134" s="240">
        <f>FLEURY!I44</f>
        <v>4628.79</v>
      </c>
      <c r="G134" s="240">
        <f>FLEURY!J44</f>
        <v>4628.78</v>
      </c>
      <c r="H134" s="240">
        <f>FLEURY!K44</f>
        <v>4628.8</v>
      </c>
      <c r="I134" s="240">
        <f>FLEURY!L44</f>
        <v>4628.78</v>
      </c>
      <c r="J134" s="240">
        <f>FLEURY!M44</f>
        <v>4730.58</v>
      </c>
      <c r="K134" s="240">
        <f>FLEURY!N44</f>
        <v>4730.59</v>
      </c>
      <c r="L134" s="240">
        <f>FLEURY!O44</f>
        <v>4730.58</v>
      </c>
      <c r="M134" s="240">
        <f>FLEURY!P44</f>
        <v>4730.58</v>
      </c>
      <c r="N134" s="240">
        <f>FLEURY!Q44</f>
        <v>4730.59</v>
      </c>
      <c r="O134" s="240">
        <f>FLEURY!R44</f>
        <v>4730.58</v>
      </c>
      <c r="P134" s="240">
        <f>FLEURY!S44</f>
        <v>4730.58</v>
      </c>
      <c r="Q134" s="240">
        <f>FLEURY!T44</f>
        <v>4730.59</v>
      </c>
      <c r="R134" s="240">
        <f>FLEURY!U44</f>
        <v>0</v>
      </c>
      <c r="S134" s="245">
        <f>SUM(E134:Q134)</f>
        <v>56359.819999999992</v>
      </c>
    </row>
    <row r="135" spans="1:24" x14ac:dyDescent="0.2">
      <c r="A135" s="159">
        <v>615140</v>
      </c>
      <c r="B135" s="160" t="s">
        <v>111</v>
      </c>
      <c r="C135" s="148" t="s">
        <v>78</v>
      </c>
      <c r="D135" s="148" t="s">
        <v>192</v>
      </c>
      <c r="E135" s="240">
        <f>FLEURY!H43</f>
        <v>0</v>
      </c>
      <c r="F135" s="240">
        <f>FLEURY!I43</f>
        <v>0</v>
      </c>
      <c r="G135" s="240">
        <f>FLEURY!J43</f>
        <v>0</v>
      </c>
      <c r="H135" s="240">
        <f>FLEURY!K43</f>
        <v>0</v>
      </c>
      <c r="I135" s="240">
        <f>FLEURY!L43</f>
        <v>0</v>
      </c>
      <c r="J135" s="240">
        <f>FLEURY!M43</f>
        <v>0</v>
      </c>
      <c r="K135" s="240">
        <f>FLEURY!N43</f>
        <v>0</v>
      </c>
      <c r="L135" s="240">
        <f>FLEURY!O43</f>
        <v>0</v>
      </c>
      <c r="M135" s="240">
        <f>FLEURY!P43</f>
        <v>0</v>
      </c>
      <c r="N135" s="240">
        <f>FLEURY!Q43</f>
        <v>0</v>
      </c>
      <c r="O135" s="240">
        <f>FLEURY!R43</f>
        <v>0</v>
      </c>
      <c r="P135" s="240">
        <f>FLEURY!S43</f>
        <v>0</v>
      </c>
      <c r="Q135" s="240">
        <f>FLEURY!T43</f>
        <v>0</v>
      </c>
      <c r="R135" s="240">
        <f>FLEURY!U43</f>
        <v>0</v>
      </c>
      <c r="S135" s="245">
        <f>SUM(E135:Q135)</f>
        <v>0</v>
      </c>
      <c r="T135" s="273"/>
    </row>
    <row r="136" spans="1:24" x14ac:dyDescent="0.2">
      <c r="A136" s="270"/>
      <c r="B136" s="235"/>
      <c r="C136" s="148"/>
      <c r="D136" s="148"/>
      <c r="E136" s="240"/>
      <c r="F136" s="240"/>
      <c r="G136" s="240"/>
      <c r="H136" s="240"/>
      <c r="I136" s="240"/>
      <c r="J136" s="240"/>
      <c r="K136" s="240"/>
      <c r="L136" s="240"/>
      <c r="M136" s="240"/>
      <c r="N136" s="240"/>
      <c r="O136" s="240"/>
      <c r="P136" s="240"/>
      <c r="Q136" s="240"/>
      <c r="R136" s="240"/>
      <c r="S136" s="245"/>
    </row>
    <row r="137" spans="1:24" x14ac:dyDescent="0.2">
      <c r="A137" s="159">
        <v>615140</v>
      </c>
      <c r="B137" s="160" t="s">
        <v>111</v>
      </c>
      <c r="C137" s="148" t="s">
        <v>71</v>
      </c>
      <c r="D137" s="148" t="s">
        <v>192</v>
      </c>
      <c r="E137" s="240">
        <f>SUM(AIX!H39:H40)</f>
        <v>0</v>
      </c>
      <c r="F137" s="240">
        <f>SUM(AIX!I39:I40)</f>
        <v>0</v>
      </c>
      <c r="G137" s="240">
        <f>SUM(AIX!J39:J40)</f>
        <v>0</v>
      </c>
      <c r="H137" s="240">
        <f>SUM(AIX!K39:K40)</f>
        <v>826</v>
      </c>
      <c r="I137" s="240">
        <f>SUM(AIX!L39:L40)</f>
        <v>0</v>
      </c>
      <c r="J137" s="240">
        <f>SUM(AIX!M39:M40)</f>
        <v>0</v>
      </c>
      <c r="K137" s="240">
        <f>SUM(AIX!N39:N40)</f>
        <v>0</v>
      </c>
      <c r="L137" s="240">
        <f>SUM(AIX!O39:O40)</f>
        <v>0</v>
      </c>
      <c r="M137" s="240">
        <f>SUM(AIX!P39:P40)</f>
        <v>0</v>
      </c>
      <c r="N137" s="240">
        <f>SUM(AIX!Q39:Q40)</f>
        <v>0</v>
      </c>
      <c r="O137" s="240">
        <f>SUM(AIX!R39:R40)</f>
        <v>0</v>
      </c>
      <c r="P137" s="240">
        <f>SUM(AIX!S39:S40)</f>
        <v>0</v>
      </c>
      <c r="Q137" s="240">
        <f>SUM(AIX!T39:T40)</f>
        <v>0</v>
      </c>
      <c r="R137" s="240">
        <f>SUM(AIX!U39:U40)</f>
        <v>0</v>
      </c>
      <c r="S137" s="245">
        <f>SUM(E137:Q137)</f>
        <v>826</v>
      </c>
    </row>
    <row r="138" spans="1:24" x14ac:dyDescent="0.2">
      <c r="A138" s="159">
        <v>615140</v>
      </c>
      <c r="B138" s="160" t="s">
        <v>111</v>
      </c>
      <c r="C138" s="148" t="s">
        <v>71</v>
      </c>
      <c r="D138" s="148" t="s">
        <v>179</v>
      </c>
      <c r="E138" s="240">
        <f>AIX!H41</f>
        <v>0</v>
      </c>
      <c r="F138" s="240">
        <f>AIX!I41</f>
        <v>5994.27</v>
      </c>
      <c r="G138" s="240">
        <f>AIX!J41</f>
        <v>5994.28</v>
      </c>
      <c r="H138" s="240">
        <f>AIX!K41</f>
        <v>5994.27</v>
      </c>
      <c r="I138" s="240">
        <f>AIX!L41</f>
        <v>5994.27</v>
      </c>
      <c r="J138" s="240">
        <f>AIX!M41</f>
        <v>5994.28</v>
      </c>
      <c r="K138" s="240">
        <f>AIX!N41</f>
        <v>5994.27</v>
      </c>
      <c r="L138" s="240">
        <f>AIX!O41</f>
        <v>5994.28</v>
      </c>
      <c r="M138" s="240">
        <f>AIX!P41</f>
        <v>5994.27</v>
      </c>
      <c r="N138" s="240">
        <f>AIX!Q41</f>
        <v>5994.27</v>
      </c>
      <c r="O138" s="240">
        <f>AIX!R41</f>
        <v>5994.28</v>
      </c>
      <c r="P138" s="240">
        <f>AIX!S41</f>
        <v>5994.27</v>
      </c>
      <c r="Q138" s="240">
        <f>AIX!T41</f>
        <v>5994.27</v>
      </c>
      <c r="R138" s="240">
        <f>AIX!U41</f>
        <v>0</v>
      </c>
      <c r="S138" s="245">
        <f>SUM(E138:Q138)</f>
        <v>71931.280000000013</v>
      </c>
    </row>
    <row r="139" spans="1:24" x14ac:dyDescent="0.2">
      <c r="A139" s="270"/>
      <c r="B139" s="235"/>
      <c r="C139" s="148"/>
      <c r="D139" s="148"/>
      <c r="E139" s="240"/>
      <c r="F139" s="240"/>
      <c r="G139" s="240"/>
      <c r="H139" s="240"/>
      <c r="I139" s="240"/>
      <c r="J139" s="240"/>
      <c r="K139" s="240"/>
      <c r="L139" s="240"/>
      <c r="M139" s="240"/>
      <c r="N139" s="240"/>
      <c r="O139" s="240"/>
      <c r="P139" s="240"/>
      <c r="Q139" s="240"/>
      <c r="R139" s="240"/>
      <c r="S139" s="245"/>
    </row>
    <row r="140" spans="1:24" x14ac:dyDescent="0.2">
      <c r="A140" s="159">
        <v>615140</v>
      </c>
      <c r="B140" s="160" t="s">
        <v>111</v>
      </c>
      <c r="C140" s="148" t="s">
        <v>73</v>
      </c>
      <c r="D140" s="148" t="s">
        <v>192</v>
      </c>
      <c r="E140" s="240">
        <f>LYON!H41</f>
        <v>0</v>
      </c>
      <c r="F140" s="240">
        <f>LYON!I41</f>
        <v>0</v>
      </c>
      <c r="G140" s="240">
        <f>LYON!J41</f>
        <v>0</v>
      </c>
      <c r="H140" s="240">
        <f>LYON!K41</f>
        <v>0</v>
      </c>
      <c r="I140" s="240">
        <f>LYON!L41</f>
        <v>0</v>
      </c>
      <c r="J140" s="240">
        <f>LYON!M41</f>
        <v>0</v>
      </c>
      <c r="K140" s="240">
        <f>LYON!N41</f>
        <v>0</v>
      </c>
      <c r="L140" s="240">
        <f>LYON!O41</f>
        <v>0</v>
      </c>
      <c r="M140" s="240">
        <f>LYON!P41</f>
        <v>0</v>
      </c>
      <c r="N140" s="240">
        <f>LYON!Q41</f>
        <v>0</v>
      </c>
      <c r="O140" s="240">
        <f>LYON!R41</f>
        <v>0</v>
      </c>
      <c r="P140" s="240">
        <f>LYON!S41</f>
        <v>0</v>
      </c>
      <c r="Q140" s="240">
        <f>LYON!T41</f>
        <v>0</v>
      </c>
      <c r="R140" s="240">
        <f>LYON!U41</f>
        <v>0</v>
      </c>
      <c r="S140" s="245">
        <f>SUM(E140:Q140)</f>
        <v>0</v>
      </c>
    </row>
    <row r="141" spans="1:24" x14ac:dyDescent="0.2">
      <c r="A141" s="159">
        <v>615140</v>
      </c>
      <c r="B141" s="160" t="s">
        <v>111</v>
      </c>
      <c r="C141" s="148" t="s">
        <v>73</v>
      </c>
      <c r="D141" s="148" t="s">
        <v>179</v>
      </c>
      <c r="E141" s="240">
        <f>+LYON!H42</f>
        <v>0</v>
      </c>
      <c r="F141" s="240">
        <f>+LYON!I42</f>
        <v>3183.16</v>
      </c>
      <c r="G141" s="240">
        <f>+LYON!J42</f>
        <v>3183.16</v>
      </c>
      <c r="H141" s="240">
        <f>+LYON!K42</f>
        <v>3215.99</v>
      </c>
      <c r="I141" s="240">
        <f>+LYON!L42</f>
        <v>3215</v>
      </c>
      <c r="J141" s="240">
        <f>+LYON!M42</f>
        <v>3215</v>
      </c>
      <c r="K141" s="240">
        <f>+LYON!N42</f>
        <v>3215</v>
      </c>
      <c r="L141" s="240">
        <f>+LYON!O42</f>
        <v>3215</v>
      </c>
      <c r="M141" s="240">
        <f>+LYON!P42</f>
        <v>3215</v>
      </c>
      <c r="N141" s="240">
        <f>+LYON!Q42</f>
        <v>3215</v>
      </c>
      <c r="O141" s="240">
        <f>+LYON!R42</f>
        <v>3215</v>
      </c>
      <c r="P141" s="240">
        <f>+LYON!S42</f>
        <v>3215</v>
      </c>
      <c r="Q141" s="240">
        <f>+LYON!T42</f>
        <v>3215</v>
      </c>
      <c r="R141" s="240">
        <f>+LYON!U42</f>
        <v>0</v>
      </c>
      <c r="S141" s="245">
        <f>SUM(E141:Q141)</f>
        <v>38517.31</v>
      </c>
    </row>
    <row r="142" spans="1:24" x14ac:dyDescent="0.2">
      <c r="A142" s="270"/>
      <c r="B142" s="235"/>
      <c r="C142" s="148"/>
      <c r="D142" s="148"/>
      <c r="E142" s="240"/>
      <c r="F142" s="240"/>
      <c r="G142" s="240"/>
      <c r="H142" s="240"/>
      <c r="I142" s="240"/>
      <c r="J142" s="240"/>
      <c r="K142" s="240"/>
      <c r="L142" s="240"/>
      <c r="M142" s="240"/>
      <c r="N142" s="240"/>
      <c r="O142" s="240"/>
      <c r="P142" s="240"/>
      <c r="Q142" s="240"/>
      <c r="R142" s="240"/>
      <c r="S142" s="245"/>
    </row>
    <row r="143" spans="1:24" x14ac:dyDescent="0.2">
      <c r="A143" s="159">
        <v>615140</v>
      </c>
      <c r="B143" s="160" t="s">
        <v>111</v>
      </c>
      <c r="C143" s="148" t="s">
        <v>67</v>
      </c>
      <c r="D143" s="148" t="s">
        <v>192</v>
      </c>
      <c r="E143" s="240">
        <f>+BORDEAUX!H39</f>
        <v>0</v>
      </c>
      <c r="F143" s="240">
        <f>+BORDEAUX!I39</f>
        <v>0</v>
      </c>
      <c r="G143" s="240">
        <f>+BORDEAUX!J39</f>
        <v>0</v>
      </c>
      <c r="H143" s="240">
        <f>+BORDEAUX!K39</f>
        <v>0</v>
      </c>
      <c r="I143" s="240">
        <f>+BORDEAUX!L39</f>
        <v>0</v>
      </c>
      <c r="J143" s="240">
        <f>+BORDEAUX!M39</f>
        <v>0</v>
      </c>
      <c r="K143" s="240">
        <f>+BORDEAUX!N39</f>
        <v>0</v>
      </c>
      <c r="L143" s="240">
        <f>+BORDEAUX!O39</f>
        <v>0</v>
      </c>
      <c r="M143" s="240">
        <f>+BORDEAUX!P39</f>
        <v>0</v>
      </c>
      <c r="N143" s="240">
        <f>+BORDEAUX!Q39</f>
        <v>0</v>
      </c>
      <c r="O143" s="240">
        <f>+BORDEAUX!R39</f>
        <v>0</v>
      </c>
      <c r="P143" s="240">
        <f>+BORDEAUX!S39</f>
        <v>0</v>
      </c>
      <c r="Q143" s="240">
        <f>+BORDEAUX!T39</f>
        <v>0</v>
      </c>
      <c r="R143" s="240">
        <f>+BORDEAUX!U39</f>
        <v>0</v>
      </c>
      <c r="S143" s="245">
        <f>SUM(E143:Q143)</f>
        <v>0</v>
      </c>
    </row>
    <row r="144" spans="1:24" x14ac:dyDescent="0.2">
      <c r="A144" s="159">
        <v>615140</v>
      </c>
      <c r="B144" s="160" t="s">
        <v>111</v>
      </c>
      <c r="C144" s="148" t="s">
        <v>67</v>
      </c>
      <c r="D144" s="148" t="s">
        <v>179</v>
      </c>
      <c r="E144" s="240">
        <f>+BORDEAUX!H40</f>
        <v>0</v>
      </c>
      <c r="F144" s="240">
        <f>+BORDEAUX!I40</f>
        <v>5250.75</v>
      </c>
      <c r="G144" s="240">
        <f>+BORDEAUX!J40</f>
        <v>0</v>
      </c>
      <c r="H144" s="240">
        <f>+BORDEAUX!K40</f>
        <v>0</v>
      </c>
      <c r="I144" s="240">
        <f>+BORDEAUX!L40</f>
        <v>1750.25</v>
      </c>
      <c r="J144" s="240">
        <f>+BORDEAUX!M40</f>
        <v>1750.25</v>
      </c>
      <c r="K144" s="240">
        <f>+BORDEAUX!N40</f>
        <v>1750.25</v>
      </c>
      <c r="L144" s="240">
        <f>+BORDEAUX!O40</f>
        <v>1750.25</v>
      </c>
      <c r="M144" s="240">
        <f>+BORDEAUX!P40</f>
        <v>1750.25</v>
      </c>
      <c r="N144" s="240">
        <f>+BORDEAUX!Q40</f>
        <v>1750.25</v>
      </c>
      <c r="O144" s="240">
        <f>+BORDEAUX!R40</f>
        <v>1750.25</v>
      </c>
      <c r="P144" s="240">
        <f>+BORDEAUX!S40</f>
        <v>1750.25</v>
      </c>
      <c r="Q144" s="240">
        <f>+BORDEAUX!T40</f>
        <v>1750.25</v>
      </c>
      <c r="R144" s="240">
        <f>+BORDEAUX!U40</f>
        <v>0</v>
      </c>
      <c r="S144" s="245">
        <f>SUM(E144:Q144)</f>
        <v>21003</v>
      </c>
    </row>
    <row r="145" spans="1:24" x14ac:dyDescent="0.2">
      <c r="A145" s="270"/>
      <c r="B145" s="235"/>
      <c r="C145" s="148"/>
      <c r="D145" s="148"/>
      <c r="E145" s="240"/>
      <c r="F145" s="240"/>
      <c r="G145" s="240"/>
      <c r="H145" s="240"/>
      <c r="I145" s="240"/>
      <c r="J145" s="240"/>
      <c r="K145" s="240"/>
      <c r="L145" s="240"/>
      <c r="M145" s="240"/>
      <c r="N145" s="240"/>
      <c r="O145" s="240"/>
      <c r="P145" s="240"/>
      <c r="Q145" s="240"/>
      <c r="R145" s="240"/>
      <c r="S145" s="245"/>
    </row>
    <row r="146" spans="1:24" x14ac:dyDescent="0.2">
      <c r="A146" s="159">
        <v>615140</v>
      </c>
      <c r="B146" s="160" t="s">
        <v>111</v>
      </c>
      <c r="C146" s="148" t="s">
        <v>80</v>
      </c>
      <c r="D146" s="148" t="s">
        <v>192</v>
      </c>
      <c r="E146" s="240">
        <f>+RENNES!H42+RENNES!H43</f>
        <v>0</v>
      </c>
      <c r="F146" s="240">
        <f>+RENNES!I42+RENNES!I43</f>
        <v>0</v>
      </c>
      <c r="G146" s="240">
        <f>+RENNES!J42+RENNES!J43</f>
        <v>0</v>
      </c>
      <c r="H146" s="240">
        <f>+RENNES!K42+RENNES!K43</f>
        <v>0</v>
      </c>
      <c r="I146" s="240">
        <f>+RENNES!L42+RENNES!L43</f>
        <v>0</v>
      </c>
      <c r="J146" s="240">
        <f>+RENNES!M42+RENNES!M43</f>
        <v>0</v>
      </c>
      <c r="K146" s="240">
        <f>+RENNES!N42+RENNES!N43</f>
        <v>0</v>
      </c>
      <c r="L146" s="240">
        <f>+RENNES!O42+RENNES!O43</f>
        <v>0</v>
      </c>
      <c r="M146" s="240">
        <f>+RENNES!P42+RENNES!P43</f>
        <v>0</v>
      </c>
      <c r="N146" s="240">
        <f>+RENNES!Q42+RENNES!Q43</f>
        <v>0</v>
      </c>
      <c r="O146" s="240">
        <f>+RENNES!R42+RENNES!R43</f>
        <v>0</v>
      </c>
      <c r="P146" s="240">
        <f>+RENNES!S42+RENNES!S43</f>
        <v>600</v>
      </c>
      <c r="Q146" s="240">
        <f>+RENNES!T42+RENNES!T43</f>
        <v>0</v>
      </c>
      <c r="R146" s="240">
        <f>+RENNES!U42+RENNES!U43</f>
        <v>0</v>
      </c>
      <c r="S146" s="245">
        <f>SUM(E146:Q146)</f>
        <v>600</v>
      </c>
    </row>
    <row r="147" spans="1:24" x14ac:dyDescent="0.2">
      <c r="A147" s="159">
        <v>615140</v>
      </c>
      <c r="B147" s="160" t="s">
        <v>111</v>
      </c>
      <c r="C147" s="148" t="s">
        <v>80</v>
      </c>
      <c r="D147" s="148" t="s">
        <v>179</v>
      </c>
      <c r="E147" s="240">
        <f>SUM(RENNES!H44:H44)</f>
        <v>0</v>
      </c>
      <c r="F147" s="240">
        <f>SUM(RENNES!I44:I44)</f>
        <v>2017.75</v>
      </c>
      <c r="G147" s="240">
        <f>SUM(RENNES!J44:J44)</f>
        <v>2017.75</v>
      </c>
      <c r="H147" s="240">
        <f>SUM(RENNES!K44:K44)</f>
        <v>2017.75</v>
      </c>
      <c r="I147" s="240">
        <f>SUM(RENNES!L44:L44)</f>
        <v>2017.75</v>
      </c>
      <c r="J147" s="240">
        <f>SUM(RENNES!M44:M44)</f>
        <v>2017.75</v>
      </c>
      <c r="K147" s="240">
        <f>SUM(RENNES!N44:N44)</f>
        <v>2017.75</v>
      </c>
      <c r="L147" s="240">
        <f>SUM(RENNES!O44:O44)</f>
        <v>2017.75</v>
      </c>
      <c r="M147" s="240">
        <f>SUM(RENNES!P44:P44)</f>
        <v>2017.75</v>
      </c>
      <c r="N147" s="240">
        <f>SUM(RENNES!Q44:Q44)</f>
        <v>2017.75</v>
      </c>
      <c r="O147" s="240">
        <f>SUM(RENNES!R44:R44)</f>
        <v>2017.75</v>
      </c>
      <c r="P147" s="240">
        <f>SUM(RENNES!S44:S44)</f>
        <v>2017.75</v>
      </c>
      <c r="Q147" s="240">
        <f>SUM(RENNES!T44:T44)</f>
        <v>2017.75</v>
      </c>
      <c r="R147" s="240">
        <f>SUM(RENNES!U44:U44)</f>
        <v>0</v>
      </c>
      <c r="S147" s="245">
        <f>SUM(E147:Q147)</f>
        <v>24213</v>
      </c>
      <c r="T147" s="273"/>
    </row>
    <row r="148" spans="1:24" x14ac:dyDescent="0.2">
      <c r="A148" s="270"/>
      <c r="B148" s="235"/>
      <c r="C148" s="148"/>
      <c r="D148" s="148"/>
      <c r="E148" s="240"/>
      <c r="F148" s="240"/>
      <c r="G148" s="240"/>
      <c r="H148" s="240"/>
      <c r="I148" s="240"/>
      <c r="J148" s="240"/>
      <c r="K148" s="240"/>
      <c r="L148" s="240"/>
      <c r="M148" s="240"/>
      <c r="N148" s="240"/>
      <c r="O148" s="240"/>
      <c r="P148" s="240"/>
      <c r="Q148" s="240"/>
      <c r="R148" s="240"/>
      <c r="S148" s="245"/>
    </row>
    <row r="149" spans="1:24" x14ac:dyDescent="0.2">
      <c r="A149" s="159">
        <v>615140</v>
      </c>
      <c r="B149" s="160" t="s">
        <v>111</v>
      </c>
      <c r="C149" s="148" t="s">
        <v>156</v>
      </c>
      <c r="D149" s="148" t="s">
        <v>192</v>
      </c>
      <c r="E149" s="240">
        <f>BEAUVAIS!H38</f>
        <v>0</v>
      </c>
      <c r="F149" s="240">
        <f>BEAUVAIS!I38</f>
        <v>2439.25</v>
      </c>
      <c r="G149" s="240">
        <f>BEAUVAIS!J38</f>
        <v>842</v>
      </c>
      <c r="H149" s="240">
        <f>BEAUVAIS!K38</f>
        <v>3978.79</v>
      </c>
      <c r="I149" s="240">
        <f>BEAUVAIS!L38</f>
        <v>0</v>
      </c>
      <c r="J149" s="240">
        <f>BEAUVAIS!M38</f>
        <v>378.37</v>
      </c>
      <c r="K149" s="240">
        <f>BEAUVAIS!N38</f>
        <v>5356.53</v>
      </c>
      <c r="L149" s="240">
        <f>BEAUVAIS!O38</f>
        <v>3558</v>
      </c>
      <c r="M149" s="240">
        <f>BEAUVAIS!P38</f>
        <v>0</v>
      </c>
      <c r="N149" s="240">
        <f>BEAUVAIS!Q38</f>
        <v>4140.79</v>
      </c>
      <c r="O149" s="240">
        <f>BEAUVAIS!R38</f>
        <v>0</v>
      </c>
      <c r="P149" s="240">
        <f>BEAUVAIS!S38</f>
        <v>1428</v>
      </c>
      <c r="Q149" s="240">
        <f>BEAUVAIS!T38</f>
        <v>0</v>
      </c>
      <c r="R149" s="240">
        <f>BEAUVAIS!U38</f>
        <v>0</v>
      </c>
      <c r="S149" s="245">
        <f>SUM(E149:Q149)</f>
        <v>22121.73</v>
      </c>
    </row>
    <row r="150" spans="1:24" x14ac:dyDescent="0.2">
      <c r="A150" s="159">
        <v>615140</v>
      </c>
      <c r="B150" s="160" t="s">
        <v>111</v>
      </c>
      <c r="C150" s="148" t="s">
        <v>156</v>
      </c>
      <c r="D150" s="148" t="s">
        <v>179</v>
      </c>
      <c r="E150" s="240">
        <f>BEAUVAIS!H39</f>
        <v>0</v>
      </c>
      <c r="F150" s="240">
        <f>BEAUVAIS!I39</f>
        <v>4380.1899999999996</v>
      </c>
      <c r="G150" s="240">
        <f>BEAUVAIS!J39</f>
        <v>4380.18</v>
      </c>
      <c r="H150" s="240">
        <f>BEAUVAIS!K39</f>
        <v>4380.18</v>
      </c>
      <c r="I150" s="240">
        <f>BEAUVAIS!L39</f>
        <v>4380.1899999999996</v>
      </c>
      <c r="J150" s="240">
        <f>BEAUVAIS!M39</f>
        <v>4380.18</v>
      </c>
      <c r="K150" s="240">
        <f>BEAUVAIS!N39</f>
        <v>4380.18</v>
      </c>
      <c r="L150" s="240">
        <f>BEAUVAIS!O39</f>
        <v>4380.1899999999996</v>
      </c>
      <c r="M150" s="240">
        <f>BEAUVAIS!P39</f>
        <v>4380.18</v>
      </c>
      <c r="N150" s="240">
        <f>BEAUVAIS!Q39</f>
        <v>4380.18</v>
      </c>
      <c r="O150" s="240">
        <f>BEAUVAIS!R39</f>
        <v>4380.1899999999996</v>
      </c>
      <c r="P150" s="240">
        <f>BEAUVAIS!S39</f>
        <v>4380.18</v>
      </c>
      <c r="Q150" s="240">
        <f>BEAUVAIS!T39</f>
        <v>4380.18</v>
      </c>
      <c r="R150" s="240">
        <f>BEAUVAIS!U39</f>
        <v>0</v>
      </c>
      <c r="S150" s="245">
        <f>SUM(E150:Q150)</f>
        <v>52562.200000000004</v>
      </c>
    </row>
    <row r="151" spans="1:24" x14ac:dyDescent="0.2">
      <c r="A151" s="270"/>
      <c r="B151" s="235"/>
      <c r="C151" s="148"/>
      <c r="D151" s="148"/>
      <c r="E151" s="240"/>
      <c r="F151" s="240"/>
      <c r="G151" s="240"/>
      <c r="H151" s="240"/>
      <c r="I151" s="240"/>
      <c r="J151" s="240"/>
      <c r="K151" s="240"/>
      <c r="L151" s="240"/>
      <c r="M151" s="240"/>
      <c r="N151" s="240"/>
      <c r="O151" s="240"/>
      <c r="P151" s="240"/>
      <c r="Q151" s="240"/>
      <c r="R151" s="240"/>
      <c r="S151" s="245"/>
    </row>
    <row r="152" spans="1:24" x14ac:dyDescent="0.2">
      <c r="A152" s="159">
        <v>615140</v>
      </c>
      <c r="B152" s="160" t="s">
        <v>111</v>
      </c>
      <c r="C152" s="148" t="s">
        <v>172</v>
      </c>
      <c r="D152" s="148" t="s">
        <v>179</v>
      </c>
      <c r="E152" s="240">
        <f>+TOULOUSE!H28</f>
        <v>0</v>
      </c>
      <c r="F152" s="240">
        <f>+TOULOUSE!I28</f>
        <v>673.65</v>
      </c>
      <c r="G152" s="240">
        <f>+TOULOUSE!J28</f>
        <v>673.65</v>
      </c>
      <c r="H152" s="240">
        <f>+TOULOUSE!K28</f>
        <v>673.65</v>
      </c>
      <c r="I152" s="240">
        <f>+TOULOUSE!L28</f>
        <v>673.65</v>
      </c>
      <c r="J152" s="240">
        <f>+TOULOUSE!M28</f>
        <v>673.65</v>
      </c>
      <c r="K152" s="240">
        <f>+TOULOUSE!N28</f>
        <v>673.65</v>
      </c>
      <c r="L152" s="240">
        <f>+TOULOUSE!O28</f>
        <v>673.65</v>
      </c>
      <c r="M152" s="240">
        <f>+TOULOUSE!P28</f>
        <v>673.65</v>
      </c>
      <c r="N152" s="240">
        <f>+TOULOUSE!Q28</f>
        <v>673.65</v>
      </c>
      <c r="O152" s="240">
        <f>+TOULOUSE!R28</f>
        <v>673.65</v>
      </c>
      <c r="P152" s="240">
        <f>+TOULOUSE!S28</f>
        <v>673.65</v>
      </c>
      <c r="Q152" s="240">
        <f>+TOULOUSE!T28</f>
        <v>673.35</v>
      </c>
      <c r="R152" s="240">
        <f>+TOULOUSE!U28</f>
        <v>0</v>
      </c>
      <c r="S152" s="245">
        <f>SUM(E152:Q152)</f>
        <v>8083.4999999999991</v>
      </c>
    </row>
    <row r="153" spans="1:24" x14ac:dyDescent="0.2">
      <c r="A153" s="270"/>
      <c r="B153" s="235"/>
      <c r="C153" s="148"/>
      <c r="D153" s="148"/>
      <c r="E153" s="240"/>
      <c r="F153" s="240"/>
      <c r="G153" s="240"/>
      <c r="H153" s="240"/>
      <c r="I153" s="240"/>
      <c r="J153" s="240"/>
      <c r="K153" s="240"/>
      <c r="L153" s="240"/>
      <c r="M153" s="240"/>
      <c r="N153" s="240"/>
      <c r="O153" s="240"/>
      <c r="P153" s="240"/>
      <c r="Q153" s="240"/>
      <c r="R153" s="240"/>
      <c r="S153" s="245"/>
    </row>
    <row r="154" spans="1:24" x14ac:dyDescent="0.2">
      <c r="A154" s="159">
        <v>615140</v>
      </c>
      <c r="B154" s="160" t="s">
        <v>111</v>
      </c>
      <c r="C154" s="148" t="s">
        <v>79</v>
      </c>
      <c r="D154" s="148" t="s">
        <v>179</v>
      </c>
      <c r="E154" s="240">
        <f>SIEGE!H14</f>
        <v>0</v>
      </c>
      <c r="F154" s="240">
        <f>SIEGE!I14</f>
        <v>1552.91</v>
      </c>
      <c r="G154" s="240">
        <f>SIEGE!J14</f>
        <v>1552.91</v>
      </c>
      <c r="H154" s="240">
        <f>SIEGE!K14</f>
        <v>1552.91</v>
      </c>
      <c r="I154" s="240">
        <f>SIEGE!L14</f>
        <v>1552.91</v>
      </c>
      <c r="J154" s="240">
        <f>SIEGE!M14</f>
        <v>1552.91</v>
      </c>
      <c r="K154" s="240">
        <f>SIEGE!N14</f>
        <v>1552.91</v>
      </c>
      <c r="L154" s="240">
        <f>SIEGE!O14</f>
        <v>1552.91</v>
      </c>
      <c r="M154" s="240">
        <f>SIEGE!P14</f>
        <v>1552.91</v>
      </c>
      <c r="N154" s="240">
        <f>SIEGE!Q14</f>
        <v>-1229.0899999999999</v>
      </c>
      <c r="O154" s="240">
        <f>SIEGE!R14</f>
        <v>1552.91</v>
      </c>
      <c r="P154" s="240">
        <f>SIEGE!S14</f>
        <v>1552.91</v>
      </c>
      <c r="Q154" s="240">
        <f>SIEGE!T14</f>
        <v>563.99</v>
      </c>
      <c r="R154" s="240">
        <f>SIEGE!U14</f>
        <v>0</v>
      </c>
      <c r="S154" s="245">
        <f>SUM(E154:Q154)</f>
        <v>14864</v>
      </c>
    </row>
    <row r="155" spans="1:24" x14ac:dyDescent="0.2">
      <c r="A155" s="159">
        <v>615140</v>
      </c>
      <c r="B155" s="160" t="s">
        <v>111</v>
      </c>
      <c r="C155" s="148" t="s">
        <v>79</v>
      </c>
      <c r="D155" s="148" t="s">
        <v>192</v>
      </c>
      <c r="E155" s="240">
        <f>+SIEGE!H15</f>
        <v>0</v>
      </c>
      <c r="F155" s="240">
        <f>+SIEGE!I15</f>
        <v>0</v>
      </c>
      <c r="G155" s="240">
        <f>+SIEGE!J15</f>
        <v>0</v>
      </c>
      <c r="H155" s="240">
        <f>+SIEGE!K15</f>
        <v>0</v>
      </c>
      <c r="I155" s="240">
        <f>+SIEGE!L15</f>
        <v>0</v>
      </c>
      <c r="J155" s="240">
        <f>+SIEGE!M15</f>
        <v>0</v>
      </c>
      <c r="K155" s="240">
        <f>+SIEGE!N15</f>
        <v>0</v>
      </c>
      <c r="L155" s="240">
        <f>+SIEGE!O15</f>
        <v>0</v>
      </c>
      <c r="M155" s="240">
        <f>+SIEGE!P15</f>
        <v>0</v>
      </c>
      <c r="N155" s="240">
        <f>+SIEGE!Q15</f>
        <v>0</v>
      </c>
      <c r="O155" s="240">
        <f>+SIEGE!R15</f>
        <v>0</v>
      </c>
      <c r="P155" s="240">
        <f>+SIEGE!S15</f>
        <v>0</v>
      </c>
      <c r="Q155" s="240">
        <f>+SIEGE!T15</f>
        <v>0</v>
      </c>
      <c r="R155" s="240">
        <f>+SIEGE!U15</f>
        <v>0</v>
      </c>
      <c r="S155" s="245">
        <f>SUM(E155:Q155)</f>
        <v>0</v>
      </c>
    </row>
    <row r="156" spans="1:24" x14ac:dyDescent="0.2">
      <c r="A156" s="159"/>
      <c r="B156" s="160"/>
      <c r="C156" s="148"/>
      <c r="D156" s="148"/>
      <c r="E156" s="240"/>
      <c r="F156" s="240"/>
      <c r="G156" s="240"/>
      <c r="H156" s="240"/>
      <c r="I156" s="240"/>
      <c r="J156" s="240"/>
      <c r="K156" s="240"/>
      <c r="L156" s="240"/>
      <c r="M156" s="240"/>
      <c r="N156" s="240"/>
      <c r="O156" s="240"/>
      <c r="P156" s="240"/>
      <c r="Q156" s="240"/>
      <c r="R156" s="240"/>
      <c r="S156" s="242">
        <f>SUM(E156:Q156)</f>
        <v>0</v>
      </c>
    </row>
    <row r="157" spans="1:24" x14ac:dyDescent="0.2">
      <c r="A157" s="159">
        <v>615140</v>
      </c>
      <c r="B157" s="160" t="s">
        <v>111</v>
      </c>
      <c r="C157" s="148" t="s">
        <v>367</v>
      </c>
      <c r="D157" s="148">
        <v>999999</v>
      </c>
      <c r="E157" s="240"/>
      <c r="F157" s="240">
        <v>976.08</v>
      </c>
      <c r="G157" s="240">
        <f>-976.08+6083.14</f>
        <v>5107.0600000000004</v>
      </c>
      <c r="H157" s="240">
        <f>-6083.14+6652.32</f>
        <v>569.17999999999938</v>
      </c>
      <c r="I157" s="240">
        <f>-6652.32+7297.07</f>
        <v>644.75</v>
      </c>
      <c r="J157" s="240">
        <f>-7297.07+7295.01</f>
        <v>-2.0599999999994907</v>
      </c>
      <c r="K157" s="240">
        <f>-7295.01+6734.79</f>
        <v>-560.22000000000025</v>
      </c>
      <c r="L157" s="240">
        <f>-6734.79+10821.09</f>
        <v>4086.3</v>
      </c>
      <c r="M157" s="240">
        <f>-10821.09+13303.41</f>
        <v>2482.3199999999997</v>
      </c>
      <c r="N157" s="240">
        <f>-13303.41+9770.93</f>
        <v>-3532.4799999999996</v>
      </c>
      <c r="O157" s="240">
        <f>-9770.93+10337.23</f>
        <v>566.29999999999927</v>
      </c>
      <c r="P157" s="240">
        <f>-10337.23-0.45</f>
        <v>-10337.68</v>
      </c>
      <c r="Q157" s="240"/>
      <c r="R157" s="240"/>
      <c r="S157" s="242">
        <f>SUM(E157:Q157)</f>
        <v>-0.4500000000007276</v>
      </c>
    </row>
    <row r="158" spans="1:24" s="185" customFormat="1" ht="23.25" customHeight="1" x14ac:dyDescent="0.2">
      <c r="A158" s="267"/>
      <c r="B158" s="268"/>
      <c r="C158" s="267" t="s">
        <v>66</v>
      </c>
      <c r="D158" s="267"/>
      <c r="E158" s="269">
        <f>SUM(E134:E157)</f>
        <v>0</v>
      </c>
      <c r="F158" s="269">
        <f t="shared" ref="F158:S158" si="12">SUM(F134:F157)</f>
        <v>31096.800000000003</v>
      </c>
      <c r="G158" s="269">
        <f t="shared" si="12"/>
        <v>28379.770000000004</v>
      </c>
      <c r="H158" s="269">
        <f t="shared" si="12"/>
        <v>27837.52</v>
      </c>
      <c r="I158" s="269">
        <f t="shared" si="12"/>
        <v>24857.55</v>
      </c>
      <c r="J158" s="269">
        <f t="shared" si="12"/>
        <v>24690.910000000003</v>
      </c>
      <c r="K158" s="269">
        <f t="shared" si="12"/>
        <v>29110.91</v>
      </c>
      <c r="L158" s="269">
        <f t="shared" si="12"/>
        <v>31958.91</v>
      </c>
      <c r="M158" s="269">
        <f t="shared" si="12"/>
        <v>26796.91</v>
      </c>
      <c r="N158" s="269">
        <f t="shared" si="12"/>
        <v>22140.910000000003</v>
      </c>
      <c r="O158" s="269">
        <f t="shared" si="12"/>
        <v>24880.91</v>
      </c>
      <c r="P158" s="269">
        <f t="shared" si="12"/>
        <v>16004.91</v>
      </c>
      <c r="Q158" s="269">
        <f t="shared" si="12"/>
        <v>23325.38</v>
      </c>
      <c r="R158" s="269">
        <f>SUM(R134:R157)</f>
        <v>0</v>
      </c>
      <c r="S158" s="269">
        <f t="shared" si="12"/>
        <v>311081.39</v>
      </c>
      <c r="T158" s="212">
        <v>287756.01</v>
      </c>
      <c r="U158" s="334">
        <f>T158-S158</f>
        <v>-23325.380000000005</v>
      </c>
      <c r="V158" s="185" t="s">
        <v>853</v>
      </c>
      <c r="W158" s="569"/>
      <c r="X158" s="569">
        <f>U158-CENTRALISATION!V158</f>
        <v>0</v>
      </c>
    </row>
    <row r="159" spans="1:24" x14ac:dyDescent="0.2">
      <c r="A159" s="159">
        <v>615145</v>
      </c>
      <c r="B159" s="160" t="s">
        <v>133</v>
      </c>
      <c r="C159" s="148" t="s">
        <v>145</v>
      </c>
      <c r="D159" s="148" t="s">
        <v>192</v>
      </c>
      <c r="E159" s="240">
        <f>+FLEURY!H48</f>
        <v>0</v>
      </c>
      <c r="F159" s="240">
        <f>+FLEURY!I48</f>
        <v>0</v>
      </c>
      <c r="G159" s="240">
        <f>+FLEURY!J48</f>
        <v>8</v>
      </c>
      <c r="H159" s="240">
        <f>+FLEURY!K48</f>
        <v>0</v>
      </c>
      <c r="I159" s="240">
        <f>+FLEURY!L48</f>
        <v>0</v>
      </c>
      <c r="J159" s="240">
        <f>+FLEURY!M48</f>
        <v>16.8</v>
      </c>
      <c r="K159" s="240">
        <f>+FLEURY!N48</f>
        <v>0</v>
      </c>
      <c r="L159" s="240">
        <f>+FLEURY!O48</f>
        <v>0</v>
      </c>
      <c r="M159" s="240">
        <f>+FLEURY!P48</f>
        <v>0</v>
      </c>
      <c r="N159" s="240">
        <f>+FLEURY!Q48</f>
        <v>0</v>
      </c>
      <c r="O159" s="240">
        <f>+FLEURY!R48</f>
        <v>0</v>
      </c>
      <c r="P159" s="240">
        <f>+FLEURY!S48</f>
        <v>0</v>
      </c>
      <c r="Q159" s="240">
        <f>+FLEURY!T48</f>
        <v>0</v>
      </c>
      <c r="R159" s="240">
        <f>+FLEURY!U48</f>
        <v>0</v>
      </c>
      <c r="S159" s="242">
        <f t="shared" ref="S159:S179" si="13">SUM(E159:Q159)</f>
        <v>24.8</v>
      </c>
    </row>
    <row r="160" spans="1:24" x14ac:dyDescent="0.2">
      <c r="A160" s="159">
        <v>615145</v>
      </c>
      <c r="B160" s="160" t="s">
        <v>133</v>
      </c>
      <c r="C160" s="148" t="s">
        <v>145</v>
      </c>
      <c r="D160" s="148" t="s">
        <v>269</v>
      </c>
      <c r="E160" s="240">
        <f>+FLEURY!H49</f>
        <v>0</v>
      </c>
      <c r="F160" s="240">
        <f>+FLEURY!I49</f>
        <v>0</v>
      </c>
      <c r="G160" s="240">
        <f>+FLEURY!J49</f>
        <v>0</v>
      </c>
      <c r="H160" s="240">
        <f>+FLEURY!K49</f>
        <v>0</v>
      </c>
      <c r="I160" s="240">
        <f>+FLEURY!L49</f>
        <v>0</v>
      </c>
      <c r="J160" s="240">
        <f>+FLEURY!M49</f>
        <v>0</v>
      </c>
      <c r="K160" s="240">
        <f>+FLEURY!N49</f>
        <v>0</v>
      </c>
      <c r="L160" s="240">
        <f>+FLEURY!O49</f>
        <v>0</v>
      </c>
      <c r="M160" s="240">
        <f>+FLEURY!P49</f>
        <v>0</v>
      </c>
      <c r="N160" s="240">
        <f>+FLEURY!Q49</f>
        <v>0</v>
      </c>
      <c r="O160" s="240">
        <f>+FLEURY!R49</f>
        <v>0</v>
      </c>
      <c r="P160" s="240">
        <f>+FLEURY!S49</f>
        <v>0</v>
      </c>
      <c r="Q160" s="240">
        <f>+FLEURY!T49</f>
        <v>0</v>
      </c>
      <c r="R160" s="240">
        <f>+FLEURY!U49</f>
        <v>0</v>
      </c>
      <c r="S160" s="242">
        <f t="shared" si="13"/>
        <v>0</v>
      </c>
    </row>
    <row r="161" spans="1:19" x14ac:dyDescent="0.2">
      <c r="A161" s="159">
        <v>615145</v>
      </c>
      <c r="B161" s="160" t="s">
        <v>133</v>
      </c>
      <c r="C161" s="148" t="s">
        <v>76</v>
      </c>
      <c r="D161" s="148" t="s">
        <v>192</v>
      </c>
      <c r="E161" s="240">
        <f>+FLEURY!H50</f>
        <v>0</v>
      </c>
      <c r="F161" s="240">
        <f>+FLEURY!I50</f>
        <v>0</v>
      </c>
      <c r="G161" s="240">
        <f>+FLEURY!J50</f>
        <v>0</v>
      </c>
      <c r="H161" s="240">
        <f>+FLEURY!K50</f>
        <v>0</v>
      </c>
      <c r="I161" s="240">
        <f>+FLEURY!L50</f>
        <v>0</v>
      </c>
      <c r="J161" s="240">
        <f>+FLEURY!M50</f>
        <v>0</v>
      </c>
      <c r="K161" s="240">
        <f>+FLEURY!N50</f>
        <v>0</v>
      </c>
      <c r="L161" s="240">
        <f>+FLEURY!O50</f>
        <v>0</v>
      </c>
      <c r="M161" s="240">
        <f>+FLEURY!P50</f>
        <v>0</v>
      </c>
      <c r="N161" s="240">
        <f>+FLEURY!Q50</f>
        <v>0</v>
      </c>
      <c r="O161" s="240">
        <f>+FLEURY!R50</f>
        <v>0</v>
      </c>
      <c r="P161" s="240">
        <f>+FLEURY!S50</f>
        <v>0</v>
      </c>
      <c r="Q161" s="240">
        <f>+FLEURY!T50</f>
        <v>0</v>
      </c>
      <c r="R161" s="240">
        <f>+FLEURY!U50</f>
        <v>0</v>
      </c>
      <c r="S161" s="242">
        <f t="shared" si="13"/>
        <v>0</v>
      </c>
    </row>
    <row r="162" spans="1:19" x14ac:dyDescent="0.2">
      <c r="A162" s="159"/>
      <c r="B162" s="160"/>
      <c r="C162" s="148"/>
      <c r="D162" s="148"/>
      <c r="E162" s="240"/>
      <c r="F162" s="240"/>
      <c r="G162" s="240"/>
      <c r="H162" s="240"/>
      <c r="I162" s="240"/>
      <c r="J162" s="240"/>
      <c r="K162" s="240"/>
      <c r="L162" s="240"/>
      <c r="M162" s="240"/>
      <c r="N162" s="240"/>
      <c r="O162" s="240"/>
      <c r="P162" s="240"/>
      <c r="Q162" s="240"/>
      <c r="R162" s="240"/>
      <c r="S162" s="242">
        <f t="shared" si="13"/>
        <v>0</v>
      </c>
    </row>
    <row r="163" spans="1:19" x14ac:dyDescent="0.2">
      <c r="A163" s="159">
        <v>615145</v>
      </c>
      <c r="B163" s="160" t="s">
        <v>133</v>
      </c>
      <c r="C163" s="148" t="s">
        <v>108</v>
      </c>
      <c r="D163" s="148" t="s">
        <v>269</v>
      </c>
      <c r="E163" s="240">
        <f>AIX!H46</f>
        <v>0</v>
      </c>
      <c r="F163" s="240">
        <f>AIX!I46</f>
        <v>0</v>
      </c>
      <c r="G163" s="240">
        <f>AIX!J46</f>
        <v>0</v>
      </c>
      <c r="H163" s="240">
        <f>AIX!K46</f>
        <v>0</v>
      </c>
      <c r="I163" s="240">
        <f>AIX!L46</f>
        <v>0</v>
      </c>
      <c r="J163" s="240">
        <f>AIX!M46</f>
        <v>0</v>
      </c>
      <c r="K163" s="240">
        <f>AIX!N46</f>
        <v>0</v>
      </c>
      <c r="L163" s="240">
        <f>AIX!O46</f>
        <v>0</v>
      </c>
      <c r="M163" s="240">
        <f>AIX!P46</f>
        <v>0</v>
      </c>
      <c r="N163" s="240">
        <f>AIX!Q46</f>
        <v>0</v>
      </c>
      <c r="O163" s="240">
        <f>AIX!R46</f>
        <v>0</v>
      </c>
      <c r="P163" s="240">
        <f>AIX!S46</f>
        <v>0</v>
      </c>
      <c r="Q163" s="240">
        <f>AIX!T46</f>
        <v>0</v>
      </c>
      <c r="R163" s="240">
        <f>AIX!U46</f>
        <v>0</v>
      </c>
      <c r="S163" s="242">
        <f t="shared" si="13"/>
        <v>0</v>
      </c>
    </row>
    <row r="164" spans="1:19" x14ac:dyDescent="0.2">
      <c r="A164" s="270"/>
      <c r="B164" s="235"/>
      <c r="C164" s="148"/>
      <c r="D164" s="148"/>
      <c r="E164" s="240"/>
      <c r="F164" s="240"/>
      <c r="G164" s="240"/>
      <c r="H164" s="240"/>
      <c r="I164" s="240"/>
      <c r="J164" s="240"/>
      <c r="K164" s="240"/>
      <c r="L164" s="240"/>
      <c r="M164" s="240"/>
      <c r="N164" s="240"/>
      <c r="O164" s="240"/>
      <c r="P164" s="240"/>
      <c r="Q164" s="240"/>
      <c r="R164" s="240"/>
      <c r="S164" s="242">
        <f t="shared" si="13"/>
        <v>0</v>
      </c>
    </row>
    <row r="165" spans="1:19" x14ac:dyDescent="0.2">
      <c r="A165" s="159">
        <v>615145</v>
      </c>
      <c r="B165" s="160" t="s">
        <v>133</v>
      </c>
      <c r="C165" s="148" t="s">
        <v>163</v>
      </c>
      <c r="D165" s="148" t="s">
        <v>192</v>
      </c>
      <c r="E165" s="240">
        <f>LYON!H46</f>
        <v>0</v>
      </c>
      <c r="F165" s="240">
        <f>LYON!I46</f>
        <v>0</v>
      </c>
      <c r="G165" s="240">
        <f>LYON!J46</f>
        <v>0</v>
      </c>
      <c r="H165" s="240">
        <f>LYON!K46</f>
        <v>0</v>
      </c>
      <c r="I165" s="240">
        <f>LYON!L46</f>
        <v>0</v>
      </c>
      <c r="J165" s="240">
        <f>LYON!M46</f>
        <v>0</v>
      </c>
      <c r="K165" s="240">
        <f>LYON!N46</f>
        <v>0</v>
      </c>
      <c r="L165" s="240">
        <f>LYON!O46</f>
        <v>0</v>
      </c>
      <c r="M165" s="240">
        <f>LYON!P46</f>
        <v>0</v>
      </c>
      <c r="N165" s="240">
        <f>LYON!Q46</f>
        <v>0</v>
      </c>
      <c r="O165" s="240">
        <f>LYON!R46</f>
        <v>0</v>
      </c>
      <c r="P165" s="240">
        <f>LYON!S46</f>
        <v>0</v>
      </c>
      <c r="Q165" s="240">
        <f>LYON!T46</f>
        <v>0</v>
      </c>
      <c r="R165" s="240">
        <f>LYON!U46</f>
        <v>0</v>
      </c>
      <c r="S165" s="242">
        <f t="shared" si="13"/>
        <v>0</v>
      </c>
    </row>
    <row r="166" spans="1:19" x14ac:dyDescent="0.2">
      <c r="A166" s="270"/>
      <c r="B166" s="235"/>
      <c r="C166" s="148"/>
      <c r="D166" s="148"/>
      <c r="E166" s="240"/>
      <c r="F166" s="240"/>
      <c r="G166" s="240"/>
      <c r="H166" s="240"/>
      <c r="I166" s="240"/>
      <c r="J166" s="240"/>
      <c r="K166" s="240"/>
      <c r="L166" s="240"/>
      <c r="M166" s="240"/>
      <c r="N166" s="240"/>
      <c r="O166" s="240"/>
      <c r="P166" s="240"/>
      <c r="Q166" s="240"/>
      <c r="R166" s="240"/>
      <c r="S166" s="242">
        <f t="shared" si="13"/>
        <v>0</v>
      </c>
    </row>
    <row r="167" spans="1:19" x14ac:dyDescent="0.2">
      <c r="A167" s="159">
        <v>615145</v>
      </c>
      <c r="B167" s="160" t="s">
        <v>133</v>
      </c>
      <c r="C167" s="148" t="s">
        <v>130</v>
      </c>
      <c r="D167" s="148" t="s">
        <v>192</v>
      </c>
      <c r="E167" s="240">
        <f>+BORDEAUX!H45</f>
        <v>0</v>
      </c>
      <c r="F167" s="240">
        <f>+BORDEAUX!I45</f>
        <v>0</v>
      </c>
      <c r="G167" s="240">
        <f>+BORDEAUX!J45</f>
        <v>0</v>
      </c>
      <c r="H167" s="240">
        <f>+BORDEAUX!K45</f>
        <v>0</v>
      </c>
      <c r="I167" s="240">
        <f>+BORDEAUX!L45</f>
        <v>0</v>
      </c>
      <c r="J167" s="240">
        <f>+BORDEAUX!M45</f>
        <v>0</v>
      </c>
      <c r="K167" s="240">
        <f>+BORDEAUX!N45</f>
        <v>0</v>
      </c>
      <c r="L167" s="240">
        <f>+BORDEAUX!O45</f>
        <v>0</v>
      </c>
      <c r="M167" s="240">
        <f>+BORDEAUX!P45</f>
        <v>0</v>
      </c>
      <c r="N167" s="240">
        <f>+BORDEAUX!Q45</f>
        <v>30.9</v>
      </c>
      <c r="O167" s="240">
        <f>+BORDEAUX!R45</f>
        <v>0</v>
      </c>
      <c r="P167" s="240">
        <f>+BORDEAUX!S45</f>
        <v>0</v>
      </c>
      <c r="Q167" s="240">
        <f>+BORDEAUX!T45</f>
        <v>0</v>
      </c>
      <c r="R167" s="240">
        <f>+BORDEAUX!U45</f>
        <v>0</v>
      </c>
      <c r="S167" s="242">
        <f t="shared" si="13"/>
        <v>30.9</v>
      </c>
    </row>
    <row r="168" spans="1:19" x14ac:dyDescent="0.2">
      <c r="A168" s="159">
        <v>615145</v>
      </c>
      <c r="B168" s="160" t="s">
        <v>133</v>
      </c>
      <c r="C168" s="148" t="s">
        <v>68</v>
      </c>
      <c r="D168" s="148" t="s">
        <v>192</v>
      </c>
      <c r="E168" s="240">
        <f>+BORDEAUX!H44</f>
        <v>0</v>
      </c>
      <c r="F168" s="240">
        <f>+BORDEAUX!I44</f>
        <v>0</v>
      </c>
      <c r="G168" s="240">
        <f>+BORDEAUX!J44</f>
        <v>0</v>
      </c>
      <c r="H168" s="240">
        <f>+BORDEAUX!K44</f>
        <v>0</v>
      </c>
      <c r="I168" s="240">
        <f>+BORDEAUX!L44</f>
        <v>0</v>
      </c>
      <c r="J168" s="240">
        <f>+BORDEAUX!M44</f>
        <v>0</v>
      </c>
      <c r="K168" s="240">
        <f>+BORDEAUX!N44</f>
        <v>0</v>
      </c>
      <c r="L168" s="240">
        <f>+BORDEAUX!O44</f>
        <v>0</v>
      </c>
      <c r="M168" s="240">
        <f>+BORDEAUX!P44</f>
        <v>0</v>
      </c>
      <c r="N168" s="240">
        <f>+BORDEAUX!Q44</f>
        <v>0</v>
      </c>
      <c r="O168" s="240">
        <f>+BORDEAUX!R44</f>
        <v>0</v>
      </c>
      <c r="P168" s="240">
        <f>+BORDEAUX!S44</f>
        <v>0</v>
      </c>
      <c r="Q168" s="240">
        <f>+BORDEAUX!T44</f>
        <v>0</v>
      </c>
      <c r="R168" s="240">
        <f>+BORDEAUX!U44</f>
        <v>0</v>
      </c>
      <c r="S168" s="242">
        <f t="shared" si="13"/>
        <v>0</v>
      </c>
    </row>
    <row r="169" spans="1:19" x14ac:dyDescent="0.2">
      <c r="A169" s="270"/>
      <c r="B169" s="235"/>
      <c r="C169" s="148"/>
      <c r="D169" s="148"/>
      <c r="E169" s="240"/>
      <c r="F169" s="240"/>
      <c r="G169" s="240"/>
      <c r="H169" s="240"/>
      <c r="I169" s="240"/>
      <c r="J169" s="240"/>
      <c r="K169" s="240"/>
      <c r="L169" s="240"/>
      <c r="M169" s="240"/>
      <c r="N169" s="240"/>
      <c r="O169" s="240"/>
      <c r="P169" s="240"/>
      <c r="Q169" s="240"/>
      <c r="R169" s="240"/>
      <c r="S169" s="242">
        <f t="shared" si="13"/>
        <v>0</v>
      </c>
    </row>
    <row r="170" spans="1:19" x14ac:dyDescent="0.2">
      <c r="A170" s="159">
        <v>615145</v>
      </c>
      <c r="B170" s="160" t="s">
        <v>133</v>
      </c>
      <c r="C170" s="148" t="s">
        <v>153</v>
      </c>
      <c r="D170" s="148" t="s">
        <v>192</v>
      </c>
      <c r="E170" s="240">
        <f>+NANCY!H38</f>
        <v>0</v>
      </c>
      <c r="F170" s="240">
        <f>+NANCY!I38</f>
        <v>0</v>
      </c>
      <c r="G170" s="240">
        <f>+NANCY!J38</f>
        <v>0</v>
      </c>
      <c r="H170" s="240">
        <f>+NANCY!K38</f>
        <v>0</v>
      </c>
      <c r="I170" s="240">
        <f>+NANCY!L38</f>
        <v>0</v>
      </c>
      <c r="J170" s="240">
        <f>+NANCY!M38</f>
        <v>0</v>
      </c>
      <c r="K170" s="240">
        <f>+NANCY!N38</f>
        <v>0</v>
      </c>
      <c r="L170" s="240">
        <f>+NANCY!O38</f>
        <v>0</v>
      </c>
      <c r="M170" s="240">
        <f>+NANCY!P38</f>
        <v>0</v>
      </c>
      <c r="N170" s="240">
        <f>+NANCY!Q38</f>
        <v>0</v>
      </c>
      <c r="O170" s="240">
        <f>+NANCY!R38</f>
        <v>0</v>
      </c>
      <c r="P170" s="240">
        <f>+NANCY!S38</f>
        <v>0</v>
      </c>
      <c r="Q170" s="240">
        <f>+NANCY!T38</f>
        <v>0</v>
      </c>
      <c r="R170" s="240">
        <f>+NANCY!U38</f>
        <v>0</v>
      </c>
      <c r="S170" s="242">
        <f t="shared" si="13"/>
        <v>0</v>
      </c>
    </row>
    <row r="171" spans="1:19" x14ac:dyDescent="0.2">
      <c r="A171" s="270"/>
      <c r="B171" s="235"/>
      <c r="C171" s="148"/>
      <c r="D171" s="148"/>
      <c r="E171" s="240"/>
      <c r="F171" s="240"/>
      <c r="G171" s="240"/>
      <c r="H171" s="240"/>
      <c r="I171" s="240"/>
      <c r="J171" s="240"/>
      <c r="K171" s="240"/>
      <c r="L171" s="240"/>
      <c r="M171" s="240"/>
      <c r="N171" s="240"/>
      <c r="O171" s="240"/>
      <c r="P171" s="240"/>
      <c r="Q171" s="240"/>
      <c r="R171" s="240"/>
      <c r="S171" s="242">
        <f t="shared" si="13"/>
        <v>0</v>
      </c>
    </row>
    <row r="172" spans="1:19" x14ac:dyDescent="0.2">
      <c r="A172" s="159">
        <v>615145</v>
      </c>
      <c r="B172" s="160" t="s">
        <v>133</v>
      </c>
      <c r="C172" s="148" t="s">
        <v>143</v>
      </c>
      <c r="D172" s="148" t="s">
        <v>192</v>
      </c>
      <c r="E172" s="240">
        <f>+RENNES!H48</f>
        <v>0</v>
      </c>
      <c r="F172" s="240">
        <f>+RENNES!I48</f>
        <v>0</v>
      </c>
      <c r="G172" s="240">
        <f>+RENNES!J48</f>
        <v>0</v>
      </c>
      <c r="H172" s="240">
        <f>+RENNES!K48</f>
        <v>0</v>
      </c>
      <c r="I172" s="240">
        <f>+RENNES!L48</f>
        <v>151.9</v>
      </c>
      <c r="J172" s="240">
        <f>+RENNES!M48</f>
        <v>0</v>
      </c>
      <c r="K172" s="240">
        <f>+RENNES!N48</f>
        <v>0</v>
      </c>
      <c r="L172" s="240">
        <f>+RENNES!O48</f>
        <v>0</v>
      </c>
      <c r="M172" s="240">
        <f>+RENNES!P48</f>
        <v>0</v>
      </c>
      <c r="N172" s="240">
        <f>+RENNES!Q48</f>
        <v>0</v>
      </c>
      <c r="O172" s="240">
        <f>+RENNES!R48</f>
        <v>0</v>
      </c>
      <c r="P172" s="240">
        <f>+RENNES!S48</f>
        <v>0</v>
      </c>
      <c r="Q172" s="240">
        <f>+RENNES!T48</f>
        <v>0</v>
      </c>
      <c r="R172" s="240">
        <f>+RENNES!U48</f>
        <v>0</v>
      </c>
      <c r="S172" s="242">
        <f t="shared" si="13"/>
        <v>151.9</v>
      </c>
    </row>
    <row r="173" spans="1:19" x14ac:dyDescent="0.2">
      <c r="A173" s="270"/>
      <c r="B173" s="235"/>
      <c r="C173" s="148"/>
      <c r="D173" s="148"/>
      <c r="E173" s="240"/>
      <c r="F173" s="240"/>
      <c r="G173" s="240"/>
      <c r="H173" s="240"/>
      <c r="I173" s="240"/>
      <c r="J173" s="240"/>
      <c r="K173" s="240"/>
      <c r="L173" s="240"/>
      <c r="M173" s="240"/>
      <c r="N173" s="240"/>
      <c r="O173" s="240"/>
      <c r="P173" s="240"/>
      <c r="Q173" s="240"/>
      <c r="R173" s="240"/>
      <c r="S173" s="242">
        <f t="shared" si="13"/>
        <v>0</v>
      </c>
    </row>
    <row r="174" spans="1:19" x14ac:dyDescent="0.2">
      <c r="A174" s="159">
        <v>615145</v>
      </c>
      <c r="B174" s="160" t="s">
        <v>133</v>
      </c>
      <c r="C174" s="148" t="s">
        <v>157</v>
      </c>
      <c r="D174" s="148" t="s">
        <v>192</v>
      </c>
      <c r="E174" s="240">
        <f>+BEAUVAIS!H43</f>
        <v>0</v>
      </c>
      <c r="F174" s="240">
        <f>+BEAUVAIS!I43</f>
        <v>0</v>
      </c>
      <c r="G174" s="240">
        <f>+BEAUVAIS!J43</f>
        <v>0</v>
      </c>
      <c r="H174" s="240">
        <f>+BEAUVAIS!K43</f>
        <v>0</v>
      </c>
      <c r="I174" s="240">
        <f>+BEAUVAIS!L43</f>
        <v>0</v>
      </c>
      <c r="J174" s="240">
        <f>+BEAUVAIS!M43</f>
        <v>0</v>
      </c>
      <c r="K174" s="240">
        <f>+BEAUVAIS!N43</f>
        <v>0</v>
      </c>
      <c r="L174" s="240">
        <f>+BEAUVAIS!O43</f>
        <v>0</v>
      </c>
      <c r="M174" s="240">
        <f>+BEAUVAIS!P43</f>
        <v>0</v>
      </c>
      <c r="N174" s="240">
        <f>+BEAUVAIS!Q43</f>
        <v>0</v>
      </c>
      <c r="O174" s="240">
        <f>+BEAUVAIS!R43</f>
        <v>0</v>
      </c>
      <c r="P174" s="240">
        <f>+BEAUVAIS!S43</f>
        <v>0</v>
      </c>
      <c r="Q174" s="240">
        <f>+BEAUVAIS!T43</f>
        <v>0</v>
      </c>
      <c r="R174" s="240">
        <f>+BEAUVAIS!U43</f>
        <v>0</v>
      </c>
      <c r="S174" s="242">
        <f>SUM(E174:Q174)</f>
        <v>0</v>
      </c>
    </row>
    <row r="175" spans="1:19" x14ac:dyDescent="0.2">
      <c r="A175" s="159">
        <v>615145</v>
      </c>
      <c r="B175" s="160" t="s">
        <v>133</v>
      </c>
      <c r="C175" s="148" t="s">
        <v>157</v>
      </c>
      <c r="D175" s="148" t="s">
        <v>269</v>
      </c>
      <c r="E175" s="240">
        <f>+BEAUVAIS!H44</f>
        <v>0</v>
      </c>
      <c r="F175" s="240">
        <f>+BEAUVAIS!I44</f>
        <v>0</v>
      </c>
      <c r="G175" s="240">
        <f>+BEAUVAIS!J44</f>
        <v>0</v>
      </c>
      <c r="H175" s="240">
        <f>+BEAUVAIS!K44</f>
        <v>58.68</v>
      </c>
      <c r="I175" s="240">
        <f>+BEAUVAIS!L44</f>
        <v>0</v>
      </c>
      <c r="J175" s="240">
        <f>+BEAUVAIS!M44</f>
        <v>109.2</v>
      </c>
      <c r="K175" s="240">
        <f>+BEAUVAIS!N44</f>
        <v>14.31</v>
      </c>
      <c r="L175" s="240">
        <f>+BEAUVAIS!O44</f>
        <v>63.34</v>
      </c>
      <c r="M175" s="240">
        <f>+BEAUVAIS!P44</f>
        <v>0</v>
      </c>
      <c r="N175" s="240">
        <f>+BEAUVAIS!Q44</f>
        <v>0</v>
      </c>
      <c r="O175" s="240">
        <f>+BEAUVAIS!R44</f>
        <v>189.63</v>
      </c>
      <c r="P175" s="240">
        <f>+BEAUVAIS!S44</f>
        <v>0</v>
      </c>
      <c r="Q175" s="240">
        <f>+BEAUVAIS!T44</f>
        <v>0</v>
      </c>
      <c r="R175" s="240">
        <f>+BEAUVAIS!U44</f>
        <v>0</v>
      </c>
      <c r="S175" s="242">
        <f t="shared" si="13"/>
        <v>435.15999999999997</v>
      </c>
    </row>
    <row r="176" spans="1:19" x14ac:dyDescent="0.2">
      <c r="A176" s="270"/>
      <c r="B176" s="235"/>
      <c r="C176" s="148"/>
      <c r="D176" s="148"/>
      <c r="E176" s="240"/>
      <c r="F176" s="240"/>
      <c r="G176" s="240"/>
      <c r="H176" s="240"/>
      <c r="I176" s="240"/>
      <c r="J176" s="240"/>
      <c r="K176" s="240"/>
      <c r="L176" s="240"/>
      <c r="M176" s="240"/>
      <c r="N176" s="240"/>
      <c r="O176" s="240"/>
      <c r="P176" s="240"/>
      <c r="Q176" s="240"/>
      <c r="R176" s="240"/>
      <c r="S176" s="242">
        <f t="shared" si="13"/>
        <v>0</v>
      </c>
    </row>
    <row r="177" spans="1:24" x14ac:dyDescent="0.2">
      <c r="A177" s="159">
        <v>615145</v>
      </c>
      <c r="B177" s="160" t="s">
        <v>133</v>
      </c>
      <c r="C177" s="148" t="s">
        <v>79</v>
      </c>
      <c r="D177" s="148" t="s">
        <v>192</v>
      </c>
      <c r="E177" s="240">
        <f>+SIEGE!H19</f>
        <v>0</v>
      </c>
      <c r="F177" s="240">
        <f>+SIEGE!I19</f>
        <v>0</v>
      </c>
      <c r="G177" s="240">
        <f>+SIEGE!J19</f>
        <v>0</v>
      </c>
      <c r="H177" s="240">
        <f>+SIEGE!K19</f>
        <v>0</v>
      </c>
      <c r="I177" s="240">
        <f>+SIEGE!L19</f>
        <v>0</v>
      </c>
      <c r="J177" s="240">
        <f>+SIEGE!M19</f>
        <v>0</v>
      </c>
      <c r="K177" s="240">
        <f>+SIEGE!N19</f>
        <v>0</v>
      </c>
      <c r="L177" s="240">
        <f>+SIEGE!O19</f>
        <v>0</v>
      </c>
      <c r="M177" s="240">
        <f>+SIEGE!P19</f>
        <v>0</v>
      </c>
      <c r="N177" s="240">
        <f>+SIEGE!Q19</f>
        <v>0</v>
      </c>
      <c r="O177" s="240">
        <f>+SIEGE!R19</f>
        <v>26.01</v>
      </c>
      <c r="P177" s="240">
        <f>+SIEGE!S19</f>
        <v>0</v>
      </c>
      <c r="Q177" s="240">
        <f>+SIEGE!T19</f>
        <v>0</v>
      </c>
      <c r="R177" s="240">
        <f>+SIEGE!U19</f>
        <v>0</v>
      </c>
      <c r="S177" s="242">
        <f t="shared" si="13"/>
        <v>26.01</v>
      </c>
    </row>
    <row r="178" spans="1:24" x14ac:dyDescent="0.2">
      <c r="A178" s="159"/>
      <c r="B178" s="160"/>
      <c r="C178" s="148"/>
      <c r="D178" s="148"/>
      <c r="E178" s="240"/>
      <c r="F178" s="240"/>
      <c r="G178" s="240"/>
      <c r="H178" s="240"/>
      <c r="I178" s="240"/>
      <c r="J178" s="240"/>
      <c r="K178" s="240"/>
      <c r="L178" s="240"/>
      <c r="M178" s="240"/>
      <c r="N178" s="240"/>
      <c r="O178" s="240"/>
      <c r="P178" s="240"/>
      <c r="Q178" s="240"/>
      <c r="R178" s="240"/>
      <c r="S178" s="242">
        <f t="shared" si="13"/>
        <v>0</v>
      </c>
    </row>
    <row r="179" spans="1:24" x14ac:dyDescent="0.2">
      <c r="A179" s="159">
        <v>615145</v>
      </c>
      <c r="B179" s="160" t="s">
        <v>133</v>
      </c>
      <c r="C179" s="148" t="s">
        <v>368</v>
      </c>
      <c r="D179" s="148">
        <v>999999</v>
      </c>
      <c r="E179" s="240"/>
      <c r="F179" s="240">
        <v>156</v>
      </c>
      <c r="G179" s="240">
        <f>-156+312</f>
        <v>156</v>
      </c>
      <c r="H179" s="240">
        <f>-312+472</f>
        <v>160</v>
      </c>
      <c r="I179" s="240">
        <f>-472+628</f>
        <v>156</v>
      </c>
      <c r="J179" s="240">
        <f>-628+784</f>
        <v>156</v>
      </c>
      <c r="K179" s="240">
        <f>-784+944</f>
        <v>160</v>
      </c>
      <c r="L179" s="240">
        <f>-944+1100</f>
        <v>156</v>
      </c>
      <c r="M179" s="240">
        <f>-1100+1172</f>
        <v>72</v>
      </c>
      <c r="N179" s="240">
        <f>-1172+862</f>
        <v>-310</v>
      </c>
      <c r="O179" s="240">
        <f>-862+606</f>
        <v>-256</v>
      </c>
      <c r="P179" s="240">
        <v>-606</v>
      </c>
      <c r="Q179" s="240"/>
      <c r="R179" s="240"/>
      <c r="S179" s="242">
        <f t="shared" si="13"/>
        <v>0</v>
      </c>
    </row>
    <row r="180" spans="1:24" s="185" customFormat="1" ht="22.5" customHeight="1" x14ac:dyDescent="0.2">
      <c r="A180" s="267"/>
      <c r="B180" s="268"/>
      <c r="C180" s="267" t="s">
        <v>66</v>
      </c>
      <c r="D180" s="267"/>
      <c r="E180" s="269">
        <f>SUM(E159:E179)</f>
        <v>0</v>
      </c>
      <c r="F180" s="269">
        <f t="shared" ref="F180:S180" si="14">SUM(F159:F179)</f>
        <v>156</v>
      </c>
      <c r="G180" s="269">
        <f t="shared" si="14"/>
        <v>164</v>
      </c>
      <c r="H180" s="269">
        <f t="shared" si="14"/>
        <v>218.68</v>
      </c>
      <c r="I180" s="269">
        <f t="shared" si="14"/>
        <v>307.89999999999998</v>
      </c>
      <c r="J180" s="269">
        <f t="shared" si="14"/>
        <v>282</v>
      </c>
      <c r="K180" s="269">
        <f t="shared" si="14"/>
        <v>174.31</v>
      </c>
      <c r="L180" s="269">
        <f t="shared" si="14"/>
        <v>219.34</v>
      </c>
      <c r="M180" s="269">
        <f t="shared" si="14"/>
        <v>72</v>
      </c>
      <c r="N180" s="269">
        <f t="shared" si="14"/>
        <v>-279.10000000000002</v>
      </c>
      <c r="O180" s="269">
        <f t="shared" si="14"/>
        <v>-40.360000000000014</v>
      </c>
      <c r="P180" s="269">
        <f t="shared" si="14"/>
        <v>-606</v>
      </c>
      <c r="Q180" s="269">
        <f t="shared" si="14"/>
        <v>0</v>
      </c>
      <c r="R180" s="269">
        <f>SUM(R159:R179)</f>
        <v>0</v>
      </c>
      <c r="S180" s="269">
        <f t="shared" si="14"/>
        <v>668.77</v>
      </c>
      <c r="T180" s="212">
        <v>668.77</v>
      </c>
      <c r="U180" s="334">
        <f>T180-S180</f>
        <v>0</v>
      </c>
      <c r="V180" s="185" t="s">
        <v>853</v>
      </c>
      <c r="X180" s="569">
        <f>U180-CENTRALISATION!V180</f>
        <v>0</v>
      </c>
    </row>
    <row r="181" spans="1:24" x14ac:dyDescent="0.2">
      <c r="A181" s="159">
        <v>615150</v>
      </c>
      <c r="B181" s="160" t="s">
        <v>112</v>
      </c>
      <c r="C181" s="148" t="s">
        <v>78</v>
      </c>
      <c r="D181" s="148" t="s">
        <v>192</v>
      </c>
      <c r="E181" s="240">
        <f>FLEURY!H54+FLEURY!H55</f>
        <v>0</v>
      </c>
      <c r="F181" s="240">
        <f>FLEURY!I54+FLEURY!I55</f>
        <v>0</v>
      </c>
      <c r="G181" s="240">
        <f>FLEURY!J54+FLEURY!J55</f>
        <v>0</v>
      </c>
      <c r="H181" s="240">
        <f>FLEURY!K54+FLEURY!K55</f>
        <v>262.76</v>
      </c>
      <c r="I181" s="240">
        <f>FLEURY!L54+FLEURY!L55</f>
        <v>0</v>
      </c>
      <c r="J181" s="240">
        <f>FLEURY!M54+FLEURY!M55</f>
        <v>0</v>
      </c>
      <c r="K181" s="240">
        <f>FLEURY!N54+FLEURY!N55</f>
        <v>0</v>
      </c>
      <c r="L181" s="240">
        <f>FLEURY!O54+FLEURY!O55</f>
        <v>0</v>
      </c>
      <c r="M181" s="240">
        <f>FLEURY!P54+FLEURY!P55</f>
        <v>422.03</v>
      </c>
      <c r="N181" s="240">
        <f>FLEURY!Q54+FLEURY!Q55</f>
        <v>0</v>
      </c>
      <c r="O181" s="240">
        <f>FLEURY!R54+FLEURY!R55</f>
        <v>0</v>
      </c>
      <c r="P181" s="240">
        <f>FLEURY!S54+FLEURY!S55</f>
        <v>0</v>
      </c>
      <c r="Q181" s="240">
        <f>FLEURY!T54+FLEURY!T55</f>
        <v>0</v>
      </c>
      <c r="R181" s="240">
        <f>FLEURY!U54+FLEURY!U55</f>
        <v>0</v>
      </c>
      <c r="S181" s="242">
        <f>SUM(E181:Q181)</f>
        <v>684.79</v>
      </c>
    </row>
    <row r="182" spans="1:24" x14ac:dyDescent="0.2">
      <c r="A182" s="270"/>
      <c r="B182" s="235"/>
      <c r="C182" s="148"/>
      <c r="D182" s="148"/>
      <c r="E182" s="240"/>
      <c r="F182" s="240"/>
      <c r="G182" s="240"/>
      <c r="H182" s="240"/>
      <c r="I182" s="240"/>
      <c r="J182" s="240"/>
      <c r="K182" s="240"/>
      <c r="L182" s="240"/>
      <c r="M182" s="240"/>
      <c r="N182" s="240"/>
      <c r="O182" s="240"/>
      <c r="P182" s="240"/>
      <c r="Q182" s="240"/>
      <c r="R182" s="240"/>
      <c r="S182" s="242"/>
    </row>
    <row r="183" spans="1:24" x14ac:dyDescent="0.2">
      <c r="A183" s="159">
        <v>615150</v>
      </c>
      <c r="B183" s="160" t="s">
        <v>112</v>
      </c>
      <c r="C183" s="148" t="s">
        <v>71</v>
      </c>
      <c r="D183" s="148" t="s">
        <v>192</v>
      </c>
      <c r="E183" s="240">
        <f>SUM(AIX!H50:'AIX'!H51)</f>
        <v>0</v>
      </c>
      <c r="F183" s="240">
        <f>SUM(AIX!I50:'AIX'!I51)</f>
        <v>0</v>
      </c>
      <c r="G183" s="240">
        <f>SUM(AIX!J50:'AIX'!J51)</f>
        <v>0</v>
      </c>
      <c r="H183" s="240">
        <f>SUM(AIX!K50:'AIX'!K51)</f>
        <v>0</v>
      </c>
      <c r="I183" s="240">
        <f>SUM(AIX!L50:'AIX'!L51)</f>
        <v>0</v>
      </c>
      <c r="J183" s="240">
        <f>SUM(AIX!M50:'AIX'!M51)</f>
        <v>0</v>
      </c>
      <c r="K183" s="240">
        <f>SUM(AIX!N50:'AIX'!N51)</f>
        <v>0</v>
      </c>
      <c r="L183" s="240">
        <f>SUM(AIX!O50:'AIX'!O51)</f>
        <v>0</v>
      </c>
      <c r="M183" s="240">
        <f>SUM(AIX!P50:'AIX'!P51)</f>
        <v>0</v>
      </c>
      <c r="N183" s="240">
        <f>SUM(AIX!Q50:'AIX'!Q51)</f>
        <v>0</v>
      </c>
      <c r="O183" s="240">
        <f>SUM(AIX!R50:'AIX'!R51)</f>
        <v>0</v>
      </c>
      <c r="P183" s="240">
        <f>SUM(AIX!S50:'AIX'!S51)</f>
        <v>0</v>
      </c>
      <c r="Q183" s="240">
        <f>SUM(AIX!T50:'AIX'!T51)</f>
        <v>0</v>
      </c>
      <c r="R183" s="240">
        <f>SUM(AIX!U50:'AIX'!U51)</f>
        <v>0</v>
      </c>
      <c r="S183" s="242">
        <f>SUM(E183:Q183)</f>
        <v>0</v>
      </c>
    </row>
    <row r="184" spans="1:24" x14ac:dyDescent="0.2">
      <c r="A184" s="270"/>
      <c r="B184" s="235"/>
      <c r="C184" s="148"/>
      <c r="D184" s="148"/>
      <c r="E184" s="240"/>
      <c r="F184" s="240"/>
      <c r="G184" s="240"/>
      <c r="H184" s="240"/>
      <c r="I184" s="240"/>
      <c r="J184" s="240"/>
      <c r="K184" s="240"/>
      <c r="L184" s="240"/>
      <c r="M184" s="240"/>
      <c r="N184" s="240"/>
      <c r="O184" s="240"/>
      <c r="P184" s="240"/>
      <c r="Q184" s="240"/>
      <c r="R184" s="240"/>
      <c r="S184" s="242"/>
    </row>
    <row r="185" spans="1:24" x14ac:dyDescent="0.2">
      <c r="A185" s="159">
        <v>615150</v>
      </c>
      <c r="B185" s="160" t="s">
        <v>112</v>
      </c>
      <c r="C185" s="148" t="s">
        <v>73</v>
      </c>
      <c r="D185" s="148" t="s">
        <v>192</v>
      </c>
      <c r="E185" s="240">
        <f>+LYON!H50</f>
        <v>0</v>
      </c>
      <c r="F185" s="240">
        <f>+LYON!I50</f>
        <v>0</v>
      </c>
      <c r="G185" s="240">
        <f>+LYON!J50</f>
        <v>0</v>
      </c>
      <c r="H185" s="240">
        <f>+LYON!K50</f>
        <v>0</v>
      </c>
      <c r="I185" s="240">
        <f>+LYON!L50</f>
        <v>0</v>
      </c>
      <c r="J185" s="240">
        <f>+LYON!M50</f>
        <v>0</v>
      </c>
      <c r="K185" s="240">
        <f>+LYON!N50</f>
        <v>0</v>
      </c>
      <c r="L185" s="240">
        <f>+LYON!O50</f>
        <v>0</v>
      </c>
      <c r="M185" s="240">
        <f>+LYON!P50</f>
        <v>0</v>
      </c>
      <c r="N185" s="240">
        <f>+LYON!Q50</f>
        <v>0</v>
      </c>
      <c r="O185" s="240">
        <f>+LYON!R50</f>
        <v>0</v>
      </c>
      <c r="P185" s="240">
        <f>+LYON!S50</f>
        <v>0</v>
      </c>
      <c r="Q185" s="240">
        <f>+LYON!T50</f>
        <v>0</v>
      </c>
      <c r="R185" s="240">
        <f>+LYON!U50</f>
        <v>0</v>
      </c>
      <c r="S185" s="242">
        <f>SUM(E185:Q185)</f>
        <v>0</v>
      </c>
    </row>
    <row r="186" spans="1:24" x14ac:dyDescent="0.2">
      <c r="A186" s="270"/>
      <c r="B186" s="235"/>
      <c r="C186" s="148"/>
      <c r="D186" s="148"/>
      <c r="E186" s="240"/>
      <c r="F186" s="240"/>
      <c r="G186" s="240"/>
      <c r="H186" s="240"/>
      <c r="I186" s="240"/>
      <c r="J186" s="240"/>
      <c r="K186" s="240"/>
      <c r="L186" s="240"/>
      <c r="M186" s="240"/>
      <c r="N186" s="240"/>
      <c r="O186" s="240"/>
      <c r="P186" s="240"/>
      <c r="Q186" s="240"/>
      <c r="R186" s="240"/>
      <c r="S186" s="242"/>
    </row>
    <row r="187" spans="1:24" x14ac:dyDescent="0.2">
      <c r="A187" s="159">
        <v>615150</v>
      </c>
      <c r="B187" s="160" t="s">
        <v>112</v>
      </c>
      <c r="C187" s="148" t="s">
        <v>67</v>
      </c>
      <c r="D187" s="148" t="s">
        <v>192</v>
      </c>
      <c r="E187" s="240">
        <f>+BORDEAUX!H51</f>
        <v>0</v>
      </c>
      <c r="F187" s="240">
        <f>+BORDEAUX!I51</f>
        <v>0</v>
      </c>
      <c r="G187" s="240">
        <f>+BORDEAUX!J51</f>
        <v>0</v>
      </c>
      <c r="H187" s="240">
        <f>+BORDEAUX!K51</f>
        <v>0</v>
      </c>
      <c r="I187" s="240">
        <f>+BORDEAUX!L51</f>
        <v>0</v>
      </c>
      <c r="J187" s="240">
        <f>+BORDEAUX!M51</f>
        <v>0</v>
      </c>
      <c r="K187" s="240">
        <f>+BORDEAUX!N51</f>
        <v>0</v>
      </c>
      <c r="L187" s="240">
        <f>+BORDEAUX!O51</f>
        <v>0</v>
      </c>
      <c r="M187" s="240">
        <f>+BORDEAUX!P51</f>
        <v>0</v>
      </c>
      <c r="N187" s="240">
        <f>+BORDEAUX!Q51</f>
        <v>0</v>
      </c>
      <c r="O187" s="240">
        <f>+BORDEAUX!R51</f>
        <v>0</v>
      </c>
      <c r="P187" s="240">
        <f>+BORDEAUX!S51</f>
        <v>0</v>
      </c>
      <c r="Q187" s="240">
        <f>+BORDEAUX!T51</f>
        <v>0</v>
      </c>
      <c r="R187" s="240">
        <f>+BORDEAUX!U51</f>
        <v>0</v>
      </c>
      <c r="S187" s="242">
        <f>SUM(E187:Q187)</f>
        <v>0</v>
      </c>
    </row>
    <row r="188" spans="1:24" ht="12" customHeight="1" x14ac:dyDescent="0.2">
      <c r="A188" s="270"/>
      <c r="B188" s="235"/>
      <c r="C188" s="148"/>
      <c r="D188" s="148"/>
      <c r="E188" s="240"/>
      <c r="F188" s="240"/>
      <c r="G188" s="240"/>
      <c r="H188" s="240"/>
      <c r="I188" s="240"/>
      <c r="J188" s="240"/>
      <c r="K188" s="240"/>
      <c r="L188" s="240"/>
      <c r="M188" s="240"/>
      <c r="N188" s="240"/>
      <c r="O188" s="240"/>
      <c r="P188" s="240"/>
      <c r="Q188" s="240"/>
      <c r="R188" s="240"/>
      <c r="S188" s="242"/>
    </row>
    <row r="189" spans="1:24" x14ac:dyDescent="0.2">
      <c r="A189" s="159">
        <v>615150</v>
      </c>
      <c r="B189" s="160" t="s">
        <v>112</v>
      </c>
      <c r="C189" s="148" t="s">
        <v>80</v>
      </c>
      <c r="D189" s="148" t="s">
        <v>192</v>
      </c>
      <c r="E189" s="240">
        <f>+RENNES!H53</f>
        <v>0</v>
      </c>
      <c r="F189" s="240">
        <f>+RENNES!I53</f>
        <v>0</v>
      </c>
      <c r="G189" s="240">
        <f>RENNES!J53</f>
        <v>0</v>
      </c>
      <c r="H189" s="240">
        <f>RENNES!K53</f>
        <v>0</v>
      </c>
      <c r="I189" s="240">
        <f>RENNES!L53</f>
        <v>0</v>
      </c>
      <c r="J189" s="240">
        <f>RENNES!M53</f>
        <v>0</v>
      </c>
      <c r="K189" s="240">
        <f>RENNES!N53</f>
        <v>0</v>
      </c>
      <c r="L189" s="240">
        <f>RENNES!O53</f>
        <v>0</v>
      </c>
      <c r="M189" s="240">
        <f>RENNES!P53</f>
        <v>0</v>
      </c>
      <c r="N189" s="240">
        <f>RENNES!Q53</f>
        <v>0</v>
      </c>
      <c r="O189" s="240">
        <f>RENNES!R53</f>
        <v>0</v>
      </c>
      <c r="P189" s="240">
        <f>RENNES!S53</f>
        <v>0</v>
      </c>
      <c r="Q189" s="240">
        <f>RENNES!T53</f>
        <v>0</v>
      </c>
      <c r="R189" s="240">
        <f>RENNES!U53</f>
        <v>0</v>
      </c>
      <c r="S189" s="242">
        <f>SUM(E189:Q189)</f>
        <v>0</v>
      </c>
    </row>
    <row r="190" spans="1:24" x14ac:dyDescent="0.2">
      <c r="A190" s="270"/>
      <c r="B190" s="235"/>
      <c r="C190" s="148"/>
      <c r="D190" s="148"/>
      <c r="E190" s="240"/>
      <c r="F190" s="240"/>
      <c r="G190" s="240"/>
      <c r="H190" s="240"/>
      <c r="I190" s="240"/>
      <c r="J190" s="240"/>
      <c r="K190" s="240"/>
      <c r="L190" s="240"/>
      <c r="M190" s="240"/>
      <c r="N190" s="240"/>
      <c r="O190" s="240"/>
      <c r="P190" s="240"/>
      <c r="Q190" s="240"/>
      <c r="R190" s="240"/>
      <c r="S190" s="242"/>
    </row>
    <row r="191" spans="1:24" x14ac:dyDescent="0.2">
      <c r="A191" s="159">
        <v>615150</v>
      </c>
      <c r="B191" s="160" t="s">
        <v>112</v>
      </c>
      <c r="C191" s="148" t="s">
        <v>156</v>
      </c>
      <c r="D191" s="148" t="s">
        <v>192</v>
      </c>
      <c r="E191" s="240">
        <f>+BEAUVAIS!H49</f>
        <v>0</v>
      </c>
      <c r="F191" s="240">
        <f>+BEAUVAIS!I49</f>
        <v>0</v>
      </c>
      <c r="G191" s="240">
        <f>+BEAUVAIS!J49</f>
        <v>0</v>
      </c>
      <c r="H191" s="240">
        <f>+BEAUVAIS!K49</f>
        <v>0</v>
      </c>
      <c r="I191" s="240">
        <f>+BEAUVAIS!L49</f>
        <v>0</v>
      </c>
      <c r="J191" s="240">
        <f>+BEAUVAIS!M49</f>
        <v>0</v>
      </c>
      <c r="K191" s="240">
        <f>+BEAUVAIS!N49</f>
        <v>0</v>
      </c>
      <c r="L191" s="240">
        <f>+BEAUVAIS!O49</f>
        <v>0</v>
      </c>
      <c r="M191" s="240">
        <f>+BEAUVAIS!P49</f>
        <v>0</v>
      </c>
      <c r="N191" s="240">
        <f>+BEAUVAIS!Q49</f>
        <v>0</v>
      </c>
      <c r="O191" s="240">
        <f>+BEAUVAIS!R49</f>
        <v>0</v>
      </c>
      <c r="P191" s="240">
        <f>+BEAUVAIS!S49</f>
        <v>0</v>
      </c>
      <c r="Q191" s="240">
        <f>+BEAUVAIS!T49</f>
        <v>0</v>
      </c>
      <c r="R191" s="240">
        <f>+BEAUVAIS!U49</f>
        <v>0</v>
      </c>
      <c r="S191" s="242">
        <f>SUM(E191:Q191)</f>
        <v>0</v>
      </c>
    </row>
    <row r="192" spans="1:24" x14ac:dyDescent="0.2">
      <c r="A192" s="270"/>
      <c r="B192" s="235"/>
      <c r="C192" s="148"/>
      <c r="D192" s="148"/>
      <c r="E192" s="240"/>
      <c r="F192" s="240"/>
      <c r="G192" s="240"/>
      <c r="H192" s="240"/>
      <c r="I192" s="240"/>
      <c r="J192" s="240"/>
      <c r="K192" s="240"/>
      <c r="L192" s="240"/>
      <c r="M192" s="240"/>
      <c r="N192" s="240"/>
      <c r="O192" s="240"/>
      <c r="P192" s="240"/>
      <c r="Q192" s="240"/>
      <c r="R192" s="240"/>
      <c r="S192" s="242">
        <f>SUM(E192:Q192)</f>
        <v>0</v>
      </c>
    </row>
    <row r="193" spans="1:24" x14ac:dyDescent="0.2">
      <c r="A193" s="159">
        <v>615150</v>
      </c>
      <c r="B193" s="160" t="s">
        <v>112</v>
      </c>
      <c r="C193" s="148" t="s">
        <v>172</v>
      </c>
      <c r="D193" s="148" t="s">
        <v>192</v>
      </c>
      <c r="E193" s="240">
        <f>+TOULOUSE!I33</f>
        <v>0</v>
      </c>
      <c r="F193" s="240">
        <f>+TOULOUSE!J33</f>
        <v>0</v>
      </c>
      <c r="G193" s="240">
        <f>+TOULOUSE!K33</f>
        <v>0</v>
      </c>
      <c r="H193" s="240">
        <f>+TOULOUSE!L33</f>
        <v>0</v>
      </c>
      <c r="I193" s="240">
        <f>+TOULOUSE!M33</f>
        <v>0</v>
      </c>
      <c r="J193" s="240">
        <f>+TOULOUSE!N33</f>
        <v>0</v>
      </c>
      <c r="K193" s="240">
        <f>+TOULOUSE!O33</f>
        <v>0</v>
      </c>
      <c r="L193" s="240">
        <f>+TOULOUSE!P33</f>
        <v>0</v>
      </c>
      <c r="M193" s="240">
        <f>+TOULOUSE!Q33</f>
        <v>0</v>
      </c>
      <c r="N193" s="240">
        <f>+TOULOUSE!R33</f>
        <v>0</v>
      </c>
      <c r="O193" s="240">
        <f>+TOULOUSE!S33</f>
        <v>0</v>
      </c>
      <c r="P193" s="240">
        <f>+TOULOUSE!T33</f>
        <v>0</v>
      </c>
      <c r="Q193" s="240">
        <f>+TOULOUSE!V33</f>
        <v>0</v>
      </c>
      <c r="R193" s="240"/>
      <c r="S193" s="242">
        <f>SUM(E193:Q193)</f>
        <v>0</v>
      </c>
    </row>
    <row r="194" spans="1:24" x14ac:dyDescent="0.2">
      <c r="A194" s="159"/>
      <c r="B194" s="160"/>
      <c r="C194" s="148"/>
      <c r="D194" s="148"/>
      <c r="E194" s="240"/>
      <c r="F194" s="240"/>
      <c r="G194" s="240"/>
      <c r="H194" s="240"/>
      <c r="I194" s="240"/>
      <c r="J194" s="240"/>
      <c r="K194" s="240"/>
      <c r="L194" s="240"/>
      <c r="M194" s="240"/>
      <c r="N194" s="240"/>
      <c r="O194" s="240"/>
      <c r="P194" s="240"/>
      <c r="Q194" s="240"/>
      <c r="R194" s="240"/>
      <c r="S194" s="242">
        <f>SUM(E194:Q194)</f>
        <v>0</v>
      </c>
    </row>
    <row r="195" spans="1:24" x14ac:dyDescent="0.2">
      <c r="A195" s="159">
        <v>615150</v>
      </c>
      <c r="B195" s="160" t="s">
        <v>112</v>
      </c>
      <c r="C195" s="148" t="s">
        <v>367</v>
      </c>
      <c r="D195" s="148">
        <v>999999</v>
      </c>
      <c r="E195" s="240"/>
      <c r="F195" s="240">
        <v>168</v>
      </c>
      <c r="G195" s="240">
        <f>-168+336</f>
        <v>168</v>
      </c>
      <c r="H195" s="240">
        <f>-336+243.24</f>
        <v>-92.759999999999991</v>
      </c>
      <c r="I195" s="240">
        <f>-243.24+411.24</f>
        <v>168</v>
      </c>
      <c r="J195" s="240">
        <f>-411.24+579.24</f>
        <v>168</v>
      </c>
      <c r="K195" s="240">
        <f>-579.24+749.24</f>
        <v>170</v>
      </c>
      <c r="L195" s="240">
        <f>-749.24+917.24</f>
        <v>168</v>
      </c>
      <c r="M195" s="240">
        <f>-917.24+663.21</f>
        <v>-254.02999999999997</v>
      </c>
      <c r="N195" s="240">
        <f>-663.21+1518.21</f>
        <v>855</v>
      </c>
      <c r="O195" s="240">
        <f>-1518.21+1686.21</f>
        <v>168</v>
      </c>
      <c r="P195" s="240">
        <f>-1686.21+0.21</f>
        <v>-1686</v>
      </c>
      <c r="Q195" s="240"/>
      <c r="R195" s="240"/>
      <c r="S195" s="242">
        <f>SUM(E195:Q195)</f>
        <v>0.21000000000003638</v>
      </c>
    </row>
    <row r="196" spans="1:24" s="185" customFormat="1" ht="24" customHeight="1" x14ac:dyDescent="0.2">
      <c r="A196" s="267"/>
      <c r="B196" s="268"/>
      <c r="C196" s="267" t="s">
        <v>66</v>
      </c>
      <c r="D196" s="267"/>
      <c r="E196" s="269">
        <f>SUM(E181:E195)</f>
        <v>0</v>
      </c>
      <c r="F196" s="269">
        <f t="shared" ref="F196:S196" si="15">SUM(F181:F195)</f>
        <v>168</v>
      </c>
      <c r="G196" s="269">
        <f t="shared" si="15"/>
        <v>168</v>
      </c>
      <c r="H196" s="269">
        <f t="shared" si="15"/>
        <v>170</v>
      </c>
      <c r="I196" s="269">
        <f t="shared" si="15"/>
        <v>168</v>
      </c>
      <c r="J196" s="269">
        <f t="shared" si="15"/>
        <v>168</v>
      </c>
      <c r="K196" s="269">
        <f t="shared" si="15"/>
        <v>170</v>
      </c>
      <c r="L196" s="269">
        <f t="shared" si="15"/>
        <v>168</v>
      </c>
      <c r="M196" s="269">
        <f t="shared" si="15"/>
        <v>168</v>
      </c>
      <c r="N196" s="269">
        <f t="shared" si="15"/>
        <v>855</v>
      </c>
      <c r="O196" s="269">
        <f t="shared" si="15"/>
        <v>168</v>
      </c>
      <c r="P196" s="269">
        <f t="shared" si="15"/>
        <v>-1686</v>
      </c>
      <c r="Q196" s="269">
        <f t="shared" si="15"/>
        <v>0</v>
      </c>
      <c r="R196" s="269">
        <f>SUM(R181:R195)</f>
        <v>0</v>
      </c>
      <c r="S196" s="269">
        <f t="shared" si="15"/>
        <v>685</v>
      </c>
      <c r="T196" s="212">
        <v>685</v>
      </c>
      <c r="U196" s="334">
        <f>T196-S196</f>
        <v>0</v>
      </c>
      <c r="V196" s="185" t="s">
        <v>853</v>
      </c>
      <c r="X196" s="569">
        <f>U196-CENTRALISATION!V196</f>
        <v>0</v>
      </c>
    </row>
    <row r="197" spans="1:24" x14ac:dyDescent="0.2">
      <c r="A197" s="159">
        <v>615155</v>
      </c>
      <c r="B197" s="160" t="s">
        <v>113</v>
      </c>
      <c r="C197" s="148" t="s">
        <v>78</v>
      </c>
      <c r="D197" s="148" t="s">
        <v>179</v>
      </c>
      <c r="E197" s="240">
        <f>+FLEURY!H60</f>
        <v>0</v>
      </c>
      <c r="F197" s="240">
        <f>+FLEURY!I60</f>
        <v>572.81999999999994</v>
      </c>
      <c r="G197" s="240">
        <f>+FLEURY!J60</f>
        <v>572.81999999999994</v>
      </c>
      <c r="H197" s="240">
        <f>+FLEURY!K60</f>
        <v>572.81999999999994</v>
      </c>
      <c r="I197" s="240">
        <f>+FLEURY!L60</f>
        <v>572.81999999999994</v>
      </c>
      <c r="J197" s="240">
        <f>+FLEURY!M60</f>
        <v>572.81999999999994</v>
      </c>
      <c r="K197" s="240">
        <f>+FLEURY!N60</f>
        <v>572.82000000000005</v>
      </c>
      <c r="L197" s="240">
        <f>+FLEURY!O60</f>
        <v>572.82000000000005</v>
      </c>
      <c r="M197" s="240">
        <f>+FLEURY!P60</f>
        <v>572.82000000000005</v>
      </c>
      <c r="N197" s="240">
        <f>+FLEURY!Q60</f>
        <v>572.82000000000005</v>
      </c>
      <c r="O197" s="240">
        <f>+FLEURY!R60</f>
        <v>572.82000000000005</v>
      </c>
      <c r="P197" s="240">
        <f>+FLEURY!S60</f>
        <v>572.82000000000005</v>
      </c>
      <c r="Q197" s="240">
        <f>+FLEURY!T60</f>
        <v>572.79000000000008</v>
      </c>
      <c r="R197" s="240">
        <f>+FLEURY!U60</f>
        <v>0</v>
      </c>
      <c r="S197" s="242">
        <f>SUM(E197:Q197)</f>
        <v>6873.8099999999986</v>
      </c>
    </row>
    <row r="198" spans="1:24" x14ac:dyDescent="0.2">
      <c r="A198" s="159">
        <v>615155</v>
      </c>
      <c r="B198" s="160" t="s">
        <v>113</v>
      </c>
      <c r="C198" s="148" t="s">
        <v>78</v>
      </c>
      <c r="D198" s="148" t="s">
        <v>192</v>
      </c>
      <c r="E198" s="240">
        <f>+FLEURY!H59+FLEURY!H61</f>
        <v>0</v>
      </c>
      <c r="F198" s="240">
        <f>+FLEURY!I59+FLEURY!I61</f>
        <v>0</v>
      </c>
      <c r="G198" s="240">
        <f>+FLEURY!J59+FLEURY!J61</f>
        <v>0</v>
      </c>
      <c r="H198" s="240">
        <f>+FLEURY!K59+FLEURY!K61</f>
        <v>0</v>
      </c>
      <c r="I198" s="240">
        <f>+FLEURY!L59+FLEURY!L61</f>
        <v>0</v>
      </c>
      <c r="J198" s="240">
        <f>+FLEURY!M59+FLEURY!M61</f>
        <v>0</v>
      </c>
      <c r="K198" s="240">
        <f>+FLEURY!N59+FLEURY!N61</f>
        <v>0</v>
      </c>
      <c r="L198" s="240">
        <f>+FLEURY!O59+FLEURY!O61</f>
        <v>0</v>
      </c>
      <c r="M198" s="240">
        <f>+FLEURY!P59+FLEURY!P61</f>
        <v>0</v>
      </c>
      <c r="N198" s="240">
        <f>+FLEURY!Q59+FLEURY!Q61</f>
        <v>0</v>
      </c>
      <c r="O198" s="240">
        <f>+FLEURY!R59+FLEURY!R61</f>
        <v>0</v>
      </c>
      <c r="P198" s="240">
        <f>+FLEURY!S59+FLEURY!S61</f>
        <v>0</v>
      </c>
      <c r="Q198" s="240">
        <f>+FLEURY!T59+FLEURY!T61</f>
        <v>0</v>
      </c>
      <c r="R198" s="240">
        <f>+FLEURY!U59+FLEURY!U61</f>
        <v>0</v>
      </c>
      <c r="S198" s="242">
        <f>SUM(E198:Q198)</f>
        <v>0</v>
      </c>
    </row>
    <row r="199" spans="1:24" x14ac:dyDescent="0.2">
      <c r="A199" s="270"/>
      <c r="B199" s="235"/>
      <c r="C199" s="148"/>
      <c r="D199" s="148"/>
      <c r="E199" s="240"/>
      <c r="F199" s="240"/>
      <c r="G199" s="240"/>
      <c r="H199" s="240"/>
      <c r="I199" s="240"/>
      <c r="J199" s="240"/>
      <c r="K199" s="240"/>
      <c r="L199" s="240"/>
      <c r="M199" s="240"/>
      <c r="N199" s="240"/>
      <c r="O199" s="240"/>
      <c r="P199" s="240"/>
      <c r="Q199" s="240"/>
      <c r="R199" s="240"/>
      <c r="S199" s="242"/>
    </row>
    <row r="200" spans="1:24" x14ac:dyDescent="0.2">
      <c r="A200" s="159">
        <v>615155</v>
      </c>
      <c r="B200" s="160" t="s">
        <v>113</v>
      </c>
      <c r="C200" s="148" t="s">
        <v>71</v>
      </c>
      <c r="D200" s="148" t="s">
        <v>192</v>
      </c>
      <c r="E200" s="240">
        <f>+AIX!H55</f>
        <v>0</v>
      </c>
      <c r="F200" s="240">
        <f>+AIX!I55</f>
        <v>0</v>
      </c>
      <c r="G200" s="240">
        <f>+AIX!J55</f>
        <v>0</v>
      </c>
      <c r="H200" s="240">
        <f>+AIX!K55</f>
        <v>0</v>
      </c>
      <c r="I200" s="240">
        <f>+AIX!L55</f>
        <v>0</v>
      </c>
      <c r="J200" s="240">
        <f>+AIX!M55</f>
        <v>0</v>
      </c>
      <c r="K200" s="240">
        <f>+AIX!N55</f>
        <v>589</v>
      </c>
      <c r="L200" s="240">
        <f>+AIX!O55</f>
        <v>0</v>
      </c>
      <c r="M200" s="240">
        <f>+AIX!P55</f>
        <v>0</v>
      </c>
      <c r="N200" s="240">
        <f>+AIX!Q55</f>
        <v>920</v>
      </c>
      <c r="O200" s="240">
        <f>+AIX!R55</f>
        <v>0</v>
      </c>
      <c r="P200" s="240">
        <f>+AIX!S55</f>
        <v>0</v>
      </c>
      <c r="Q200" s="240">
        <f>+AIX!T55</f>
        <v>0</v>
      </c>
      <c r="R200" s="240">
        <f>+AIX!U55</f>
        <v>0</v>
      </c>
      <c r="S200" s="242">
        <f>SUM(E200:Q200)</f>
        <v>1509</v>
      </c>
    </row>
    <row r="201" spans="1:24" x14ac:dyDescent="0.2">
      <c r="A201" s="159">
        <v>615155</v>
      </c>
      <c r="B201" s="160" t="s">
        <v>113</v>
      </c>
      <c r="C201" s="148" t="s">
        <v>71</v>
      </c>
      <c r="D201" s="148" t="s">
        <v>179</v>
      </c>
      <c r="E201" s="240">
        <f>+AIX!H56</f>
        <v>0</v>
      </c>
      <c r="F201" s="240">
        <f>+AIX!I56</f>
        <v>439.16</v>
      </c>
      <c r="G201" s="240">
        <f>+AIX!J56</f>
        <v>417.71000000000004</v>
      </c>
      <c r="H201" s="240">
        <f>+AIX!K56</f>
        <v>428.45000000000005</v>
      </c>
      <c r="I201" s="240">
        <f>+AIX!L56</f>
        <v>428.45000000000005</v>
      </c>
      <c r="J201" s="240">
        <f>+AIX!M56</f>
        <v>428.45000000000005</v>
      </c>
      <c r="K201" s="240">
        <f>+AIX!N56</f>
        <v>428.45</v>
      </c>
      <c r="L201" s="240">
        <f>+AIX!O56</f>
        <v>428.45</v>
      </c>
      <c r="M201" s="240">
        <f>+AIX!P56</f>
        <v>428.45</v>
      </c>
      <c r="N201" s="240">
        <f>+AIX!Q56</f>
        <v>428.45</v>
      </c>
      <c r="O201" s="240">
        <f>+AIX!R56</f>
        <v>428.45</v>
      </c>
      <c r="P201" s="240">
        <f>+AIX!S56</f>
        <v>428.45</v>
      </c>
      <c r="Q201" s="240">
        <f>+AIX!T56</f>
        <v>428.43</v>
      </c>
      <c r="R201" s="240">
        <f>+AIX!U56</f>
        <v>0</v>
      </c>
      <c r="S201" s="242">
        <f>SUM(E201:Q201)</f>
        <v>5141.3499999999995</v>
      </c>
    </row>
    <row r="202" spans="1:24" x14ac:dyDescent="0.2">
      <c r="A202" s="270"/>
      <c r="B202" s="235"/>
      <c r="C202" s="148"/>
      <c r="D202" s="148"/>
      <c r="E202" s="240"/>
      <c r="F202" s="240"/>
      <c r="G202" s="240"/>
      <c r="H202" s="240"/>
      <c r="I202" s="240"/>
      <c r="J202" s="240"/>
      <c r="K202" s="240"/>
      <c r="L202" s="240"/>
      <c r="M202" s="240"/>
      <c r="N202" s="240"/>
      <c r="O202" s="240"/>
      <c r="P202" s="240"/>
      <c r="Q202" s="240"/>
      <c r="R202" s="240"/>
      <c r="S202" s="242"/>
    </row>
    <row r="203" spans="1:24" x14ac:dyDescent="0.2">
      <c r="A203" s="159">
        <v>615155</v>
      </c>
      <c r="B203" s="160" t="s">
        <v>113</v>
      </c>
      <c r="C203" s="148" t="s">
        <v>73</v>
      </c>
      <c r="D203" s="148" t="s">
        <v>192</v>
      </c>
      <c r="E203" s="240">
        <f>+LYON!H55</f>
        <v>0</v>
      </c>
      <c r="F203" s="240">
        <f>+LYON!I55</f>
        <v>0</v>
      </c>
      <c r="G203" s="240">
        <f>+LYON!J55</f>
        <v>0</v>
      </c>
      <c r="H203" s="240">
        <f>+LYON!K55</f>
        <v>0</v>
      </c>
      <c r="I203" s="240">
        <f>+LYON!L55</f>
        <v>0</v>
      </c>
      <c r="J203" s="240">
        <f>+LYON!M55</f>
        <v>0</v>
      </c>
      <c r="K203" s="240">
        <f>+LYON!N55</f>
        <v>0</v>
      </c>
      <c r="L203" s="240">
        <f>+LYON!O55</f>
        <v>0</v>
      </c>
      <c r="M203" s="240">
        <f>+LYON!P55</f>
        <v>0</v>
      </c>
      <c r="N203" s="240">
        <f>+LYON!Q55</f>
        <v>0</v>
      </c>
      <c r="O203" s="240">
        <f>+LYON!R55</f>
        <v>0</v>
      </c>
      <c r="P203" s="240">
        <f>+LYON!S55</f>
        <v>0</v>
      </c>
      <c r="Q203" s="240">
        <f>+LYON!T55</f>
        <v>0</v>
      </c>
      <c r="R203" s="240">
        <f>+LYON!U55</f>
        <v>0</v>
      </c>
      <c r="S203" s="242">
        <f>SUM(E203:Q203)</f>
        <v>0</v>
      </c>
    </row>
    <row r="204" spans="1:24" x14ac:dyDescent="0.2">
      <c r="A204" s="159">
        <v>615155</v>
      </c>
      <c r="B204" s="160" t="s">
        <v>113</v>
      </c>
      <c r="C204" s="148" t="s">
        <v>73</v>
      </c>
      <c r="D204" s="148" t="s">
        <v>179</v>
      </c>
      <c r="E204" s="240">
        <f>+LYON!H54</f>
        <v>0</v>
      </c>
      <c r="F204" s="240">
        <f>+LYON!I54</f>
        <v>413.45000000000005</v>
      </c>
      <c r="G204" s="240">
        <f>+LYON!J54</f>
        <v>413.39000000000004</v>
      </c>
      <c r="H204" s="240">
        <f>+LYON!K54</f>
        <v>413.39000000000004</v>
      </c>
      <c r="I204" s="240">
        <f>+LYON!L54</f>
        <v>413.39000000000004</v>
      </c>
      <c r="J204" s="240">
        <f>+LYON!M54</f>
        <v>413.39000000000004</v>
      </c>
      <c r="K204" s="240">
        <f>+LYON!N54</f>
        <v>413.39</v>
      </c>
      <c r="L204" s="240">
        <f>+LYON!O54</f>
        <v>413.39</v>
      </c>
      <c r="M204" s="240">
        <f>+LYON!P54</f>
        <v>413.39</v>
      </c>
      <c r="N204" s="240">
        <f>+LYON!Q54</f>
        <v>413.39</v>
      </c>
      <c r="O204" s="240">
        <f>+LYON!R54</f>
        <v>413.39</v>
      </c>
      <c r="P204" s="240">
        <f>+LYON!S54</f>
        <v>413.39</v>
      </c>
      <c r="Q204" s="240">
        <f>+LYON!T54</f>
        <v>413.38000000000005</v>
      </c>
      <c r="R204" s="240">
        <f>+LYON!U54</f>
        <v>0</v>
      </c>
      <c r="S204" s="242">
        <f>SUM(E204:Q204)</f>
        <v>4960.7300000000005</v>
      </c>
    </row>
    <row r="205" spans="1:24" x14ac:dyDescent="0.2">
      <c r="A205" s="159"/>
      <c r="B205" s="160"/>
      <c r="C205" s="148"/>
      <c r="D205" s="148"/>
      <c r="E205" s="240"/>
      <c r="F205" s="240"/>
      <c r="G205" s="240"/>
      <c r="H205" s="240"/>
      <c r="I205" s="240"/>
      <c r="J205" s="240"/>
      <c r="K205" s="240"/>
      <c r="L205" s="240"/>
      <c r="M205" s="240"/>
      <c r="N205" s="240"/>
      <c r="O205" s="240"/>
      <c r="P205" s="240"/>
      <c r="Q205" s="240"/>
      <c r="R205" s="240"/>
      <c r="S205" s="242"/>
    </row>
    <row r="206" spans="1:24" x14ac:dyDescent="0.2">
      <c r="A206" s="159">
        <v>615155</v>
      </c>
      <c r="B206" s="160" t="s">
        <v>113</v>
      </c>
      <c r="C206" s="148" t="s">
        <v>67</v>
      </c>
      <c r="D206" s="148" t="s">
        <v>192</v>
      </c>
      <c r="E206" s="240">
        <f>BORDEAUX!H56</f>
        <v>0</v>
      </c>
      <c r="F206" s="240">
        <f>BORDEAUX!I56</f>
        <v>0</v>
      </c>
      <c r="G206" s="240">
        <f>BORDEAUX!J56</f>
        <v>0</v>
      </c>
      <c r="H206" s="240">
        <f>BORDEAUX!K56</f>
        <v>0</v>
      </c>
      <c r="I206" s="240">
        <f>BORDEAUX!L56</f>
        <v>0</v>
      </c>
      <c r="J206" s="240">
        <f>BORDEAUX!M56</f>
        <v>0</v>
      </c>
      <c r="K206" s="240">
        <f>BORDEAUX!N56</f>
        <v>0</v>
      </c>
      <c r="L206" s="240">
        <f>BORDEAUX!O56</f>
        <v>0</v>
      </c>
      <c r="M206" s="240">
        <f>BORDEAUX!P56</f>
        <v>136</v>
      </c>
      <c r="N206" s="240">
        <f>BORDEAUX!Q56</f>
        <v>0</v>
      </c>
      <c r="O206" s="240">
        <f>BORDEAUX!R56</f>
        <v>0</v>
      </c>
      <c r="P206" s="240">
        <f>BORDEAUX!S56</f>
        <v>0</v>
      </c>
      <c r="Q206" s="240">
        <f>BORDEAUX!T56</f>
        <v>0</v>
      </c>
      <c r="R206" s="240">
        <f>BORDEAUX!U56</f>
        <v>0</v>
      </c>
      <c r="S206" s="242">
        <f>SUM(E206:Q206)</f>
        <v>136</v>
      </c>
    </row>
    <row r="207" spans="1:24" x14ac:dyDescent="0.2">
      <c r="A207" s="159">
        <v>615155</v>
      </c>
      <c r="B207" s="160" t="s">
        <v>113</v>
      </c>
      <c r="C207" s="148" t="s">
        <v>67</v>
      </c>
      <c r="D207" s="148" t="s">
        <v>179</v>
      </c>
      <c r="E207" s="240">
        <f>BORDEAUX!H54+BORDEAUX!H55</f>
        <v>0</v>
      </c>
      <c r="F207" s="240">
        <f>BORDEAUX!I54+BORDEAUX!I55</f>
        <v>522.91999999999996</v>
      </c>
      <c r="G207" s="240">
        <f>BORDEAUX!J54+BORDEAUX!J55</f>
        <v>497.4</v>
      </c>
      <c r="H207" s="240">
        <f>BORDEAUX!K54+BORDEAUX!K55</f>
        <v>510.15999999999997</v>
      </c>
      <c r="I207" s="240">
        <f>BORDEAUX!L54+BORDEAUX!L55</f>
        <v>510.15999999999997</v>
      </c>
      <c r="J207" s="240">
        <f>BORDEAUX!M54+BORDEAUX!M55</f>
        <v>510.15999999999997</v>
      </c>
      <c r="K207" s="240">
        <f>BORDEAUX!N54+BORDEAUX!N55</f>
        <v>510.16</v>
      </c>
      <c r="L207" s="240">
        <f>BORDEAUX!O54+BORDEAUX!O55</f>
        <v>510.16</v>
      </c>
      <c r="M207" s="240">
        <f>BORDEAUX!P54+BORDEAUX!P55</f>
        <v>510.16</v>
      </c>
      <c r="N207" s="240">
        <f>BORDEAUX!Q54+BORDEAUX!Q55</f>
        <v>510.16</v>
      </c>
      <c r="O207" s="240">
        <f>BORDEAUX!R54+BORDEAUX!R55</f>
        <v>510.16</v>
      </c>
      <c r="P207" s="240">
        <f>BORDEAUX!S54+BORDEAUX!S55</f>
        <v>510.16</v>
      </c>
      <c r="Q207" s="240">
        <f>BORDEAUX!T54+BORDEAUX!T55</f>
        <v>510.16</v>
      </c>
      <c r="R207" s="240">
        <f>BORDEAUX!U54+BORDEAUX!U55</f>
        <v>0</v>
      </c>
      <c r="S207" s="242">
        <f>SUM(E207:Q207)</f>
        <v>6121.9199999999992</v>
      </c>
    </row>
    <row r="208" spans="1:24" x14ac:dyDescent="0.2">
      <c r="A208" s="270"/>
      <c r="B208" s="235"/>
      <c r="C208" s="148"/>
      <c r="D208" s="148"/>
      <c r="E208" s="240"/>
      <c r="F208" s="240"/>
      <c r="G208" s="240"/>
      <c r="H208" s="240"/>
      <c r="I208" s="240"/>
      <c r="J208" s="240"/>
      <c r="K208" s="240"/>
      <c r="L208" s="240"/>
      <c r="M208" s="240"/>
      <c r="N208" s="240"/>
      <c r="O208" s="240"/>
      <c r="P208" s="240"/>
      <c r="Q208" s="240"/>
      <c r="R208" s="240"/>
      <c r="S208" s="242"/>
    </row>
    <row r="209" spans="1:55" x14ac:dyDescent="0.2">
      <c r="A209" s="159">
        <v>615155</v>
      </c>
      <c r="B209" s="160" t="s">
        <v>113</v>
      </c>
      <c r="C209" s="148" t="s">
        <v>62</v>
      </c>
      <c r="D209" s="148" t="s">
        <v>192</v>
      </c>
      <c r="E209" s="240">
        <f>NANCY!H43</f>
        <v>0</v>
      </c>
      <c r="F209" s="240">
        <f>NANCY!I43</f>
        <v>0</v>
      </c>
      <c r="G209" s="240">
        <f>NANCY!J43</f>
        <v>0</v>
      </c>
      <c r="H209" s="240">
        <f>NANCY!K43</f>
        <v>0</v>
      </c>
      <c r="I209" s="240">
        <f>NANCY!L43</f>
        <v>0</v>
      </c>
      <c r="J209" s="240">
        <f>NANCY!M43</f>
        <v>0</v>
      </c>
      <c r="K209" s="240">
        <f>NANCY!N43</f>
        <v>0</v>
      </c>
      <c r="L209" s="240">
        <f>NANCY!O43</f>
        <v>0</v>
      </c>
      <c r="M209" s="240">
        <f>NANCY!P43</f>
        <v>0</v>
      </c>
      <c r="N209" s="240">
        <f>NANCY!Q43</f>
        <v>0</v>
      </c>
      <c r="O209" s="240">
        <f>NANCY!R43</f>
        <v>0</v>
      </c>
      <c r="P209" s="240">
        <f>NANCY!S43</f>
        <v>136</v>
      </c>
      <c r="Q209" s="240">
        <f>NANCY!T43</f>
        <v>0</v>
      </c>
      <c r="R209" s="240">
        <f>NANCY!U43</f>
        <v>0</v>
      </c>
      <c r="S209" s="242">
        <f>SUM(E209:Q209)</f>
        <v>136</v>
      </c>
      <c r="AS209" s="184">
        <f>NANCY!AG43</f>
        <v>0</v>
      </c>
      <c r="AT209" s="184">
        <f>NANCY!AH43</f>
        <v>0</v>
      </c>
      <c r="AU209" s="184">
        <f>NANCY!AI43</f>
        <v>0</v>
      </c>
      <c r="AV209" s="184">
        <f>NANCY!AJ43</f>
        <v>0</v>
      </c>
      <c r="AW209" s="184">
        <f>NANCY!AK43</f>
        <v>0</v>
      </c>
      <c r="AX209" s="184">
        <f>NANCY!AL43</f>
        <v>0</v>
      </c>
      <c r="AY209" s="184">
        <f>NANCY!AM43</f>
        <v>0</v>
      </c>
      <c r="AZ209" s="184">
        <f>NANCY!AN43</f>
        <v>0</v>
      </c>
      <c r="BA209" s="184">
        <f>NANCY!AO43</f>
        <v>0</v>
      </c>
      <c r="BB209" s="184">
        <f>NANCY!AP43</f>
        <v>0</v>
      </c>
      <c r="BC209" s="184">
        <f>NANCY!AQ43</f>
        <v>0</v>
      </c>
    </row>
    <row r="210" spans="1:55" x14ac:dyDescent="0.2">
      <c r="A210" s="159">
        <v>615155</v>
      </c>
      <c r="B210" s="160" t="s">
        <v>113</v>
      </c>
      <c r="C210" s="148" t="s">
        <v>62</v>
      </c>
      <c r="D210" s="148" t="s">
        <v>179</v>
      </c>
      <c r="E210" s="240">
        <f>+NANCY!H41+NANCY!H42</f>
        <v>0</v>
      </c>
      <c r="F210" s="240">
        <f>+NANCY!I41+NANCY!I42</f>
        <v>305.34000000000003</v>
      </c>
      <c r="G210" s="240">
        <f>+NANCY!J41+NANCY!J42</f>
        <v>305.34000000000003</v>
      </c>
      <c r="H210" s="240">
        <f>+NANCY!K41+NANCY!K42</f>
        <v>305.34000000000003</v>
      </c>
      <c r="I210" s="240">
        <f>+NANCY!L41+NANCY!L42</f>
        <v>305.34000000000003</v>
      </c>
      <c r="J210" s="240">
        <f>+NANCY!M41+NANCY!M42</f>
        <v>305.34000000000003</v>
      </c>
      <c r="K210" s="240">
        <f>+NANCY!N41+NANCY!N42</f>
        <v>305.33999999999997</v>
      </c>
      <c r="L210" s="240">
        <f>+NANCY!O41+NANCY!O42</f>
        <v>305.33999999999997</v>
      </c>
      <c r="M210" s="240">
        <f>+NANCY!P41+NANCY!P42</f>
        <v>305.33999999999997</v>
      </c>
      <c r="N210" s="240">
        <f>+NANCY!Q41+NANCY!Q42</f>
        <v>305.33999999999997</v>
      </c>
      <c r="O210" s="240">
        <f>+NANCY!R41+NANCY!R42</f>
        <v>305.33999999999997</v>
      </c>
      <c r="P210" s="240">
        <f>+NANCY!S41+NANCY!S42</f>
        <v>305.33999999999997</v>
      </c>
      <c r="Q210" s="240">
        <f>+NANCY!T41+NANCY!T42</f>
        <v>305.39</v>
      </c>
      <c r="R210" s="240">
        <f>+NANCY!U41+NANCY!U42</f>
        <v>0</v>
      </c>
      <c r="S210" s="242">
        <f>SUM(E210:Q210)</f>
        <v>3664.1300000000006</v>
      </c>
    </row>
    <row r="211" spans="1:55" x14ac:dyDescent="0.2">
      <c r="A211" s="270"/>
      <c r="B211" s="235"/>
      <c r="C211" s="148"/>
      <c r="D211" s="148"/>
      <c r="E211" s="240"/>
      <c r="F211" s="240"/>
      <c r="G211" s="240"/>
      <c r="H211" s="240"/>
      <c r="I211" s="240"/>
      <c r="J211" s="240"/>
      <c r="K211" s="240"/>
      <c r="L211" s="240"/>
      <c r="M211" s="240"/>
      <c r="N211" s="240"/>
      <c r="O211" s="240"/>
      <c r="P211" s="240"/>
      <c r="Q211" s="240"/>
      <c r="R211" s="240"/>
      <c r="S211" s="242"/>
    </row>
    <row r="212" spans="1:55" x14ac:dyDescent="0.2">
      <c r="A212" s="159">
        <v>615155</v>
      </c>
      <c r="B212" s="160" t="s">
        <v>113</v>
      </c>
      <c r="C212" s="148" t="s">
        <v>80</v>
      </c>
      <c r="D212" s="148" t="s">
        <v>192</v>
      </c>
      <c r="E212" s="240">
        <f>RENNES!H57</f>
        <v>0</v>
      </c>
      <c r="F212" s="240">
        <f>RENNES!I57</f>
        <v>0</v>
      </c>
      <c r="G212" s="240">
        <f>RENNES!J57</f>
        <v>498.5</v>
      </c>
      <c r="H212" s="240">
        <f>RENNES!K57</f>
        <v>0</v>
      </c>
      <c r="I212" s="240">
        <f>RENNES!L57</f>
        <v>0</v>
      </c>
      <c r="J212" s="240">
        <f>RENNES!M57</f>
        <v>0</v>
      </c>
      <c r="K212" s="240">
        <f>RENNES!N57</f>
        <v>875</v>
      </c>
      <c r="L212" s="240">
        <f>RENNES!O57</f>
        <v>0</v>
      </c>
      <c r="M212" s="240">
        <f>RENNES!P57</f>
        <v>0</v>
      </c>
      <c r="N212" s="240">
        <f>RENNES!Q57</f>
        <v>0</v>
      </c>
      <c r="O212" s="240">
        <f>RENNES!R57</f>
        <v>0</v>
      </c>
      <c r="P212" s="240">
        <f>RENNES!S57</f>
        <v>0</v>
      </c>
      <c r="Q212" s="240">
        <f>RENNES!T57</f>
        <v>0</v>
      </c>
      <c r="R212" s="240">
        <f>RENNES!U57</f>
        <v>0</v>
      </c>
      <c r="S212" s="242">
        <f>SUM(E212:Q212)</f>
        <v>1373.5</v>
      </c>
    </row>
    <row r="213" spans="1:55" x14ac:dyDescent="0.2">
      <c r="A213" s="159">
        <v>615155</v>
      </c>
      <c r="B213" s="160" t="s">
        <v>113</v>
      </c>
      <c r="C213" s="148" t="s">
        <v>80</v>
      </c>
      <c r="D213" s="148" t="s">
        <v>179</v>
      </c>
      <c r="E213" s="240">
        <f>SUM(RENNES!H56:H56)</f>
        <v>0</v>
      </c>
      <c r="F213" s="240">
        <f>SUM(RENNES!I56:I56)</f>
        <v>372.94</v>
      </c>
      <c r="G213" s="240">
        <f>SUM(RENNES!J56:J56)</f>
        <v>354.74</v>
      </c>
      <c r="H213" s="240">
        <f>SUM(RENNES!K56:K56)</f>
        <v>363.84</v>
      </c>
      <c r="I213" s="240">
        <f>SUM(RENNES!L56:L56)</f>
        <v>363.84</v>
      </c>
      <c r="J213" s="240">
        <f>SUM(RENNES!M56:M56)</f>
        <v>363.84</v>
      </c>
      <c r="K213" s="240">
        <f>SUM(RENNES!N56:N56)</f>
        <v>363.84</v>
      </c>
      <c r="L213" s="240">
        <f>SUM(RENNES!O56:O56)</f>
        <v>363.84</v>
      </c>
      <c r="M213" s="240">
        <f>SUM(RENNES!P56:P56)</f>
        <v>363.84</v>
      </c>
      <c r="N213" s="240">
        <f>SUM(RENNES!Q56:Q56)</f>
        <v>363.84</v>
      </c>
      <c r="O213" s="240">
        <f>SUM(RENNES!R56:R56)</f>
        <v>363.84</v>
      </c>
      <c r="P213" s="240">
        <f>SUM(RENNES!S56:S56)</f>
        <v>363.84</v>
      </c>
      <c r="Q213" s="240">
        <f>SUM(RENNES!T56:T56)</f>
        <v>363.88</v>
      </c>
      <c r="R213" s="240">
        <f>SUM(RENNES!U56:U56)</f>
        <v>0</v>
      </c>
      <c r="S213" s="242">
        <f>SUM(E213:Q213)</f>
        <v>4366.1200000000008</v>
      </c>
    </row>
    <row r="214" spans="1:55" x14ac:dyDescent="0.2">
      <c r="A214" s="270"/>
      <c r="B214" s="235"/>
      <c r="C214" s="148"/>
      <c r="D214" s="148"/>
      <c r="E214" s="240"/>
      <c r="F214" s="240"/>
      <c r="G214" s="240"/>
      <c r="H214" s="240"/>
      <c r="I214" s="240"/>
      <c r="J214" s="240"/>
      <c r="K214" s="240"/>
      <c r="L214" s="240"/>
      <c r="M214" s="240"/>
      <c r="N214" s="240"/>
      <c r="O214" s="240"/>
      <c r="P214" s="240"/>
      <c r="Q214" s="240"/>
      <c r="R214" s="240"/>
      <c r="S214" s="242"/>
    </row>
    <row r="215" spans="1:55" x14ac:dyDescent="0.2">
      <c r="A215" s="159">
        <v>615155</v>
      </c>
      <c r="B215" s="160" t="s">
        <v>113</v>
      </c>
      <c r="C215" s="148" t="s">
        <v>156</v>
      </c>
      <c r="D215" s="148" t="s">
        <v>192</v>
      </c>
      <c r="E215" s="240">
        <f>BEAUVAIS!H52</f>
        <v>0</v>
      </c>
      <c r="F215" s="240">
        <f>BEAUVAIS!I52</f>
        <v>0</v>
      </c>
      <c r="G215" s="240">
        <f>BEAUVAIS!J52</f>
        <v>0</v>
      </c>
      <c r="H215" s="240">
        <f>BEAUVAIS!K52</f>
        <v>0</v>
      </c>
      <c r="I215" s="240">
        <f>BEAUVAIS!L52</f>
        <v>0</v>
      </c>
      <c r="J215" s="240">
        <f>BEAUVAIS!M52</f>
        <v>0</v>
      </c>
      <c r="K215" s="240">
        <f>BEAUVAIS!N52</f>
        <v>0</v>
      </c>
      <c r="L215" s="240">
        <f>BEAUVAIS!O52</f>
        <v>0</v>
      </c>
      <c r="M215" s="240">
        <f>BEAUVAIS!P52</f>
        <v>0</v>
      </c>
      <c r="N215" s="240">
        <f>BEAUVAIS!Q52</f>
        <v>0</v>
      </c>
      <c r="O215" s="240">
        <f>BEAUVAIS!R52</f>
        <v>0</v>
      </c>
      <c r="P215" s="240">
        <f>BEAUVAIS!S52</f>
        <v>0</v>
      </c>
      <c r="Q215" s="240">
        <f>BEAUVAIS!T52</f>
        <v>0</v>
      </c>
      <c r="R215" s="240">
        <f>BEAUVAIS!U52</f>
        <v>0</v>
      </c>
      <c r="S215" s="242">
        <f>SUM(E215:Q215)</f>
        <v>0</v>
      </c>
    </row>
    <row r="216" spans="1:55" x14ac:dyDescent="0.2">
      <c r="A216" s="159">
        <v>615155</v>
      </c>
      <c r="B216" s="160" t="s">
        <v>113</v>
      </c>
      <c r="C216" s="148" t="s">
        <v>156</v>
      </c>
      <c r="D216" s="148" t="s">
        <v>179</v>
      </c>
      <c r="E216" s="240">
        <f>BEAUVAIS!H53</f>
        <v>-315.19</v>
      </c>
      <c r="F216" s="240">
        <f>BEAUVAIS!I53</f>
        <v>539.55999999999995</v>
      </c>
      <c r="G216" s="240">
        <f>BEAUVAIS!J53</f>
        <v>539.55999999999995</v>
      </c>
      <c r="H216" s="240">
        <f>BEAUVAIS!K53</f>
        <v>539.55999999999995</v>
      </c>
      <c r="I216" s="240">
        <f>BEAUVAIS!L53</f>
        <v>539.55999999999995</v>
      </c>
      <c r="J216" s="240">
        <f>BEAUVAIS!M53</f>
        <v>539.55999999999995</v>
      </c>
      <c r="K216" s="240">
        <f>BEAUVAIS!N53</f>
        <v>539.55999999999995</v>
      </c>
      <c r="L216" s="240">
        <f>BEAUVAIS!O53</f>
        <v>539.55999999999995</v>
      </c>
      <c r="M216" s="240">
        <f>BEAUVAIS!P53</f>
        <v>539.55999999999995</v>
      </c>
      <c r="N216" s="240">
        <f>BEAUVAIS!Q53</f>
        <v>539.55999999999995</v>
      </c>
      <c r="O216" s="240">
        <f>BEAUVAIS!R53</f>
        <v>539.55999999999995</v>
      </c>
      <c r="P216" s="240">
        <f>BEAUVAIS!S53</f>
        <v>539.55999999999995</v>
      </c>
      <c r="Q216" s="240">
        <f>BEAUVAIS!T53</f>
        <v>539.55999999999995</v>
      </c>
      <c r="R216" s="240">
        <f>BEAUVAIS!U53</f>
        <v>0</v>
      </c>
      <c r="S216" s="242">
        <f>SUM(E216:Q216)</f>
        <v>6159.5299999999988</v>
      </c>
    </row>
    <row r="217" spans="1:55" x14ac:dyDescent="0.2">
      <c r="A217" s="270"/>
      <c r="B217" s="235"/>
      <c r="C217" s="148"/>
      <c r="D217" s="148"/>
      <c r="E217" s="240"/>
      <c r="F217" s="240"/>
      <c r="G217" s="240"/>
      <c r="H217" s="240"/>
      <c r="I217" s="240"/>
      <c r="J217" s="240"/>
      <c r="K217" s="240"/>
      <c r="L217" s="240"/>
      <c r="M217" s="240"/>
      <c r="N217" s="240"/>
      <c r="O217" s="240"/>
      <c r="P217" s="240"/>
      <c r="Q217" s="240"/>
      <c r="R217" s="240"/>
      <c r="S217" s="242"/>
    </row>
    <row r="218" spans="1:55" x14ac:dyDescent="0.2">
      <c r="A218" s="159">
        <v>615155</v>
      </c>
      <c r="B218" s="160" t="s">
        <v>113</v>
      </c>
      <c r="C218" s="148" t="s">
        <v>172</v>
      </c>
      <c r="D218" s="148" t="s">
        <v>192</v>
      </c>
      <c r="E218" s="240">
        <f>TOULOUSE!H38</f>
        <v>0</v>
      </c>
      <c r="F218" s="240">
        <f>TOULOUSE!I38</f>
        <v>0</v>
      </c>
      <c r="G218" s="240">
        <f>TOULOUSE!J38</f>
        <v>0</v>
      </c>
      <c r="H218" s="240">
        <f>TOULOUSE!K38</f>
        <v>0</v>
      </c>
      <c r="I218" s="240">
        <f>TOULOUSE!L38</f>
        <v>0</v>
      </c>
      <c r="J218" s="240">
        <f>TOULOUSE!M38</f>
        <v>0</v>
      </c>
      <c r="K218" s="240">
        <f>TOULOUSE!N38</f>
        <v>0</v>
      </c>
      <c r="L218" s="240">
        <f>TOULOUSE!O38</f>
        <v>0</v>
      </c>
      <c r="M218" s="240">
        <f>TOULOUSE!P38</f>
        <v>0</v>
      </c>
      <c r="N218" s="240">
        <f>TOULOUSE!Q38</f>
        <v>0</v>
      </c>
      <c r="O218" s="240">
        <f>TOULOUSE!R38</f>
        <v>0</v>
      </c>
      <c r="P218" s="240">
        <f>TOULOUSE!S38</f>
        <v>0</v>
      </c>
      <c r="Q218" s="240">
        <f>TOULOUSE!T38</f>
        <v>135.13999999999999</v>
      </c>
      <c r="R218" s="240">
        <f>TOULOUSE!U38</f>
        <v>0</v>
      </c>
      <c r="S218" s="242">
        <f t="shared" ref="S218:S223" si="16">SUM(E218:Q218)</f>
        <v>135.13999999999999</v>
      </c>
    </row>
    <row r="219" spans="1:55" x14ac:dyDescent="0.2">
      <c r="A219" s="159">
        <v>615155</v>
      </c>
      <c r="B219" s="160" t="s">
        <v>113</v>
      </c>
      <c r="C219" s="148" t="s">
        <v>172</v>
      </c>
      <c r="D219" s="148" t="s">
        <v>179</v>
      </c>
      <c r="E219" s="240">
        <f>TOULOUSE!H36+TOULOUSE!H37</f>
        <v>-22.72</v>
      </c>
      <c r="F219" s="240">
        <f>TOULOUSE!I36+TOULOUSE!I37</f>
        <v>278.80999999999995</v>
      </c>
      <c r="G219" s="240">
        <f>TOULOUSE!J36+TOULOUSE!J37</f>
        <v>278.80999999999995</v>
      </c>
      <c r="H219" s="240">
        <f>TOULOUSE!K36+TOULOUSE!K37</f>
        <v>278.80999999999995</v>
      </c>
      <c r="I219" s="240">
        <f>TOULOUSE!L36+TOULOUSE!L37</f>
        <v>278.80999999999995</v>
      </c>
      <c r="J219" s="240">
        <f>TOULOUSE!M36+TOULOUSE!M37</f>
        <v>279.38</v>
      </c>
      <c r="K219" s="240">
        <f>TOULOUSE!N36+TOULOUSE!N37</f>
        <v>279.38</v>
      </c>
      <c r="L219" s="240">
        <f>TOULOUSE!O36+TOULOUSE!O37</f>
        <v>279.38</v>
      </c>
      <c r="M219" s="240">
        <f>TOULOUSE!P36+TOULOUSE!P37</f>
        <v>256.08999999999997</v>
      </c>
      <c r="N219" s="240">
        <f>TOULOUSE!Q36+TOULOUSE!Q37</f>
        <v>256.08999999999997</v>
      </c>
      <c r="O219" s="240">
        <f>TOULOUSE!R36+TOULOUSE!R37</f>
        <v>256.08999999999997</v>
      </c>
      <c r="P219" s="240">
        <f>TOULOUSE!S36+TOULOUSE!S37</f>
        <v>279.38</v>
      </c>
      <c r="Q219" s="240">
        <f>TOULOUSE!T36+TOULOUSE!T37</f>
        <v>279.40000000000003</v>
      </c>
      <c r="R219" s="240">
        <f>TOULOUSE!U36+TOULOUSE!U37</f>
        <v>0</v>
      </c>
      <c r="S219" s="242">
        <f t="shared" si="16"/>
        <v>3257.7100000000005</v>
      </c>
    </row>
    <row r="220" spans="1:55" x14ac:dyDescent="0.2">
      <c r="A220" s="270"/>
      <c r="B220" s="235"/>
      <c r="C220" s="148"/>
      <c r="D220" s="148"/>
      <c r="E220" s="240"/>
      <c r="F220" s="240"/>
      <c r="G220" s="240"/>
      <c r="H220" s="240"/>
      <c r="I220" s="240"/>
      <c r="J220" s="240"/>
      <c r="K220" s="240"/>
      <c r="L220" s="240"/>
      <c r="M220" s="240"/>
      <c r="N220" s="240"/>
      <c r="O220" s="240"/>
      <c r="P220" s="240"/>
      <c r="Q220" s="240"/>
      <c r="R220" s="240"/>
      <c r="S220" s="242">
        <f t="shared" si="16"/>
        <v>0</v>
      </c>
    </row>
    <row r="221" spans="1:55" x14ac:dyDescent="0.2">
      <c r="A221" s="159">
        <v>615155</v>
      </c>
      <c r="B221" s="160" t="s">
        <v>113</v>
      </c>
      <c r="C221" s="148" t="s">
        <v>79</v>
      </c>
      <c r="D221" s="148" t="s">
        <v>192</v>
      </c>
      <c r="E221" s="240">
        <f>SIEGE!H24</f>
        <v>0</v>
      </c>
      <c r="F221" s="240">
        <f>SIEGE!I24</f>
        <v>0</v>
      </c>
      <c r="G221" s="240">
        <f>SIEGE!J24</f>
        <v>0</v>
      </c>
      <c r="H221" s="240">
        <f>SIEGE!K24</f>
        <v>0</v>
      </c>
      <c r="I221" s="240">
        <f>SIEGE!L24</f>
        <v>0</v>
      </c>
      <c r="J221" s="240">
        <f>SIEGE!M24</f>
        <v>0</v>
      </c>
      <c r="K221" s="240">
        <f>SIEGE!N24</f>
        <v>0</v>
      </c>
      <c r="L221" s="240">
        <f>SIEGE!O24</f>
        <v>0</v>
      </c>
      <c r="M221" s="240">
        <f>SIEGE!P24</f>
        <v>0</v>
      </c>
      <c r="N221" s="240">
        <f>SIEGE!Q24</f>
        <v>0</v>
      </c>
      <c r="O221" s="240">
        <f>SIEGE!R24</f>
        <v>0</v>
      </c>
      <c r="P221" s="240">
        <f>SIEGE!S24</f>
        <v>0</v>
      </c>
      <c r="Q221" s="240">
        <f>SIEGE!T24</f>
        <v>0</v>
      </c>
      <c r="R221" s="240">
        <f>SIEGE!U24</f>
        <v>0</v>
      </c>
      <c r="S221" s="242">
        <f t="shared" si="16"/>
        <v>0</v>
      </c>
    </row>
    <row r="222" spans="1:55" x14ac:dyDescent="0.2">
      <c r="A222" s="159"/>
      <c r="B222" s="160"/>
      <c r="C222" s="148"/>
      <c r="D222" s="148"/>
      <c r="E222" s="240"/>
      <c r="F222" s="240"/>
      <c r="G222" s="240"/>
      <c r="H222" s="240"/>
      <c r="I222" s="240"/>
      <c r="J222" s="240"/>
      <c r="K222" s="240"/>
      <c r="L222" s="240"/>
      <c r="M222" s="240"/>
      <c r="N222" s="240"/>
      <c r="O222" s="240"/>
      <c r="P222" s="240"/>
      <c r="Q222" s="240"/>
      <c r="R222" s="240"/>
      <c r="S222" s="242">
        <f t="shared" si="16"/>
        <v>0</v>
      </c>
    </row>
    <row r="223" spans="1:55" x14ac:dyDescent="0.2">
      <c r="A223" s="159">
        <v>615155</v>
      </c>
      <c r="B223" s="160" t="s">
        <v>113</v>
      </c>
      <c r="C223" s="148" t="s">
        <v>367</v>
      </c>
      <c r="D223" s="148"/>
      <c r="E223" s="240"/>
      <c r="F223" s="240">
        <v>253.24</v>
      </c>
      <c r="G223" s="240">
        <f>-253.24+181.23</f>
        <v>-72.010000000000019</v>
      </c>
      <c r="H223" s="240">
        <f>-181.23+805.83</f>
        <v>624.6</v>
      </c>
      <c r="I223" s="240">
        <f>-805.83+1168.18</f>
        <v>362.35</v>
      </c>
      <c r="J223" s="240">
        <f>-1168.18+1507.24</f>
        <v>339.05999999999995</v>
      </c>
      <c r="K223" s="240">
        <f>-1507.24+1273.02</f>
        <v>-234.22000000000003</v>
      </c>
      <c r="L223" s="240">
        <f>-1273.02+737.08</f>
        <v>-535.93999999999994</v>
      </c>
      <c r="M223" s="240">
        <f>-737.08+572.14</f>
        <v>-164.94000000000005</v>
      </c>
      <c r="N223" s="240">
        <f>-572.14-196.8</f>
        <v>-768.94</v>
      </c>
      <c r="O223" s="240">
        <f>196.8+98.26</f>
        <v>295.06</v>
      </c>
      <c r="P223" s="240">
        <f>-98.26+0.19</f>
        <v>-98.070000000000007</v>
      </c>
      <c r="Q223" s="240"/>
      <c r="R223" s="240"/>
      <c r="S223" s="242">
        <f t="shared" si="16"/>
        <v>0.18999999999992667</v>
      </c>
    </row>
    <row r="224" spans="1:55" s="185" customFormat="1" ht="24" customHeight="1" x14ac:dyDescent="0.2">
      <c r="A224" s="267"/>
      <c r="B224" s="268"/>
      <c r="C224" s="267" t="s">
        <v>66</v>
      </c>
      <c r="D224" s="267"/>
      <c r="E224" s="269">
        <f t="shared" ref="E224:S224" si="17">SUM(E197:E223)</f>
        <v>-337.90999999999997</v>
      </c>
      <c r="F224" s="269">
        <f t="shared" si="17"/>
        <v>3698.24</v>
      </c>
      <c r="G224" s="269">
        <f t="shared" si="17"/>
        <v>3806.26</v>
      </c>
      <c r="H224" s="269">
        <f t="shared" si="17"/>
        <v>4036.9700000000003</v>
      </c>
      <c r="I224" s="269">
        <f t="shared" si="17"/>
        <v>3774.7200000000003</v>
      </c>
      <c r="J224" s="269">
        <f t="shared" si="17"/>
        <v>3752.0000000000005</v>
      </c>
      <c r="K224" s="269">
        <f t="shared" si="17"/>
        <v>4642.72</v>
      </c>
      <c r="L224" s="269">
        <f t="shared" si="17"/>
        <v>2877</v>
      </c>
      <c r="M224" s="269">
        <f t="shared" si="17"/>
        <v>3360.71</v>
      </c>
      <c r="N224" s="269">
        <f t="shared" si="17"/>
        <v>3540.7100000000005</v>
      </c>
      <c r="O224" s="269">
        <f t="shared" si="17"/>
        <v>3684.71</v>
      </c>
      <c r="P224" s="269">
        <f t="shared" si="17"/>
        <v>3450.87</v>
      </c>
      <c r="Q224" s="269">
        <f t="shared" si="17"/>
        <v>3548.13</v>
      </c>
      <c r="R224" s="269">
        <f>SUM(R197:R223)</f>
        <v>0</v>
      </c>
      <c r="S224" s="269">
        <f t="shared" si="17"/>
        <v>43835.13</v>
      </c>
      <c r="T224" s="212">
        <v>40287</v>
      </c>
      <c r="U224" s="334">
        <f>T224-S224</f>
        <v>-3548.1299999999974</v>
      </c>
      <c r="V224" s="185" t="s">
        <v>853</v>
      </c>
      <c r="X224" s="569">
        <f>U224-CENTRALISATION!V224</f>
        <v>0</v>
      </c>
    </row>
    <row r="225" spans="1:24" x14ac:dyDescent="0.2">
      <c r="A225" s="159">
        <v>615160</v>
      </c>
      <c r="B225" s="160" t="s">
        <v>114</v>
      </c>
      <c r="C225" s="148" t="s">
        <v>78</v>
      </c>
      <c r="D225" s="148" t="s">
        <v>192</v>
      </c>
      <c r="E225" s="240">
        <f>FLEURY!H66</f>
        <v>0</v>
      </c>
      <c r="F225" s="240">
        <f>FLEURY!I66</f>
        <v>0</v>
      </c>
      <c r="G225" s="240">
        <f>FLEURY!J66</f>
        <v>0</v>
      </c>
      <c r="H225" s="240">
        <f>FLEURY!K66</f>
        <v>0</v>
      </c>
      <c r="I225" s="240">
        <f>FLEURY!L66</f>
        <v>0</v>
      </c>
      <c r="J225" s="240">
        <f>FLEURY!M66</f>
        <v>0</v>
      </c>
      <c r="K225" s="240">
        <f>FLEURY!N66</f>
        <v>0</v>
      </c>
      <c r="L225" s="240">
        <f>FLEURY!O66</f>
        <v>0</v>
      </c>
      <c r="M225" s="240">
        <f>FLEURY!P66</f>
        <v>0</v>
      </c>
      <c r="N225" s="240">
        <f>FLEURY!Q66</f>
        <v>0</v>
      </c>
      <c r="O225" s="240">
        <f>FLEURY!R66</f>
        <v>0</v>
      </c>
      <c r="P225" s="240">
        <f>FLEURY!S66</f>
        <v>0</v>
      </c>
      <c r="Q225" s="240">
        <f>FLEURY!T66</f>
        <v>0</v>
      </c>
      <c r="R225" s="240">
        <f>FLEURY!U66</f>
        <v>0</v>
      </c>
      <c r="S225" s="242">
        <f t="shared" ref="S225:S235" si="18">SUM(E225:Q225)</f>
        <v>0</v>
      </c>
    </row>
    <row r="226" spans="1:24" x14ac:dyDescent="0.2">
      <c r="A226" s="270"/>
      <c r="B226" s="235"/>
      <c r="C226" s="148"/>
      <c r="D226" s="148"/>
      <c r="E226" s="240"/>
      <c r="F226" s="240"/>
      <c r="G226" s="240"/>
      <c r="H226" s="240"/>
      <c r="I226" s="240"/>
      <c r="J226" s="240"/>
      <c r="K226" s="240"/>
      <c r="L226" s="240"/>
      <c r="M226" s="240"/>
      <c r="N226" s="240"/>
      <c r="O226" s="240"/>
      <c r="P226" s="240"/>
      <c r="Q226" s="240"/>
      <c r="R226" s="240"/>
      <c r="S226" s="242">
        <f t="shared" si="18"/>
        <v>0</v>
      </c>
    </row>
    <row r="227" spans="1:24" x14ac:dyDescent="0.2">
      <c r="A227" s="159">
        <v>615160</v>
      </c>
      <c r="B227" s="160" t="s">
        <v>114</v>
      </c>
      <c r="C227" s="148" t="s">
        <v>71</v>
      </c>
      <c r="D227" s="148" t="s">
        <v>192</v>
      </c>
      <c r="E227" s="240">
        <f>AIX!H60</f>
        <v>0</v>
      </c>
      <c r="F227" s="240">
        <f>AIX!I60</f>
        <v>0</v>
      </c>
      <c r="G227" s="240">
        <f>AIX!J60</f>
        <v>8.9600000000000009</v>
      </c>
      <c r="H227" s="240">
        <f>AIX!K60</f>
        <v>0</v>
      </c>
      <c r="I227" s="240">
        <f>AIX!L60</f>
        <v>0</v>
      </c>
      <c r="J227" s="240">
        <f>AIX!M60</f>
        <v>0</v>
      </c>
      <c r="K227" s="240">
        <f>AIX!N60</f>
        <v>0</v>
      </c>
      <c r="L227" s="240">
        <f>AIX!O60</f>
        <v>0</v>
      </c>
      <c r="M227" s="240">
        <f>AIX!P60</f>
        <v>0</v>
      </c>
      <c r="N227" s="240">
        <f>AIX!Q60</f>
        <v>0</v>
      </c>
      <c r="O227" s="240">
        <f>AIX!R60</f>
        <v>0</v>
      </c>
      <c r="P227" s="240">
        <f>AIX!S60</f>
        <v>0</v>
      </c>
      <c r="Q227" s="240">
        <f>AIX!T60</f>
        <v>0</v>
      </c>
      <c r="R227" s="240">
        <f>AIX!U60</f>
        <v>0</v>
      </c>
      <c r="S227" s="242">
        <f t="shared" si="18"/>
        <v>8.9600000000000009</v>
      </c>
    </row>
    <row r="228" spans="1:24" x14ac:dyDescent="0.2">
      <c r="A228" s="270"/>
      <c r="B228" s="235"/>
      <c r="C228" s="148"/>
      <c r="D228" s="148"/>
      <c r="E228" s="240"/>
      <c r="F228" s="240"/>
      <c r="G228" s="240"/>
      <c r="H228" s="240"/>
      <c r="I228" s="240"/>
      <c r="J228" s="240"/>
      <c r="K228" s="240"/>
      <c r="L228" s="240"/>
      <c r="M228" s="240"/>
      <c r="N228" s="240"/>
      <c r="O228" s="240"/>
      <c r="P228" s="240"/>
      <c r="Q228" s="240"/>
      <c r="R228" s="240"/>
      <c r="S228" s="242">
        <f t="shared" si="18"/>
        <v>0</v>
      </c>
    </row>
    <row r="229" spans="1:24" x14ac:dyDescent="0.2">
      <c r="A229" s="159">
        <v>615160</v>
      </c>
      <c r="B229" s="160" t="s">
        <v>114</v>
      </c>
      <c r="C229" s="148" t="s">
        <v>67</v>
      </c>
      <c r="D229" s="148" t="s">
        <v>192</v>
      </c>
      <c r="E229" s="240">
        <f>BORDEAUX!H60</f>
        <v>0</v>
      </c>
      <c r="F229" s="240">
        <f>BORDEAUX!I60</f>
        <v>0</v>
      </c>
      <c r="G229" s="240">
        <f>BORDEAUX!J61</f>
        <v>0</v>
      </c>
      <c r="H229" s="240">
        <f>BORDEAUX!K61</f>
        <v>0</v>
      </c>
      <c r="I229" s="240">
        <f>BORDEAUX!L61</f>
        <v>0</v>
      </c>
      <c r="J229" s="240">
        <f>BORDEAUX!M61</f>
        <v>0</v>
      </c>
      <c r="K229" s="240">
        <f>BORDEAUX!N61</f>
        <v>0</v>
      </c>
      <c r="L229" s="240">
        <f>BORDEAUX!O61</f>
        <v>0</v>
      </c>
      <c r="M229" s="240">
        <f>BORDEAUX!P61</f>
        <v>0</v>
      </c>
      <c r="N229" s="240">
        <f>BORDEAUX!Q61</f>
        <v>0</v>
      </c>
      <c r="O229" s="240">
        <f>BORDEAUX!R61</f>
        <v>0</v>
      </c>
      <c r="P229" s="240">
        <f>BORDEAUX!S61</f>
        <v>0</v>
      </c>
      <c r="Q229" s="240">
        <f>BORDEAUX!T61</f>
        <v>0</v>
      </c>
      <c r="R229" s="240">
        <f>BORDEAUX!U61</f>
        <v>0</v>
      </c>
      <c r="S229" s="242">
        <f t="shared" si="18"/>
        <v>0</v>
      </c>
    </row>
    <row r="230" spans="1:24" x14ac:dyDescent="0.2">
      <c r="A230" s="270"/>
      <c r="B230" s="235"/>
      <c r="C230" s="148"/>
      <c r="D230" s="148"/>
      <c r="E230" s="240"/>
      <c r="F230" s="240"/>
      <c r="G230" s="240"/>
      <c r="H230" s="240"/>
      <c r="I230" s="240"/>
      <c r="J230" s="240"/>
      <c r="K230" s="240"/>
      <c r="L230" s="240"/>
      <c r="M230" s="240"/>
      <c r="N230" s="240"/>
      <c r="O230" s="240"/>
      <c r="P230" s="240"/>
      <c r="Q230" s="240"/>
      <c r="R230" s="240"/>
      <c r="S230" s="242">
        <f t="shared" si="18"/>
        <v>0</v>
      </c>
    </row>
    <row r="231" spans="1:24" x14ac:dyDescent="0.2">
      <c r="A231" s="159">
        <v>615160</v>
      </c>
      <c r="B231" s="160" t="s">
        <v>114</v>
      </c>
      <c r="C231" s="148" t="s">
        <v>80</v>
      </c>
      <c r="D231" s="148" t="s">
        <v>192</v>
      </c>
      <c r="E231" s="240">
        <f>RENNES!H62</f>
        <v>0</v>
      </c>
      <c r="F231" s="240">
        <f>RENNES!I62</f>
        <v>0</v>
      </c>
      <c r="G231" s="240">
        <f>RENNES!J62</f>
        <v>0</v>
      </c>
      <c r="H231" s="240">
        <f>RENNES!K62</f>
        <v>0</v>
      </c>
      <c r="I231" s="240">
        <f>RENNES!L62</f>
        <v>0</v>
      </c>
      <c r="J231" s="240">
        <f>RENNES!M62</f>
        <v>0</v>
      </c>
      <c r="K231" s="240">
        <f>RENNES!N62</f>
        <v>0</v>
      </c>
      <c r="L231" s="240">
        <f>RENNES!O62</f>
        <v>0</v>
      </c>
      <c r="M231" s="240">
        <f>RENNES!P62</f>
        <v>0</v>
      </c>
      <c r="N231" s="240">
        <f>RENNES!Q62</f>
        <v>230.5</v>
      </c>
      <c r="O231" s="240">
        <f>RENNES!R62</f>
        <v>0</v>
      </c>
      <c r="P231" s="240">
        <f>RENNES!S62</f>
        <v>0</v>
      </c>
      <c r="Q231" s="240">
        <f>RENNES!T62</f>
        <v>0</v>
      </c>
      <c r="R231" s="240">
        <f>RENNES!U62</f>
        <v>0</v>
      </c>
      <c r="S231" s="242">
        <f t="shared" si="18"/>
        <v>230.5</v>
      </c>
    </row>
    <row r="232" spans="1:24" x14ac:dyDescent="0.2">
      <c r="A232" s="270"/>
      <c r="B232" s="235"/>
      <c r="C232" s="148"/>
      <c r="D232" s="148"/>
      <c r="E232" s="240"/>
      <c r="F232" s="240"/>
      <c r="G232" s="240"/>
      <c r="H232" s="240"/>
      <c r="I232" s="240"/>
      <c r="J232" s="240"/>
      <c r="K232" s="240"/>
      <c r="L232" s="240"/>
      <c r="M232" s="240"/>
      <c r="N232" s="240"/>
      <c r="O232" s="240"/>
      <c r="P232" s="240"/>
      <c r="Q232" s="240"/>
      <c r="R232" s="240"/>
      <c r="S232" s="242">
        <f t="shared" si="18"/>
        <v>0</v>
      </c>
    </row>
    <row r="233" spans="1:24" x14ac:dyDescent="0.2">
      <c r="A233" s="159">
        <v>615160</v>
      </c>
      <c r="B233" s="160" t="s">
        <v>114</v>
      </c>
      <c r="C233" s="148" t="s">
        <v>156</v>
      </c>
      <c r="D233" s="148" t="s">
        <v>192</v>
      </c>
      <c r="E233" s="240">
        <f>BEAUVAIS!H57</f>
        <v>0</v>
      </c>
      <c r="F233" s="240">
        <f>BEAUVAIS!I57</f>
        <v>0</v>
      </c>
      <c r="G233" s="240">
        <f>BEAUVAIS!J57</f>
        <v>0</v>
      </c>
      <c r="H233" s="240">
        <f>BEAUVAIS!K57</f>
        <v>0</v>
      </c>
      <c r="I233" s="240">
        <f>BEAUVAIS!L57</f>
        <v>0</v>
      </c>
      <c r="J233" s="240">
        <f>BEAUVAIS!M57</f>
        <v>0</v>
      </c>
      <c r="K233" s="240">
        <f>BEAUVAIS!N57</f>
        <v>0</v>
      </c>
      <c r="L233" s="240">
        <f>BEAUVAIS!O57</f>
        <v>0</v>
      </c>
      <c r="M233" s="240">
        <f>BEAUVAIS!P57</f>
        <v>0</v>
      </c>
      <c r="N233" s="240">
        <f>BEAUVAIS!Q57</f>
        <v>0</v>
      </c>
      <c r="O233" s="240">
        <f>BEAUVAIS!R57</f>
        <v>0</v>
      </c>
      <c r="P233" s="240">
        <f>BEAUVAIS!S57</f>
        <v>0</v>
      </c>
      <c r="Q233" s="240">
        <f>BEAUVAIS!T57</f>
        <v>0</v>
      </c>
      <c r="R233" s="240">
        <f>BEAUVAIS!U57</f>
        <v>0</v>
      </c>
      <c r="S233" s="242">
        <f t="shared" si="18"/>
        <v>0</v>
      </c>
    </row>
    <row r="234" spans="1:24" x14ac:dyDescent="0.2">
      <c r="A234" s="159"/>
      <c r="B234" s="160"/>
      <c r="C234" s="148"/>
      <c r="D234" s="148"/>
      <c r="E234" s="240"/>
      <c r="F234" s="240"/>
      <c r="G234" s="240"/>
      <c r="H234" s="240"/>
      <c r="I234" s="240"/>
      <c r="J234" s="240"/>
      <c r="K234" s="240"/>
      <c r="L234" s="240"/>
      <c r="M234" s="240"/>
      <c r="N234" s="240"/>
      <c r="O234" s="240"/>
      <c r="P234" s="240"/>
      <c r="Q234" s="240"/>
      <c r="R234" s="240"/>
      <c r="S234" s="242">
        <f t="shared" si="18"/>
        <v>0</v>
      </c>
    </row>
    <row r="235" spans="1:24" x14ac:dyDescent="0.2">
      <c r="A235" s="159">
        <v>615160</v>
      </c>
      <c r="B235" s="160" t="s">
        <v>114</v>
      </c>
      <c r="C235" s="148" t="s">
        <v>367</v>
      </c>
      <c r="D235" s="148"/>
      <c r="E235" s="240"/>
      <c r="F235" s="240">
        <v>244</v>
      </c>
      <c r="G235" s="240">
        <f>-244+479.04</f>
        <v>235.04000000000002</v>
      </c>
      <c r="H235" s="240">
        <f>-479.04+724.04</f>
        <v>244.99999999999994</v>
      </c>
      <c r="I235" s="240">
        <f>-724.04+968.04</f>
        <v>244</v>
      </c>
      <c r="J235" s="240">
        <f>-968.04+1212.04</f>
        <v>244</v>
      </c>
      <c r="K235" s="240">
        <f>-1212.04+1457.04</f>
        <v>245</v>
      </c>
      <c r="L235" s="240">
        <f>-1457.04+1701.04</f>
        <v>244</v>
      </c>
      <c r="M235" s="240">
        <f>-1701.04+1945.04</f>
        <v>244</v>
      </c>
      <c r="N235" s="240">
        <f>-1945.04+1959.54</f>
        <v>14.5</v>
      </c>
      <c r="O235" s="240">
        <f>+-1959.54+2203.54</f>
        <v>244</v>
      </c>
      <c r="P235" s="240">
        <f>-2203.54+407.54</f>
        <v>-1796</v>
      </c>
      <c r="Q235" s="240"/>
      <c r="R235" s="240"/>
      <c r="S235" s="242">
        <f t="shared" si="18"/>
        <v>407.53999999999996</v>
      </c>
    </row>
    <row r="236" spans="1:24" s="185" customFormat="1" ht="24" customHeight="1" x14ac:dyDescent="0.2">
      <c r="A236" s="267"/>
      <c r="B236" s="268"/>
      <c r="C236" s="267" t="s">
        <v>66</v>
      </c>
      <c r="D236" s="267"/>
      <c r="E236" s="269">
        <f>SUM(E225:E235)</f>
        <v>0</v>
      </c>
      <c r="F236" s="269">
        <f>SUM(F225:F235)</f>
        <v>244</v>
      </c>
      <c r="G236" s="269">
        <f t="shared" ref="G236:Q236" si="19">SUM(G225:G235)</f>
        <v>244.00000000000003</v>
      </c>
      <c r="H236" s="269">
        <f t="shared" si="19"/>
        <v>244.99999999999994</v>
      </c>
      <c r="I236" s="269">
        <f t="shared" si="19"/>
        <v>244</v>
      </c>
      <c r="J236" s="269">
        <f t="shared" si="19"/>
        <v>244</v>
      </c>
      <c r="K236" s="269">
        <f t="shared" si="19"/>
        <v>245</v>
      </c>
      <c r="L236" s="269">
        <f t="shared" si="19"/>
        <v>244</v>
      </c>
      <c r="M236" s="269">
        <f t="shared" si="19"/>
        <v>244</v>
      </c>
      <c r="N236" s="269">
        <f t="shared" si="19"/>
        <v>245</v>
      </c>
      <c r="O236" s="269">
        <f t="shared" si="19"/>
        <v>244</v>
      </c>
      <c r="P236" s="269">
        <f t="shared" si="19"/>
        <v>-1796</v>
      </c>
      <c r="Q236" s="269">
        <f t="shared" si="19"/>
        <v>0</v>
      </c>
      <c r="R236" s="269">
        <f>SUM(R225:R235)</f>
        <v>0</v>
      </c>
      <c r="S236" s="269">
        <f>SUM(S225:S235)</f>
        <v>647</v>
      </c>
      <c r="T236" s="212">
        <v>647</v>
      </c>
      <c r="U236" s="334">
        <f>T236-S236</f>
        <v>0</v>
      </c>
      <c r="V236" s="185" t="s">
        <v>853</v>
      </c>
      <c r="X236" s="569">
        <f>U236-CENTRALISATION!V237</f>
        <v>0</v>
      </c>
    </row>
    <row r="237" spans="1:24" ht="12" customHeight="1" x14ac:dyDescent="0.2">
      <c r="A237" s="159">
        <v>615170</v>
      </c>
      <c r="B237" s="160" t="s">
        <v>115</v>
      </c>
      <c r="C237" s="148" t="s">
        <v>78</v>
      </c>
      <c r="D237" s="148" t="s">
        <v>192</v>
      </c>
      <c r="E237" s="240">
        <f>FLEURY!H71</f>
        <v>0</v>
      </c>
      <c r="F237" s="240">
        <f>FLEURY!I71</f>
        <v>773.8</v>
      </c>
      <c r="G237" s="240">
        <f>FLEURY!J71</f>
        <v>87.3</v>
      </c>
      <c r="H237" s="240">
        <f>FLEURY!K71</f>
        <v>87.29</v>
      </c>
      <c r="I237" s="240">
        <f>FLEURY!L71</f>
        <v>1465.3</v>
      </c>
      <c r="J237" s="240">
        <f>FLEURY!M71</f>
        <v>1523.29</v>
      </c>
      <c r="K237" s="240">
        <f>FLEURY!N71</f>
        <v>87.29</v>
      </c>
      <c r="L237" s="240">
        <f>FLEURY!O71</f>
        <v>-1378.9399999999998</v>
      </c>
      <c r="M237" s="240">
        <f>FLEURY!P71</f>
        <v>725</v>
      </c>
      <c r="N237" s="240">
        <f>FLEURY!Q71</f>
        <v>867.29</v>
      </c>
      <c r="O237" s="240">
        <f>FLEURY!R71</f>
        <v>1808.03</v>
      </c>
      <c r="P237" s="240">
        <f>FLEURY!S71</f>
        <v>2432.8000000000002</v>
      </c>
      <c r="Q237" s="240">
        <f>FLEURY!T71</f>
        <v>87.29</v>
      </c>
      <c r="R237" s="240">
        <f>FLEURY!U71</f>
        <v>0</v>
      </c>
      <c r="S237" s="242">
        <f t="shared" ref="S237:S247" si="20">SUM(E237:Q237)</f>
        <v>8565.7400000000016</v>
      </c>
    </row>
    <row r="238" spans="1:24" ht="12" customHeight="1" x14ac:dyDescent="0.2">
      <c r="A238" s="270"/>
      <c r="B238" s="235"/>
      <c r="C238" s="148"/>
      <c r="D238" s="148"/>
      <c r="E238" s="240"/>
      <c r="F238" s="240"/>
      <c r="G238" s="240"/>
      <c r="H238" s="240"/>
      <c r="I238" s="240"/>
      <c r="J238" s="240"/>
      <c r="K238" s="240"/>
      <c r="L238" s="240"/>
      <c r="M238" s="240"/>
      <c r="N238" s="240"/>
      <c r="O238" s="240"/>
      <c r="P238" s="240"/>
      <c r="Q238" s="240"/>
      <c r="R238" s="240"/>
      <c r="S238" s="242">
        <f t="shared" si="20"/>
        <v>0</v>
      </c>
    </row>
    <row r="239" spans="1:24" ht="12" customHeight="1" x14ac:dyDescent="0.2">
      <c r="A239" s="159">
        <v>615170</v>
      </c>
      <c r="B239" s="160" t="s">
        <v>115</v>
      </c>
      <c r="C239" s="148" t="s">
        <v>71</v>
      </c>
      <c r="D239" s="148" t="s">
        <v>192</v>
      </c>
      <c r="E239" s="240">
        <f>AIX!H64</f>
        <v>0</v>
      </c>
      <c r="F239" s="240">
        <f>AIX!I64</f>
        <v>0</v>
      </c>
      <c r="G239" s="240">
        <f>AIX!J64</f>
        <v>0</v>
      </c>
      <c r="H239" s="240">
        <f>AIX!K64</f>
        <v>0</v>
      </c>
      <c r="I239" s="240">
        <f>AIX!L64</f>
        <v>0</v>
      </c>
      <c r="J239" s="240">
        <f>AIX!M64</f>
        <v>0</v>
      </c>
      <c r="K239" s="240">
        <f>AIX!N64</f>
        <v>0</v>
      </c>
      <c r="L239" s="240">
        <f>AIX!O64</f>
        <v>0</v>
      </c>
      <c r="M239" s="240">
        <f>AIX!P64</f>
        <v>0</v>
      </c>
      <c r="N239" s="240">
        <f>AIX!Q64</f>
        <v>0</v>
      </c>
      <c r="O239" s="240">
        <f>AIX!R64</f>
        <v>0</v>
      </c>
      <c r="P239" s="240">
        <f>AIX!S64</f>
        <v>0</v>
      </c>
      <c r="Q239" s="240">
        <f>AIX!T64</f>
        <v>680</v>
      </c>
      <c r="R239" s="240">
        <f>AIX!U64</f>
        <v>0</v>
      </c>
      <c r="S239" s="242">
        <f t="shared" si="20"/>
        <v>680</v>
      </c>
    </row>
    <row r="240" spans="1:24" ht="15.6" customHeight="1" x14ac:dyDescent="0.2">
      <c r="A240" s="270"/>
      <c r="B240" s="235"/>
      <c r="C240" s="148"/>
      <c r="D240" s="148"/>
      <c r="E240" s="240"/>
      <c r="F240" s="240"/>
      <c r="G240" s="240"/>
      <c r="H240" s="240"/>
      <c r="I240" s="240"/>
      <c r="J240" s="240"/>
      <c r="K240" s="240"/>
      <c r="L240" s="240"/>
      <c r="M240" s="240"/>
      <c r="N240" s="240"/>
      <c r="O240" s="240"/>
      <c r="P240" s="240"/>
      <c r="Q240" s="240"/>
      <c r="R240" s="240"/>
      <c r="S240" s="242">
        <f t="shared" si="20"/>
        <v>0</v>
      </c>
    </row>
    <row r="241" spans="1:24" ht="12" customHeight="1" x14ac:dyDescent="0.2">
      <c r="A241" s="159">
        <v>615170</v>
      </c>
      <c r="B241" s="160" t="s">
        <v>115</v>
      </c>
      <c r="C241" s="148" t="s">
        <v>73</v>
      </c>
      <c r="D241" s="148" t="s">
        <v>192</v>
      </c>
      <c r="E241" s="240">
        <f>LYON!H59</f>
        <v>0</v>
      </c>
      <c r="F241" s="240">
        <f>LYON!I59</f>
        <v>0</v>
      </c>
      <c r="G241" s="240">
        <f>LYON!J59</f>
        <v>239.85</v>
      </c>
      <c r="H241" s="240">
        <f>LYON!K59</f>
        <v>385</v>
      </c>
      <c r="I241" s="240">
        <f>LYON!M59</f>
        <v>4391.8999999999996</v>
      </c>
      <c r="J241" s="240">
        <f>LYON!N59</f>
        <v>0</v>
      </c>
      <c r="K241" s="240">
        <f>LYON!O59</f>
        <v>239.85</v>
      </c>
      <c r="L241" s="240">
        <f>LYON!P59</f>
        <v>0</v>
      </c>
      <c r="M241" s="240">
        <f>LYON!Q59</f>
        <v>1052.03</v>
      </c>
      <c r="N241" s="240">
        <f>LYON!R59</f>
        <v>0</v>
      </c>
      <c r="O241" s="240">
        <f>LYON!S59</f>
        <v>1020.55</v>
      </c>
      <c r="P241" s="240">
        <f>LYON!T59</f>
        <v>0</v>
      </c>
      <c r="Q241" s="240"/>
      <c r="R241" s="240"/>
      <c r="S241" s="242">
        <f t="shared" si="20"/>
        <v>7329.18</v>
      </c>
    </row>
    <row r="242" spans="1:24" ht="12" customHeight="1" x14ac:dyDescent="0.2">
      <c r="A242" s="270"/>
      <c r="B242" s="235"/>
      <c r="C242" s="148"/>
      <c r="D242" s="148"/>
      <c r="E242" s="240"/>
      <c r="F242" s="240"/>
      <c r="G242" s="240"/>
      <c r="H242" s="240"/>
      <c r="I242" s="240"/>
      <c r="J242" s="240"/>
      <c r="K242" s="240"/>
      <c r="L242" s="240"/>
      <c r="M242" s="240"/>
      <c r="N242" s="240"/>
      <c r="O242" s="240"/>
      <c r="P242" s="240"/>
      <c r="Q242" s="240"/>
      <c r="R242" s="240"/>
      <c r="S242" s="242">
        <f>SUM(E242:Q242)</f>
        <v>0</v>
      </c>
    </row>
    <row r="243" spans="1:24" ht="12" customHeight="1" x14ac:dyDescent="0.2">
      <c r="A243" s="159">
        <v>615170</v>
      </c>
      <c r="B243" s="160" t="s">
        <v>115</v>
      </c>
      <c r="C243" s="148" t="s">
        <v>67</v>
      </c>
      <c r="D243" s="148" t="s">
        <v>192</v>
      </c>
      <c r="E243" s="240">
        <f>+BORDEAUX!H65</f>
        <v>0</v>
      </c>
      <c r="F243" s="240">
        <f>+BORDEAUX!I65</f>
        <v>0</v>
      </c>
      <c r="G243" s="240">
        <f>+BORDEAUX!J65</f>
        <v>0</v>
      </c>
      <c r="H243" s="240">
        <f>+BORDEAUX!K65</f>
        <v>0</v>
      </c>
      <c r="I243" s="240">
        <f>+BORDEAUX!L65</f>
        <v>0</v>
      </c>
      <c r="J243" s="240">
        <f>+BORDEAUX!M65</f>
        <v>0</v>
      </c>
      <c r="K243" s="240">
        <f>+BORDEAUX!N65</f>
        <v>0</v>
      </c>
      <c r="L243" s="240">
        <f>+BORDEAUX!O65</f>
        <v>1369.6</v>
      </c>
      <c r="M243" s="240">
        <f>+BORDEAUX!P65</f>
        <v>0</v>
      </c>
      <c r="N243" s="240">
        <f>+BORDEAUX!Q65</f>
        <v>3503.1</v>
      </c>
      <c r="O243" s="240">
        <f>+BORDEAUX!R65</f>
        <v>0</v>
      </c>
      <c r="P243" s="240">
        <f>+BORDEAUX!S65</f>
        <v>0</v>
      </c>
      <c r="Q243" s="240">
        <f>+BORDEAUX!T65</f>
        <v>505</v>
      </c>
      <c r="R243" s="240">
        <f>+BORDEAUX!U65</f>
        <v>0</v>
      </c>
      <c r="S243" s="242">
        <f>SUM(E243:Q243)</f>
        <v>5377.7</v>
      </c>
    </row>
    <row r="244" spans="1:24" ht="12" customHeight="1" x14ac:dyDescent="0.2">
      <c r="A244" s="270"/>
      <c r="B244" s="235"/>
      <c r="C244" s="148"/>
      <c r="D244" s="148"/>
      <c r="E244" s="240"/>
      <c r="F244" s="240"/>
      <c r="G244" s="240"/>
      <c r="H244" s="240"/>
      <c r="I244" s="240"/>
      <c r="J244" s="240"/>
      <c r="K244" s="240"/>
      <c r="L244" s="240"/>
      <c r="M244" s="240"/>
      <c r="N244" s="240"/>
      <c r="O244" s="240"/>
      <c r="P244" s="240"/>
      <c r="Q244" s="240"/>
      <c r="R244" s="240"/>
      <c r="S244" s="242">
        <f t="shared" si="20"/>
        <v>0</v>
      </c>
    </row>
    <row r="245" spans="1:24" ht="12" customHeight="1" x14ac:dyDescent="0.2">
      <c r="A245" s="159">
        <v>615170</v>
      </c>
      <c r="B245" s="160" t="s">
        <v>115</v>
      </c>
      <c r="C245" s="148" t="s">
        <v>156</v>
      </c>
      <c r="D245" s="148" t="s">
        <v>192</v>
      </c>
      <c r="E245" s="240">
        <f>BEAUVAIS!H62</f>
        <v>0</v>
      </c>
      <c r="F245" s="240">
        <f>BEAUVAIS!I62</f>
        <v>0</v>
      </c>
      <c r="G245" s="240">
        <f>BEAUVAIS!J62</f>
        <v>0</v>
      </c>
      <c r="H245" s="240">
        <f>BEAUVAIS!K62</f>
        <v>0</v>
      </c>
      <c r="I245" s="240">
        <f>BEAUVAIS!L62</f>
        <v>0</v>
      </c>
      <c r="J245" s="240">
        <f>BEAUVAIS!M62</f>
        <v>0</v>
      </c>
      <c r="K245" s="240">
        <f>BEAUVAIS!N62</f>
        <v>0</v>
      </c>
      <c r="L245" s="240">
        <f>BEAUVAIS!O62</f>
        <v>0</v>
      </c>
      <c r="M245" s="240">
        <f>BEAUVAIS!P62</f>
        <v>280.89999999999998</v>
      </c>
      <c r="N245" s="240">
        <f>BEAUVAIS!Q62</f>
        <v>0</v>
      </c>
      <c r="O245" s="240">
        <f>BEAUVAIS!R62</f>
        <v>0</v>
      </c>
      <c r="P245" s="240">
        <f>BEAUVAIS!S62</f>
        <v>0</v>
      </c>
      <c r="Q245" s="240">
        <f>BEAUVAIS!T62</f>
        <v>0</v>
      </c>
      <c r="R245" s="240">
        <f>BEAUVAIS!U62</f>
        <v>0</v>
      </c>
      <c r="S245" s="242">
        <f t="shared" si="20"/>
        <v>280.89999999999998</v>
      </c>
    </row>
    <row r="246" spans="1:24" ht="12" customHeight="1" x14ac:dyDescent="0.2">
      <c r="A246" s="159"/>
      <c r="B246" s="160"/>
      <c r="C246" s="148"/>
      <c r="D246" s="148"/>
      <c r="E246" s="240"/>
      <c r="F246" s="240"/>
      <c r="G246" s="240"/>
      <c r="H246" s="240"/>
      <c r="I246" s="240"/>
      <c r="J246" s="240"/>
      <c r="K246" s="240"/>
      <c r="L246" s="240"/>
      <c r="M246" s="240"/>
      <c r="N246" s="240"/>
      <c r="O246" s="240"/>
      <c r="P246" s="240"/>
      <c r="Q246" s="240"/>
      <c r="R246" s="240"/>
      <c r="S246" s="242">
        <f t="shared" si="20"/>
        <v>0</v>
      </c>
    </row>
    <row r="247" spans="1:24" ht="12" customHeight="1" x14ac:dyDescent="0.2">
      <c r="A247" s="159">
        <v>615170</v>
      </c>
      <c r="B247" s="160" t="s">
        <v>115</v>
      </c>
      <c r="C247" s="148" t="s">
        <v>367</v>
      </c>
      <c r="D247" s="148"/>
      <c r="E247" s="240"/>
      <c r="F247" s="240">
        <v>353</v>
      </c>
      <c r="G247" s="240">
        <f>-353+1839.15</f>
        <v>1486.15</v>
      </c>
      <c r="H247" s="240">
        <f>-1839.15+3577.26</f>
        <v>1738.1100000000001</v>
      </c>
      <c r="I247" s="240">
        <f>-3577.26+3540.26</f>
        <v>-37</v>
      </c>
      <c r="J247" s="240">
        <f>-3540.26+651.49</f>
        <v>-2888.7700000000004</v>
      </c>
      <c r="K247" s="240">
        <f>-651.49+2389.6</f>
        <v>1738.11</v>
      </c>
      <c r="L247" s="240">
        <f>-2389.6+3931.97</f>
        <v>1542.37</v>
      </c>
      <c r="M247" s="240">
        <f>-3931.97+3566.67</f>
        <v>-365.29999999999973</v>
      </c>
      <c r="N247" s="240">
        <f>-3566.67+3664.64</f>
        <v>97.9699999999998</v>
      </c>
      <c r="O247" s="240">
        <f>-3664.64+174.93</f>
        <v>-3489.71</v>
      </c>
      <c r="P247" s="240">
        <f>-174.93+0.37</f>
        <v>-174.56</v>
      </c>
      <c r="Q247" s="240"/>
      <c r="R247" s="240"/>
      <c r="S247" s="242">
        <f t="shared" si="20"/>
        <v>0.36999999999937927</v>
      </c>
    </row>
    <row r="248" spans="1:24" s="185" customFormat="1" ht="24" customHeight="1" x14ac:dyDescent="0.2">
      <c r="A248" s="267"/>
      <c r="B248" s="268"/>
      <c r="C248" s="267" t="s">
        <v>66</v>
      </c>
      <c r="D248" s="267"/>
      <c r="E248" s="269">
        <f>SUM(E237:E247)</f>
        <v>0</v>
      </c>
      <c r="F248" s="269">
        <f t="shared" ref="F248:S248" si="21">SUM(F237:F247)</f>
        <v>1126.8</v>
      </c>
      <c r="G248" s="269">
        <f t="shared" si="21"/>
        <v>1813.3000000000002</v>
      </c>
      <c r="H248" s="269">
        <f t="shared" si="21"/>
        <v>2210.4</v>
      </c>
      <c r="I248" s="269">
        <f t="shared" si="21"/>
        <v>5820.2</v>
      </c>
      <c r="J248" s="269">
        <f t="shared" si="21"/>
        <v>-1365.4800000000005</v>
      </c>
      <c r="K248" s="269">
        <f t="shared" si="21"/>
        <v>2065.25</v>
      </c>
      <c r="L248" s="269">
        <f t="shared" si="21"/>
        <v>1533.03</v>
      </c>
      <c r="M248" s="269">
        <f t="shared" si="21"/>
        <v>1692.63</v>
      </c>
      <c r="N248" s="269">
        <f t="shared" si="21"/>
        <v>4468.3599999999988</v>
      </c>
      <c r="O248" s="269">
        <f t="shared" si="21"/>
        <v>-661.13000000000011</v>
      </c>
      <c r="P248" s="269">
        <f t="shared" si="21"/>
        <v>2258.2400000000002</v>
      </c>
      <c r="Q248" s="269">
        <f t="shared" si="21"/>
        <v>1272.29</v>
      </c>
      <c r="R248" s="269">
        <f>SUM(R237:R247)</f>
        <v>0</v>
      </c>
      <c r="S248" s="269">
        <f t="shared" si="21"/>
        <v>22233.890000000003</v>
      </c>
      <c r="T248" s="212">
        <v>20967</v>
      </c>
      <c r="U248" s="334">
        <f>T248-S248</f>
        <v>-1266.8900000000031</v>
      </c>
      <c r="V248" s="185" t="s">
        <v>853</v>
      </c>
      <c r="X248" s="569">
        <f>U248-CENTRALISATION!V248</f>
        <v>0</v>
      </c>
    </row>
    <row r="249" spans="1:24" s="185" customFormat="1" ht="12" customHeight="1" x14ac:dyDescent="0.2">
      <c r="A249" s="181">
        <v>615175</v>
      </c>
      <c r="B249" s="182" t="s">
        <v>331</v>
      </c>
      <c r="C249" s="183" t="s">
        <v>145</v>
      </c>
      <c r="D249" s="183" t="s">
        <v>179</v>
      </c>
      <c r="E249" s="244">
        <f>+FLEURY!H80</f>
        <v>0</v>
      </c>
      <c r="F249" s="244">
        <f>+FLEURY!I80</f>
        <v>1197.45</v>
      </c>
      <c r="G249" s="244">
        <f>+FLEURY!J80</f>
        <v>1197.45</v>
      </c>
      <c r="H249" s="244">
        <f>+FLEURY!K80</f>
        <v>908.52</v>
      </c>
      <c r="I249" s="244">
        <f>+FLEURY!L80</f>
        <v>908.52</v>
      </c>
      <c r="J249" s="244">
        <f>+FLEURY!M80</f>
        <v>908.52</v>
      </c>
      <c r="K249" s="244">
        <f>+FLEURY!N80</f>
        <v>908.52</v>
      </c>
      <c r="L249" s="244">
        <f>+FLEURY!O80</f>
        <v>908.52</v>
      </c>
      <c r="M249" s="244">
        <f>+FLEURY!P80</f>
        <v>908.52</v>
      </c>
      <c r="N249" s="244">
        <f>+FLEURY!Q80</f>
        <v>908.52</v>
      </c>
      <c r="O249" s="244">
        <f>+FLEURY!R80</f>
        <v>908.52</v>
      </c>
      <c r="P249" s="244">
        <f>+FLEURY!S80</f>
        <v>908.52</v>
      </c>
      <c r="Q249" s="244">
        <f>+FLEURY!T80</f>
        <v>908.46</v>
      </c>
      <c r="R249" s="244">
        <f>+FLEURY!U80</f>
        <v>0</v>
      </c>
      <c r="S249" s="242">
        <f t="shared" ref="S249:S264" si="22">SUM(E249:Q249)</f>
        <v>11480.040000000005</v>
      </c>
      <c r="U249" s="332"/>
    </row>
    <row r="250" spans="1:24" s="185" customFormat="1" ht="12" customHeight="1" x14ac:dyDescent="0.2">
      <c r="A250" s="181"/>
      <c r="B250" s="182"/>
      <c r="C250" s="183"/>
      <c r="D250" s="183"/>
      <c r="E250" s="243"/>
      <c r="F250" s="243"/>
      <c r="G250" s="243"/>
      <c r="H250" s="243"/>
      <c r="I250" s="243"/>
      <c r="J250" s="243"/>
      <c r="K250" s="243"/>
      <c r="L250" s="243"/>
      <c r="M250" s="243"/>
      <c r="N250" s="243"/>
      <c r="O250" s="243"/>
      <c r="P250" s="243"/>
      <c r="Q250" s="243"/>
      <c r="R250" s="243"/>
      <c r="S250" s="242">
        <f t="shared" si="22"/>
        <v>0</v>
      </c>
      <c r="U250" s="332"/>
    </row>
    <row r="251" spans="1:24" s="185" customFormat="1" ht="12" customHeight="1" x14ac:dyDescent="0.2">
      <c r="A251" s="181">
        <v>615175</v>
      </c>
      <c r="B251" s="182" t="s">
        <v>331</v>
      </c>
      <c r="C251" s="183" t="s">
        <v>108</v>
      </c>
      <c r="D251" s="183" t="s">
        <v>192</v>
      </c>
      <c r="E251" s="243">
        <f>+AIX!H68</f>
        <v>0</v>
      </c>
      <c r="F251" s="243">
        <f>+AIX!I68</f>
        <v>0</v>
      </c>
      <c r="G251" s="243">
        <f>+AIX!J68</f>
        <v>0</v>
      </c>
      <c r="H251" s="243">
        <f>+AIX!K68</f>
        <v>0</v>
      </c>
      <c r="I251" s="243">
        <f>+AIX!L68</f>
        <v>0</v>
      </c>
      <c r="J251" s="244">
        <f>+AIX!M68</f>
        <v>0</v>
      </c>
      <c r="K251" s="243">
        <f>+AIX!N68</f>
        <v>0</v>
      </c>
      <c r="L251" s="243">
        <f>+AIX!O68</f>
        <v>0</v>
      </c>
      <c r="M251" s="243">
        <f>+AIX!P68</f>
        <v>0</v>
      </c>
      <c r="N251" s="243">
        <f>+AIX!Q68</f>
        <v>0</v>
      </c>
      <c r="O251" s="243">
        <f>+AIX!R68</f>
        <v>0</v>
      </c>
      <c r="P251" s="243">
        <f>+AIX!S68</f>
        <v>0</v>
      </c>
      <c r="Q251" s="243">
        <f>+AIX!T68</f>
        <v>0</v>
      </c>
      <c r="R251" s="243">
        <f>+AIX!U68</f>
        <v>0</v>
      </c>
      <c r="S251" s="242">
        <f t="shared" si="22"/>
        <v>0</v>
      </c>
      <c r="U251" s="332"/>
    </row>
    <row r="252" spans="1:24" s="185" customFormat="1" ht="12" customHeight="1" x14ac:dyDescent="0.2">
      <c r="A252" s="181">
        <v>615175</v>
      </c>
      <c r="B252" s="182" t="s">
        <v>331</v>
      </c>
      <c r="C252" s="183" t="s">
        <v>108</v>
      </c>
      <c r="D252" s="183" t="s">
        <v>179</v>
      </c>
      <c r="E252" s="244">
        <f>+AIX!H75</f>
        <v>0</v>
      </c>
      <c r="F252" s="244">
        <f>+AIX!I75</f>
        <v>589.56999999999994</v>
      </c>
      <c r="G252" s="244">
        <f>+AIX!J75</f>
        <v>589.55999999999995</v>
      </c>
      <c r="H252" s="244">
        <f>+AIX!K75</f>
        <v>461.14</v>
      </c>
      <c r="I252" s="244">
        <f>+AIX!L75</f>
        <v>461.14</v>
      </c>
      <c r="J252" s="244">
        <f>+AIX!M75</f>
        <v>461.14</v>
      </c>
      <c r="K252" s="244">
        <f>+AIX!N75</f>
        <v>461.14</v>
      </c>
      <c r="L252" s="244">
        <f>+AIX!O75</f>
        <v>461.14</v>
      </c>
      <c r="M252" s="244">
        <f>+AIX!P75</f>
        <v>461.14</v>
      </c>
      <c r="N252" s="244">
        <f>+AIX!Q75</f>
        <v>461.14</v>
      </c>
      <c r="O252" s="244">
        <f>+AIX!R75</f>
        <v>461.14</v>
      </c>
      <c r="P252" s="244">
        <f>+AIX!S75</f>
        <v>461.14</v>
      </c>
      <c r="Q252" s="244">
        <f>+AIX!T75</f>
        <v>461.12</v>
      </c>
      <c r="R252" s="244">
        <f>+AIX!U75</f>
        <v>0</v>
      </c>
      <c r="S252" s="242">
        <f t="shared" si="22"/>
        <v>5790.51</v>
      </c>
      <c r="U252" s="332"/>
    </row>
    <row r="253" spans="1:24" s="185" customFormat="1" ht="12" customHeight="1" x14ac:dyDescent="0.2">
      <c r="A253" s="181"/>
      <c r="B253" s="182"/>
      <c r="C253" s="183"/>
      <c r="D253" s="183"/>
      <c r="E253" s="243"/>
      <c r="F253" s="243"/>
      <c r="G253" s="243"/>
      <c r="H253" s="243"/>
      <c r="I253" s="243"/>
      <c r="J253" s="243"/>
      <c r="K253" s="243"/>
      <c r="L253" s="243"/>
      <c r="M253" s="243"/>
      <c r="N253" s="243"/>
      <c r="O253" s="243"/>
      <c r="P253" s="243"/>
      <c r="Q253" s="243"/>
      <c r="R253" s="243"/>
      <c r="S253" s="242">
        <f t="shared" si="22"/>
        <v>0</v>
      </c>
      <c r="U253" s="332"/>
    </row>
    <row r="254" spans="1:24" s="185" customFormat="1" ht="12" customHeight="1" x14ac:dyDescent="0.2">
      <c r="A254" s="181">
        <v>615175</v>
      </c>
      <c r="B254" s="182" t="s">
        <v>331</v>
      </c>
      <c r="C254" s="183" t="s">
        <v>163</v>
      </c>
      <c r="D254" s="183" t="s">
        <v>179</v>
      </c>
      <c r="E254" s="244">
        <f>+LYON!H71</f>
        <v>-32</v>
      </c>
      <c r="F254" s="244">
        <f>+LYON!I71</f>
        <v>690.93000000000006</v>
      </c>
      <c r="G254" s="244">
        <f>+LYON!J71</f>
        <v>690.89</v>
      </c>
      <c r="H254" s="244">
        <f>+LYON!K71</f>
        <v>694.16000000000008</v>
      </c>
      <c r="I254" s="244">
        <f>+LYON!L71</f>
        <v>694.16000000000008</v>
      </c>
      <c r="J254" s="244">
        <f>+LYON!M71</f>
        <v>694.16000000000008</v>
      </c>
      <c r="K254" s="244">
        <f>+LYON!N71</f>
        <v>694.16000000000008</v>
      </c>
      <c r="L254" s="244">
        <f>+LYON!O71</f>
        <v>694.16000000000008</v>
      </c>
      <c r="M254" s="244">
        <f>+LYON!P71</f>
        <v>694.16000000000008</v>
      </c>
      <c r="N254" s="244">
        <f>+LYON!Q71</f>
        <v>694.16000000000008</v>
      </c>
      <c r="O254" s="244">
        <f>+LYON!R71</f>
        <v>694.16000000000008</v>
      </c>
      <c r="P254" s="244">
        <f>+LYON!S71</f>
        <v>-2305.84</v>
      </c>
      <c r="Q254" s="244">
        <f>+LYON!T71</f>
        <v>394.16</v>
      </c>
      <c r="R254" s="244">
        <f>+LYON!U71</f>
        <v>0</v>
      </c>
      <c r="S254" s="242">
        <f t="shared" si="22"/>
        <v>4991.4199999999992</v>
      </c>
      <c r="U254" s="332"/>
    </row>
    <row r="255" spans="1:24" s="185" customFormat="1" ht="12" customHeight="1" x14ac:dyDescent="0.2">
      <c r="A255" s="181"/>
      <c r="B255" s="182"/>
      <c r="C255" s="183"/>
      <c r="D255" s="183"/>
      <c r="E255" s="243"/>
      <c r="F255" s="243"/>
      <c r="G255" s="243"/>
      <c r="H255" s="243"/>
      <c r="I255" s="243"/>
      <c r="J255" s="243"/>
      <c r="K255" s="243"/>
      <c r="L255" s="243"/>
      <c r="M255" s="243"/>
      <c r="N255" s="243"/>
      <c r="O255" s="243"/>
      <c r="P255" s="243"/>
      <c r="Q255" s="243"/>
      <c r="R255" s="243"/>
      <c r="S255" s="242">
        <f t="shared" si="22"/>
        <v>0</v>
      </c>
      <c r="U255" s="332"/>
    </row>
    <row r="256" spans="1:24" s="185" customFormat="1" ht="12" customHeight="1" x14ac:dyDescent="0.2">
      <c r="A256" s="181">
        <v>615175</v>
      </c>
      <c r="B256" s="182" t="s">
        <v>331</v>
      </c>
      <c r="C256" s="183" t="s">
        <v>130</v>
      </c>
      <c r="D256" s="183" t="s">
        <v>179</v>
      </c>
      <c r="E256" s="244">
        <f>+BORDEAUX!H75</f>
        <v>0</v>
      </c>
      <c r="F256" s="244">
        <f>+BORDEAUX!I75</f>
        <v>382.06</v>
      </c>
      <c r="G256" s="244">
        <f>+BORDEAUX!J75</f>
        <v>382.06</v>
      </c>
      <c r="H256" s="244">
        <f>+BORDEAUX!K75</f>
        <v>345.36</v>
      </c>
      <c r="I256" s="244">
        <f>+BORDEAUX!L75</f>
        <v>345.36</v>
      </c>
      <c r="J256" s="244">
        <f>+BORDEAUX!M75</f>
        <v>345.36</v>
      </c>
      <c r="K256" s="244">
        <f>+BORDEAUX!N75</f>
        <v>345.36</v>
      </c>
      <c r="L256" s="244">
        <f>+BORDEAUX!O75</f>
        <v>345.36</v>
      </c>
      <c r="M256" s="244">
        <f>+BORDEAUX!P75</f>
        <v>345.36</v>
      </c>
      <c r="N256" s="244">
        <f>+BORDEAUX!Q75</f>
        <v>345.36</v>
      </c>
      <c r="O256" s="244">
        <f>+BORDEAUX!R75</f>
        <v>345.36</v>
      </c>
      <c r="P256" s="244">
        <f>+BORDEAUX!S75</f>
        <v>345.36</v>
      </c>
      <c r="Q256" s="244">
        <f>+BORDEAUX!T75</f>
        <v>345.28000000000003</v>
      </c>
      <c r="R256" s="244"/>
      <c r="S256" s="242">
        <f t="shared" si="22"/>
        <v>4217.6400000000012</v>
      </c>
      <c r="U256" s="332"/>
    </row>
    <row r="257" spans="1:24" s="185" customFormat="1" ht="12" customHeight="1" x14ac:dyDescent="0.2">
      <c r="A257" s="181"/>
      <c r="B257" s="182"/>
      <c r="C257" s="183"/>
      <c r="D257" s="183"/>
      <c r="E257" s="243"/>
      <c r="F257" s="243"/>
      <c r="G257" s="243"/>
      <c r="H257" s="243"/>
      <c r="I257" s="243"/>
      <c r="J257" s="243"/>
      <c r="K257" s="243"/>
      <c r="L257" s="243"/>
      <c r="M257" s="243"/>
      <c r="N257" s="243"/>
      <c r="O257" s="243"/>
      <c r="P257" s="243"/>
      <c r="Q257" s="243"/>
      <c r="R257" s="243"/>
      <c r="S257" s="242">
        <f t="shared" si="22"/>
        <v>0</v>
      </c>
      <c r="U257" s="332"/>
    </row>
    <row r="258" spans="1:24" s="185" customFormat="1" ht="12" customHeight="1" x14ac:dyDescent="0.2">
      <c r="A258" s="181">
        <v>615175</v>
      </c>
      <c r="B258" s="182" t="s">
        <v>331</v>
      </c>
      <c r="C258" s="183" t="s">
        <v>153</v>
      </c>
      <c r="D258" s="183" t="s">
        <v>179</v>
      </c>
      <c r="E258" s="244">
        <f>+NANCY!H53</f>
        <v>0</v>
      </c>
      <c r="F258" s="244">
        <f>+NANCY!I53</f>
        <v>313.54000000000002</v>
      </c>
      <c r="G258" s="244">
        <f>+NANCY!J53</f>
        <v>313.54000000000002</v>
      </c>
      <c r="H258" s="244">
        <f>+NANCY!K53</f>
        <v>313.54000000000002</v>
      </c>
      <c r="I258" s="244">
        <f>+NANCY!L53</f>
        <v>313.54000000000002</v>
      </c>
      <c r="J258" s="244">
        <f>+NANCY!M53</f>
        <v>313.54000000000002</v>
      </c>
      <c r="K258" s="244">
        <f>+NANCY!N53</f>
        <v>313.54000000000002</v>
      </c>
      <c r="L258" s="244">
        <f>+NANCY!O53</f>
        <v>313.54000000000002</v>
      </c>
      <c r="M258" s="244">
        <f>+NANCY!P53</f>
        <v>313.54000000000002</v>
      </c>
      <c r="N258" s="244">
        <f>+NANCY!Q53</f>
        <v>313.54000000000002</v>
      </c>
      <c r="O258" s="244">
        <f>+NANCY!R53</f>
        <v>313.54000000000002</v>
      </c>
      <c r="P258" s="244">
        <f>+NANCY!S53</f>
        <v>313.54000000000002</v>
      </c>
      <c r="Q258" s="243">
        <f>+NANCY!T53</f>
        <v>313.47000000000003</v>
      </c>
      <c r="R258" s="243">
        <f>+NANCY!U53</f>
        <v>0</v>
      </c>
      <c r="S258" s="242">
        <f t="shared" si="22"/>
        <v>3762.41</v>
      </c>
      <c r="U258" s="332"/>
    </row>
    <row r="259" spans="1:24" s="185" customFormat="1" ht="12" customHeight="1" x14ac:dyDescent="0.2">
      <c r="A259" s="181"/>
      <c r="B259" s="182"/>
      <c r="C259" s="183"/>
      <c r="D259" s="183"/>
      <c r="E259" s="244"/>
      <c r="F259" s="244"/>
      <c r="G259" s="243"/>
      <c r="H259" s="243"/>
      <c r="I259" s="243"/>
      <c r="J259" s="243"/>
      <c r="K259" s="243"/>
      <c r="L259" s="243"/>
      <c r="M259" s="243"/>
      <c r="N259" s="243"/>
      <c r="O259" s="243"/>
      <c r="P259" s="243"/>
      <c r="Q259" s="243"/>
      <c r="R259" s="243"/>
      <c r="S259" s="242">
        <f t="shared" si="22"/>
        <v>0</v>
      </c>
      <c r="U259" s="332"/>
    </row>
    <row r="260" spans="1:24" s="185" customFormat="1" ht="12" customHeight="1" x14ac:dyDescent="0.2">
      <c r="A260" s="181">
        <v>615175</v>
      </c>
      <c r="B260" s="182" t="s">
        <v>331</v>
      </c>
      <c r="C260" s="183" t="s">
        <v>143</v>
      </c>
      <c r="D260" s="183" t="s">
        <v>179</v>
      </c>
      <c r="E260" s="244">
        <f>+RENNES!H72</f>
        <v>0</v>
      </c>
      <c r="F260" s="244">
        <f>+RENNES!I72</f>
        <v>444.54</v>
      </c>
      <c r="G260" s="244">
        <f>+RENNES!J72</f>
        <v>444.49</v>
      </c>
      <c r="H260" s="244">
        <f>+RENNES!K72</f>
        <v>426.19</v>
      </c>
      <c r="I260" s="244">
        <f>+RENNES!L72</f>
        <v>426.19</v>
      </c>
      <c r="J260" s="244">
        <f>+RENNES!M72</f>
        <v>426.19</v>
      </c>
      <c r="K260" s="244">
        <f>+RENNES!N72</f>
        <v>426.19</v>
      </c>
      <c r="L260" s="244">
        <f>+RENNES!O72</f>
        <v>426.19</v>
      </c>
      <c r="M260" s="244">
        <f>+RENNES!P72</f>
        <v>426.19</v>
      </c>
      <c r="N260" s="244">
        <f>+RENNES!Q72</f>
        <v>426.19</v>
      </c>
      <c r="O260" s="244">
        <f>+RENNES!R72</f>
        <v>426.19</v>
      </c>
      <c r="P260" s="244">
        <f>+RENNES!S72</f>
        <v>426.19</v>
      </c>
      <c r="Q260" s="244">
        <f>+RENNES!T72</f>
        <v>426.12</v>
      </c>
      <c r="R260" s="244">
        <f>+RENNES!U72</f>
        <v>0</v>
      </c>
      <c r="S260" s="242">
        <f t="shared" si="22"/>
        <v>5150.8599999999997</v>
      </c>
      <c r="U260" s="332"/>
    </row>
    <row r="261" spans="1:24" s="185" customFormat="1" ht="12" customHeight="1" x14ac:dyDescent="0.2">
      <c r="A261" s="181"/>
      <c r="B261" s="182"/>
      <c r="C261" s="183"/>
      <c r="D261" s="183"/>
      <c r="E261" s="244"/>
      <c r="F261" s="244"/>
      <c r="G261" s="243"/>
      <c r="H261" s="243"/>
      <c r="I261" s="243"/>
      <c r="J261" s="243"/>
      <c r="K261" s="243"/>
      <c r="L261" s="243"/>
      <c r="M261" s="243"/>
      <c r="N261" s="243"/>
      <c r="O261" s="243"/>
      <c r="P261" s="243"/>
      <c r="Q261" s="243"/>
      <c r="R261" s="243"/>
      <c r="S261" s="242">
        <f t="shared" si="22"/>
        <v>0</v>
      </c>
      <c r="U261" s="332"/>
    </row>
    <row r="262" spans="1:24" s="185" customFormat="1" ht="12" customHeight="1" x14ac:dyDescent="0.2">
      <c r="A262" s="181">
        <v>615175</v>
      </c>
      <c r="B262" s="182" t="s">
        <v>331</v>
      </c>
      <c r="C262" s="183" t="s">
        <v>157</v>
      </c>
      <c r="D262" s="183" t="s">
        <v>179</v>
      </c>
      <c r="E262" s="244">
        <f>+BEAUVAIS!H73</f>
        <v>0</v>
      </c>
      <c r="F262" s="244">
        <f>+BEAUVAIS!I73</f>
        <v>689.86999999999989</v>
      </c>
      <c r="G262" s="244">
        <f>+BEAUVAIS!J73</f>
        <v>689.86999999999989</v>
      </c>
      <c r="H262" s="244">
        <f>+BEAUVAIS!K73</f>
        <v>488.12</v>
      </c>
      <c r="I262" s="244">
        <f>+BEAUVAIS!L73</f>
        <v>488.07</v>
      </c>
      <c r="J262" s="244">
        <f>+BEAUVAIS!M73</f>
        <v>488.07</v>
      </c>
      <c r="K262" s="244">
        <f>+BEAUVAIS!N73</f>
        <v>488.07</v>
      </c>
      <c r="L262" s="244">
        <f>+BEAUVAIS!O73</f>
        <v>488.07</v>
      </c>
      <c r="M262" s="244">
        <f>+BEAUVAIS!P73</f>
        <v>488.07</v>
      </c>
      <c r="N262" s="244">
        <f>+BEAUVAIS!Q73</f>
        <v>488.07</v>
      </c>
      <c r="O262" s="244">
        <f>+BEAUVAIS!R73</f>
        <v>488.07</v>
      </c>
      <c r="P262" s="244">
        <f>+BEAUVAIS!S73</f>
        <v>488.07</v>
      </c>
      <c r="Q262" s="244">
        <f>+BEAUVAIS!T73</f>
        <v>488</v>
      </c>
      <c r="R262" s="244">
        <f>+BEAUVAIS!U73</f>
        <v>0</v>
      </c>
      <c r="S262" s="242">
        <f t="shared" si="22"/>
        <v>6260.4199999999992</v>
      </c>
      <c r="U262" s="332"/>
    </row>
    <row r="263" spans="1:24" s="185" customFormat="1" ht="12" customHeight="1" x14ac:dyDescent="0.2">
      <c r="A263" s="181"/>
      <c r="B263" s="182"/>
      <c r="C263" s="183"/>
      <c r="D263" s="183"/>
      <c r="E263" s="244"/>
      <c r="F263" s="244"/>
      <c r="G263" s="243"/>
      <c r="H263" s="243"/>
      <c r="I263" s="243"/>
      <c r="J263" s="243"/>
      <c r="K263" s="243"/>
      <c r="L263" s="243"/>
      <c r="M263" s="243"/>
      <c r="N263" s="243"/>
      <c r="O263" s="243"/>
      <c r="P263" s="243"/>
      <c r="Q263" s="243"/>
      <c r="R263" s="243"/>
      <c r="S263" s="242">
        <f t="shared" si="22"/>
        <v>0</v>
      </c>
      <c r="U263" s="332"/>
    </row>
    <row r="264" spans="1:24" s="185" customFormat="1" ht="12" customHeight="1" x14ac:dyDescent="0.2">
      <c r="A264" s="181">
        <v>615175</v>
      </c>
      <c r="B264" s="182" t="s">
        <v>331</v>
      </c>
      <c r="C264" s="183" t="s">
        <v>205</v>
      </c>
      <c r="D264" s="183" t="s">
        <v>179</v>
      </c>
      <c r="E264" s="244">
        <f>+TOULOUSE!H47</f>
        <v>-243.76</v>
      </c>
      <c r="F264" s="244">
        <f>+TOULOUSE!I47</f>
        <v>151.01</v>
      </c>
      <c r="G264" s="244">
        <f>+TOULOUSE!J47</f>
        <v>151.01</v>
      </c>
      <c r="H264" s="244">
        <f>+TOULOUSE!K47</f>
        <v>77.61</v>
      </c>
      <c r="I264" s="244">
        <f>+TOULOUSE!L47</f>
        <v>77.61</v>
      </c>
      <c r="J264" s="244">
        <f>+TOULOUSE!M47</f>
        <v>77.61</v>
      </c>
      <c r="K264" s="244">
        <f>+TOULOUSE!N47</f>
        <v>77.61</v>
      </c>
      <c r="L264" s="244">
        <f>+TOULOUSE!O47</f>
        <v>77.61</v>
      </c>
      <c r="M264" s="244">
        <f>+TOULOUSE!P47</f>
        <v>77.61</v>
      </c>
      <c r="N264" s="244">
        <f>+TOULOUSE!Q47</f>
        <v>77.61</v>
      </c>
      <c r="O264" s="244">
        <f>+TOULOUSE!R47</f>
        <v>77.61</v>
      </c>
      <c r="P264" s="244">
        <f>+TOULOUSE!S47</f>
        <v>77.61</v>
      </c>
      <c r="Q264" s="244">
        <f>+TOULOUSE!T47</f>
        <v>77.61</v>
      </c>
      <c r="R264" s="244">
        <f>+TOULOUSE!U47</f>
        <v>0</v>
      </c>
      <c r="S264" s="242">
        <f t="shared" si="22"/>
        <v>834.36000000000013</v>
      </c>
      <c r="U264" s="332"/>
    </row>
    <row r="265" spans="1:24" s="185" customFormat="1" ht="12" customHeight="1" x14ac:dyDescent="0.2">
      <c r="A265" s="181"/>
      <c r="B265" s="182"/>
      <c r="C265" s="183"/>
      <c r="D265" s="183"/>
      <c r="E265" s="244"/>
      <c r="F265" s="244"/>
      <c r="G265" s="244"/>
      <c r="H265" s="244"/>
      <c r="I265" s="244"/>
      <c r="J265" s="244"/>
      <c r="K265" s="244"/>
      <c r="L265" s="244"/>
      <c r="M265" s="244"/>
      <c r="N265" s="244"/>
      <c r="O265" s="244"/>
      <c r="P265" s="244"/>
      <c r="Q265" s="244"/>
      <c r="R265" s="244"/>
      <c r="S265" s="242"/>
      <c r="U265" s="332"/>
    </row>
    <row r="266" spans="1:24" s="185" customFormat="1" ht="12" customHeight="1" x14ac:dyDescent="0.2">
      <c r="A266" s="181">
        <v>615175</v>
      </c>
      <c r="B266" s="182" t="s">
        <v>331</v>
      </c>
      <c r="C266" s="183" t="s">
        <v>79</v>
      </c>
      <c r="D266" s="183" t="s">
        <v>179</v>
      </c>
      <c r="E266" s="244">
        <f>+SIEGE!H29</f>
        <v>0</v>
      </c>
      <c r="F266" s="244">
        <f>+SIEGE!I29</f>
        <v>0</v>
      </c>
      <c r="G266" s="244">
        <f>+SIEGE!J29</f>
        <v>0</v>
      </c>
      <c r="H266" s="244">
        <f>+SIEGE!K29</f>
        <v>0</v>
      </c>
      <c r="I266" s="244">
        <f>+SIEGE!L29</f>
        <v>0</v>
      </c>
      <c r="J266" s="244">
        <f>+SIEGE!M29</f>
        <v>0</v>
      </c>
      <c r="K266" s="244">
        <f>+SIEGE!N29</f>
        <v>28</v>
      </c>
      <c r="L266" s="244">
        <f>+SIEGE!O29</f>
        <v>0</v>
      </c>
      <c r="M266" s="244">
        <f>+SIEGE!P29</f>
        <v>0</v>
      </c>
      <c r="N266" s="244">
        <f>+SIEGE!Q29</f>
        <v>0</v>
      </c>
      <c r="O266" s="244">
        <f>+SIEGE!R29</f>
        <v>0</v>
      </c>
      <c r="P266" s="244">
        <f>+SIEGE!S29</f>
        <v>0</v>
      </c>
      <c r="Q266" s="244">
        <f>+SIEGE!T29</f>
        <v>0</v>
      </c>
      <c r="R266" s="244">
        <f>+SIEGE!U29</f>
        <v>0</v>
      </c>
      <c r="S266" s="242">
        <f>SUM(E266:Q266)</f>
        <v>28</v>
      </c>
      <c r="U266" s="332"/>
    </row>
    <row r="267" spans="1:24" s="185" customFormat="1" ht="12" customHeight="1" x14ac:dyDescent="0.2">
      <c r="A267" s="181"/>
      <c r="B267" s="182"/>
      <c r="C267" s="183"/>
      <c r="D267" s="183"/>
      <c r="E267" s="244"/>
      <c r="F267" s="244"/>
      <c r="G267" s="244"/>
      <c r="H267" s="244"/>
      <c r="I267" s="244"/>
      <c r="J267" s="244"/>
      <c r="K267" s="244"/>
      <c r="L267" s="244"/>
      <c r="M267" s="244"/>
      <c r="N267" s="244"/>
      <c r="O267" s="244"/>
      <c r="P267" s="244"/>
      <c r="Q267" s="244"/>
      <c r="R267" s="244"/>
      <c r="S267" s="242"/>
      <c r="U267" s="332"/>
    </row>
    <row r="268" spans="1:24" s="185" customFormat="1" ht="24" customHeight="1" x14ac:dyDescent="0.2">
      <c r="A268" s="267"/>
      <c r="B268" s="268"/>
      <c r="C268" s="267"/>
      <c r="D268" s="267"/>
      <c r="E268" s="269">
        <f>+SUM(E249:E267)</f>
        <v>-275.76</v>
      </c>
      <c r="F268" s="269">
        <f>+SUM(F249:F267)</f>
        <v>4458.9699999999993</v>
      </c>
      <c r="G268" s="269">
        <f t="shared" ref="G268:S268" si="23">+SUM(G249:G267)</f>
        <v>4458.87</v>
      </c>
      <c r="H268" s="269">
        <f t="shared" si="23"/>
        <v>3714.64</v>
      </c>
      <c r="I268" s="269">
        <f t="shared" si="23"/>
        <v>3714.59</v>
      </c>
      <c r="J268" s="269">
        <f t="shared" si="23"/>
        <v>3714.59</v>
      </c>
      <c r="K268" s="269">
        <f t="shared" si="23"/>
        <v>3742.59</v>
      </c>
      <c r="L268" s="269">
        <f t="shared" si="23"/>
        <v>3714.59</v>
      </c>
      <c r="M268" s="269">
        <f t="shared" si="23"/>
        <v>3714.59</v>
      </c>
      <c r="N268" s="269">
        <f t="shared" si="23"/>
        <v>3714.59</v>
      </c>
      <c r="O268" s="269">
        <f t="shared" si="23"/>
        <v>3714.59</v>
      </c>
      <c r="P268" s="269">
        <f t="shared" si="23"/>
        <v>714.5899999999998</v>
      </c>
      <c r="Q268" s="269">
        <f t="shared" si="23"/>
        <v>3414.22</v>
      </c>
      <c r="R268" s="269">
        <f>+SUM(R249:R267)</f>
        <v>0</v>
      </c>
      <c r="S268" s="269">
        <f t="shared" si="23"/>
        <v>42515.659999999996</v>
      </c>
      <c r="T268" s="212">
        <v>39101.440000000002</v>
      </c>
      <c r="U268" s="334">
        <f>T268-S268</f>
        <v>-3414.2199999999939</v>
      </c>
      <c r="V268" s="185" t="s">
        <v>853</v>
      </c>
      <c r="X268" s="569">
        <f>U268-CENTRALISATION!V269</f>
        <v>0</v>
      </c>
    </row>
    <row r="269" spans="1:24" x14ac:dyDescent="0.2">
      <c r="A269" s="159">
        <v>615176</v>
      </c>
      <c r="B269" s="160" t="s">
        <v>227</v>
      </c>
      <c r="C269" s="148" t="s">
        <v>145</v>
      </c>
      <c r="D269" s="148" t="s">
        <v>192</v>
      </c>
      <c r="E269" s="240">
        <f>+FLEURY!H83+FLEURY!H84</f>
        <v>0</v>
      </c>
      <c r="F269" s="240">
        <f>+FLEURY!I83+FLEURY!I84</f>
        <v>0</v>
      </c>
      <c r="G269" s="240">
        <f>+FLEURY!J83+FLEURY!J84</f>
        <v>583.05999999999995</v>
      </c>
      <c r="H269" s="240">
        <f>+FLEURY!K83+FLEURY!K84</f>
        <v>0</v>
      </c>
      <c r="I269" s="240">
        <f>+FLEURY!L83+FLEURY!L84</f>
        <v>0</v>
      </c>
      <c r="J269" s="240">
        <f>+FLEURY!M83+FLEURY!M84</f>
        <v>497</v>
      </c>
      <c r="K269" s="240">
        <f>+FLEURY!N83+FLEURY!N84</f>
        <v>4443.7</v>
      </c>
      <c r="L269" s="240">
        <f>+FLEURY!O83+FLEURY!O84</f>
        <v>804</v>
      </c>
      <c r="M269" s="240">
        <f>+FLEURY!P83+FLEURY!P84</f>
        <v>1360</v>
      </c>
      <c r="N269" s="240">
        <f>+FLEURY!Q83+FLEURY!Q84</f>
        <v>0</v>
      </c>
      <c r="O269" s="240">
        <f>+FLEURY!R83+FLEURY!R84</f>
        <v>130</v>
      </c>
      <c r="P269" s="240">
        <f>+FLEURY!S83+FLEURY!S84</f>
        <v>2145.06</v>
      </c>
      <c r="Q269" s="240">
        <f>+FLEURY!T83+FLEURY!T84</f>
        <v>0</v>
      </c>
      <c r="R269" s="240">
        <f>+FLEURY!U83+FLEURY!U84</f>
        <v>0</v>
      </c>
      <c r="S269" s="242">
        <f>SUM(E269:Q269)</f>
        <v>9962.82</v>
      </c>
    </row>
    <row r="270" spans="1:24" x14ac:dyDescent="0.2">
      <c r="A270" s="159">
        <v>615176</v>
      </c>
      <c r="B270" s="160" t="s">
        <v>227</v>
      </c>
      <c r="C270" s="148" t="s">
        <v>145</v>
      </c>
      <c r="D270" s="148" t="s">
        <v>179</v>
      </c>
      <c r="E270" s="240">
        <f>+FLEURY!H85</f>
        <v>-2208.36</v>
      </c>
      <c r="F270" s="240">
        <f>+FLEURY!I85</f>
        <v>0</v>
      </c>
      <c r="G270" s="240">
        <f>+FLEURY!J85</f>
        <v>0</v>
      </c>
      <c r="H270" s="240">
        <f>+FLEURY!K85</f>
        <v>0</v>
      </c>
      <c r="I270" s="240">
        <f>+FLEURY!L85</f>
        <v>0</v>
      </c>
      <c r="J270" s="240">
        <f>+FLEURY!M85</f>
        <v>0</v>
      </c>
      <c r="K270" s="240">
        <f>+FLEURY!N85</f>
        <v>0</v>
      </c>
      <c r="L270" s="240">
        <f>+FLEURY!O85</f>
        <v>0</v>
      </c>
      <c r="M270" s="240">
        <f>+FLEURY!P85</f>
        <v>0</v>
      </c>
      <c r="N270" s="240">
        <f>+FLEURY!Q85</f>
        <v>0</v>
      </c>
      <c r="O270" s="240">
        <f>+FLEURY!R85</f>
        <v>0</v>
      </c>
      <c r="P270" s="240">
        <f>+FLEURY!S85</f>
        <v>0</v>
      </c>
      <c r="Q270" s="240">
        <f>+FLEURY!T85</f>
        <v>0</v>
      </c>
      <c r="R270" s="240">
        <f>+FLEURY!U85</f>
        <v>0</v>
      </c>
      <c r="S270" s="242">
        <f>SUM(E270:Q270)</f>
        <v>-2208.36</v>
      </c>
    </row>
    <row r="271" spans="1:24" s="185" customFormat="1" ht="12" customHeight="1" x14ac:dyDescent="0.2">
      <c r="A271" s="181"/>
      <c r="B271" s="182"/>
      <c r="C271" s="183"/>
      <c r="D271" s="148"/>
      <c r="E271" s="244"/>
      <c r="F271" s="244"/>
      <c r="G271" s="244"/>
      <c r="H271" s="244"/>
      <c r="I271" s="244"/>
      <c r="J271" s="244"/>
      <c r="K271" s="244"/>
      <c r="L271" s="244"/>
      <c r="M271" s="244"/>
      <c r="N271" s="244"/>
      <c r="O271" s="244"/>
      <c r="P271" s="244"/>
      <c r="Q271" s="244"/>
      <c r="R271" s="244"/>
      <c r="S271" s="243"/>
      <c r="U271" s="332"/>
    </row>
    <row r="272" spans="1:24" x14ac:dyDescent="0.2">
      <c r="A272" s="159">
        <v>615176</v>
      </c>
      <c r="B272" s="160" t="s">
        <v>227</v>
      </c>
      <c r="C272" s="148" t="s">
        <v>108</v>
      </c>
      <c r="D272" s="148" t="s">
        <v>192</v>
      </c>
      <c r="E272" s="240">
        <f>AIX!H78+AIX!H79</f>
        <v>0</v>
      </c>
      <c r="F272" s="240">
        <f>AIX!I78+AIX!I79</f>
        <v>0</v>
      </c>
      <c r="G272" s="240">
        <f>AIX!J78+AIX!J79</f>
        <v>0</v>
      </c>
      <c r="H272" s="240">
        <f>AIX!K78+AIX!K79</f>
        <v>0</v>
      </c>
      <c r="I272" s="240">
        <f>AIX!L78+AIX!L79</f>
        <v>0</v>
      </c>
      <c r="J272" s="240">
        <f>AIX!M78+AIX!M79</f>
        <v>0</v>
      </c>
      <c r="K272" s="240">
        <f>AIX!N78+AIX!N79</f>
        <v>0</v>
      </c>
      <c r="L272" s="240">
        <f>AIX!O78+AIX!O79</f>
        <v>0</v>
      </c>
      <c r="M272" s="240">
        <f>AIX!P78+AIX!P79</f>
        <v>0</v>
      </c>
      <c r="N272" s="240">
        <f>AIX!Q78+AIX!Q79</f>
        <v>0</v>
      </c>
      <c r="O272" s="240">
        <f>AIX!R78+AIX!R79</f>
        <v>1274</v>
      </c>
      <c r="P272" s="240">
        <f>AIX!S78+AIX!S79</f>
        <v>0</v>
      </c>
      <c r="Q272" s="240">
        <f>AIX!T78+AIX!T79</f>
        <v>0</v>
      </c>
      <c r="R272" s="240">
        <f>AIX!U78+AIX!U79</f>
        <v>0</v>
      </c>
      <c r="S272" s="242">
        <f>SUM(E272:Q272)</f>
        <v>1274</v>
      </c>
    </row>
    <row r="273" spans="1:21" x14ac:dyDescent="0.2">
      <c r="A273" s="159">
        <v>615176</v>
      </c>
      <c r="B273" s="160" t="s">
        <v>227</v>
      </c>
      <c r="C273" s="148" t="s">
        <v>108</v>
      </c>
      <c r="D273" s="148" t="s">
        <v>179</v>
      </c>
      <c r="E273" s="240">
        <f>+AIX!H80</f>
        <v>0</v>
      </c>
      <c r="F273" s="240">
        <f>+AIX!I80</f>
        <v>0</v>
      </c>
      <c r="G273" s="240">
        <f>+AIX!J80</f>
        <v>0</v>
      </c>
      <c r="H273" s="240">
        <f>+AIX!K80</f>
        <v>0</v>
      </c>
      <c r="I273" s="240">
        <f>+AIX!L80</f>
        <v>0</v>
      </c>
      <c r="J273" s="240">
        <f>+AIX!M80</f>
        <v>0</v>
      </c>
      <c r="K273" s="240">
        <f>+AIX!N80</f>
        <v>0</v>
      </c>
      <c r="L273" s="240">
        <f>+AIX!O80</f>
        <v>0</v>
      </c>
      <c r="M273" s="240">
        <f>+AIX!P80</f>
        <v>0</v>
      </c>
      <c r="N273" s="240">
        <f>+AIX!Q80</f>
        <v>0</v>
      </c>
      <c r="O273" s="240">
        <f>+AIX!R80</f>
        <v>0</v>
      </c>
      <c r="P273" s="240">
        <f>+AIX!S80</f>
        <v>0</v>
      </c>
      <c r="Q273" s="240">
        <f>+AIX!T80</f>
        <v>0</v>
      </c>
      <c r="R273" s="240">
        <f>+AIX!U80</f>
        <v>0</v>
      </c>
      <c r="S273" s="242">
        <f>SUM(E273:Q273)</f>
        <v>0</v>
      </c>
    </row>
    <row r="274" spans="1:21" s="185" customFormat="1" ht="12" customHeight="1" x14ac:dyDescent="0.2">
      <c r="A274" s="181"/>
      <c r="B274" s="182"/>
      <c r="C274" s="183"/>
      <c r="D274" s="148"/>
      <c r="E274" s="244"/>
      <c r="F274" s="244"/>
      <c r="G274" s="244"/>
      <c r="H274" s="244"/>
      <c r="I274" s="244"/>
      <c r="J274" s="244"/>
      <c r="K274" s="244"/>
      <c r="L274" s="244"/>
      <c r="M274" s="244"/>
      <c r="N274" s="244"/>
      <c r="O274" s="244"/>
      <c r="P274" s="244"/>
      <c r="Q274" s="244"/>
      <c r="R274" s="244"/>
      <c r="S274" s="243"/>
      <c r="U274" s="332"/>
    </row>
    <row r="275" spans="1:21" x14ac:dyDescent="0.2">
      <c r="A275" s="159">
        <v>615176</v>
      </c>
      <c r="B275" s="160" t="s">
        <v>227</v>
      </c>
      <c r="C275" s="148" t="s">
        <v>163</v>
      </c>
      <c r="D275" s="148" t="s">
        <v>192</v>
      </c>
      <c r="E275" s="240">
        <f>LYON!H74+LYON!H75</f>
        <v>0</v>
      </c>
      <c r="F275" s="240">
        <f>LYON!I74+LYON!I75</f>
        <v>0</v>
      </c>
      <c r="G275" s="240">
        <f>LYON!J74+LYON!J75</f>
        <v>0</v>
      </c>
      <c r="H275" s="240">
        <f>LYON!K74+LYON!K75</f>
        <v>0</v>
      </c>
      <c r="I275" s="240">
        <f>LYON!L74+LYON!L75</f>
        <v>939.83999999999992</v>
      </c>
      <c r="J275" s="240">
        <f>LYON!M74+LYON!M75</f>
        <v>530.17999999999995</v>
      </c>
      <c r="K275" s="240">
        <f>LYON!N74+LYON!N75</f>
        <v>0</v>
      </c>
      <c r="L275" s="240">
        <f>LYON!O74+LYON!O75</f>
        <v>0</v>
      </c>
      <c r="M275" s="240">
        <f>LYON!P74+LYON!P75</f>
        <v>0</v>
      </c>
      <c r="N275" s="240">
        <f>LYON!Q74+LYON!Q75</f>
        <v>399</v>
      </c>
      <c r="O275" s="240">
        <f>LYON!R74+LYON!R75</f>
        <v>0</v>
      </c>
      <c r="P275" s="240">
        <f>LYON!S74+LYON!S75</f>
        <v>5546.42</v>
      </c>
      <c r="Q275" s="240">
        <f>LYON!T74+LYON!T75</f>
        <v>130</v>
      </c>
      <c r="R275" s="240">
        <f>LYON!U74+LYON!U75</f>
        <v>0</v>
      </c>
      <c r="S275" s="242">
        <f>SUM(E275:Q275)</f>
        <v>7545.4400000000005</v>
      </c>
    </row>
    <row r="276" spans="1:21" x14ac:dyDescent="0.2">
      <c r="A276" s="159">
        <v>615176</v>
      </c>
      <c r="B276" s="160" t="s">
        <v>227</v>
      </c>
      <c r="C276" s="148" t="s">
        <v>163</v>
      </c>
      <c r="D276" s="148" t="s">
        <v>179</v>
      </c>
      <c r="E276" s="240"/>
      <c r="F276" s="240"/>
      <c r="G276" s="240"/>
      <c r="H276" s="240"/>
      <c r="I276" s="240"/>
      <c r="J276" s="240"/>
      <c r="K276" s="240"/>
      <c r="L276" s="240"/>
      <c r="M276" s="240"/>
      <c r="N276" s="240"/>
      <c r="O276" s="240"/>
      <c r="P276" s="240"/>
      <c r="Q276" s="240"/>
      <c r="R276" s="240"/>
      <c r="S276" s="242">
        <f>SUM(E276:Q276)</f>
        <v>0</v>
      </c>
    </row>
    <row r="277" spans="1:21" s="185" customFormat="1" ht="12" customHeight="1" x14ac:dyDescent="0.2">
      <c r="A277" s="181"/>
      <c r="B277" s="182"/>
      <c r="C277" s="183"/>
      <c r="D277" s="148"/>
      <c r="E277" s="244"/>
      <c r="F277" s="244"/>
      <c r="G277" s="244"/>
      <c r="H277" s="244"/>
      <c r="I277" s="244"/>
      <c r="J277" s="244"/>
      <c r="K277" s="244"/>
      <c r="L277" s="244"/>
      <c r="M277" s="244"/>
      <c r="N277" s="244"/>
      <c r="O277" s="244"/>
      <c r="P277" s="244"/>
      <c r="Q277" s="244"/>
      <c r="R277" s="244"/>
      <c r="S277" s="243"/>
      <c r="U277" s="332"/>
    </row>
    <row r="278" spans="1:21" x14ac:dyDescent="0.2">
      <c r="A278" s="159">
        <v>615176</v>
      </c>
      <c r="B278" s="160" t="s">
        <v>227</v>
      </c>
      <c r="C278" s="148" t="s">
        <v>130</v>
      </c>
      <c r="D278" s="148" t="s">
        <v>192</v>
      </c>
      <c r="E278" s="240">
        <f>+BORDEAUX!H78</f>
        <v>0</v>
      </c>
      <c r="F278" s="240">
        <f>+BORDEAUX!I78</f>
        <v>0</v>
      </c>
      <c r="G278" s="240">
        <f>+BORDEAUX!J78</f>
        <v>0</v>
      </c>
      <c r="H278" s="240">
        <f>+BORDEAUX!K78</f>
        <v>0</v>
      </c>
      <c r="I278" s="240">
        <f>+BORDEAUX!L78</f>
        <v>0</v>
      </c>
      <c r="J278" s="240">
        <f>+BORDEAUX!M78</f>
        <v>438.56</v>
      </c>
      <c r="K278" s="240">
        <f>+BORDEAUX!N78</f>
        <v>2582.42</v>
      </c>
      <c r="L278" s="240">
        <f>+BORDEAUX!O78</f>
        <v>0</v>
      </c>
      <c r="M278" s="240">
        <f>+BORDEAUX!P78</f>
        <v>0</v>
      </c>
      <c r="N278" s="240">
        <f>+BORDEAUX!Q78</f>
        <v>0</v>
      </c>
      <c r="O278" s="240">
        <f>+BORDEAUX!R78</f>
        <v>130</v>
      </c>
      <c r="P278" s="240">
        <f>+BORDEAUX!S78</f>
        <v>0</v>
      </c>
      <c r="Q278" s="240">
        <f>+BORDEAUX!T78</f>
        <v>0</v>
      </c>
      <c r="R278" s="240">
        <f>+BORDEAUX!U78</f>
        <v>0</v>
      </c>
      <c r="S278" s="242">
        <f>SUM(E278:Q278)</f>
        <v>3150.98</v>
      </c>
    </row>
    <row r="279" spans="1:21" x14ac:dyDescent="0.2">
      <c r="A279" s="159">
        <v>615176</v>
      </c>
      <c r="B279" s="160" t="s">
        <v>227</v>
      </c>
      <c r="C279" s="148" t="s">
        <v>130</v>
      </c>
      <c r="D279" s="148" t="s">
        <v>179</v>
      </c>
      <c r="E279" s="240">
        <f>+BORDEAUX!H79</f>
        <v>0</v>
      </c>
      <c r="F279" s="240">
        <f>+BORDEAUX!I79</f>
        <v>0</v>
      </c>
      <c r="G279" s="240">
        <f>+BORDEAUX!J79</f>
        <v>0</v>
      </c>
      <c r="H279" s="240">
        <f>+BORDEAUX!K79</f>
        <v>0</v>
      </c>
      <c r="I279" s="240">
        <f>+BORDEAUX!L79</f>
        <v>0</v>
      </c>
      <c r="J279" s="240">
        <f>+BORDEAUX!M79</f>
        <v>0</v>
      </c>
      <c r="K279" s="240">
        <f>+BORDEAUX!N79</f>
        <v>0</v>
      </c>
      <c r="L279" s="240">
        <f>+BORDEAUX!O79</f>
        <v>0</v>
      </c>
      <c r="M279" s="240">
        <f>+BORDEAUX!P79</f>
        <v>0</v>
      </c>
      <c r="N279" s="240">
        <f>+BORDEAUX!Q79</f>
        <v>0</v>
      </c>
      <c r="O279" s="240">
        <f>+BORDEAUX!R79</f>
        <v>0</v>
      </c>
      <c r="P279" s="240">
        <f>+BORDEAUX!S79</f>
        <v>0</v>
      </c>
      <c r="Q279" s="240">
        <f>+BORDEAUX!T79</f>
        <v>0</v>
      </c>
      <c r="R279" s="240">
        <f>+BORDEAUX!U79</f>
        <v>0</v>
      </c>
      <c r="S279" s="242">
        <f>SUM(E279:Q279)</f>
        <v>0</v>
      </c>
    </row>
    <row r="280" spans="1:21" s="185" customFormat="1" ht="12" customHeight="1" x14ac:dyDescent="0.2">
      <c r="A280" s="181"/>
      <c r="B280" s="182"/>
      <c r="C280" s="183"/>
      <c r="D280" s="148"/>
      <c r="E280" s="244"/>
      <c r="F280" s="244"/>
      <c r="G280" s="244"/>
      <c r="H280" s="244"/>
      <c r="I280" s="244"/>
      <c r="J280" s="244"/>
      <c r="K280" s="244"/>
      <c r="L280" s="244"/>
      <c r="M280" s="244"/>
      <c r="N280" s="244"/>
      <c r="O280" s="244"/>
      <c r="P280" s="244"/>
      <c r="Q280" s="244"/>
      <c r="R280" s="244"/>
      <c r="S280" s="243"/>
      <c r="U280" s="332"/>
    </row>
    <row r="281" spans="1:21" x14ac:dyDescent="0.2">
      <c r="A281" s="159">
        <v>615176</v>
      </c>
      <c r="B281" s="160" t="s">
        <v>227</v>
      </c>
      <c r="C281" s="148" t="s">
        <v>153</v>
      </c>
      <c r="D281" s="148" t="s">
        <v>192</v>
      </c>
      <c r="E281" s="240">
        <f>NANCY!H56</f>
        <v>32</v>
      </c>
      <c r="F281" s="240">
        <f>NANCY!I56</f>
        <v>0</v>
      </c>
      <c r="G281" s="240">
        <f>NANCY!J56</f>
        <v>0</v>
      </c>
      <c r="H281" s="240">
        <f>NANCY!K56</f>
        <v>0</v>
      </c>
      <c r="I281" s="240">
        <f>NANCY!L56</f>
        <v>0</v>
      </c>
      <c r="J281" s="240">
        <f>NANCY!M56</f>
        <v>0</v>
      </c>
      <c r="K281" s="240">
        <f>NANCY!N56</f>
        <v>262</v>
      </c>
      <c r="L281" s="240">
        <f>NANCY!O56</f>
        <v>0</v>
      </c>
      <c r="M281" s="240">
        <f>NANCY!P56</f>
        <v>0</v>
      </c>
      <c r="N281" s="240">
        <f>NANCY!Q56</f>
        <v>679</v>
      </c>
      <c r="O281" s="240">
        <f>NANCY!R56</f>
        <v>4740</v>
      </c>
      <c r="P281" s="240">
        <f>NANCY!S56</f>
        <v>0</v>
      </c>
      <c r="Q281" s="240">
        <f>NANCY!T56</f>
        <v>0</v>
      </c>
      <c r="R281" s="240">
        <f>NANCY!U56</f>
        <v>0</v>
      </c>
      <c r="S281" s="242">
        <f>SUM(E281:Q281)</f>
        <v>5713</v>
      </c>
    </row>
    <row r="282" spans="1:21" x14ac:dyDescent="0.2">
      <c r="A282" s="159">
        <v>615176</v>
      </c>
      <c r="B282" s="160" t="s">
        <v>227</v>
      </c>
      <c r="C282" s="148" t="s">
        <v>153</v>
      </c>
      <c r="D282" s="148" t="s">
        <v>179</v>
      </c>
      <c r="E282" s="240">
        <f>NANCY!H57</f>
        <v>0</v>
      </c>
      <c r="F282" s="240">
        <f>NANCY!I57</f>
        <v>0</v>
      </c>
      <c r="G282" s="240">
        <f>NANCY!J57</f>
        <v>0</v>
      </c>
      <c r="H282" s="240">
        <f>NANCY!K57</f>
        <v>0</v>
      </c>
      <c r="I282" s="240">
        <f>NANCY!L57</f>
        <v>0</v>
      </c>
      <c r="J282" s="240">
        <f>NANCY!M57</f>
        <v>0</v>
      </c>
      <c r="K282" s="240">
        <f>NANCY!N57</f>
        <v>0</v>
      </c>
      <c r="L282" s="240">
        <f>NANCY!O57</f>
        <v>0</v>
      </c>
      <c r="M282" s="240">
        <f>NANCY!P57</f>
        <v>0</v>
      </c>
      <c r="N282" s="240">
        <f>NANCY!Q57</f>
        <v>0</v>
      </c>
      <c r="O282" s="240">
        <f>NANCY!R57</f>
        <v>0</v>
      </c>
      <c r="P282" s="240">
        <f>NANCY!S57</f>
        <v>0</v>
      </c>
      <c r="Q282" s="240">
        <f>NANCY!T57</f>
        <v>0</v>
      </c>
      <c r="R282" s="240">
        <f>NANCY!U57</f>
        <v>0</v>
      </c>
      <c r="S282" s="242">
        <f>SUM(E282:Q282)</f>
        <v>0</v>
      </c>
    </row>
    <row r="283" spans="1:21" s="185" customFormat="1" ht="12" customHeight="1" x14ac:dyDescent="0.2">
      <c r="A283" s="181"/>
      <c r="B283" s="182"/>
      <c r="C283" s="183"/>
      <c r="D283" s="148"/>
      <c r="E283" s="244"/>
      <c r="F283" s="244"/>
      <c r="G283" s="244"/>
      <c r="H283" s="244"/>
      <c r="I283" s="244"/>
      <c r="J283" s="244"/>
      <c r="K283" s="244"/>
      <c r="L283" s="244"/>
      <c r="M283" s="244"/>
      <c r="N283" s="244"/>
      <c r="O283" s="244"/>
      <c r="P283" s="244"/>
      <c r="Q283" s="244"/>
      <c r="R283" s="244"/>
      <c r="S283" s="243"/>
      <c r="U283" s="332"/>
    </row>
    <row r="284" spans="1:21" x14ac:dyDescent="0.2">
      <c r="A284" s="159">
        <v>615176</v>
      </c>
      <c r="B284" s="160" t="s">
        <v>227</v>
      </c>
      <c r="C284" s="148" t="s">
        <v>143</v>
      </c>
      <c r="D284" s="148" t="s">
        <v>192</v>
      </c>
      <c r="E284" s="240">
        <f>RENNES!H75</f>
        <v>0</v>
      </c>
      <c r="F284" s="240">
        <f>RENNES!I75</f>
        <v>0</v>
      </c>
      <c r="G284" s="240">
        <f>RENNES!J75</f>
        <v>0</v>
      </c>
      <c r="H284" s="240">
        <f>RENNES!K75</f>
        <v>0</v>
      </c>
      <c r="I284" s="240">
        <f>RENNES!L75</f>
        <v>0</v>
      </c>
      <c r="J284" s="240">
        <f>RENNES!M75</f>
        <v>0</v>
      </c>
      <c r="K284" s="240">
        <f>RENNES!N75</f>
        <v>3295</v>
      </c>
      <c r="L284" s="240">
        <f>RENNES!O75</f>
        <v>160</v>
      </c>
      <c r="M284" s="240">
        <f>RENNES!P75</f>
        <v>0</v>
      </c>
      <c r="N284" s="240">
        <f>RENNES!Q75</f>
        <v>0</v>
      </c>
      <c r="O284" s="240">
        <f>RENNES!R75</f>
        <v>0</v>
      </c>
      <c r="P284" s="240">
        <f>RENNES!S75</f>
        <v>0</v>
      </c>
      <c r="Q284" s="240">
        <f>RENNES!T75</f>
        <v>0</v>
      </c>
      <c r="R284" s="240">
        <f>RENNES!U75</f>
        <v>0</v>
      </c>
      <c r="S284" s="242">
        <f>SUM(E284:Q284)</f>
        <v>3455</v>
      </c>
    </row>
    <row r="285" spans="1:21" x14ac:dyDescent="0.2">
      <c r="A285" s="159">
        <v>615176</v>
      </c>
      <c r="B285" s="160" t="s">
        <v>227</v>
      </c>
      <c r="C285" s="148" t="s">
        <v>143</v>
      </c>
      <c r="D285" s="148" t="s">
        <v>179</v>
      </c>
      <c r="E285" s="240">
        <f>RENNES!H76</f>
        <v>0</v>
      </c>
      <c r="F285" s="240">
        <f>RENNES!I76</f>
        <v>0</v>
      </c>
      <c r="G285" s="240">
        <f>RENNES!J76</f>
        <v>0</v>
      </c>
      <c r="H285" s="240">
        <f>RENNES!K76</f>
        <v>0</v>
      </c>
      <c r="I285" s="240">
        <f>RENNES!L76</f>
        <v>0</v>
      </c>
      <c r="J285" s="240">
        <f>RENNES!M76</f>
        <v>0</v>
      </c>
      <c r="K285" s="240">
        <f>RENNES!N76</f>
        <v>0</v>
      </c>
      <c r="L285" s="240">
        <f>RENNES!O76</f>
        <v>0</v>
      </c>
      <c r="M285" s="240">
        <f>RENNES!P76</f>
        <v>0</v>
      </c>
      <c r="N285" s="240">
        <f>RENNES!Q76</f>
        <v>0</v>
      </c>
      <c r="O285" s="240">
        <f>RENNES!R76</f>
        <v>0</v>
      </c>
      <c r="P285" s="240">
        <f>RENNES!S76</f>
        <v>0</v>
      </c>
      <c r="Q285" s="240">
        <f>RENNES!T76</f>
        <v>0</v>
      </c>
      <c r="R285" s="240">
        <f>RENNES!U76</f>
        <v>0</v>
      </c>
      <c r="S285" s="242">
        <f>SUM(E285:Q285)</f>
        <v>0</v>
      </c>
    </row>
    <row r="286" spans="1:21" s="185" customFormat="1" ht="13.5" customHeight="1" x14ac:dyDescent="0.2">
      <c r="A286" s="181"/>
      <c r="B286" s="182"/>
      <c r="C286" s="183"/>
      <c r="D286" s="148"/>
      <c r="E286" s="244"/>
      <c r="F286" s="244"/>
      <c r="G286" s="244"/>
      <c r="H286" s="244"/>
      <c r="I286" s="244"/>
      <c r="J286" s="244"/>
      <c r="K286" s="244"/>
      <c r="L286" s="244"/>
      <c r="M286" s="244"/>
      <c r="N286" s="244"/>
      <c r="O286" s="244"/>
      <c r="P286" s="244"/>
      <c r="Q286" s="244"/>
      <c r="R286" s="244"/>
      <c r="S286" s="243"/>
      <c r="U286" s="332"/>
    </row>
    <row r="287" spans="1:21" x14ac:dyDescent="0.2">
      <c r="A287" s="159">
        <v>615176</v>
      </c>
      <c r="B287" s="160" t="s">
        <v>227</v>
      </c>
      <c r="C287" s="148" t="s">
        <v>157</v>
      </c>
      <c r="D287" s="148" t="s">
        <v>192</v>
      </c>
      <c r="E287" s="240">
        <f>+BEAUVAIS!H76</f>
        <v>0</v>
      </c>
      <c r="F287" s="240">
        <f>+BEAUVAIS!I76</f>
        <v>0</v>
      </c>
      <c r="G287" s="240">
        <f>+BEAUVAIS!J76</f>
        <v>0</v>
      </c>
      <c r="H287" s="240">
        <f>+BEAUVAIS!K76</f>
        <v>0</v>
      </c>
      <c r="I287" s="240">
        <f>+BEAUVAIS!L76</f>
        <v>0</v>
      </c>
      <c r="J287" s="240">
        <f>+BEAUVAIS!M76</f>
        <v>428</v>
      </c>
      <c r="K287" s="240">
        <f>+BEAUVAIS!N76</f>
        <v>0</v>
      </c>
      <c r="L287" s="240">
        <f>+BEAUVAIS!O76</f>
        <v>0</v>
      </c>
      <c r="M287" s="240">
        <f>+BEAUVAIS!P76</f>
        <v>0</v>
      </c>
      <c r="N287" s="240">
        <f>+BEAUVAIS!Q76</f>
        <v>0</v>
      </c>
      <c r="O287" s="240">
        <f>+BEAUVAIS!R76</f>
        <v>0</v>
      </c>
      <c r="P287" s="240">
        <f>+BEAUVAIS!S76</f>
        <v>0</v>
      </c>
      <c r="Q287" s="240">
        <f>+BEAUVAIS!T76</f>
        <v>0</v>
      </c>
      <c r="R287" s="240">
        <f>+BEAUVAIS!U76</f>
        <v>0</v>
      </c>
      <c r="S287" s="242">
        <f>SUM(E287:Q287)</f>
        <v>428</v>
      </c>
    </row>
    <row r="288" spans="1:21" x14ac:dyDescent="0.2">
      <c r="A288" s="159"/>
      <c r="B288" s="160"/>
      <c r="C288" s="148"/>
      <c r="D288" s="148"/>
      <c r="E288" s="240"/>
      <c r="F288" s="240"/>
      <c r="G288" s="240"/>
      <c r="H288" s="240"/>
      <c r="I288" s="240"/>
      <c r="J288" s="240"/>
      <c r="K288" s="240"/>
      <c r="L288" s="240"/>
      <c r="M288" s="240"/>
      <c r="N288" s="240"/>
      <c r="O288" s="240"/>
      <c r="P288" s="240"/>
      <c r="Q288" s="240"/>
      <c r="R288" s="240"/>
      <c r="S288" s="242"/>
    </row>
    <row r="289" spans="1:26" x14ac:dyDescent="0.2">
      <c r="A289" s="159">
        <v>615176</v>
      </c>
      <c r="B289" s="160" t="s">
        <v>227</v>
      </c>
      <c r="C289" s="148" t="s">
        <v>205</v>
      </c>
      <c r="D289" s="148" t="s">
        <v>192</v>
      </c>
      <c r="E289" s="240">
        <f>TOULOUSE!H50</f>
        <v>0</v>
      </c>
      <c r="F289" s="240">
        <f>TOULOUSE!I50</f>
        <v>0</v>
      </c>
      <c r="G289" s="240">
        <f>TOULOUSE!J50</f>
        <v>0</v>
      </c>
      <c r="H289" s="240">
        <f>TOULOUSE!K50</f>
        <v>0</v>
      </c>
      <c r="I289" s="240">
        <f>TOULOUSE!L50</f>
        <v>0</v>
      </c>
      <c r="J289" s="240">
        <f>TOULOUSE!M50</f>
        <v>0</v>
      </c>
      <c r="K289" s="240">
        <f>TOULOUSE!N50</f>
        <v>0</v>
      </c>
      <c r="L289" s="240">
        <f>TOULOUSE!O50</f>
        <v>0</v>
      </c>
      <c r="M289" s="240">
        <f>TOULOUSE!P50</f>
        <v>0</v>
      </c>
      <c r="N289" s="240">
        <f>TOULOUSE!Q50</f>
        <v>0</v>
      </c>
      <c r="O289" s="240">
        <f>TOULOUSE!R50</f>
        <v>0</v>
      </c>
      <c r="P289" s="240">
        <f>TOULOUSE!S50</f>
        <v>0</v>
      </c>
      <c r="Q289" s="240">
        <f>+BEAUVAIS!T76</f>
        <v>0</v>
      </c>
      <c r="R289" s="240">
        <f>+BEAUVAIS!U76</f>
        <v>0</v>
      </c>
      <c r="S289" s="242">
        <f>SUM(E289:Q289)</f>
        <v>0</v>
      </c>
    </row>
    <row r="290" spans="1:26" x14ac:dyDescent="0.2">
      <c r="A290" s="159"/>
      <c r="B290" s="160"/>
      <c r="C290" s="148"/>
      <c r="D290" s="148"/>
      <c r="E290" s="240"/>
      <c r="F290" s="240"/>
      <c r="G290" s="240"/>
      <c r="H290" s="240"/>
      <c r="I290" s="240"/>
      <c r="J290" s="240"/>
      <c r="K290" s="240"/>
      <c r="L290" s="240"/>
      <c r="M290" s="240"/>
      <c r="N290" s="240"/>
      <c r="O290" s="240"/>
      <c r="P290" s="240"/>
      <c r="Q290" s="240"/>
      <c r="R290" s="240"/>
      <c r="S290" s="242"/>
    </row>
    <row r="291" spans="1:26" x14ac:dyDescent="0.2">
      <c r="A291" s="159">
        <v>615176</v>
      </c>
      <c r="B291" s="160" t="s">
        <v>227</v>
      </c>
      <c r="C291" s="148" t="s">
        <v>79</v>
      </c>
      <c r="D291" s="148" t="s">
        <v>192</v>
      </c>
      <c r="E291" s="240">
        <f>+SIEGE!H34</f>
        <v>0</v>
      </c>
      <c r="F291" s="240">
        <f>+SIEGE!I34</f>
        <v>0</v>
      </c>
      <c r="G291" s="240">
        <f>+SIEGE!J34</f>
        <v>0</v>
      </c>
      <c r="H291" s="240">
        <f>+SIEGE!K34</f>
        <v>0</v>
      </c>
      <c r="I291" s="240">
        <f>+SIEGE!L34</f>
        <v>0</v>
      </c>
      <c r="J291" s="240">
        <f>+SIEGE!M34</f>
        <v>2845</v>
      </c>
      <c r="K291" s="240">
        <f>+SIEGE!N34</f>
        <v>0</v>
      </c>
      <c r="L291" s="240">
        <f>+SIEGE!O34</f>
        <v>0</v>
      </c>
      <c r="M291" s="240">
        <f>+SIEGE!P34</f>
        <v>0</v>
      </c>
      <c r="N291" s="240">
        <f>+SIEGE!Q34</f>
        <v>0</v>
      </c>
      <c r="O291" s="240">
        <f>+SIEGE!R34</f>
        <v>0</v>
      </c>
      <c r="P291" s="240">
        <f>+SIEGE!S34</f>
        <v>0</v>
      </c>
      <c r="Q291" s="240">
        <f>+SIEGE!T34</f>
        <v>0</v>
      </c>
      <c r="R291" s="240">
        <f>+SIEGE!U34</f>
        <v>0</v>
      </c>
      <c r="S291" s="242">
        <f>SUM(E291:Q291)</f>
        <v>2845</v>
      </c>
    </row>
    <row r="292" spans="1:26" x14ac:dyDescent="0.2">
      <c r="A292" s="159"/>
      <c r="B292" s="160"/>
      <c r="C292" s="148"/>
      <c r="D292" s="148"/>
      <c r="E292" s="240"/>
      <c r="F292" s="240"/>
      <c r="G292" s="240"/>
      <c r="H292" s="240"/>
      <c r="I292" s="240"/>
      <c r="J292" s="240"/>
      <c r="K292" s="240"/>
      <c r="L292" s="240"/>
      <c r="M292" s="240"/>
      <c r="N292" s="240"/>
      <c r="O292" s="240"/>
      <c r="P292" s="240"/>
      <c r="Q292" s="240"/>
      <c r="R292" s="240"/>
      <c r="S292" s="242"/>
    </row>
    <row r="293" spans="1:26" x14ac:dyDescent="0.2">
      <c r="A293" s="159">
        <v>615176</v>
      </c>
      <c r="B293" s="160" t="s">
        <v>227</v>
      </c>
      <c r="C293" s="148" t="s">
        <v>366</v>
      </c>
      <c r="D293" s="148"/>
      <c r="E293" s="240"/>
      <c r="F293" s="240"/>
      <c r="G293" s="240"/>
      <c r="H293" s="240"/>
      <c r="I293" s="240"/>
      <c r="J293" s="240"/>
      <c r="K293" s="240"/>
      <c r="L293" s="240"/>
      <c r="M293" s="240"/>
      <c r="N293" s="240"/>
      <c r="O293" s="240"/>
      <c r="P293" s="240"/>
      <c r="Q293" s="240"/>
      <c r="R293" s="240"/>
      <c r="S293" s="242">
        <f>SUM(E293:Q293)</f>
        <v>0</v>
      </c>
    </row>
    <row r="294" spans="1:26" s="185" customFormat="1" ht="24" customHeight="1" x14ac:dyDescent="0.2">
      <c r="A294" s="267"/>
      <c r="B294" s="268"/>
      <c r="C294" s="267"/>
      <c r="D294" s="267"/>
      <c r="E294" s="269">
        <f t="shared" ref="E294:Q294" si="24">SUM(E269:E289)</f>
        <v>-2176.36</v>
      </c>
      <c r="F294" s="269">
        <f t="shared" si="24"/>
        <v>0</v>
      </c>
      <c r="G294" s="269">
        <f t="shared" si="24"/>
        <v>583.05999999999995</v>
      </c>
      <c r="H294" s="269">
        <f t="shared" si="24"/>
        <v>0</v>
      </c>
      <c r="I294" s="269">
        <f t="shared" si="24"/>
        <v>939.83999999999992</v>
      </c>
      <c r="J294" s="269">
        <f t="shared" si="24"/>
        <v>1893.7399999999998</v>
      </c>
      <c r="K294" s="269">
        <f t="shared" si="24"/>
        <v>10583.119999999999</v>
      </c>
      <c r="L294" s="269">
        <f t="shared" si="24"/>
        <v>964</v>
      </c>
      <c r="M294" s="269">
        <f t="shared" si="24"/>
        <v>1360</v>
      </c>
      <c r="N294" s="269">
        <f t="shared" si="24"/>
        <v>1078</v>
      </c>
      <c r="O294" s="269">
        <f t="shared" si="24"/>
        <v>6274</v>
      </c>
      <c r="P294" s="269">
        <f t="shared" si="24"/>
        <v>7691.48</v>
      </c>
      <c r="Q294" s="269">
        <f t="shared" si="24"/>
        <v>130</v>
      </c>
      <c r="R294" s="269">
        <f>SUM(R269:R289)</f>
        <v>0</v>
      </c>
      <c r="S294" s="269">
        <f>SUM(S269:S293)</f>
        <v>32165.88</v>
      </c>
      <c r="T294" s="212">
        <v>32035.88</v>
      </c>
      <c r="U294" s="334">
        <f>T294-S294</f>
        <v>-130</v>
      </c>
      <c r="V294" s="185" t="s">
        <v>853</v>
      </c>
      <c r="X294" s="569">
        <f>U294-CENTRALISATION!V295</f>
        <v>0</v>
      </c>
    </row>
    <row r="295" spans="1:26" x14ac:dyDescent="0.2">
      <c r="A295" s="159">
        <v>615180</v>
      </c>
      <c r="B295" s="160" t="s">
        <v>116</v>
      </c>
      <c r="C295" s="148" t="s">
        <v>78</v>
      </c>
      <c r="D295" s="148" t="s">
        <v>192</v>
      </c>
      <c r="E295" s="240">
        <f>FLEURY!H89</f>
        <v>0</v>
      </c>
      <c r="F295" s="240">
        <f>FLEURY!I89</f>
        <v>0</v>
      </c>
      <c r="G295" s="240">
        <f>FLEURY!J89</f>
        <v>0</v>
      </c>
      <c r="H295" s="240">
        <f>FLEURY!K89</f>
        <v>0</v>
      </c>
      <c r="I295" s="240">
        <f>FLEURY!L89</f>
        <v>0</v>
      </c>
      <c r="J295" s="240">
        <f>FLEURY!M89</f>
        <v>0</v>
      </c>
      <c r="K295" s="240">
        <f>FLEURY!N89</f>
        <v>0</v>
      </c>
      <c r="L295" s="240">
        <f>FLEURY!O89</f>
        <v>0</v>
      </c>
      <c r="M295" s="240">
        <f>FLEURY!P89</f>
        <v>0</v>
      </c>
      <c r="N295" s="240">
        <f>FLEURY!Q89</f>
        <v>0</v>
      </c>
      <c r="O295" s="240">
        <f>FLEURY!R89</f>
        <v>0</v>
      </c>
      <c r="P295" s="240">
        <f>FLEURY!S89</f>
        <v>0</v>
      </c>
      <c r="Q295" s="240">
        <f>FLEURY!T90</f>
        <v>0</v>
      </c>
      <c r="R295" s="240">
        <f>FLEURY!U90</f>
        <v>0</v>
      </c>
      <c r="S295" s="242">
        <f>SUM(E295:Q295)</f>
        <v>0</v>
      </c>
    </row>
    <row r="296" spans="1:26" x14ac:dyDescent="0.2">
      <c r="A296" s="159">
        <v>615180</v>
      </c>
      <c r="B296" s="160" t="s">
        <v>116</v>
      </c>
      <c r="C296" s="148" t="s">
        <v>78</v>
      </c>
      <c r="D296" s="148" t="s">
        <v>179</v>
      </c>
      <c r="E296" s="240">
        <f>FLEURY!H90</f>
        <v>0</v>
      </c>
      <c r="F296" s="240">
        <f>FLEURY!I90</f>
        <v>566.63</v>
      </c>
      <c r="G296" s="240">
        <f>FLEURY!J90</f>
        <v>566.66999999999996</v>
      </c>
      <c r="H296" s="240">
        <f>FLEURY!K90</f>
        <v>566.66999999999996</v>
      </c>
      <c r="I296" s="240">
        <f>FLEURY!L90</f>
        <v>566.66999999999996</v>
      </c>
      <c r="J296" s="240">
        <f>FLEURY!M90</f>
        <v>566.66999999999996</v>
      </c>
      <c r="K296" s="240">
        <f>FLEURY!N90</f>
        <v>566.66999999999996</v>
      </c>
      <c r="L296" s="240">
        <f>FLEURY!O90</f>
        <v>566.66999999999996</v>
      </c>
      <c r="M296" s="240">
        <f>FLEURY!P90</f>
        <v>566.66999999999996</v>
      </c>
      <c r="N296" s="240">
        <f>FLEURY!Q90</f>
        <v>566.66999999999996</v>
      </c>
      <c r="O296" s="240">
        <f>FLEURY!R90</f>
        <v>566.66999999999996</v>
      </c>
      <c r="P296" s="240">
        <f>FLEURY!S90</f>
        <v>566.66999999999996</v>
      </c>
      <c r="Q296" s="240">
        <f>FLEURY!T91</f>
        <v>0</v>
      </c>
      <c r="R296" s="240">
        <f>FLEURY!U91</f>
        <v>0</v>
      </c>
      <c r="S296" s="242">
        <f>SUM(E296:Q296)</f>
        <v>6233.33</v>
      </c>
      <c r="Z296" s="273"/>
    </row>
    <row r="297" spans="1:26" x14ac:dyDescent="0.2">
      <c r="A297" s="270"/>
      <c r="B297" s="235"/>
      <c r="C297" s="148"/>
      <c r="D297" s="148"/>
      <c r="E297" s="240"/>
      <c r="F297" s="240"/>
      <c r="G297" s="240"/>
      <c r="H297" s="240"/>
      <c r="I297" s="240"/>
      <c r="J297" s="240"/>
      <c r="K297" s="240"/>
      <c r="L297" s="240"/>
      <c r="M297" s="240"/>
      <c r="N297" s="240"/>
      <c r="O297" s="240"/>
      <c r="P297" s="240"/>
      <c r="Q297" s="240"/>
      <c r="R297" s="240"/>
      <c r="S297" s="242"/>
    </row>
    <row r="298" spans="1:26" x14ac:dyDescent="0.2">
      <c r="A298" s="159">
        <v>615180</v>
      </c>
      <c r="B298" s="160" t="s">
        <v>116</v>
      </c>
      <c r="C298" s="148" t="s">
        <v>71</v>
      </c>
      <c r="D298" s="148" t="s">
        <v>192</v>
      </c>
      <c r="E298" s="240">
        <f>AIX!H85</f>
        <v>0</v>
      </c>
      <c r="F298" s="240">
        <f>AIX!I85</f>
        <v>0</v>
      </c>
      <c r="G298" s="240">
        <f>AIX!J85</f>
        <v>0</v>
      </c>
      <c r="H298" s="240">
        <f>AIX!K85</f>
        <v>0</v>
      </c>
      <c r="I298" s="240">
        <f>AIX!L85</f>
        <v>756.9</v>
      </c>
      <c r="J298" s="240">
        <f>AIX!M85</f>
        <v>0</v>
      </c>
      <c r="K298" s="240">
        <f>AIX!N85</f>
        <v>0</v>
      </c>
      <c r="L298" s="240">
        <f>AIX!O85</f>
        <v>0</v>
      </c>
      <c r="M298" s="240">
        <f>AIX!P85</f>
        <v>506.44</v>
      </c>
      <c r="N298" s="240">
        <f>AIX!Q85</f>
        <v>358.25</v>
      </c>
      <c r="O298" s="240">
        <f>AIX!R85</f>
        <v>0</v>
      </c>
      <c r="P298" s="240">
        <f>AIX!S85</f>
        <v>0</v>
      </c>
      <c r="Q298" s="240">
        <f>AIX!T85</f>
        <v>0</v>
      </c>
      <c r="R298" s="240">
        <f>AIX!U85</f>
        <v>0</v>
      </c>
      <c r="S298" s="242">
        <f>SUM(E298:Q298)</f>
        <v>1621.59</v>
      </c>
    </row>
    <row r="299" spans="1:26" x14ac:dyDescent="0.2">
      <c r="A299" s="159">
        <v>615180</v>
      </c>
      <c r="B299" s="160" t="s">
        <v>116</v>
      </c>
      <c r="C299" s="148" t="s">
        <v>71</v>
      </c>
      <c r="D299" s="148" t="s">
        <v>179</v>
      </c>
      <c r="E299" s="240">
        <f>AIX!H84</f>
        <v>0</v>
      </c>
      <c r="F299" s="240">
        <f>AIX!I84</f>
        <v>344.72</v>
      </c>
      <c r="G299" s="240">
        <f>AIX!J84</f>
        <v>344.72</v>
      </c>
      <c r="H299" s="240">
        <f>AIX!K84</f>
        <v>344.72</v>
      </c>
      <c r="I299" s="240">
        <f>AIX!L84</f>
        <v>344.72</v>
      </c>
      <c r="J299" s="240">
        <f>AIX!M84</f>
        <v>344.72</v>
      </c>
      <c r="K299" s="240">
        <f>AIX!N84</f>
        <v>344.72</v>
      </c>
      <c r="L299" s="240">
        <f>AIX!O84</f>
        <v>344.72</v>
      </c>
      <c r="M299" s="240">
        <f>AIX!P84</f>
        <v>344.72</v>
      </c>
      <c r="N299" s="240">
        <f>AIX!Q84</f>
        <v>344.72</v>
      </c>
      <c r="O299" s="240">
        <f>AIX!R84</f>
        <v>344.72</v>
      </c>
      <c r="P299" s="240">
        <f>AIX!S84</f>
        <v>344.72</v>
      </c>
      <c r="Q299" s="240">
        <f>AIX!T84</f>
        <v>344.72</v>
      </c>
      <c r="R299" s="240">
        <f>AIX!U84</f>
        <v>0</v>
      </c>
      <c r="S299" s="242">
        <f>SUM(E299:Q299)</f>
        <v>4136.6400000000012</v>
      </c>
      <c r="Y299" s="273"/>
    </row>
    <row r="300" spans="1:26" x14ac:dyDescent="0.2">
      <c r="A300" s="270"/>
      <c r="B300" s="235"/>
      <c r="C300" s="148"/>
      <c r="D300" s="148"/>
      <c r="E300" s="240"/>
      <c r="F300" s="240"/>
      <c r="G300" s="240"/>
      <c r="H300" s="240"/>
      <c r="I300" s="240"/>
      <c r="J300" s="240"/>
      <c r="K300" s="240"/>
      <c r="L300" s="240"/>
      <c r="M300" s="240"/>
      <c r="N300" s="240"/>
      <c r="O300" s="240"/>
      <c r="P300" s="240"/>
      <c r="Q300" s="240"/>
      <c r="R300" s="240"/>
      <c r="S300" s="242"/>
    </row>
    <row r="301" spans="1:26" x14ac:dyDescent="0.2">
      <c r="A301" s="159">
        <v>615180</v>
      </c>
      <c r="B301" s="160" t="s">
        <v>116</v>
      </c>
      <c r="C301" s="148" t="s">
        <v>73</v>
      </c>
      <c r="D301" s="148" t="s">
        <v>268</v>
      </c>
      <c r="E301" s="240">
        <f>+LYON!H79</f>
        <v>0</v>
      </c>
      <c r="F301" s="240">
        <f>+LYON!I79</f>
        <v>793</v>
      </c>
      <c r="G301" s="240">
        <f>+LYON!J79</f>
        <v>793</v>
      </c>
      <c r="H301" s="240">
        <f>+LYON!K79</f>
        <v>793</v>
      </c>
      <c r="I301" s="240">
        <f>+LYON!L79</f>
        <v>793</v>
      </c>
      <c r="J301" s="240">
        <f>+LYON!M79</f>
        <v>793</v>
      </c>
      <c r="K301" s="240">
        <f>+LYON!N79</f>
        <v>793</v>
      </c>
      <c r="L301" s="240">
        <f>+LYON!O79</f>
        <v>793</v>
      </c>
      <c r="M301" s="240">
        <f>+LYON!P79</f>
        <v>793</v>
      </c>
      <c r="N301" s="240">
        <f>+LYON!Q79</f>
        <v>793</v>
      </c>
      <c r="O301" s="240">
        <f>+LYON!R79</f>
        <v>793</v>
      </c>
      <c r="P301" s="240">
        <f>+LYON!S79</f>
        <v>793</v>
      </c>
      <c r="Q301" s="240">
        <f>+LYON!T79</f>
        <v>0</v>
      </c>
      <c r="R301" s="240">
        <f>+LYON!U79</f>
        <v>0</v>
      </c>
      <c r="S301" s="242">
        <f>SUM(E301:Q301)</f>
        <v>8723</v>
      </c>
    </row>
    <row r="302" spans="1:26" x14ac:dyDescent="0.2">
      <c r="A302" s="270"/>
      <c r="B302" s="235"/>
      <c r="C302" s="148"/>
      <c r="D302" s="148"/>
      <c r="E302" s="240"/>
      <c r="F302" s="240"/>
      <c r="G302" s="240"/>
      <c r="H302" s="240"/>
      <c r="I302" s="240"/>
      <c r="J302" s="240"/>
      <c r="K302" s="240"/>
      <c r="L302" s="240"/>
      <c r="M302" s="240"/>
      <c r="N302" s="240"/>
      <c r="O302" s="240"/>
      <c r="P302" s="240"/>
      <c r="Q302" s="240"/>
      <c r="R302" s="240"/>
      <c r="S302" s="242"/>
    </row>
    <row r="303" spans="1:26" x14ac:dyDescent="0.2">
      <c r="A303" s="159">
        <v>615180</v>
      </c>
      <c r="B303" s="160" t="s">
        <v>116</v>
      </c>
      <c r="C303" s="148" t="s">
        <v>67</v>
      </c>
      <c r="D303" s="148" t="s">
        <v>179</v>
      </c>
      <c r="E303" s="240">
        <f>SUM(BORDEAUX!H84:H85)</f>
        <v>0</v>
      </c>
      <c r="F303" s="240">
        <f>SUM(BORDEAUX!I84:I85)</f>
        <v>0</v>
      </c>
      <c r="G303" s="240">
        <f>SUM(BORDEAUX!J84:J85)</f>
        <v>0</v>
      </c>
      <c r="H303" s="240">
        <f>SUM(BORDEAUX!K84:K85)</f>
        <v>590</v>
      </c>
      <c r="I303" s="240">
        <f>SUM(BORDEAUX!L84:L85)</f>
        <v>590</v>
      </c>
      <c r="J303" s="240">
        <f>SUM(BORDEAUX!M84:M85)</f>
        <v>590</v>
      </c>
      <c r="K303" s="240">
        <f>SUM(BORDEAUX!N84:N85)</f>
        <v>590</v>
      </c>
      <c r="L303" s="240">
        <f>SUM(BORDEAUX!O84:O85)</f>
        <v>590</v>
      </c>
      <c r="M303" s="240">
        <f>SUM(BORDEAUX!P84:P85)</f>
        <v>3790</v>
      </c>
      <c r="N303" s="240">
        <f>SUM(BORDEAUX!Q84:Q85)</f>
        <v>590</v>
      </c>
      <c r="O303" s="240">
        <f>SUM(BORDEAUX!R84:R85)</f>
        <v>590</v>
      </c>
      <c r="P303" s="240">
        <f>SUM(BORDEAUX!S84:S85)</f>
        <v>590</v>
      </c>
      <c r="Q303" s="240">
        <f>SUM(BORDEAUX!T84:T85)</f>
        <v>590</v>
      </c>
      <c r="R303" s="240">
        <f>SUM(BORDEAUX!U84:U85)</f>
        <v>0</v>
      </c>
      <c r="S303" s="242">
        <f>SUM(E303:Q303)</f>
        <v>9100</v>
      </c>
      <c r="V303" s="602"/>
    </row>
    <row r="304" spans="1:26" x14ac:dyDescent="0.2">
      <c r="A304" s="159">
        <v>615180</v>
      </c>
      <c r="B304" s="160" t="s">
        <v>116</v>
      </c>
      <c r="C304" s="148" t="s">
        <v>67</v>
      </c>
      <c r="D304" s="148" t="s">
        <v>268</v>
      </c>
      <c r="E304" s="240">
        <f>+BORDEAUX!H86</f>
        <v>0</v>
      </c>
      <c r="F304" s="240">
        <f>+BORDEAUX!I86</f>
        <v>0</v>
      </c>
      <c r="G304" s="240">
        <f>+BORDEAUX!J86</f>
        <v>0</v>
      </c>
      <c r="H304" s="240">
        <f>+BORDEAUX!K86</f>
        <v>0</v>
      </c>
      <c r="I304" s="240">
        <f>+BORDEAUX!L86</f>
        <v>0</v>
      </c>
      <c r="J304" s="240">
        <f>+BORDEAUX!M86</f>
        <v>0</v>
      </c>
      <c r="K304" s="240">
        <f>+BORDEAUX!N86</f>
        <v>0</v>
      </c>
      <c r="L304" s="240">
        <f>+BORDEAUX!O86</f>
        <v>0</v>
      </c>
      <c r="M304" s="240">
        <f>+BORDEAUX!P86</f>
        <v>0</v>
      </c>
      <c r="N304" s="240">
        <f>+BORDEAUX!Q86</f>
        <v>0</v>
      </c>
      <c r="O304" s="240">
        <f>+BORDEAUX!R86</f>
        <v>0</v>
      </c>
      <c r="P304" s="240">
        <f>+BORDEAUX!S86</f>
        <v>0</v>
      </c>
      <c r="Q304" s="240">
        <f>+BORDEAUX!T86</f>
        <v>0</v>
      </c>
      <c r="R304" s="240">
        <f>+BORDEAUX!U86</f>
        <v>0</v>
      </c>
      <c r="S304" s="242">
        <f>SUM(E304:Q304)</f>
        <v>0</v>
      </c>
    </row>
    <row r="305" spans="1:24" x14ac:dyDescent="0.2">
      <c r="A305" s="270"/>
      <c r="B305" s="235"/>
      <c r="C305" s="148"/>
      <c r="D305" s="271"/>
      <c r="E305" s="240"/>
      <c r="F305" s="240"/>
      <c r="G305" s="240"/>
      <c r="H305" s="240"/>
      <c r="I305" s="240"/>
      <c r="J305" s="240"/>
      <c r="K305" s="240"/>
      <c r="L305" s="240"/>
      <c r="M305" s="240"/>
      <c r="N305" s="240"/>
      <c r="O305" s="240"/>
      <c r="P305" s="240"/>
      <c r="Q305" s="240"/>
      <c r="R305" s="240"/>
      <c r="S305" s="242"/>
    </row>
    <row r="306" spans="1:24" x14ac:dyDescent="0.2">
      <c r="A306" s="159">
        <v>615180</v>
      </c>
      <c r="B306" s="160" t="s">
        <v>116</v>
      </c>
      <c r="C306" s="148" t="s">
        <v>80</v>
      </c>
      <c r="D306" s="148" t="s">
        <v>192</v>
      </c>
      <c r="E306" s="240">
        <f>RENNES!H82</f>
        <v>0</v>
      </c>
      <c r="F306" s="240">
        <f>RENNES!I82</f>
        <v>0</v>
      </c>
      <c r="G306" s="240">
        <f>RENNES!J82</f>
        <v>0</v>
      </c>
      <c r="H306" s="240">
        <f>RENNES!K82</f>
        <v>0</v>
      </c>
      <c r="I306" s="240">
        <f>RENNES!L82</f>
        <v>0</v>
      </c>
      <c r="J306" s="240">
        <f>RENNES!M82</f>
        <v>0</v>
      </c>
      <c r="K306" s="240">
        <f>RENNES!N82</f>
        <v>0</v>
      </c>
      <c r="L306" s="240">
        <f>RENNES!O82</f>
        <v>0</v>
      </c>
      <c r="M306" s="240">
        <f>RENNES!P82</f>
        <v>0</v>
      </c>
      <c r="N306" s="240">
        <f>RENNES!Q82</f>
        <v>0</v>
      </c>
      <c r="O306" s="240">
        <f>RENNES!R82</f>
        <v>0</v>
      </c>
      <c r="P306" s="240">
        <f>RENNES!S82</f>
        <v>0</v>
      </c>
      <c r="Q306" s="240">
        <f>RENNES!T82</f>
        <v>1398</v>
      </c>
      <c r="R306" s="240">
        <f>RENNES!U82</f>
        <v>0</v>
      </c>
      <c r="S306" s="242">
        <f>SUM(E306:Q306)</f>
        <v>1398</v>
      </c>
    </row>
    <row r="307" spans="1:24" x14ac:dyDescent="0.2">
      <c r="A307" s="159">
        <v>615180</v>
      </c>
      <c r="B307" s="160" t="s">
        <v>116</v>
      </c>
      <c r="C307" s="148" t="s">
        <v>80</v>
      </c>
      <c r="D307" s="148" t="s">
        <v>179</v>
      </c>
      <c r="E307" s="240">
        <f>RENNES!H83</f>
        <v>0</v>
      </c>
      <c r="F307" s="240">
        <f>RENNES!I83</f>
        <v>555.92999999999995</v>
      </c>
      <c r="G307" s="240">
        <f>RENNES!J83</f>
        <v>555.92999999999995</v>
      </c>
      <c r="H307" s="240">
        <f>RENNES!K83</f>
        <v>555.92999999999995</v>
      </c>
      <c r="I307" s="240">
        <f>RENNES!L83</f>
        <v>555.92999999999995</v>
      </c>
      <c r="J307" s="240">
        <f>RENNES!M83</f>
        <v>555.92999999999995</v>
      </c>
      <c r="K307" s="240">
        <f>RENNES!N83</f>
        <v>555.92999999999995</v>
      </c>
      <c r="L307" s="240">
        <f>RENNES!O83</f>
        <v>0</v>
      </c>
      <c r="M307" s="240">
        <f>RENNES!P83</f>
        <v>306.67</v>
      </c>
      <c r="N307" s="240">
        <f>RENNES!Q83</f>
        <v>306.67</v>
      </c>
      <c r="O307" s="240">
        <f>RENNES!R83</f>
        <v>306.67</v>
      </c>
      <c r="P307" s="240">
        <f>RENNES!S83</f>
        <v>306.67</v>
      </c>
      <c r="Q307" s="240">
        <f>RENNES!T83</f>
        <v>1704.67</v>
      </c>
      <c r="R307" s="240">
        <f>RENNES!U83</f>
        <v>0</v>
      </c>
      <c r="S307" s="242">
        <f>SUM(E307:Q307)</f>
        <v>6266.9299999999994</v>
      </c>
    </row>
    <row r="308" spans="1:24" x14ac:dyDescent="0.2">
      <c r="A308" s="270"/>
      <c r="B308" s="235"/>
      <c r="C308" s="148"/>
      <c r="D308" s="148"/>
      <c r="E308" s="240"/>
      <c r="F308" s="240"/>
      <c r="G308" s="240"/>
      <c r="H308" s="240"/>
      <c r="I308" s="240"/>
      <c r="J308" s="240"/>
      <c r="K308" s="240"/>
      <c r="L308" s="240"/>
      <c r="M308" s="240"/>
      <c r="N308" s="240"/>
      <c r="O308" s="240"/>
      <c r="P308" s="240"/>
      <c r="Q308" s="240"/>
      <c r="R308" s="240"/>
      <c r="S308" s="242"/>
    </row>
    <row r="309" spans="1:24" x14ac:dyDescent="0.2">
      <c r="A309" s="159">
        <v>615180</v>
      </c>
      <c r="B309" s="160" t="s">
        <v>116</v>
      </c>
      <c r="C309" s="148" t="s">
        <v>156</v>
      </c>
      <c r="D309" s="148" t="s">
        <v>192</v>
      </c>
      <c r="E309" s="240">
        <f>BEAUVAIS!H82</f>
        <v>0</v>
      </c>
      <c r="F309" s="240">
        <f>BEAUVAIS!I82</f>
        <v>0</v>
      </c>
      <c r="G309" s="240">
        <f>BEAUVAIS!J82</f>
        <v>0</v>
      </c>
      <c r="H309" s="240">
        <f>BEAUVAIS!K82</f>
        <v>0</v>
      </c>
      <c r="I309" s="240">
        <f>BEAUVAIS!L82</f>
        <v>0</v>
      </c>
      <c r="J309" s="240">
        <f>BEAUVAIS!M82</f>
        <v>0</v>
      </c>
      <c r="K309" s="240">
        <f>BEAUVAIS!N82</f>
        <v>0</v>
      </c>
      <c r="L309" s="240">
        <f>BEAUVAIS!O82</f>
        <v>0</v>
      </c>
      <c r="M309" s="240">
        <f>BEAUVAIS!P82</f>
        <v>0</v>
      </c>
      <c r="N309" s="240">
        <f>BEAUVAIS!Q82</f>
        <v>0</v>
      </c>
      <c r="O309" s="240">
        <f>BEAUVAIS!R82</f>
        <v>0</v>
      </c>
      <c r="P309" s="240">
        <f>BEAUVAIS!S82</f>
        <v>0</v>
      </c>
      <c r="Q309" s="240">
        <f>BEAUVAIS!T82</f>
        <v>0</v>
      </c>
      <c r="R309" s="240">
        <f>BEAUVAIS!U82</f>
        <v>0</v>
      </c>
      <c r="S309" s="242">
        <f>SUM(E309:Q309)</f>
        <v>0</v>
      </c>
    </row>
    <row r="310" spans="1:24" x14ac:dyDescent="0.2">
      <c r="A310" s="159">
        <v>615180</v>
      </c>
      <c r="B310" s="160" t="s">
        <v>116</v>
      </c>
      <c r="C310" s="148" t="s">
        <v>156</v>
      </c>
      <c r="D310" s="148" t="s">
        <v>268</v>
      </c>
      <c r="E310" s="240">
        <f>SUM(BEAUVAIS!H80:H81)</f>
        <v>-146.5</v>
      </c>
      <c r="F310" s="240">
        <f>SUM(BEAUVAIS!I80:I81)</f>
        <v>1462.05</v>
      </c>
      <c r="G310" s="240">
        <f>SUM(BEAUVAIS!J80:J81)</f>
        <v>1462.05</v>
      </c>
      <c r="H310" s="240">
        <f>SUM(BEAUVAIS!K80:K81)</f>
        <v>1462.05</v>
      </c>
      <c r="I310" s="240">
        <f>SUM(BEAUVAIS!L80:L81)</f>
        <v>1462.05</v>
      </c>
      <c r="J310" s="240">
        <f>SUM(BEAUVAIS!M80:M81)</f>
        <v>1462.05</v>
      </c>
      <c r="K310" s="240">
        <f>SUM(BEAUVAIS!N80:N81)</f>
        <v>1462.05</v>
      </c>
      <c r="L310" s="240">
        <f>SUM(BEAUVAIS!O80:O81)</f>
        <v>1462.05</v>
      </c>
      <c r="M310" s="240">
        <f>SUM(BEAUVAIS!P80:P81)</f>
        <v>1462.05</v>
      </c>
      <c r="N310" s="240">
        <f>SUM(BEAUVAIS!Q80:Q81)</f>
        <v>1462.05</v>
      </c>
      <c r="O310" s="240">
        <f>SUM(BEAUVAIS!R80:R81)</f>
        <v>1500</v>
      </c>
      <c r="P310" s="240">
        <f>SUM(BEAUVAIS!S80:S81)</f>
        <v>1500</v>
      </c>
      <c r="Q310" s="240">
        <f>SUM(BEAUVAIS!T80:T81)</f>
        <v>0</v>
      </c>
      <c r="R310" s="240">
        <f>SUM(BEAUVAIS!U80:U81)</f>
        <v>0</v>
      </c>
      <c r="S310" s="242">
        <f>SUM(E310:Q310)</f>
        <v>16011.949999999997</v>
      </c>
    </row>
    <row r="311" spans="1:24" x14ac:dyDescent="0.2">
      <c r="A311" s="159"/>
      <c r="B311" s="160"/>
      <c r="C311" s="148"/>
      <c r="D311" s="148"/>
      <c r="E311" s="240"/>
      <c r="F311" s="240"/>
      <c r="G311" s="240"/>
      <c r="H311" s="240"/>
      <c r="I311" s="240"/>
      <c r="J311" s="240"/>
      <c r="K311" s="240"/>
      <c r="L311" s="240"/>
      <c r="M311" s="240"/>
      <c r="N311" s="240"/>
      <c r="O311" s="240"/>
      <c r="P311" s="240"/>
      <c r="Q311" s="240"/>
      <c r="R311" s="240"/>
      <c r="S311" s="242"/>
    </row>
    <row r="312" spans="1:24" x14ac:dyDescent="0.2">
      <c r="A312" s="159">
        <v>615180</v>
      </c>
      <c r="B312" s="160" t="s">
        <v>116</v>
      </c>
      <c r="C312" s="148" t="s">
        <v>367</v>
      </c>
      <c r="D312" s="148"/>
      <c r="E312" s="240"/>
      <c r="F312" s="240">
        <v>201.71</v>
      </c>
      <c r="G312" s="240">
        <f>-201.71+256.72</f>
        <v>55.010000000000019</v>
      </c>
      <c r="H312" s="240">
        <f>-256.72+339.8</f>
        <v>83.079999999999984</v>
      </c>
      <c r="I312" s="240">
        <f>-339.8+533.21</f>
        <v>193.41000000000003</v>
      </c>
      <c r="J312" s="240">
        <f>-533.21+494.89</f>
        <v>-38.32000000000005</v>
      </c>
      <c r="K312" s="240">
        <f>-494.89+459.57</f>
        <v>-35.319999999999993</v>
      </c>
      <c r="L312" s="240">
        <f>-459.57+535.1</f>
        <v>75.53000000000003</v>
      </c>
      <c r="M312" s="240">
        <f>-535.1-9.66</f>
        <v>-544.76</v>
      </c>
      <c r="N312" s="240">
        <f>9.66+605.14</f>
        <v>614.79999999999995</v>
      </c>
      <c r="O312" s="240">
        <f>-605.14+761.01</f>
        <v>155.87</v>
      </c>
      <c r="P312" s="240">
        <f>-761.01-0.05</f>
        <v>-761.06</v>
      </c>
      <c r="Q312" s="240"/>
      <c r="R312" s="240"/>
      <c r="S312" s="242">
        <f>SUM(E312:Q312)</f>
        <v>-4.9999999999954525E-2</v>
      </c>
    </row>
    <row r="313" spans="1:24" s="185" customFormat="1" ht="24" customHeight="1" x14ac:dyDescent="0.2">
      <c r="A313" s="267"/>
      <c r="B313" s="268"/>
      <c r="C313" s="267" t="s">
        <v>66</v>
      </c>
      <c r="D313" s="267"/>
      <c r="E313" s="269">
        <f>SUM(E295:E312)</f>
        <v>-146.5</v>
      </c>
      <c r="F313" s="269">
        <f t="shared" ref="F313:S313" si="25">SUM(F295:F312)</f>
        <v>3924.04</v>
      </c>
      <c r="G313" s="269">
        <f t="shared" si="25"/>
        <v>3777.38</v>
      </c>
      <c r="H313" s="269">
        <f t="shared" si="25"/>
        <v>4395.45</v>
      </c>
      <c r="I313" s="269">
        <f t="shared" si="25"/>
        <v>5262.6799999999994</v>
      </c>
      <c r="J313" s="269">
        <f t="shared" si="25"/>
        <v>4274.05</v>
      </c>
      <c r="K313" s="269">
        <f t="shared" si="25"/>
        <v>4277.05</v>
      </c>
      <c r="L313" s="269">
        <f t="shared" si="25"/>
        <v>3831.97</v>
      </c>
      <c r="M313" s="269">
        <f t="shared" si="25"/>
        <v>7224.79</v>
      </c>
      <c r="N313" s="269">
        <f t="shared" si="25"/>
        <v>5036.16</v>
      </c>
      <c r="O313" s="269">
        <f t="shared" si="25"/>
        <v>4256.9299999999994</v>
      </c>
      <c r="P313" s="269">
        <f t="shared" si="25"/>
        <v>3339.9999999999995</v>
      </c>
      <c r="Q313" s="269">
        <f t="shared" si="25"/>
        <v>4037.3900000000003</v>
      </c>
      <c r="R313" s="269">
        <f>SUM(R295:R312)</f>
        <v>0</v>
      </c>
      <c r="S313" s="269">
        <f t="shared" si="25"/>
        <v>53491.389999999992</v>
      </c>
      <c r="T313" s="212">
        <v>50044</v>
      </c>
      <c r="U313" s="334">
        <f>T313-S313</f>
        <v>-3447.3899999999921</v>
      </c>
      <c r="V313" s="185" t="s">
        <v>853</v>
      </c>
      <c r="W313" s="569"/>
      <c r="X313" s="569">
        <f>U313-CENTRALISATION!V314</f>
        <v>-1398</v>
      </c>
    </row>
    <row r="314" spans="1:24" x14ac:dyDescent="0.2">
      <c r="A314" s="159">
        <v>615190</v>
      </c>
      <c r="B314" s="160" t="s">
        <v>117</v>
      </c>
      <c r="C314" s="148" t="s">
        <v>78</v>
      </c>
      <c r="D314" s="148" t="s">
        <v>181</v>
      </c>
      <c r="E314" s="240">
        <f>+SUM(FLEURY!H96:H97)</f>
        <v>0</v>
      </c>
      <c r="F314" s="240">
        <f>+SUM(FLEURY!I96:I97)</f>
        <v>0</v>
      </c>
      <c r="G314" s="240">
        <f>+SUM(FLEURY!J96:J97)</f>
        <v>0</v>
      </c>
      <c r="H314" s="240">
        <f>+SUM(FLEURY!K96:K97)</f>
        <v>0</v>
      </c>
      <c r="I314" s="240">
        <f>+SUM(FLEURY!L96:L97)</f>
        <v>2980.06</v>
      </c>
      <c r="J314" s="240">
        <f>+SUM(FLEURY!M96:M97)</f>
        <v>0</v>
      </c>
      <c r="K314" s="240">
        <f>+SUM(FLEURY!N96:N97)</f>
        <v>-1254</v>
      </c>
      <c r="L314" s="240">
        <f>+SUM(FLEURY!O96:O97)</f>
        <v>0</v>
      </c>
      <c r="M314" s="240">
        <f>+SUM(FLEURY!P96:P97)</f>
        <v>0</v>
      </c>
      <c r="N314" s="240">
        <f>+SUM(FLEURY!Q96:Q97)</f>
        <v>0</v>
      </c>
      <c r="O314" s="240">
        <f>+SUM(FLEURY!R96:R97)</f>
        <v>112.6</v>
      </c>
      <c r="P314" s="240">
        <f>+SUM(FLEURY!S96:S97)</f>
        <v>0</v>
      </c>
      <c r="Q314" s="240">
        <f>+SUM(FLEURY!T96:T97)</f>
        <v>443.3</v>
      </c>
      <c r="R314" s="240">
        <f>+SUM(FLEURY!U96:U97)</f>
        <v>0</v>
      </c>
      <c r="S314" s="245">
        <f t="shared" ref="S314:S319" si="26">SUM(E314:Q314)</f>
        <v>2281.96</v>
      </c>
    </row>
    <row r="315" spans="1:24" x14ac:dyDescent="0.2">
      <c r="A315" s="159">
        <v>615190</v>
      </c>
      <c r="B315" s="160" t="s">
        <v>117</v>
      </c>
      <c r="C315" s="148" t="s">
        <v>78</v>
      </c>
      <c r="D315" s="148" t="s">
        <v>199</v>
      </c>
      <c r="E315" s="240">
        <f>FLEURY!H94</f>
        <v>0</v>
      </c>
      <c r="F315" s="240">
        <f>FLEURY!I94</f>
        <v>0</v>
      </c>
      <c r="G315" s="240">
        <f>FLEURY!J94</f>
        <v>0</v>
      </c>
      <c r="H315" s="240">
        <f>FLEURY!K94</f>
        <v>1228.8800000000001</v>
      </c>
      <c r="I315" s="240">
        <f>FLEURY!L94</f>
        <v>0</v>
      </c>
      <c r="J315" s="240">
        <f>FLEURY!M94</f>
        <v>0</v>
      </c>
      <c r="K315" s="240">
        <f>FLEURY!N94</f>
        <v>0</v>
      </c>
      <c r="L315" s="240">
        <f>FLEURY!O94</f>
        <v>0</v>
      </c>
      <c r="M315" s="240">
        <f>FLEURY!P94</f>
        <v>0</v>
      </c>
      <c r="N315" s="240">
        <f>FLEURY!Q94</f>
        <v>0</v>
      </c>
      <c r="O315" s="240">
        <f>FLEURY!R94</f>
        <v>0</v>
      </c>
      <c r="P315" s="240">
        <f>FLEURY!S94</f>
        <v>0</v>
      </c>
      <c r="Q315" s="240">
        <f>FLEURY!T94</f>
        <v>0</v>
      </c>
      <c r="R315" s="240">
        <f>FLEURY!U94</f>
        <v>0</v>
      </c>
      <c r="S315" s="245">
        <f t="shared" si="26"/>
        <v>1228.8800000000001</v>
      </c>
    </row>
    <row r="316" spans="1:24" x14ac:dyDescent="0.2">
      <c r="A316" s="159">
        <v>615190</v>
      </c>
      <c r="B316" s="160" t="s">
        <v>117</v>
      </c>
      <c r="C316" s="148" t="s">
        <v>78</v>
      </c>
      <c r="D316" s="148" t="s">
        <v>192</v>
      </c>
      <c r="E316" s="240">
        <f>FLEURY!H95</f>
        <v>0</v>
      </c>
      <c r="F316" s="240">
        <f>FLEURY!I95</f>
        <v>0</v>
      </c>
      <c r="G316" s="240">
        <f>FLEURY!J95</f>
        <v>0</v>
      </c>
      <c r="H316" s="240">
        <f>FLEURY!K95</f>
        <v>0</v>
      </c>
      <c r="I316" s="240">
        <f>FLEURY!L95</f>
        <v>0</v>
      </c>
      <c r="J316" s="240">
        <f>FLEURY!M95</f>
        <v>0</v>
      </c>
      <c r="K316" s="240">
        <f>FLEURY!N95</f>
        <v>1411</v>
      </c>
      <c r="L316" s="240">
        <f>FLEURY!O95</f>
        <v>0</v>
      </c>
      <c r="M316" s="240">
        <f>FLEURY!P95</f>
        <v>0</v>
      </c>
      <c r="N316" s="240">
        <f>FLEURY!Q95</f>
        <v>0</v>
      </c>
      <c r="O316" s="240">
        <f>FLEURY!R95</f>
        <v>0</v>
      </c>
      <c r="P316" s="240">
        <f>FLEURY!S95</f>
        <v>0</v>
      </c>
      <c r="Q316" s="240">
        <f>FLEURY!T95</f>
        <v>0</v>
      </c>
      <c r="R316" s="240">
        <f>FLEURY!U95</f>
        <v>0</v>
      </c>
      <c r="S316" s="245">
        <f t="shared" si="26"/>
        <v>1411</v>
      </c>
    </row>
    <row r="317" spans="1:24" x14ac:dyDescent="0.2">
      <c r="A317" s="159">
        <v>615190</v>
      </c>
      <c r="B317" s="160" t="s">
        <v>117</v>
      </c>
      <c r="C317" s="148" t="s">
        <v>78</v>
      </c>
      <c r="D317" s="148" t="s">
        <v>198</v>
      </c>
      <c r="E317" s="240">
        <f>FLEURY!H98</f>
        <v>0</v>
      </c>
      <c r="F317" s="240">
        <f>FLEURY!I98</f>
        <v>0</v>
      </c>
      <c r="G317" s="240">
        <f>FLEURY!J98</f>
        <v>0</v>
      </c>
      <c r="H317" s="240">
        <f>FLEURY!K98</f>
        <v>0</v>
      </c>
      <c r="I317" s="240">
        <f>FLEURY!L98</f>
        <v>0</v>
      </c>
      <c r="J317" s="240">
        <f>FLEURY!M98</f>
        <v>0</v>
      </c>
      <c r="K317" s="240">
        <f>FLEURY!N98</f>
        <v>0</v>
      </c>
      <c r="L317" s="240">
        <f>FLEURY!O98</f>
        <v>0</v>
      </c>
      <c r="M317" s="240">
        <f>FLEURY!P98</f>
        <v>0</v>
      </c>
      <c r="N317" s="240">
        <f>FLEURY!Q98</f>
        <v>0</v>
      </c>
      <c r="O317" s="240">
        <f>FLEURY!R98</f>
        <v>0</v>
      </c>
      <c r="P317" s="240">
        <f>FLEURY!S98</f>
        <v>0</v>
      </c>
      <c r="Q317" s="240">
        <f>FLEURY!T98</f>
        <v>0</v>
      </c>
      <c r="R317" s="240">
        <f>FLEURY!U98</f>
        <v>0</v>
      </c>
      <c r="S317" s="245">
        <f t="shared" si="26"/>
        <v>0</v>
      </c>
    </row>
    <row r="318" spans="1:24" x14ac:dyDescent="0.2">
      <c r="A318" s="159">
        <v>615190</v>
      </c>
      <c r="B318" s="160" t="s">
        <v>117</v>
      </c>
      <c r="C318" s="148" t="s">
        <v>78</v>
      </c>
      <c r="D318" s="148" t="s">
        <v>208</v>
      </c>
      <c r="E318" s="240">
        <f>+SUM(FLEURY!H98:H104)</f>
        <v>-1800</v>
      </c>
      <c r="F318" s="240">
        <f>+SUM(FLEURY!I98:I104)</f>
        <v>918.41000000000008</v>
      </c>
      <c r="G318" s="240">
        <f>+SUM(FLEURY!J98:J104)</f>
        <v>918.41000000000008</v>
      </c>
      <c r="H318" s="240">
        <f>+SUM(FLEURY!K98:K104)</f>
        <v>918.41000000000008</v>
      </c>
      <c r="I318" s="240">
        <f>+SUM(FLEURY!L98:L104)</f>
        <v>918.41000000000008</v>
      </c>
      <c r="J318" s="240">
        <f>+SUM(FLEURY!M98:M104)</f>
        <v>918.41000000000008</v>
      </c>
      <c r="K318" s="240">
        <f>+SUM(FLEURY!N98:N104)</f>
        <v>918.41000000000008</v>
      </c>
      <c r="L318" s="240">
        <f>+SUM(FLEURY!O98:O104)</f>
        <v>-341.58999999999992</v>
      </c>
      <c r="M318" s="240">
        <f>+SUM(FLEURY!P98:P104)</f>
        <v>738.41000000000008</v>
      </c>
      <c r="N318" s="240">
        <f>+SUM(FLEURY!Q98:Q104)</f>
        <v>738.40000000000009</v>
      </c>
      <c r="O318" s="240">
        <f>+SUM(FLEURY!R98:R104)</f>
        <v>740.57</v>
      </c>
      <c r="P318" s="240">
        <f>+SUM(FLEURY!S98:S104)</f>
        <v>740.49</v>
      </c>
      <c r="Q318" s="240">
        <f>+SUM(FLEURY!T98:T104)</f>
        <v>749.2</v>
      </c>
      <c r="R318" s="240">
        <f>+SUM(FLEURY!U98:U104)</f>
        <v>0</v>
      </c>
      <c r="S318" s="245">
        <f t="shared" si="26"/>
        <v>7075.94</v>
      </c>
      <c r="T318" s="273"/>
    </row>
    <row r="319" spans="1:24" x14ac:dyDescent="0.2">
      <c r="A319" s="159">
        <v>615190</v>
      </c>
      <c r="B319" s="160" t="s">
        <v>117</v>
      </c>
      <c r="C319" s="148" t="s">
        <v>78</v>
      </c>
      <c r="D319" s="148" t="s">
        <v>197</v>
      </c>
      <c r="E319" s="240">
        <f>+FLEURY!H106</f>
        <v>0</v>
      </c>
      <c r="F319" s="240">
        <f>+FLEURY!I106</f>
        <v>0</v>
      </c>
      <c r="G319" s="240">
        <f>+FLEURY!J106</f>
        <v>0</v>
      </c>
      <c r="H319" s="240">
        <f>+FLEURY!K106</f>
        <v>0</v>
      </c>
      <c r="I319" s="240">
        <f>+FLEURY!L106</f>
        <v>0</v>
      </c>
      <c r="J319" s="240">
        <f>+FLEURY!M106</f>
        <v>0</v>
      </c>
      <c r="K319" s="240">
        <f>+FLEURY!N106</f>
        <v>298.5</v>
      </c>
      <c r="L319" s="240">
        <f>+FLEURY!O106</f>
        <v>0</v>
      </c>
      <c r="M319" s="240">
        <f>+FLEURY!P106</f>
        <v>0</v>
      </c>
      <c r="N319" s="240">
        <f>+FLEURY!Q106</f>
        <v>0</v>
      </c>
      <c r="O319" s="240">
        <f>+FLEURY!R106</f>
        <v>0</v>
      </c>
      <c r="P319" s="240">
        <f>+FLEURY!S106</f>
        <v>0</v>
      </c>
      <c r="Q319" s="240">
        <f>+FLEURY!T106</f>
        <v>0</v>
      </c>
      <c r="R319" s="240">
        <f>+FLEURY!U106</f>
        <v>0</v>
      </c>
      <c r="S319" s="245">
        <f t="shared" si="26"/>
        <v>298.5</v>
      </c>
      <c r="T319" s="273"/>
    </row>
    <row r="320" spans="1:24" ht="14.25" customHeight="1" x14ac:dyDescent="0.2">
      <c r="A320" s="270"/>
      <c r="B320" s="235"/>
      <c r="C320" s="148"/>
      <c r="D320" s="272"/>
      <c r="E320" s="240"/>
      <c r="F320" s="240"/>
      <c r="G320" s="240"/>
      <c r="H320" s="240"/>
      <c r="I320" s="240"/>
      <c r="J320" s="240"/>
      <c r="K320" s="240"/>
      <c r="L320" s="240"/>
      <c r="M320" s="240"/>
      <c r="N320" s="240"/>
      <c r="O320" s="240"/>
      <c r="P320" s="240"/>
      <c r="Q320" s="240"/>
      <c r="R320" s="240"/>
      <c r="S320" s="245"/>
    </row>
    <row r="321" spans="1:19" x14ac:dyDescent="0.2">
      <c r="A321" s="159">
        <v>615190</v>
      </c>
      <c r="B321" s="160" t="s">
        <v>117</v>
      </c>
      <c r="C321" s="148" t="s">
        <v>71</v>
      </c>
      <c r="D321" s="148" t="s">
        <v>181</v>
      </c>
      <c r="E321" s="240">
        <f>AIX!H89</f>
        <v>0</v>
      </c>
      <c r="F321" s="240">
        <f>AIX!I89</f>
        <v>0</v>
      </c>
      <c r="G321" s="240">
        <f>AIX!J89</f>
        <v>0</v>
      </c>
      <c r="H321" s="240">
        <f>AIX!K89</f>
        <v>322.88</v>
      </c>
      <c r="I321" s="240">
        <f>AIX!L89</f>
        <v>0</v>
      </c>
      <c r="J321" s="240">
        <f>AIX!M89</f>
        <v>0</v>
      </c>
      <c r="K321" s="240">
        <f>AIX!N89</f>
        <v>0</v>
      </c>
      <c r="L321" s="240">
        <f>AIX!O89</f>
        <v>0</v>
      </c>
      <c r="M321" s="240">
        <f>AIX!P89</f>
        <v>0</v>
      </c>
      <c r="N321" s="240">
        <f>AIX!Q89</f>
        <v>0</v>
      </c>
      <c r="O321" s="240">
        <f>AIX!R89</f>
        <v>0</v>
      </c>
      <c r="P321" s="240">
        <f>AIX!S89</f>
        <v>0</v>
      </c>
      <c r="Q321" s="240">
        <f>AIX!T89</f>
        <v>0</v>
      </c>
      <c r="R321" s="240">
        <f>AIX!U89</f>
        <v>0</v>
      </c>
      <c r="S321" s="245">
        <f t="shared" ref="S321:S330" si="27">SUM(E321:Q321)</f>
        <v>322.88</v>
      </c>
    </row>
    <row r="322" spans="1:19" x14ac:dyDescent="0.2">
      <c r="A322" s="159">
        <v>615190</v>
      </c>
      <c r="B322" s="160" t="s">
        <v>117</v>
      </c>
      <c r="C322" s="148" t="s">
        <v>71</v>
      </c>
      <c r="D322" s="148" t="s">
        <v>199</v>
      </c>
      <c r="E322" s="240">
        <f>AIX!H91</f>
        <v>0</v>
      </c>
      <c r="F322" s="240">
        <f>AIX!I91</f>
        <v>0</v>
      </c>
      <c r="G322" s="240">
        <f>AIX!J91</f>
        <v>0</v>
      </c>
      <c r="H322" s="240">
        <f>AIX!K91</f>
        <v>0</v>
      </c>
      <c r="I322" s="240">
        <f>AIX!L91</f>
        <v>0</v>
      </c>
      <c r="J322" s="240">
        <f>AIX!M91</f>
        <v>0</v>
      </c>
      <c r="K322" s="240">
        <f>AIX!N91</f>
        <v>0</v>
      </c>
      <c r="L322" s="240">
        <f>AIX!O91</f>
        <v>0</v>
      </c>
      <c r="M322" s="240">
        <f>AIX!P91</f>
        <v>0</v>
      </c>
      <c r="N322" s="240">
        <f>AIX!Q91</f>
        <v>0</v>
      </c>
      <c r="O322" s="240">
        <f>AIX!R91</f>
        <v>0</v>
      </c>
      <c r="P322" s="240">
        <f>AIX!S91</f>
        <v>292.91000000000003</v>
      </c>
      <c r="Q322" s="240">
        <f>AIX!T91</f>
        <v>0</v>
      </c>
      <c r="R322" s="240">
        <f>AIX!U91</f>
        <v>0</v>
      </c>
      <c r="S322" s="245">
        <f t="shared" si="27"/>
        <v>292.91000000000003</v>
      </c>
    </row>
    <row r="323" spans="1:19" x14ac:dyDescent="0.2">
      <c r="A323" s="159">
        <v>615190</v>
      </c>
      <c r="B323" s="160" t="s">
        <v>117</v>
      </c>
      <c r="C323" s="148" t="s">
        <v>71</v>
      </c>
      <c r="D323" s="148" t="s">
        <v>185</v>
      </c>
      <c r="E323" s="240">
        <f>AIX!H90</f>
        <v>0</v>
      </c>
      <c r="F323" s="240">
        <f>AIX!I90</f>
        <v>0</v>
      </c>
      <c r="G323" s="240">
        <f>AIX!J90</f>
        <v>0</v>
      </c>
      <c r="H323" s="240">
        <f>AIX!K90</f>
        <v>0</v>
      </c>
      <c r="I323" s="240">
        <f>AIX!L90</f>
        <v>0</v>
      </c>
      <c r="J323" s="240">
        <f>AIX!M90</f>
        <v>0</v>
      </c>
      <c r="K323" s="240">
        <f>AIX!N90</f>
        <v>0</v>
      </c>
      <c r="L323" s="240">
        <f>AIX!O90</f>
        <v>0</v>
      </c>
      <c r="M323" s="240">
        <f>AIX!P90</f>
        <v>0</v>
      </c>
      <c r="N323" s="240">
        <f>AIX!Q90</f>
        <v>0</v>
      </c>
      <c r="O323" s="240">
        <f>AIX!R90</f>
        <v>0</v>
      </c>
      <c r="P323" s="240">
        <f>AIX!S90</f>
        <v>0</v>
      </c>
      <c r="Q323" s="240">
        <f>AIX!T90</f>
        <v>0</v>
      </c>
      <c r="R323" s="240">
        <f>AIX!U90</f>
        <v>0</v>
      </c>
      <c r="S323" s="245">
        <f t="shared" si="27"/>
        <v>0</v>
      </c>
    </row>
    <row r="324" spans="1:19" x14ac:dyDescent="0.2">
      <c r="A324" s="159">
        <v>615190</v>
      </c>
      <c r="B324" s="160" t="s">
        <v>117</v>
      </c>
      <c r="C324" s="148" t="s">
        <v>71</v>
      </c>
      <c r="D324" s="148" t="s">
        <v>200</v>
      </c>
      <c r="E324" s="240">
        <f>AIX!H92</f>
        <v>0</v>
      </c>
      <c r="F324" s="240">
        <f>AIX!I92</f>
        <v>0</v>
      </c>
      <c r="G324" s="240">
        <f>AIX!J92</f>
        <v>399</v>
      </c>
      <c r="H324" s="240">
        <f>AIX!K92</f>
        <v>0</v>
      </c>
      <c r="I324" s="240">
        <f>AIX!L92</f>
        <v>0</v>
      </c>
      <c r="J324" s="240">
        <f>AIX!M92</f>
        <v>0</v>
      </c>
      <c r="K324" s="240">
        <f>AIX!N92</f>
        <v>0</v>
      </c>
      <c r="L324" s="240">
        <f>AIX!O92</f>
        <v>0</v>
      </c>
      <c r="M324" s="240">
        <f>AIX!P92</f>
        <v>0</v>
      </c>
      <c r="N324" s="240">
        <f>AIX!Q92</f>
        <v>0</v>
      </c>
      <c r="O324" s="240">
        <f>AIX!R92</f>
        <v>0</v>
      </c>
      <c r="P324" s="240">
        <f>AIX!S92</f>
        <v>0</v>
      </c>
      <c r="Q324" s="240">
        <f>AIX!T92</f>
        <v>0</v>
      </c>
      <c r="R324" s="240">
        <f>AIX!U92</f>
        <v>0</v>
      </c>
      <c r="S324" s="245">
        <f t="shared" si="27"/>
        <v>399</v>
      </c>
    </row>
    <row r="325" spans="1:19" x14ac:dyDescent="0.2">
      <c r="A325" s="159">
        <v>615190</v>
      </c>
      <c r="B325" s="160" t="s">
        <v>117</v>
      </c>
      <c r="C325" s="148" t="s">
        <v>71</v>
      </c>
      <c r="D325" s="148" t="s">
        <v>192</v>
      </c>
      <c r="E325" s="240">
        <f>AIX!H93</f>
        <v>-590.4</v>
      </c>
      <c r="F325" s="240">
        <f>AIX!I93</f>
        <v>482.09</v>
      </c>
      <c r="G325" s="240">
        <f>AIX!J93</f>
        <v>482.09</v>
      </c>
      <c r="H325" s="240">
        <f>AIX!K93</f>
        <v>482.1</v>
      </c>
      <c r="I325" s="240">
        <f>AIX!L93</f>
        <v>-972.9</v>
      </c>
      <c r="J325" s="240">
        <f>AIX!M93</f>
        <v>0</v>
      </c>
      <c r="K325" s="240">
        <f>AIX!N93</f>
        <v>0</v>
      </c>
      <c r="L325" s="240">
        <f>AIX!O93</f>
        <v>0</v>
      </c>
      <c r="M325" s="240">
        <f>AIX!P93</f>
        <v>0</v>
      </c>
      <c r="N325" s="240">
        <f>AIX!Q93</f>
        <v>1691.33</v>
      </c>
      <c r="O325" s="240">
        <f>AIX!R93</f>
        <v>1078</v>
      </c>
      <c r="P325" s="240">
        <f>AIX!S93</f>
        <v>26.45</v>
      </c>
      <c r="Q325" s="240">
        <f>AIX!T93</f>
        <v>0</v>
      </c>
      <c r="R325" s="240">
        <f>AIX!U93</f>
        <v>0</v>
      </c>
      <c r="S325" s="245">
        <f t="shared" si="27"/>
        <v>2678.7599999999998</v>
      </c>
    </row>
    <row r="326" spans="1:19" x14ac:dyDescent="0.2">
      <c r="A326" s="159">
        <v>615190</v>
      </c>
      <c r="B326" s="160" t="s">
        <v>117</v>
      </c>
      <c r="C326" s="148" t="s">
        <v>71</v>
      </c>
      <c r="D326" s="148" t="s">
        <v>196</v>
      </c>
      <c r="E326" s="240">
        <f>+SUM(AIX!H94:H96)</f>
        <v>0</v>
      </c>
      <c r="F326" s="240">
        <f>+SUM(AIX!I94:I96)</f>
        <v>168.75</v>
      </c>
      <c r="G326" s="240">
        <f>+SUM(AIX!J94:J96)</f>
        <v>311.75</v>
      </c>
      <c r="H326" s="240">
        <f>+SUM(AIX!K94:K96)</f>
        <v>168.75</v>
      </c>
      <c r="I326" s="240">
        <f>+SUM(AIX!L94:L96)</f>
        <v>168.75</v>
      </c>
      <c r="J326" s="240">
        <f>+SUM(AIX!M94:M96)</f>
        <v>168.75</v>
      </c>
      <c r="K326" s="240">
        <f>+SUM(AIX!N94:N96)</f>
        <v>168.75</v>
      </c>
      <c r="L326" s="240">
        <f>+SUM(AIX!O94:O96)</f>
        <v>168.75</v>
      </c>
      <c r="M326" s="240">
        <f>+SUM(AIX!P94:P96)</f>
        <v>168.75</v>
      </c>
      <c r="N326" s="240">
        <f>+SUM(AIX!Q94:Q96)</f>
        <v>168.75</v>
      </c>
      <c r="O326" s="240">
        <f>+SUM(AIX!R94:R96)</f>
        <v>168.75</v>
      </c>
      <c r="P326" s="240">
        <f>+SUM(AIX!S94:S96)</f>
        <v>168.75</v>
      </c>
      <c r="Q326" s="240">
        <f>+SUM(AIX!T94:T96)</f>
        <v>168.75</v>
      </c>
      <c r="R326" s="240">
        <f>+SUM(AIX!U94:U96)</f>
        <v>0</v>
      </c>
      <c r="S326" s="245">
        <f t="shared" si="27"/>
        <v>2168</v>
      </c>
    </row>
    <row r="327" spans="1:19" x14ac:dyDescent="0.2">
      <c r="A327" s="159">
        <v>615190</v>
      </c>
      <c r="B327" s="160" t="s">
        <v>117</v>
      </c>
      <c r="C327" s="148" t="s">
        <v>71</v>
      </c>
      <c r="D327" s="148" t="s">
        <v>198</v>
      </c>
      <c r="E327" s="240">
        <f>AIX!H98</f>
        <v>0</v>
      </c>
      <c r="F327" s="240">
        <f>AIX!I98</f>
        <v>0</v>
      </c>
      <c r="G327" s="240">
        <f>AIX!J98</f>
        <v>538.16</v>
      </c>
      <c r="H327" s="240">
        <f>AIX!K98</f>
        <v>0</v>
      </c>
      <c r="I327" s="240">
        <f>AIX!L98</f>
        <v>0</v>
      </c>
      <c r="J327" s="240">
        <f>AIX!M98</f>
        <v>0</v>
      </c>
      <c r="K327" s="240">
        <f>AIX!N98</f>
        <v>0</v>
      </c>
      <c r="L327" s="240">
        <f>AIX!O98</f>
        <v>0</v>
      </c>
      <c r="M327" s="240">
        <f>AIX!P98</f>
        <v>0</v>
      </c>
      <c r="N327" s="240">
        <f>AIX!Q98</f>
        <v>0</v>
      </c>
      <c r="O327" s="240">
        <f>AIX!R98</f>
        <v>0</v>
      </c>
      <c r="P327" s="240">
        <f>AIX!S98</f>
        <v>0</v>
      </c>
      <c r="Q327" s="240">
        <f>AIX!T98</f>
        <v>0</v>
      </c>
      <c r="R327" s="240">
        <f>AIX!U98</f>
        <v>0</v>
      </c>
      <c r="S327" s="245">
        <f>SUM(E327:Q327)</f>
        <v>538.16</v>
      </c>
    </row>
    <row r="328" spans="1:19" x14ac:dyDescent="0.2">
      <c r="A328" s="159">
        <v>615190</v>
      </c>
      <c r="B328" s="160" t="s">
        <v>117</v>
      </c>
      <c r="C328" s="148" t="s">
        <v>71</v>
      </c>
      <c r="D328" s="148" t="s">
        <v>184</v>
      </c>
      <c r="E328" s="240">
        <f>AIX!H97</f>
        <v>0</v>
      </c>
      <c r="F328" s="240">
        <f>AIX!I97</f>
        <v>0</v>
      </c>
      <c r="G328" s="240">
        <f>AIX!J97</f>
        <v>0</v>
      </c>
      <c r="H328" s="240">
        <f>AIX!K97</f>
        <v>0</v>
      </c>
      <c r="I328" s="240">
        <f>AIX!L97</f>
        <v>0</v>
      </c>
      <c r="J328" s="240">
        <f>AIX!M97</f>
        <v>0</v>
      </c>
      <c r="K328" s="240">
        <f>AIX!N97</f>
        <v>0</v>
      </c>
      <c r="L328" s="240">
        <f>AIX!O97</f>
        <v>0</v>
      </c>
      <c r="M328" s="240">
        <f>AIX!P97</f>
        <v>0</v>
      </c>
      <c r="N328" s="240">
        <f>AIX!Q97</f>
        <v>0</v>
      </c>
      <c r="O328" s="240">
        <f>AIX!R97</f>
        <v>0</v>
      </c>
      <c r="P328" s="240">
        <f>AIX!S97</f>
        <v>0</v>
      </c>
      <c r="Q328" s="240">
        <f>AIX!T97</f>
        <v>0</v>
      </c>
      <c r="R328" s="240">
        <f>AIX!U97</f>
        <v>0</v>
      </c>
      <c r="S328" s="245">
        <f t="shared" si="27"/>
        <v>0</v>
      </c>
    </row>
    <row r="329" spans="1:19" x14ac:dyDescent="0.2">
      <c r="A329" s="159">
        <v>615190</v>
      </c>
      <c r="B329" s="160" t="s">
        <v>117</v>
      </c>
      <c r="C329" s="148" t="s">
        <v>71</v>
      </c>
      <c r="D329" s="148" t="s">
        <v>197</v>
      </c>
      <c r="E329" s="240">
        <f>AIX!H99</f>
        <v>0</v>
      </c>
      <c r="F329" s="240">
        <f>AIX!I99</f>
        <v>1411.98</v>
      </c>
      <c r="G329" s="240">
        <f>AIX!J99</f>
        <v>1411.98</v>
      </c>
      <c r="H329" s="240">
        <f>AIX!K99</f>
        <v>1411.98</v>
      </c>
      <c r="I329" s="240">
        <f>AIX!L99</f>
        <v>1411.98</v>
      </c>
      <c r="J329" s="240">
        <f>AIX!M99</f>
        <v>1411.98</v>
      </c>
      <c r="K329" s="240">
        <f>AIX!N99</f>
        <v>1411.98</v>
      </c>
      <c r="L329" s="240">
        <f>AIX!O99</f>
        <v>1411.98</v>
      </c>
      <c r="M329" s="240">
        <f>AIX!P99</f>
        <v>1411.98</v>
      </c>
      <c r="N329" s="240">
        <f>AIX!Q99</f>
        <v>1411.98</v>
      </c>
      <c r="O329" s="240">
        <f>AIX!R99</f>
        <v>1411.98</v>
      </c>
      <c r="P329" s="240">
        <f>AIX!S99</f>
        <v>1411.98</v>
      </c>
      <c r="Q329" s="240">
        <f>AIX!T99</f>
        <v>1411.98</v>
      </c>
      <c r="R329" s="240">
        <f>AIX!U99</f>
        <v>0</v>
      </c>
      <c r="S329" s="245">
        <f t="shared" si="27"/>
        <v>16943.759999999998</v>
      </c>
    </row>
    <row r="330" spans="1:19" x14ac:dyDescent="0.2">
      <c r="A330" s="159">
        <v>615190</v>
      </c>
      <c r="B330" s="160" t="s">
        <v>117</v>
      </c>
      <c r="C330" s="148" t="s">
        <v>71</v>
      </c>
      <c r="D330" s="148" t="s">
        <v>179</v>
      </c>
      <c r="E330" s="240"/>
      <c r="F330" s="240"/>
      <c r="G330" s="240"/>
      <c r="H330" s="240"/>
      <c r="I330" s="240"/>
      <c r="J330" s="240"/>
      <c r="K330" s="240"/>
      <c r="L330" s="240"/>
      <c r="M330" s="240"/>
      <c r="N330" s="240"/>
      <c r="O330" s="240"/>
      <c r="P330" s="240"/>
      <c r="Q330" s="240"/>
      <c r="R330" s="240"/>
      <c r="S330" s="245">
        <f t="shared" si="27"/>
        <v>0</v>
      </c>
    </row>
    <row r="331" spans="1:19" x14ac:dyDescent="0.2">
      <c r="A331" s="270"/>
      <c r="B331" s="235"/>
      <c r="C331" s="148"/>
      <c r="D331" s="272"/>
      <c r="E331" s="240"/>
      <c r="F331" s="240"/>
      <c r="G331" s="240"/>
      <c r="H331" s="240"/>
      <c r="I331" s="240"/>
      <c r="J331" s="240"/>
      <c r="K331" s="240"/>
      <c r="L331" s="240"/>
      <c r="M331" s="240"/>
      <c r="N331" s="240"/>
      <c r="O331" s="240"/>
      <c r="P331" s="240"/>
      <c r="Q331" s="240"/>
      <c r="R331" s="240"/>
      <c r="S331" s="245"/>
    </row>
    <row r="332" spans="1:19" x14ac:dyDescent="0.2">
      <c r="A332" s="159">
        <v>615190</v>
      </c>
      <c r="B332" s="160" t="s">
        <v>117</v>
      </c>
      <c r="C332" s="148" t="s">
        <v>73</v>
      </c>
      <c r="D332" s="148" t="s">
        <v>199</v>
      </c>
      <c r="E332" s="240">
        <f>+LYON!H83</f>
        <v>0</v>
      </c>
      <c r="F332" s="240">
        <f>+LYON!I83</f>
        <v>0</v>
      </c>
      <c r="G332" s="240">
        <f>+LYON!J83</f>
        <v>0</v>
      </c>
      <c r="H332" s="240">
        <f>+LYON!K83</f>
        <v>0</v>
      </c>
      <c r="I332" s="240">
        <f>+LYON!M83</f>
        <v>0</v>
      </c>
      <c r="J332" s="240">
        <f>+LYON!N83</f>
        <v>0</v>
      </c>
      <c r="K332" s="240">
        <f>+LYON!O83</f>
        <v>0</v>
      </c>
      <c r="L332" s="240">
        <f>+LYON!P83</f>
        <v>0</v>
      </c>
      <c r="M332" s="240">
        <f>+LYON!Q83</f>
        <v>0</v>
      </c>
      <c r="N332" s="240">
        <f>+LYON!R83</f>
        <v>0</v>
      </c>
      <c r="O332" s="240">
        <f>+LYON!S83</f>
        <v>0</v>
      </c>
      <c r="P332" s="240">
        <f>+LYON!T83</f>
        <v>0</v>
      </c>
      <c r="Q332" s="240"/>
      <c r="R332" s="240"/>
      <c r="S332" s="245">
        <f>SUM(E332:Q332)</f>
        <v>0</v>
      </c>
    </row>
    <row r="333" spans="1:19" x14ac:dyDescent="0.2">
      <c r="A333" s="159">
        <v>615190</v>
      </c>
      <c r="B333" s="160" t="s">
        <v>117</v>
      </c>
      <c r="C333" s="148" t="s">
        <v>73</v>
      </c>
      <c r="D333" s="148" t="s">
        <v>200</v>
      </c>
      <c r="E333" s="240">
        <f>+LYON!H86</f>
        <v>0</v>
      </c>
      <c r="F333" s="240">
        <f>+LYON!I86</f>
        <v>0</v>
      </c>
      <c r="G333" s="240">
        <f>+LYON!J86</f>
        <v>0</v>
      </c>
      <c r="H333" s="240">
        <f>+LYON!K86</f>
        <v>0</v>
      </c>
      <c r="I333" s="240">
        <f>+LYON!L86</f>
        <v>0</v>
      </c>
      <c r="J333" s="240">
        <f>+LYON!M86</f>
        <v>0</v>
      </c>
      <c r="K333" s="240">
        <f>+LYON!N86</f>
        <v>0</v>
      </c>
      <c r="L333" s="240">
        <f>+LYON!O86</f>
        <v>0</v>
      </c>
      <c r="M333" s="240">
        <f>+LYON!P86</f>
        <v>0</v>
      </c>
      <c r="N333" s="240">
        <f>+LYON!Q86</f>
        <v>0</v>
      </c>
      <c r="O333" s="240">
        <f>+LYON!R86</f>
        <v>0</v>
      </c>
      <c r="P333" s="240">
        <f>+LYON!S86</f>
        <v>0</v>
      </c>
      <c r="Q333" s="240">
        <f>+LYON!T86</f>
        <v>0</v>
      </c>
      <c r="R333" s="240">
        <f>+LYON!U86</f>
        <v>0</v>
      </c>
      <c r="S333" s="245">
        <f>SUM(E333:Q333)</f>
        <v>0</v>
      </c>
    </row>
    <row r="334" spans="1:19" x14ac:dyDescent="0.2">
      <c r="A334" s="159">
        <v>615190</v>
      </c>
      <c r="B334" s="160" t="s">
        <v>117</v>
      </c>
      <c r="C334" s="148" t="s">
        <v>73</v>
      </c>
      <c r="D334" s="148" t="s">
        <v>181</v>
      </c>
      <c r="E334" s="240">
        <f>LYON!H87</f>
        <v>0</v>
      </c>
      <c r="F334" s="240">
        <f>LYON!I87</f>
        <v>0</v>
      </c>
      <c r="G334" s="240">
        <f>LYON!J87</f>
        <v>0</v>
      </c>
      <c r="H334" s="240">
        <f>LYON!K87</f>
        <v>0</v>
      </c>
      <c r="I334" s="240">
        <f>LYON!L87</f>
        <v>0</v>
      </c>
      <c r="J334" s="240">
        <f>LYON!M87</f>
        <v>0</v>
      </c>
      <c r="K334" s="240">
        <f>LYON!N87</f>
        <v>1028.58</v>
      </c>
      <c r="L334" s="240">
        <f>LYON!O87</f>
        <v>0</v>
      </c>
      <c r="M334" s="240">
        <f>LYON!P87</f>
        <v>0</v>
      </c>
      <c r="N334" s="240">
        <f>LYON!Q87</f>
        <v>0</v>
      </c>
      <c r="O334" s="240">
        <f>LYON!R87</f>
        <v>0</v>
      </c>
      <c r="P334" s="240">
        <f>LYON!S87</f>
        <v>0</v>
      </c>
      <c r="Q334" s="240">
        <f>LYON!T87</f>
        <v>0</v>
      </c>
      <c r="R334" s="240">
        <f>LYON!U87</f>
        <v>0</v>
      </c>
      <c r="S334" s="245">
        <f>SUM(E334:Q334)</f>
        <v>1028.58</v>
      </c>
    </row>
    <row r="335" spans="1:19" x14ac:dyDescent="0.2">
      <c r="A335" s="159">
        <v>615190</v>
      </c>
      <c r="B335" s="160" t="s">
        <v>117</v>
      </c>
      <c r="C335" s="148" t="s">
        <v>73</v>
      </c>
      <c r="D335" s="148" t="s">
        <v>192</v>
      </c>
      <c r="E335" s="240">
        <f>LYON!H85</f>
        <v>-385.25</v>
      </c>
      <c r="F335" s="240">
        <f>LYON!I85</f>
        <v>2610</v>
      </c>
      <c r="G335" s="240">
        <f>LYON!J85</f>
        <v>0</v>
      </c>
      <c r="H335" s="240">
        <f>LYON!K85</f>
        <v>460</v>
      </c>
      <c r="I335" s="240">
        <f>LYON!L85</f>
        <v>1258.5</v>
      </c>
      <c r="J335" s="240">
        <f>LYON!M85</f>
        <v>0</v>
      </c>
      <c r="K335" s="240">
        <f>LYON!N85</f>
        <v>597</v>
      </c>
      <c r="L335" s="240">
        <f>LYON!O85</f>
        <v>0</v>
      </c>
      <c r="M335" s="240">
        <f>LYON!P85</f>
        <v>0</v>
      </c>
      <c r="N335" s="240">
        <f>LYON!Q85</f>
        <v>920</v>
      </c>
      <c r="O335" s="240">
        <f>LYON!R85</f>
        <v>380</v>
      </c>
      <c r="P335" s="240">
        <f>LYON!S85</f>
        <v>1219.6099999999999</v>
      </c>
      <c r="Q335" s="240">
        <f>LYON!T85</f>
        <v>0</v>
      </c>
      <c r="R335" s="240">
        <f>LYON!U85</f>
        <v>0</v>
      </c>
      <c r="S335" s="245">
        <f>SUM(E335:Q335)</f>
        <v>7059.86</v>
      </c>
    </row>
    <row r="336" spans="1:19" x14ac:dyDescent="0.2">
      <c r="A336" s="159">
        <v>615190</v>
      </c>
      <c r="B336" s="160" t="s">
        <v>117</v>
      </c>
      <c r="C336" s="148" t="s">
        <v>73</v>
      </c>
      <c r="D336" s="148" t="s">
        <v>185</v>
      </c>
      <c r="E336" s="240"/>
      <c r="F336" s="240"/>
      <c r="G336" s="240"/>
      <c r="H336" s="240"/>
      <c r="I336" s="240"/>
      <c r="J336" s="240"/>
      <c r="K336" s="240"/>
      <c r="L336" s="240"/>
      <c r="M336" s="240"/>
      <c r="N336" s="240"/>
      <c r="O336" s="240"/>
      <c r="P336" s="240"/>
      <c r="Q336" s="240"/>
      <c r="R336" s="240"/>
      <c r="S336" s="245">
        <f>LYON!V84</f>
        <v>0</v>
      </c>
    </row>
    <row r="337" spans="1:19" x14ac:dyDescent="0.2">
      <c r="A337" s="159">
        <v>615190</v>
      </c>
      <c r="B337" s="160" t="s">
        <v>117</v>
      </c>
      <c r="C337" s="148" t="s">
        <v>73</v>
      </c>
      <c r="D337" s="148" t="s">
        <v>196</v>
      </c>
      <c r="E337" s="240">
        <f>LYON!H88</f>
        <v>0</v>
      </c>
      <c r="F337" s="240">
        <f>LYON!I88</f>
        <v>111.84</v>
      </c>
      <c r="G337" s="240">
        <f>LYON!J88</f>
        <v>111.84</v>
      </c>
      <c r="H337" s="240">
        <f>LYON!K88</f>
        <v>111.84</v>
      </c>
      <c r="I337" s="240">
        <f>LYON!L88</f>
        <v>111.84</v>
      </c>
      <c r="J337" s="240">
        <f>LYON!M88</f>
        <v>111.84</v>
      </c>
      <c r="K337" s="240">
        <f>LYON!N88</f>
        <v>111.84</v>
      </c>
      <c r="L337" s="240">
        <f>LYON!O88</f>
        <v>111.84</v>
      </c>
      <c r="M337" s="240">
        <f>LYON!P88</f>
        <v>111.84</v>
      </c>
      <c r="N337" s="240">
        <f>LYON!Q88</f>
        <v>111.84</v>
      </c>
      <c r="O337" s="240">
        <f>LYON!R88</f>
        <v>111.84</v>
      </c>
      <c r="P337" s="240">
        <f>LYON!S88</f>
        <v>111.73</v>
      </c>
      <c r="Q337" s="240">
        <f>LYON!T88</f>
        <v>0</v>
      </c>
      <c r="R337" s="240">
        <f>LYON!U88</f>
        <v>0</v>
      </c>
      <c r="S337" s="245">
        <f>SUM(E337:Q337)</f>
        <v>1230.1300000000001</v>
      </c>
    </row>
    <row r="338" spans="1:19" x14ac:dyDescent="0.2">
      <c r="A338" s="159">
        <v>615190</v>
      </c>
      <c r="B338" s="160" t="s">
        <v>117</v>
      </c>
      <c r="C338" s="148" t="s">
        <v>73</v>
      </c>
      <c r="D338" s="148" t="s">
        <v>184</v>
      </c>
      <c r="E338" s="240">
        <f>LYON!H89</f>
        <v>0</v>
      </c>
      <c r="F338" s="240">
        <f>LYON!I89</f>
        <v>0</v>
      </c>
      <c r="G338" s="240">
        <f>LYON!J89</f>
        <v>0</v>
      </c>
      <c r="H338" s="240">
        <f>LYON!K89</f>
        <v>0</v>
      </c>
      <c r="I338" s="240">
        <f>LYON!L89</f>
        <v>0</v>
      </c>
      <c r="J338" s="240">
        <f>LYON!M89</f>
        <v>0</v>
      </c>
      <c r="K338" s="240">
        <f>LYON!N89</f>
        <v>0</v>
      </c>
      <c r="L338" s="240">
        <f>LYON!O89</f>
        <v>0</v>
      </c>
      <c r="M338" s="240">
        <f>LYON!P89</f>
        <v>0</v>
      </c>
      <c r="N338" s="240">
        <f>LYON!Q89</f>
        <v>0</v>
      </c>
      <c r="O338" s="240">
        <f>LYON!R89</f>
        <v>0</v>
      </c>
      <c r="P338" s="240">
        <f>LYON!S89</f>
        <v>0</v>
      </c>
      <c r="Q338" s="240">
        <f>LYON!T89</f>
        <v>0</v>
      </c>
      <c r="R338" s="240">
        <f>LYON!U89</f>
        <v>0</v>
      </c>
      <c r="S338" s="245">
        <f>SUM(E338:Q338)</f>
        <v>0</v>
      </c>
    </row>
    <row r="339" spans="1:19" x14ac:dyDescent="0.2">
      <c r="A339" s="159">
        <v>615190</v>
      </c>
      <c r="B339" s="160" t="s">
        <v>117</v>
      </c>
      <c r="C339" s="148" t="s">
        <v>73</v>
      </c>
      <c r="D339" s="148" t="s">
        <v>198</v>
      </c>
      <c r="E339" s="240">
        <f>LYON!H90</f>
        <v>0</v>
      </c>
      <c r="F339" s="240">
        <f>LYON!I90</f>
        <v>0</v>
      </c>
      <c r="G339" s="240">
        <f>LYON!J90</f>
        <v>0</v>
      </c>
      <c r="H339" s="240">
        <f>LYON!K90</f>
        <v>0</v>
      </c>
      <c r="I339" s="240">
        <f>LYON!L90</f>
        <v>0</v>
      </c>
      <c r="J339" s="240">
        <f>LYON!M90</f>
        <v>0</v>
      </c>
      <c r="K339" s="240">
        <f>LYON!N90</f>
        <v>0</v>
      </c>
      <c r="L339" s="240">
        <f>LYON!O90</f>
        <v>0</v>
      </c>
      <c r="M339" s="240">
        <f>LYON!P90</f>
        <v>0</v>
      </c>
      <c r="N339" s="240">
        <f>LYON!Q90</f>
        <v>0</v>
      </c>
      <c r="O339" s="240">
        <f>LYON!R90</f>
        <v>0</v>
      </c>
      <c r="P339" s="240">
        <f>LYON!S90</f>
        <v>0</v>
      </c>
      <c r="Q339" s="240">
        <f>LYON!T90</f>
        <v>0</v>
      </c>
      <c r="R339" s="240">
        <f>LYON!U90</f>
        <v>0</v>
      </c>
      <c r="S339" s="245">
        <f>SUM(E339:Q339)</f>
        <v>0</v>
      </c>
    </row>
    <row r="340" spans="1:19" x14ac:dyDescent="0.2">
      <c r="A340" s="159">
        <v>615190</v>
      </c>
      <c r="B340" s="160" t="s">
        <v>117</v>
      </c>
      <c r="C340" s="148" t="s">
        <v>73</v>
      </c>
      <c r="D340" s="148" t="s">
        <v>197</v>
      </c>
      <c r="E340" s="240">
        <f>LYON!H92</f>
        <v>0</v>
      </c>
      <c r="F340" s="240">
        <f>LYON!I92</f>
        <v>1460.8</v>
      </c>
      <c r="G340" s="240">
        <f>LYON!J92</f>
        <v>1460.8</v>
      </c>
      <c r="H340" s="240">
        <f>LYON!K92</f>
        <v>1460.78</v>
      </c>
      <c r="I340" s="240">
        <f>LYON!L92</f>
        <v>1460.78</v>
      </c>
      <c r="J340" s="240">
        <f>LYON!M92</f>
        <v>1460.78</v>
      </c>
      <c r="K340" s="240">
        <f>LYON!N92</f>
        <v>1460.78</v>
      </c>
      <c r="L340" s="240">
        <f>LYON!O92</f>
        <v>1460.78</v>
      </c>
      <c r="M340" s="240">
        <f>LYON!P92</f>
        <v>1460.78</v>
      </c>
      <c r="N340" s="240">
        <f>LYON!Q92</f>
        <v>1460.78</v>
      </c>
      <c r="O340" s="240">
        <f>LYON!R92</f>
        <v>1460.78</v>
      </c>
      <c r="P340" s="240">
        <f>LYON!S92</f>
        <v>1460.78</v>
      </c>
      <c r="Q340" s="240">
        <f>LYON!T92</f>
        <v>1460.78</v>
      </c>
      <c r="R340" s="240">
        <f>LYON!U92</f>
        <v>0</v>
      </c>
      <c r="S340" s="245">
        <f>SUM(E340:Q340)</f>
        <v>17529.400000000001</v>
      </c>
    </row>
    <row r="341" spans="1:19" x14ac:dyDescent="0.2">
      <c r="A341" s="270"/>
      <c r="B341" s="235"/>
      <c r="C341" s="148"/>
      <c r="D341" s="272"/>
      <c r="E341" s="240"/>
      <c r="F341" s="240"/>
      <c r="G341" s="240"/>
      <c r="H341" s="240"/>
      <c r="I341" s="240"/>
      <c r="J341" s="240"/>
      <c r="K341" s="240"/>
      <c r="L341" s="240"/>
      <c r="M341" s="240"/>
      <c r="N341" s="240"/>
      <c r="O341" s="240"/>
      <c r="P341" s="240"/>
      <c r="Q341" s="240"/>
      <c r="R341" s="240"/>
      <c r="S341" s="242"/>
    </row>
    <row r="342" spans="1:19" x14ac:dyDescent="0.2">
      <c r="A342" s="159">
        <v>615190</v>
      </c>
      <c r="B342" s="160" t="s">
        <v>117</v>
      </c>
      <c r="C342" s="148" t="s">
        <v>67</v>
      </c>
      <c r="D342" s="148" t="s">
        <v>181</v>
      </c>
      <c r="E342" s="240">
        <f>BORDEAUX!H90</f>
        <v>0</v>
      </c>
      <c r="F342" s="240">
        <f>BORDEAUX!I90</f>
        <v>0</v>
      </c>
      <c r="G342" s="240">
        <f>BORDEAUX!J90</f>
        <v>0</v>
      </c>
      <c r="H342" s="240">
        <f>BORDEAUX!K90</f>
        <v>0</v>
      </c>
      <c r="I342" s="240">
        <f>BORDEAUX!L90</f>
        <v>0</v>
      </c>
      <c r="J342" s="240">
        <f>BORDEAUX!M90</f>
        <v>0</v>
      </c>
      <c r="K342" s="240">
        <f>BORDEAUX!N90</f>
        <v>0</v>
      </c>
      <c r="L342" s="240">
        <f>BORDEAUX!O90</f>
        <v>0</v>
      </c>
      <c r="M342" s="240">
        <f>BORDEAUX!P90</f>
        <v>0</v>
      </c>
      <c r="N342" s="240">
        <f>BORDEAUX!Q90</f>
        <v>0</v>
      </c>
      <c r="O342" s="240">
        <f>BORDEAUX!R90</f>
        <v>0</v>
      </c>
      <c r="P342" s="240">
        <f>BORDEAUX!S90</f>
        <v>0</v>
      </c>
      <c r="Q342" s="240">
        <f>BORDEAUX!T90</f>
        <v>0</v>
      </c>
      <c r="R342" s="240">
        <f>BORDEAUX!U90</f>
        <v>0</v>
      </c>
      <c r="S342" s="242">
        <f t="shared" ref="S342:S351" si="28">SUM(E342:Q342)</f>
        <v>0</v>
      </c>
    </row>
    <row r="343" spans="1:19" x14ac:dyDescent="0.2">
      <c r="A343" s="159">
        <v>615190</v>
      </c>
      <c r="B343" s="160" t="s">
        <v>117</v>
      </c>
      <c r="C343" s="148" t="s">
        <v>67</v>
      </c>
      <c r="D343" s="148" t="s">
        <v>185</v>
      </c>
      <c r="E343" s="240">
        <f>BORDEAUX!H91</f>
        <v>0</v>
      </c>
      <c r="F343" s="240">
        <f>BORDEAUX!I91</f>
        <v>0</v>
      </c>
      <c r="G343" s="240">
        <f>BORDEAUX!J91</f>
        <v>0</v>
      </c>
      <c r="H343" s="240">
        <f>BORDEAUX!K91</f>
        <v>0</v>
      </c>
      <c r="I343" s="240">
        <f>BORDEAUX!L91</f>
        <v>0</v>
      </c>
      <c r="J343" s="240">
        <f>BORDEAUX!M91</f>
        <v>0</v>
      </c>
      <c r="K343" s="240">
        <f>BORDEAUX!N91</f>
        <v>0</v>
      </c>
      <c r="L343" s="240">
        <f>BORDEAUX!O91</f>
        <v>0</v>
      </c>
      <c r="M343" s="240">
        <f>BORDEAUX!P91</f>
        <v>0</v>
      </c>
      <c r="N343" s="240">
        <f>BORDEAUX!Q91</f>
        <v>0</v>
      </c>
      <c r="O343" s="240">
        <f>BORDEAUX!R91</f>
        <v>0</v>
      </c>
      <c r="P343" s="240">
        <f>BORDEAUX!S91</f>
        <v>0</v>
      </c>
      <c r="Q343" s="240">
        <f>BORDEAUX!T91</f>
        <v>0</v>
      </c>
      <c r="R343" s="240">
        <f>BORDEAUX!U91</f>
        <v>0</v>
      </c>
      <c r="S343" s="242">
        <f t="shared" si="28"/>
        <v>0</v>
      </c>
    </row>
    <row r="344" spans="1:19" x14ac:dyDescent="0.2">
      <c r="A344" s="159">
        <v>615190</v>
      </c>
      <c r="B344" s="160" t="s">
        <v>117</v>
      </c>
      <c r="C344" s="148" t="s">
        <v>67</v>
      </c>
      <c r="D344" s="148" t="s">
        <v>199</v>
      </c>
      <c r="E344" s="240">
        <f>BORDEAUX!H92</f>
        <v>0</v>
      </c>
      <c r="F344" s="240">
        <f>BORDEAUX!I92</f>
        <v>0</v>
      </c>
      <c r="G344" s="240">
        <f>BORDEAUX!J92</f>
        <v>0</v>
      </c>
      <c r="H344" s="240">
        <f>BORDEAUX!K92</f>
        <v>0</v>
      </c>
      <c r="I344" s="240">
        <f>BORDEAUX!L92</f>
        <v>0</v>
      </c>
      <c r="J344" s="240">
        <f>BORDEAUX!M92</f>
        <v>0</v>
      </c>
      <c r="K344" s="240">
        <f>BORDEAUX!N92</f>
        <v>0</v>
      </c>
      <c r="L344" s="240">
        <f>BORDEAUX!O92</f>
        <v>0</v>
      </c>
      <c r="M344" s="240">
        <f>BORDEAUX!P92</f>
        <v>0</v>
      </c>
      <c r="N344" s="240">
        <f>BORDEAUX!Q92</f>
        <v>941.94999999999993</v>
      </c>
      <c r="O344" s="240">
        <f>BORDEAUX!R92</f>
        <v>0</v>
      </c>
      <c r="P344" s="240">
        <f>BORDEAUX!S92</f>
        <v>0</v>
      </c>
      <c r="Q344" s="240">
        <f>BORDEAUX!T92</f>
        <v>122.4</v>
      </c>
      <c r="R344" s="240">
        <f>BORDEAUX!U92</f>
        <v>0</v>
      </c>
      <c r="S344" s="242">
        <f t="shared" si="28"/>
        <v>1064.3499999999999</v>
      </c>
    </row>
    <row r="345" spans="1:19" x14ac:dyDescent="0.2">
      <c r="A345" s="159">
        <v>615190</v>
      </c>
      <c r="B345" s="160" t="s">
        <v>117</v>
      </c>
      <c r="C345" s="148" t="s">
        <v>67</v>
      </c>
      <c r="D345" s="148" t="s">
        <v>200</v>
      </c>
      <c r="E345" s="240">
        <f>BORDEAUX!H93</f>
        <v>0</v>
      </c>
      <c r="F345" s="240">
        <f>BORDEAUX!I93</f>
        <v>0</v>
      </c>
      <c r="G345" s="240">
        <f>BORDEAUX!J93</f>
        <v>0</v>
      </c>
      <c r="H345" s="240">
        <f>BORDEAUX!K93</f>
        <v>0</v>
      </c>
      <c r="I345" s="240">
        <f>BORDEAUX!L93</f>
        <v>0</v>
      </c>
      <c r="J345" s="240">
        <f>BORDEAUX!M93</f>
        <v>0</v>
      </c>
      <c r="K345" s="240">
        <f>BORDEAUX!N93</f>
        <v>0</v>
      </c>
      <c r="L345" s="240">
        <f>BORDEAUX!O93</f>
        <v>0</v>
      </c>
      <c r="M345" s="240">
        <f>BORDEAUX!P93</f>
        <v>0</v>
      </c>
      <c r="N345" s="240">
        <f>BORDEAUX!Q93</f>
        <v>0</v>
      </c>
      <c r="O345" s="240">
        <f>BORDEAUX!R93</f>
        <v>0</v>
      </c>
      <c r="P345" s="240">
        <f>BORDEAUX!S93</f>
        <v>0</v>
      </c>
      <c r="Q345" s="240">
        <f>BORDEAUX!T93</f>
        <v>0</v>
      </c>
      <c r="R345" s="240">
        <f>BORDEAUX!U93</f>
        <v>0</v>
      </c>
      <c r="S345" s="242">
        <f t="shared" si="28"/>
        <v>0</v>
      </c>
    </row>
    <row r="346" spans="1:19" x14ac:dyDescent="0.2">
      <c r="A346" s="159">
        <v>615190</v>
      </c>
      <c r="B346" s="160" t="s">
        <v>117</v>
      </c>
      <c r="C346" s="148" t="s">
        <v>67</v>
      </c>
      <c r="D346" s="148" t="s">
        <v>192</v>
      </c>
      <c r="E346" s="240">
        <f>BORDEAUX!H94</f>
        <v>0</v>
      </c>
      <c r="F346" s="240">
        <f>BORDEAUX!I94</f>
        <v>0</v>
      </c>
      <c r="G346" s="240">
        <f>BORDEAUX!J94</f>
        <v>0</v>
      </c>
      <c r="H346" s="240">
        <f>BORDEAUX!K94</f>
        <v>0</v>
      </c>
      <c r="I346" s="240">
        <f>BORDEAUX!L94</f>
        <v>0</v>
      </c>
      <c r="J346" s="240">
        <f>BORDEAUX!M94</f>
        <v>0</v>
      </c>
      <c r="K346" s="240">
        <f>BORDEAUX!N94</f>
        <v>0</v>
      </c>
      <c r="L346" s="240">
        <f>BORDEAUX!O94</f>
        <v>0</v>
      </c>
      <c r="M346" s="240">
        <f>BORDEAUX!P94</f>
        <v>0</v>
      </c>
      <c r="N346" s="240">
        <f>BORDEAUX!Q94</f>
        <v>0</v>
      </c>
      <c r="O346" s="240">
        <f>BORDEAUX!R94</f>
        <v>29586</v>
      </c>
      <c r="P346" s="240">
        <f>BORDEAUX!S94</f>
        <v>0</v>
      </c>
      <c r="Q346" s="240">
        <f>BORDEAUX!T94</f>
        <v>1540.8</v>
      </c>
      <c r="R346" s="240">
        <f>BORDEAUX!U94</f>
        <v>0</v>
      </c>
      <c r="S346" s="242">
        <f t="shared" si="28"/>
        <v>31126.799999999999</v>
      </c>
    </row>
    <row r="347" spans="1:19" x14ac:dyDescent="0.2">
      <c r="A347" s="159">
        <v>615190</v>
      </c>
      <c r="B347" s="160" t="s">
        <v>117</v>
      </c>
      <c r="C347" s="148" t="s">
        <v>67</v>
      </c>
      <c r="D347" s="148" t="s">
        <v>196</v>
      </c>
      <c r="E347" s="240">
        <f>BORDEAUX!H95</f>
        <v>0</v>
      </c>
      <c r="F347" s="240">
        <f>BORDEAUX!I95</f>
        <v>231.49</v>
      </c>
      <c r="G347" s="240">
        <f>BORDEAUX!J95</f>
        <v>231.44</v>
      </c>
      <c r="H347" s="240">
        <f>BORDEAUX!K95</f>
        <v>231.44</v>
      </c>
      <c r="I347" s="240">
        <f>BORDEAUX!L95</f>
        <v>231.44</v>
      </c>
      <c r="J347" s="240">
        <f>BORDEAUX!M95</f>
        <v>231.44</v>
      </c>
      <c r="K347" s="240">
        <f>BORDEAUX!N95</f>
        <v>231.44</v>
      </c>
      <c r="L347" s="240">
        <f>BORDEAUX!O95</f>
        <v>231.44</v>
      </c>
      <c r="M347" s="240">
        <f>BORDEAUX!P95</f>
        <v>231.44</v>
      </c>
      <c r="N347" s="240">
        <f>BORDEAUX!Q95</f>
        <v>231.44</v>
      </c>
      <c r="O347" s="240">
        <f>BORDEAUX!R95</f>
        <v>231.44</v>
      </c>
      <c r="P347" s="240">
        <f>BORDEAUX!S95</f>
        <v>231.44</v>
      </c>
      <c r="Q347" s="240">
        <f>BORDEAUX!T95</f>
        <v>231.45</v>
      </c>
      <c r="R347" s="240">
        <f>BORDEAUX!U95</f>
        <v>0</v>
      </c>
      <c r="S347" s="242">
        <f t="shared" si="28"/>
        <v>2777.34</v>
      </c>
    </row>
    <row r="348" spans="1:19" x14ac:dyDescent="0.2">
      <c r="A348" s="159">
        <v>615190</v>
      </c>
      <c r="B348" s="160" t="s">
        <v>117</v>
      </c>
      <c r="C348" s="148" t="s">
        <v>67</v>
      </c>
      <c r="D348" s="148" t="s">
        <v>184</v>
      </c>
      <c r="E348" s="240">
        <f>BORDEAUX!H96</f>
        <v>0</v>
      </c>
      <c r="F348" s="240">
        <f>BORDEAUX!I96</f>
        <v>0</v>
      </c>
      <c r="G348" s="240">
        <f>BORDEAUX!J96</f>
        <v>0</v>
      </c>
      <c r="H348" s="240">
        <f>BORDEAUX!K96</f>
        <v>0</v>
      </c>
      <c r="I348" s="240">
        <f>BORDEAUX!L96</f>
        <v>0</v>
      </c>
      <c r="J348" s="240">
        <f>BORDEAUX!M96</f>
        <v>0</v>
      </c>
      <c r="K348" s="240">
        <f>BORDEAUX!N96</f>
        <v>0</v>
      </c>
      <c r="L348" s="240">
        <f>BORDEAUX!O96</f>
        <v>0</v>
      </c>
      <c r="M348" s="240">
        <f>BORDEAUX!P96</f>
        <v>0</v>
      </c>
      <c r="N348" s="240">
        <f>BORDEAUX!Q96</f>
        <v>0</v>
      </c>
      <c r="O348" s="240">
        <f>BORDEAUX!R96</f>
        <v>0</v>
      </c>
      <c r="P348" s="240">
        <f>BORDEAUX!S96</f>
        <v>0</v>
      </c>
      <c r="Q348" s="240">
        <f>BORDEAUX!T96</f>
        <v>0</v>
      </c>
      <c r="R348" s="240">
        <f>BORDEAUX!U96</f>
        <v>0</v>
      </c>
      <c r="S348" s="242">
        <f t="shared" si="28"/>
        <v>0</v>
      </c>
    </row>
    <row r="349" spans="1:19" x14ac:dyDescent="0.2">
      <c r="A349" s="159">
        <v>615190</v>
      </c>
      <c r="B349" s="160" t="s">
        <v>117</v>
      </c>
      <c r="C349" s="148" t="s">
        <v>67</v>
      </c>
      <c r="D349" s="148" t="s">
        <v>198</v>
      </c>
      <c r="E349" s="240">
        <f>BORDEAUX!H97</f>
        <v>0</v>
      </c>
      <c r="F349" s="240">
        <f>BORDEAUX!I97</f>
        <v>0</v>
      </c>
      <c r="G349" s="240">
        <f>BORDEAUX!J97</f>
        <v>0</v>
      </c>
      <c r="H349" s="240">
        <f>BORDEAUX!K97</f>
        <v>0</v>
      </c>
      <c r="I349" s="240">
        <f>BORDEAUX!L97</f>
        <v>0</v>
      </c>
      <c r="J349" s="240">
        <f>BORDEAUX!M97</f>
        <v>459.44</v>
      </c>
      <c r="K349" s="240">
        <f>BORDEAUX!N97</f>
        <v>36.07</v>
      </c>
      <c r="L349" s="240">
        <f>BORDEAUX!O97</f>
        <v>0</v>
      </c>
      <c r="M349" s="240">
        <f>BORDEAUX!P97</f>
        <v>0</v>
      </c>
      <c r="N349" s="240">
        <f>BORDEAUX!Q97</f>
        <v>0</v>
      </c>
      <c r="O349" s="240">
        <f>BORDEAUX!R97</f>
        <v>0</v>
      </c>
      <c r="P349" s="240">
        <f>BORDEAUX!S97</f>
        <v>0</v>
      </c>
      <c r="Q349" s="240">
        <f>BORDEAUX!T97</f>
        <v>0</v>
      </c>
      <c r="R349" s="240">
        <f>BORDEAUX!U97</f>
        <v>0</v>
      </c>
      <c r="S349" s="242">
        <f t="shared" si="28"/>
        <v>495.51</v>
      </c>
    </row>
    <row r="350" spans="1:19" x14ac:dyDescent="0.2">
      <c r="A350" s="159">
        <v>615190</v>
      </c>
      <c r="B350" s="160" t="s">
        <v>117</v>
      </c>
      <c r="C350" s="148" t="s">
        <v>67</v>
      </c>
      <c r="D350" s="148" t="s">
        <v>197</v>
      </c>
      <c r="E350" s="240">
        <f>BORDEAUX!H98</f>
        <v>0</v>
      </c>
      <c r="F350" s="240">
        <f>BORDEAUX!I98</f>
        <v>482.09</v>
      </c>
      <c r="G350" s="240">
        <f>BORDEAUX!J98</f>
        <v>482.09</v>
      </c>
      <c r="H350" s="240">
        <f>BORDEAUX!K98</f>
        <v>482.1</v>
      </c>
      <c r="I350" s="240">
        <f>BORDEAUX!L98</f>
        <v>482.08</v>
      </c>
      <c r="J350" s="240">
        <f>BORDEAUX!M98</f>
        <v>482.08</v>
      </c>
      <c r="K350" s="240">
        <f>BORDEAUX!N98</f>
        <v>482.08</v>
      </c>
      <c r="L350" s="240">
        <f>BORDEAUX!O98</f>
        <v>482.08</v>
      </c>
      <c r="M350" s="240">
        <f>BORDEAUX!P98</f>
        <v>482.08</v>
      </c>
      <c r="N350" s="240">
        <f>BORDEAUX!Q98</f>
        <v>482.08</v>
      </c>
      <c r="O350" s="240">
        <f>BORDEAUX!R98</f>
        <v>482.08</v>
      </c>
      <c r="P350" s="240">
        <f>BORDEAUX!S98</f>
        <v>482.08</v>
      </c>
      <c r="Q350" s="240">
        <f>BORDEAUX!T98</f>
        <v>482.08</v>
      </c>
      <c r="R350" s="240">
        <f>BORDEAUX!U98</f>
        <v>0</v>
      </c>
      <c r="S350" s="242">
        <f t="shared" si="28"/>
        <v>5785</v>
      </c>
    </row>
    <row r="351" spans="1:19" x14ac:dyDescent="0.2">
      <c r="A351" s="159">
        <v>615190</v>
      </c>
      <c r="B351" s="160" t="s">
        <v>117</v>
      </c>
      <c r="C351" s="148" t="s">
        <v>67</v>
      </c>
      <c r="D351" s="148" t="s">
        <v>179</v>
      </c>
      <c r="E351" s="240">
        <f>BORDEAUX!H100</f>
        <v>0</v>
      </c>
      <c r="F351" s="240">
        <f>BORDEAUX!I99+BORDEAUX!I100</f>
        <v>0</v>
      </c>
      <c r="G351" s="240">
        <f>BORDEAUX!J99+BORDEAUX!J100</f>
        <v>0</v>
      </c>
      <c r="H351" s="240">
        <f>BORDEAUX!K99+BORDEAUX!K100</f>
        <v>0</v>
      </c>
      <c r="I351" s="240">
        <f>BORDEAUX!L99+BORDEAUX!L100</f>
        <v>0</v>
      </c>
      <c r="J351" s="240">
        <f>BORDEAUX!M99+BORDEAUX!M100</f>
        <v>0</v>
      </c>
      <c r="K351" s="240">
        <f>BORDEAUX!N99+BORDEAUX!N100</f>
        <v>0</v>
      </c>
      <c r="L351" s="240">
        <f>BORDEAUX!O99+BORDEAUX!O100</f>
        <v>0</v>
      </c>
      <c r="M351" s="240">
        <f>BORDEAUX!P99+BORDEAUX!P100</f>
        <v>0</v>
      </c>
      <c r="N351" s="240">
        <f>BORDEAUX!Q99+BORDEAUX!Q100</f>
        <v>0</v>
      </c>
      <c r="O351" s="240">
        <f>BORDEAUX!R99+BORDEAUX!R100</f>
        <v>0</v>
      </c>
      <c r="P351" s="240">
        <f>BORDEAUX!S99+BORDEAUX!S100</f>
        <v>0</v>
      </c>
      <c r="Q351" s="240">
        <f>BORDEAUX!T99+BORDEAUX!T100</f>
        <v>0</v>
      </c>
      <c r="R351" s="240">
        <f>BORDEAUX!U99+BORDEAUX!U100</f>
        <v>0</v>
      </c>
      <c r="S351" s="242">
        <f t="shared" si="28"/>
        <v>0</v>
      </c>
    </row>
    <row r="352" spans="1:19" x14ac:dyDescent="0.2">
      <c r="A352" s="270"/>
      <c r="B352" s="235"/>
      <c r="C352" s="148"/>
      <c r="D352" s="272"/>
      <c r="E352" s="240"/>
      <c r="F352" s="240"/>
      <c r="G352" s="240"/>
      <c r="H352" s="240"/>
      <c r="I352" s="240"/>
      <c r="J352" s="240"/>
      <c r="K352" s="240"/>
      <c r="L352" s="240"/>
      <c r="M352" s="240"/>
      <c r="N352" s="240"/>
      <c r="O352" s="240"/>
      <c r="P352" s="240"/>
      <c r="Q352" s="240"/>
      <c r="R352" s="240"/>
      <c r="S352" s="242"/>
    </row>
    <row r="353" spans="1:19" x14ac:dyDescent="0.2">
      <c r="A353" s="159">
        <v>615190</v>
      </c>
      <c r="B353" s="160" t="s">
        <v>117</v>
      </c>
      <c r="C353" s="148" t="s">
        <v>80</v>
      </c>
      <c r="D353" s="148" t="s">
        <v>181</v>
      </c>
      <c r="E353" s="240">
        <f>RENNES!H86</f>
        <v>0</v>
      </c>
      <c r="F353" s="240">
        <f>RENNES!I86</f>
        <v>0</v>
      </c>
      <c r="G353" s="240">
        <f>RENNES!J86</f>
        <v>0</v>
      </c>
      <c r="H353" s="240">
        <f>RENNES!K86</f>
        <v>0</v>
      </c>
      <c r="I353" s="240">
        <f>RENNES!L86</f>
        <v>0</v>
      </c>
      <c r="J353" s="240">
        <f>RENNES!M86</f>
        <v>0</v>
      </c>
      <c r="K353" s="240">
        <f>RENNES!N86</f>
        <v>0</v>
      </c>
      <c r="L353" s="240">
        <f>RENNES!O86</f>
        <v>0</v>
      </c>
      <c r="M353" s="240">
        <f>RENNES!P86</f>
        <v>0</v>
      </c>
      <c r="N353" s="240">
        <f>RENNES!Q86</f>
        <v>68.36</v>
      </c>
      <c r="O353" s="240">
        <f>RENNES!R86</f>
        <v>615.20000000000005</v>
      </c>
      <c r="P353" s="240">
        <f>RENNES!S86</f>
        <v>0</v>
      </c>
      <c r="Q353" s="240">
        <f>RENNES!T86</f>
        <v>0</v>
      </c>
      <c r="R353" s="240">
        <f>RENNES!U86</f>
        <v>0</v>
      </c>
      <c r="S353" s="242">
        <f t="shared" ref="S353:S361" si="29">SUM(E353:Q353)</f>
        <v>683.56000000000006</v>
      </c>
    </row>
    <row r="354" spans="1:19" x14ac:dyDescent="0.2">
      <c r="A354" s="159">
        <v>615190</v>
      </c>
      <c r="B354" s="160" t="s">
        <v>117</v>
      </c>
      <c r="C354" s="148" t="s">
        <v>80</v>
      </c>
      <c r="D354" s="148" t="s">
        <v>199</v>
      </c>
      <c r="E354" s="240">
        <f>+RENNES!H88</f>
        <v>0</v>
      </c>
      <c r="F354" s="240">
        <f>+RENNES!I88</f>
        <v>0</v>
      </c>
      <c r="G354" s="240">
        <f>+RENNES!J88</f>
        <v>0</v>
      </c>
      <c r="H354" s="240">
        <f>+RENNES!K88</f>
        <v>0</v>
      </c>
      <c r="I354" s="240">
        <f>+RENNES!L88</f>
        <v>0</v>
      </c>
      <c r="J354" s="240">
        <f>+RENNES!M88</f>
        <v>0</v>
      </c>
      <c r="K354" s="240">
        <f>+RENNES!N88</f>
        <v>0</v>
      </c>
      <c r="L354" s="240">
        <f>+RENNES!O88</f>
        <v>0</v>
      </c>
      <c r="M354" s="240">
        <f>+RENNES!P88</f>
        <v>0</v>
      </c>
      <c r="N354" s="240">
        <f>+RENNES!Q88</f>
        <v>0</v>
      </c>
      <c r="O354" s="240">
        <f>+RENNES!R88</f>
        <v>0</v>
      </c>
      <c r="P354" s="240">
        <f>+RENNES!S88</f>
        <v>0</v>
      </c>
      <c r="Q354" s="240">
        <f>+RENNES!T88</f>
        <v>0</v>
      </c>
      <c r="R354" s="240">
        <f>+RENNES!U88</f>
        <v>0</v>
      </c>
      <c r="S354" s="242">
        <f t="shared" si="29"/>
        <v>0</v>
      </c>
    </row>
    <row r="355" spans="1:19" x14ac:dyDescent="0.2">
      <c r="A355" s="159">
        <v>615190</v>
      </c>
      <c r="B355" s="160" t="s">
        <v>117</v>
      </c>
      <c r="C355" s="148" t="s">
        <v>80</v>
      </c>
      <c r="D355" s="148" t="s">
        <v>185</v>
      </c>
      <c r="E355" s="240">
        <f>RENNES!H87</f>
        <v>0</v>
      </c>
      <c r="F355" s="240">
        <f>RENNES!I87</f>
        <v>0</v>
      </c>
      <c r="G355" s="240">
        <f>RENNES!J87</f>
        <v>0</v>
      </c>
      <c r="H355" s="240">
        <f>RENNES!K87</f>
        <v>0</v>
      </c>
      <c r="I355" s="240">
        <f>RENNES!L87</f>
        <v>0</v>
      </c>
      <c r="J355" s="240">
        <f>RENNES!M87</f>
        <v>0</v>
      </c>
      <c r="K355" s="240">
        <f>RENNES!N87</f>
        <v>0</v>
      </c>
      <c r="L355" s="240">
        <f>RENNES!O87</f>
        <v>0</v>
      </c>
      <c r="M355" s="240">
        <f>RENNES!P87</f>
        <v>0</v>
      </c>
      <c r="N355" s="240">
        <f>RENNES!Q87</f>
        <v>0</v>
      </c>
      <c r="O355" s="240">
        <f>RENNES!R87</f>
        <v>0</v>
      </c>
      <c r="P355" s="240">
        <f>RENNES!S87</f>
        <v>0</v>
      </c>
      <c r="Q355" s="240">
        <f>RENNES!T87</f>
        <v>0</v>
      </c>
      <c r="R355" s="240">
        <f>RENNES!U87</f>
        <v>0</v>
      </c>
      <c r="S355" s="242">
        <f t="shared" si="29"/>
        <v>0</v>
      </c>
    </row>
    <row r="356" spans="1:19" x14ac:dyDescent="0.2">
      <c r="A356" s="159">
        <v>615190</v>
      </c>
      <c r="B356" s="160" t="s">
        <v>117</v>
      </c>
      <c r="C356" s="148" t="s">
        <v>80</v>
      </c>
      <c r="D356" s="148" t="s">
        <v>200</v>
      </c>
      <c r="E356" s="240">
        <f>RENNES!H89</f>
        <v>0</v>
      </c>
      <c r="F356" s="240">
        <f>RENNES!I89</f>
        <v>0</v>
      </c>
      <c r="G356" s="240"/>
      <c r="H356" s="240">
        <f>RENNES!K89</f>
        <v>0</v>
      </c>
      <c r="I356" s="240">
        <f>RENNES!L89</f>
        <v>0</v>
      </c>
      <c r="J356" s="240">
        <f>RENNES!M89</f>
        <v>0</v>
      </c>
      <c r="K356" s="240">
        <f>RENNES!N89</f>
        <v>0</v>
      </c>
      <c r="L356" s="240">
        <f>RENNES!O89</f>
        <v>0</v>
      </c>
      <c r="M356" s="240">
        <f>RENNES!P89</f>
        <v>0</v>
      </c>
      <c r="N356" s="240">
        <f>RENNES!Q89</f>
        <v>0</v>
      </c>
      <c r="O356" s="240">
        <f>RENNES!R89</f>
        <v>0</v>
      </c>
      <c r="P356" s="240">
        <f>RENNES!S89</f>
        <v>0</v>
      </c>
      <c r="Q356" s="240">
        <f>RENNES!T89</f>
        <v>0</v>
      </c>
      <c r="R356" s="240">
        <f>RENNES!U89</f>
        <v>0</v>
      </c>
      <c r="S356" s="242">
        <f t="shared" si="29"/>
        <v>0</v>
      </c>
    </row>
    <row r="357" spans="1:19" x14ac:dyDescent="0.2">
      <c r="A357" s="159">
        <v>615190</v>
      </c>
      <c r="B357" s="160" t="s">
        <v>117</v>
      </c>
      <c r="C357" s="148" t="s">
        <v>80</v>
      </c>
      <c r="D357" s="148" t="s">
        <v>192</v>
      </c>
      <c r="E357" s="240">
        <f>RENNES!H90</f>
        <v>0</v>
      </c>
      <c r="F357" s="240">
        <f>RENNES!I90</f>
        <v>0</v>
      </c>
      <c r="G357" s="240">
        <f>+RENNES!J90</f>
        <v>0</v>
      </c>
      <c r="H357" s="240">
        <f>RENNES!K90</f>
        <v>0</v>
      </c>
      <c r="I357" s="240">
        <f>RENNES!L90</f>
        <v>0</v>
      </c>
      <c r="J357" s="240">
        <f>RENNES!M90</f>
        <v>0</v>
      </c>
      <c r="K357" s="240">
        <f>RENNES!N90</f>
        <v>0</v>
      </c>
      <c r="L357" s="240">
        <f>RENNES!O90</f>
        <v>0</v>
      </c>
      <c r="M357" s="240">
        <f>RENNES!P90</f>
        <v>0</v>
      </c>
      <c r="N357" s="240">
        <f>RENNES!Q90</f>
        <v>0</v>
      </c>
      <c r="O357" s="240">
        <f>RENNES!R90</f>
        <v>0</v>
      </c>
      <c r="P357" s="240">
        <f>RENNES!S90</f>
        <v>0</v>
      </c>
      <c r="Q357" s="240">
        <f>RENNES!T90</f>
        <v>0</v>
      </c>
      <c r="R357" s="240">
        <f>RENNES!U90</f>
        <v>0</v>
      </c>
      <c r="S357" s="242">
        <f t="shared" si="29"/>
        <v>0</v>
      </c>
    </row>
    <row r="358" spans="1:19" x14ac:dyDescent="0.2">
      <c r="A358" s="159">
        <v>615190</v>
      </c>
      <c r="B358" s="160" t="s">
        <v>117</v>
      </c>
      <c r="C358" s="148" t="s">
        <v>80</v>
      </c>
      <c r="D358" s="148" t="s">
        <v>196</v>
      </c>
      <c r="E358" s="240">
        <f>RENNES!H91</f>
        <v>0</v>
      </c>
      <c r="F358" s="240">
        <f>RENNES!I91</f>
        <v>458.43</v>
      </c>
      <c r="G358" s="240">
        <f>RENNES!J91</f>
        <v>458.43</v>
      </c>
      <c r="H358" s="240">
        <f>RENNES!K91</f>
        <v>458.43</v>
      </c>
      <c r="I358" s="240">
        <f>RENNES!L91</f>
        <v>458.43</v>
      </c>
      <c r="J358" s="240">
        <f>RENNES!M91</f>
        <v>458.43</v>
      </c>
      <c r="K358" s="240">
        <f>RENNES!N91</f>
        <v>458.43</v>
      </c>
      <c r="L358" s="240">
        <f>RENNES!O91</f>
        <v>458.43</v>
      </c>
      <c r="M358" s="240">
        <f>RENNES!P91</f>
        <v>458.43</v>
      </c>
      <c r="N358" s="240">
        <f>RENNES!Q91</f>
        <v>458.43</v>
      </c>
      <c r="O358" s="240">
        <f>RENNES!R91</f>
        <v>458.43</v>
      </c>
      <c r="P358" s="240">
        <f>RENNES!S91</f>
        <v>458.43</v>
      </c>
      <c r="Q358" s="240">
        <f>RENNES!T91</f>
        <v>0</v>
      </c>
      <c r="R358" s="240">
        <f>RENNES!U91</f>
        <v>0</v>
      </c>
      <c r="S358" s="242">
        <f t="shared" si="29"/>
        <v>5042.7300000000005</v>
      </c>
    </row>
    <row r="359" spans="1:19" x14ac:dyDescent="0.2">
      <c r="A359" s="159">
        <v>615190</v>
      </c>
      <c r="B359" s="160" t="s">
        <v>117</v>
      </c>
      <c r="C359" s="148" t="s">
        <v>80</v>
      </c>
      <c r="D359" s="148" t="s">
        <v>198</v>
      </c>
      <c r="E359" s="240">
        <f>RENNES!H93</f>
        <v>0</v>
      </c>
      <c r="F359" s="240">
        <f>RENNES!I93</f>
        <v>0</v>
      </c>
      <c r="G359" s="240">
        <f>RENNES!J93</f>
        <v>0</v>
      </c>
      <c r="H359" s="240">
        <f>RENNES!K93</f>
        <v>353.05</v>
      </c>
      <c r="I359" s="240">
        <f>RENNES!L93</f>
        <v>0</v>
      </c>
      <c r="J359" s="240">
        <f>RENNES!M93</f>
        <v>0</v>
      </c>
      <c r="K359" s="240">
        <f>RENNES!N93</f>
        <v>0</v>
      </c>
      <c r="L359" s="240">
        <f>RENNES!O93</f>
        <v>0</v>
      </c>
      <c r="M359" s="240">
        <f>RENNES!P93</f>
        <v>0</v>
      </c>
      <c r="N359" s="240">
        <f>RENNES!Q93</f>
        <v>0</v>
      </c>
      <c r="O359" s="240">
        <f>RENNES!R93</f>
        <v>0</v>
      </c>
      <c r="P359" s="240">
        <f>RENNES!S93</f>
        <v>0</v>
      </c>
      <c r="Q359" s="240">
        <f>RENNES!T93</f>
        <v>0</v>
      </c>
      <c r="R359" s="240">
        <f>RENNES!U93</f>
        <v>0</v>
      </c>
      <c r="S359" s="242">
        <f t="shared" si="29"/>
        <v>353.05</v>
      </c>
    </row>
    <row r="360" spans="1:19" x14ac:dyDescent="0.2">
      <c r="A360" s="159">
        <v>615190</v>
      </c>
      <c r="B360" s="160" t="s">
        <v>117</v>
      </c>
      <c r="C360" s="148" t="s">
        <v>80</v>
      </c>
      <c r="D360" s="148" t="s">
        <v>184</v>
      </c>
      <c r="E360" s="240">
        <f>RENNES!H92</f>
        <v>0</v>
      </c>
      <c r="F360" s="240">
        <f>RENNES!I92</f>
        <v>0</v>
      </c>
      <c r="G360" s="240">
        <f>RENNES!J92</f>
        <v>0</v>
      </c>
      <c r="H360" s="240">
        <f>RENNES!K92</f>
        <v>0</v>
      </c>
      <c r="I360" s="240">
        <f>RENNES!L92</f>
        <v>0</v>
      </c>
      <c r="J360" s="240">
        <f>RENNES!M92</f>
        <v>0</v>
      </c>
      <c r="K360" s="240">
        <f>RENNES!N92</f>
        <v>691.44</v>
      </c>
      <c r="L360" s="240">
        <f>RENNES!O92</f>
        <v>0</v>
      </c>
      <c r="M360" s="240">
        <f>RENNES!P92</f>
        <v>0</v>
      </c>
      <c r="N360" s="240">
        <f>RENNES!Q92</f>
        <v>0</v>
      </c>
      <c r="O360" s="240">
        <f>RENNES!R92</f>
        <v>0</v>
      </c>
      <c r="P360" s="240">
        <f>RENNES!S92</f>
        <v>0</v>
      </c>
      <c r="Q360" s="240">
        <f>RENNES!T92</f>
        <v>0</v>
      </c>
      <c r="R360" s="240">
        <f>RENNES!U92</f>
        <v>0</v>
      </c>
      <c r="S360" s="242">
        <f t="shared" si="29"/>
        <v>691.44</v>
      </c>
    </row>
    <row r="361" spans="1:19" x14ac:dyDescent="0.2">
      <c r="A361" s="159">
        <v>615190</v>
      </c>
      <c r="B361" s="160" t="s">
        <v>117</v>
      </c>
      <c r="C361" s="148" t="s">
        <v>80</v>
      </c>
      <c r="D361" s="148" t="s">
        <v>197</v>
      </c>
      <c r="E361" s="240">
        <f>RENNES!H94</f>
        <v>0</v>
      </c>
      <c r="F361" s="240">
        <f>RENNES!I94</f>
        <v>0</v>
      </c>
      <c r="G361" s="240">
        <f>RENNES!J94</f>
        <v>0</v>
      </c>
      <c r="H361" s="240">
        <f>RENNES!K94</f>
        <v>0</v>
      </c>
      <c r="I361" s="240">
        <f>RENNES!L94</f>
        <v>0</v>
      </c>
      <c r="J361" s="240">
        <f>RENNES!M94</f>
        <v>0</v>
      </c>
      <c r="K361" s="240">
        <f>RENNES!N94</f>
        <v>0</v>
      </c>
      <c r="L361" s="240">
        <f>RENNES!O94</f>
        <v>0</v>
      </c>
      <c r="M361" s="240">
        <f>RENNES!P94</f>
        <v>0</v>
      </c>
      <c r="N361" s="240">
        <f>RENNES!Q94</f>
        <v>0</v>
      </c>
      <c r="O361" s="240">
        <f>RENNES!R94</f>
        <v>0</v>
      </c>
      <c r="P361" s="240">
        <f>RENNES!S94</f>
        <v>0</v>
      </c>
      <c r="Q361" s="240">
        <f>RENNES!T94</f>
        <v>0</v>
      </c>
      <c r="R361" s="240">
        <f>RENNES!U94</f>
        <v>0</v>
      </c>
      <c r="S361" s="242">
        <f t="shared" si="29"/>
        <v>0</v>
      </c>
    </row>
    <row r="362" spans="1:19" x14ac:dyDescent="0.2">
      <c r="A362" s="270"/>
      <c r="B362" s="235"/>
      <c r="C362" s="148"/>
      <c r="D362" s="272"/>
      <c r="E362" s="240"/>
      <c r="F362" s="240"/>
      <c r="G362" s="240"/>
      <c r="H362" s="240"/>
      <c r="I362" s="240"/>
      <c r="J362" s="240"/>
      <c r="K362" s="240"/>
      <c r="L362" s="240"/>
      <c r="M362" s="240"/>
      <c r="N362" s="240"/>
      <c r="O362" s="240"/>
      <c r="P362" s="240"/>
      <c r="Q362" s="240"/>
      <c r="R362" s="240"/>
      <c r="S362" s="242"/>
    </row>
    <row r="363" spans="1:19" x14ac:dyDescent="0.2">
      <c r="A363" s="159">
        <v>615190</v>
      </c>
      <c r="B363" s="160" t="s">
        <v>117</v>
      </c>
      <c r="C363" s="148" t="s">
        <v>156</v>
      </c>
      <c r="D363" s="148" t="s">
        <v>181</v>
      </c>
      <c r="E363" s="240">
        <f>BEAUVAIS!H86</f>
        <v>0</v>
      </c>
      <c r="F363" s="240">
        <f>BEAUVAIS!I86</f>
        <v>0</v>
      </c>
      <c r="G363" s="240">
        <f>BEAUVAIS!J86</f>
        <v>0</v>
      </c>
      <c r="H363" s="240">
        <f>BEAUVAIS!K86</f>
        <v>0</v>
      </c>
      <c r="I363" s="240">
        <f>BEAUVAIS!L86</f>
        <v>0</v>
      </c>
      <c r="J363" s="240">
        <f>BEAUVAIS!M86</f>
        <v>0</v>
      </c>
      <c r="K363" s="240">
        <f>BEAUVAIS!N86</f>
        <v>0</v>
      </c>
      <c r="L363" s="240">
        <f>BEAUVAIS!O86</f>
        <v>0</v>
      </c>
      <c r="M363" s="240">
        <f>BEAUVAIS!P86</f>
        <v>0</v>
      </c>
      <c r="N363" s="240">
        <f>BEAUVAIS!Q86</f>
        <v>0</v>
      </c>
      <c r="O363" s="240">
        <f>BEAUVAIS!R86</f>
        <v>0</v>
      </c>
      <c r="P363" s="240">
        <f>BEAUVAIS!S86</f>
        <v>0</v>
      </c>
      <c r="Q363" s="240">
        <f>BEAUVAIS!T86</f>
        <v>0</v>
      </c>
      <c r="R363" s="240">
        <f>BEAUVAIS!U86</f>
        <v>0</v>
      </c>
      <c r="S363" s="242">
        <f t="shared" ref="S363:S372" si="30">SUM(E363:Q363)</f>
        <v>0</v>
      </c>
    </row>
    <row r="364" spans="1:19" x14ac:dyDescent="0.2">
      <c r="A364" s="159">
        <v>615190</v>
      </c>
      <c r="B364" s="160" t="s">
        <v>117</v>
      </c>
      <c r="C364" s="148" t="s">
        <v>156</v>
      </c>
      <c r="D364" s="148" t="s">
        <v>199</v>
      </c>
      <c r="E364" s="240">
        <f>BEAUVAIS!H88</f>
        <v>0</v>
      </c>
      <c r="F364" s="240">
        <f>BEAUVAIS!I88</f>
        <v>0</v>
      </c>
      <c r="G364" s="240">
        <f>BEAUVAIS!J88</f>
        <v>0</v>
      </c>
      <c r="H364" s="240">
        <f>BEAUVAIS!K88</f>
        <v>0</v>
      </c>
      <c r="I364" s="240">
        <f>BEAUVAIS!L88</f>
        <v>0</v>
      </c>
      <c r="J364" s="240">
        <f>BEAUVAIS!M88</f>
        <v>52.99</v>
      </c>
      <c r="K364" s="240">
        <f>BEAUVAIS!N88</f>
        <v>0</v>
      </c>
      <c r="L364" s="240">
        <f>BEAUVAIS!O88</f>
        <v>2422.87</v>
      </c>
      <c r="M364" s="240">
        <f>BEAUVAIS!P88</f>
        <v>0</v>
      </c>
      <c r="N364" s="240">
        <f>BEAUVAIS!Q88</f>
        <v>0</v>
      </c>
      <c r="O364" s="240">
        <f>BEAUVAIS!R88</f>
        <v>0</v>
      </c>
      <c r="P364" s="240">
        <f>BEAUVAIS!S88</f>
        <v>0</v>
      </c>
      <c r="Q364" s="240">
        <f>BEAUVAIS!T88</f>
        <v>0</v>
      </c>
      <c r="R364" s="240">
        <f>BEAUVAIS!U88</f>
        <v>0</v>
      </c>
      <c r="S364" s="242">
        <f t="shared" si="30"/>
        <v>2475.8599999999997</v>
      </c>
    </row>
    <row r="365" spans="1:19" x14ac:dyDescent="0.2">
      <c r="A365" s="159">
        <v>615190</v>
      </c>
      <c r="B365" s="160" t="s">
        <v>117</v>
      </c>
      <c r="C365" s="148" t="s">
        <v>156</v>
      </c>
      <c r="D365" s="148" t="s">
        <v>185</v>
      </c>
      <c r="E365" s="240">
        <f>BEAUVAIS!H87</f>
        <v>0</v>
      </c>
      <c r="F365" s="240">
        <f>BEAUVAIS!I87</f>
        <v>0</v>
      </c>
      <c r="G365" s="240">
        <f>BEAUVAIS!J87</f>
        <v>0</v>
      </c>
      <c r="H365" s="240">
        <f>BEAUVAIS!K87</f>
        <v>0</v>
      </c>
      <c r="I365" s="240">
        <f>BEAUVAIS!L87</f>
        <v>0</v>
      </c>
      <c r="J365" s="240">
        <f>BEAUVAIS!M87</f>
        <v>0</v>
      </c>
      <c r="K365" s="240">
        <f>BEAUVAIS!N87</f>
        <v>0</v>
      </c>
      <c r="L365" s="240">
        <f>BEAUVAIS!O87</f>
        <v>0</v>
      </c>
      <c r="M365" s="240">
        <f>BEAUVAIS!P87</f>
        <v>0</v>
      </c>
      <c r="N365" s="240">
        <f>BEAUVAIS!Q87</f>
        <v>0</v>
      </c>
      <c r="O365" s="240">
        <f>BEAUVAIS!R87</f>
        <v>0</v>
      </c>
      <c r="P365" s="240">
        <f>BEAUVAIS!S87</f>
        <v>0</v>
      </c>
      <c r="Q365" s="240">
        <f>BEAUVAIS!T87</f>
        <v>0</v>
      </c>
      <c r="R365" s="240">
        <f>BEAUVAIS!U87</f>
        <v>0</v>
      </c>
      <c r="S365" s="242">
        <f t="shared" si="30"/>
        <v>0</v>
      </c>
    </row>
    <row r="366" spans="1:19" x14ac:dyDescent="0.2">
      <c r="A366" s="159">
        <v>615190</v>
      </c>
      <c r="B366" s="160" t="s">
        <v>117</v>
      </c>
      <c r="C366" s="148" t="s">
        <v>156</v>
      </c>
      <c r="D366" s="148" t="s">
        <v>200</v>
      </c>
      <c r="E366" s="240">
        <f>BEAUVAIS!H89</f>
        <v>0</v>
      </c>
      <c r="F366" s="240">
        <f>BEAUVAIS!I89</f>
        <v>0</v>
      </c>
      <c r="G366" s="240">
        <f>BEAUVAIS!J89</f>
        <v>0</v>
      </c>
      <c r="H366" s="240">
        <f>BEAUVAIS!K89</f>
        <v>0</v>
      </c>
      <c r="I366" s="240">
        <f>BEAUVAIS!L89</f>
        <v>0</v>
      </c>
      <c r="J366" s="240">
        <f>BEAUVAIS!M89</f>
        <v>0</v>
      </c>
      <c r="K366" s="240">
        <f>BEAUVAIS!N89</f>
        <v>0</v>
      </c>
      <c r="L366" s="240">
        <f>BEAUVAIS!O89</f>
        <v>0</v>
      </c>
      <c r="M366" s="240">
        <f>BEAUVAIS!P89</f>
        <v>0</v>
      </c>
      <c r="N366" s="240">
        <f>BEAUVAIS!Q89</f>
        <v>1170</v>
      </c>
      <c r="O366" s="240">
        <f>BEAUVAIS!R89</f>
        <v>0</v>
      </c>
      <c r="P366" s="240">
        <f>BEAUVAIS!S89</f>
        <v>0</v>
      </c>
      <c r="Q366" s="240">
        <f>BEAUVAIS!T89</f>
        <v>0</v>
      </c>
      <c r="R366" s="240">
        <f>BEAUVAIS!U89</f>
        <v>0</v>
      </c>
      <c r="S366" s="242">
        <f t="shared" si="30"/>
        <v>1170</v>
      </c>
    </row>
    <row r="367" spans="1:19" x14ac:dyDescent="0.2">
      <c r="A367" s="159">
        <v>615190</v>
      </c>
      <c r="B367" s="160" t="s">
        <v>117</v>
      </c>
      <c r="C367" s="148" t="s">
        <v>156</v>
      </c>
      <c r="D367" s="148" t="s">
        <v>192</v>
      </c>
      <c r="E367" s="240">
        <f>BEAUVAIS!H90</f>
        <v>0</v>
      </c>
      <c r="F367" s="240">
        <f>BEAUVAIS!I90</f>
        <v>0</v>
      </c>
      <c r="G367" s="240">
        <f>BEAUVAIS!J90</f>
        <v>0</v>
      </c>
      <c r="H367" s="240">
        <f>BEAUVAIS!K90</f>
        <v>0</v>
      </c>
      <c r="I367" s="240">
        <f>BEAUVAIS!L90</f>
        <v>0</v>
      </c>
      <c r="J367" s="240">
        <f>BEAUVAIS!M90</f>
        <v>0</v>
      </c>
      <c r="K367" s="240">
        <f>BEAUVAIS!N90</f>
        <v>0</v>
      </c>
      <c r="L367" s="240">
        <f>BEAUVAIS!O90</f>
        <v>0</v>
      </c>
      <c r="M367" s="240">
        <f>BEAUVAIS!P90</f>
        <v>0</v>
      </c>
      <c r="N367" s="240">
        <f>BEAUVAIS!Q90</f>
        <v>0</v>
      </c>
      <c r="O367" s="240">
        <f>BEAUVAIS!R90</f>
        <v>0</v>
      </c>
      <c r="P367" s="240">
        <f>BEAUVAIS!S90</f>
        <v>0</v>
      </c>
      <c r="Q367" s="240">
        <f>BEAUVAIS!T90</f>
        <v>0</v>
      </c>
      <c r="R367" s="240">
        <f>BEAUVAIS!U90</f>
        <v>0</v>
      </c>
      <c r="S367" s="242">
        <f t="shared" si="30"/>
        <v>0</v>
      </c>
    </row>
    <row r="368" spans="1:19" x14ac:dyDescent="0.2">
      <c r="A368" s="159">
        <v>615190</v>
      </c>
      <c r="B368" s="160" t="s">
        <v>117</v>
      </c>
      <c r="C368" s="148" t="s">
        <v>156</v>
      </c>
      <c r="D368" s="148" t="s">
        <v>196</v>
      </c>
      <c r="E368" s="240">
        <f>BEAUVAIS!H92+BEAUVAIS!H93</f>
        <v>-2015.81</v>
      </c>
      <c r="F368" s="240">
        <f>BEAUVAIS!I92+BEAUVAIS!I93</f>
        <v>342.25</v>
      </c>
      <c r="G368" s="240">
        <f>BEAUVAIS!J92+BEAUVAIS!J93</f>
        <v>342.25</v>
      </c>
      <c r="H368" s="240">
        <f>BEAUVAIS!K92+BEAUVAIS!K93</f>
        <v>342.25</v>
      </c>
      <c r="I368" s="240">
        <f>BEAUVAIS!L92+BEAUVAIS!L93</f>
        <v>342.25</v>
      </c>
      <c r="J368" s="240">
        <f>BEAUVAIS!M92+BEAUVAIS!M93</f>
        <v>342.25</v>
      </c>
      <c r="K368" s="240">
        <f>BEAUVAIS!N92+BEAUVAIS!N93</f>
        <v>342.25</v>
      </c>
      <c r="L368" s="240">
        <f>BEAUVAIS!O92+BEAUVAIS!O93</f>
        <v>342.25</v>
      </c>
      <c r="M368" s="240">
        <f>BEAUVAIS!P92+BEAUVAIS!P93</f>
        <v>-897.75</v>
      </c>
      <c r="N368" s="240">
        <f>BEAUVAIS!Q92+BEAUVAIS!Q93</f>
        <v>187.25</v>
      </c>
      <c r="O368" s="240">
        <f>BEAUVAIS!R92+BEAUVAIS!R93</f>
        <v>187.25</v>
      </c>
      <c r="P368" s="240">
        <f>BEAUVAIS!S92+BEAUVAIS!S93</f>
        <v>187.25</v>
      </c>
      <c r="Q368" s="240">
        <f>BEAUVAIS!T92+BEAUVAIS!T93</f>
        <v>187.25</v>
      </c>
      <c r="R368" s="240">
        <f>BEAUVAIS!U92+BEAUVAIS!U93</f>
        <v>0</v>
      </c>
      <c r="S368" s="242">
        <f t="shared" si="30"/>
        <v>231.19000000000005</v>
      </c>
    </row>
    <row r="369" spans="1:256" x14ac:dyDescent="0.2">
      <c r="A369" s="159">
        <v>615190</v>
      </c>
      <c r="B369" s="160" t="s">
        <v>117</v>
      </c>
      <c r="C369" s="148" t="s">
        <v>156</v>
      </c>
      <c r="D369" s="148" t="s">
        <v>179</v>
      </c>
      <c r="E369" s="240">
        <f>BEAUVAIS!H91</f>
        <v>0</v>
      </c>
      <c r="F369" s="240">
        <f>BEAUVAIS!I91</f>
        <v>1856.89</v>
      </c>
      <c r="G369" s="240">
        <f>BEAUVAIS!J91</f>
        <v>1856.89</v>
      </c>
      <c r="H369" s="240">
        <f>BEAUVAIS!K91</f>
        <v>1856.89</v>
      </c>
      <c r="I369" s="240">
        <f>BEAUVAIS!L91</f>
        <v>1856.89</v>
      </c>
      <c r="J369" s="240">
        <f>BEAUVAIS!M91</f>
        <v>1856.89</v>
      </c>
      <c r="K369" s="240">
        <f>BEAUVAIS!N91</f>
        <v>1856.89</v>
      </c>
      <c r="L369" s="240">
        <f>BEAUVAIS!O91</f>
        <v>1856.89</v>
      </c>
      <c r="M369" s="240">
        <f>BEAUVAIS!P91</f>
        <v>1856.89</v>
      </c>
      <c r="N369" s="240">
        <f>BEAUVAIS!Q91</f>
        <v>1856.89</v>
      </c>
      <c r="O369" s="240">
        <f>BEAUVAIS!R91</f>
        <v>1856.89</v>
      </c>
      <c r="P369" s="240">
        <f>BEAUVAIS!S91</f>
        <v>1856.89</v>
      </c>
      <c r="Q369" s="240">
        <f>BEAUVAIS!T91</f>
        <v>1856.83</v>
      </c>
      <c r="R369" s="240">
        <f>BEAUVAIS!U91</f>
        <v>0</v>
      </c>
      <c r="S369" s="242">
        <f t="shared" si="30"/>
        <v>22282.619999999995</v>
      </c>
    </row>
    <row r="370" spans="1:256" x14ac:dyDescent="0.2">
      <c r="A370" s="159">
        <v>615190</v>
      </c>
      <c r="B370" s="160" t="s">
        <v>117</v>
      </c>
      <c r="C370" s="148" t="s">
        <v>156</v>
      </c>
      <c r="D370" s="148" t="s">
        <v>184</v>
      </c>
      <c r="E370" s="240">
        <f>BEAUVAIS!H94</f>
        <v>0</v>
      </c>
      <c r="F370" s="240">
        <f>BEAUVAIS!I94</f>
        <v>0</v>
      </c>
      <c r="G370" s="240">
        <f>BEAUVAIS!J94</f>
        <v>0</v>
      </c>
      <c r="H370" s="240">
        <f>BEAUVAIS!K94</f>
        <v>0</v>
      </c>
      <c r="I370" s="240">
        <f>BEAUVAIS!L94</f>
        <v>0</v>
      </c>
      <c r="J370" s="240">
        <f>BEAUVAIS!M94</f>
        <v>0</v>
      </c>
      <c r="K370" s="240">
        <f>BEAUVAIS!N94</f>
        <v>0</v>
      </c>
      <c r="L370" s="240">
        <f>BEAUVAIS!O94</f>
        <v>0</v>
      </c>
      <c r="M370" s="240">
        <f>BEAUVAIS!P94</f>
        <v>0</v>
      </c>
      <c r="N370" s="240">
        <f>BEAUVAIS!Q94</f>
        <v>0</v>
      </c>
      <c r="O370" s="240">
        <f>BEAUVAIS!R94</f>
        <v>0</v>
      </c>
      <c r="P370" s="240">
        <f>BEAUVAIS!S94</f>
        <v>0</v>
      </c>
      <c r="Q370" s="240">
        <f>BEAUVAIS!T94</f>
        <v>0</v>
      </c>
      <c r="R370" s="240">
        <f>BEAUVAIS!U94</f>
        <v>0</v>
      </c>
      <c r="S370" s="242">
        <f t="shared" si="30"/>
        <v>0</v>
      </c>
    </row>
    <row r="371" spans="1:256" x14ac:dyDescent="0.2">
      <c r="A371" s="159">
        <v>615190</v>
      </c>
      <c r="B371" s="160" t="s">
        <v>117</v>
      </c>
      <c r="C371" s="148" t="s">
        <v>156</v>
      </c>
      <c r="D371" s="148" t="s">
        <v>198</v>
      </c>
      <c r="E371" s="240">
        <f>BEAUVAIS!H95</f>
        <v>0</v>
      </c>
      <c r="F371" s="240">
        <f>BEAUVAIS!I95</f>
        <v>0</v>
      </c>
      <c r="G371" s="240">
        <f>BEAUVAIS!J95</f>
        <v>0</v>
      </c>
      <c r="H371" s="240">
        <f>BEAUVAIS!K95</f>
        <v>0</v>
      </c>
      <c r="I371" s="240">
        <f>BEAUVAIS!L95</f>
        <v>0</v>
      </c>
      <c r="J371" s="240">
        <f>BEAUVAIS!M95</f>
        <v>0</v>
      </c>
      <c r="K371" s="240">
        <f>BEAUVAIS!N95</f>
        <v>0</v>
      </c>
      <c r="L371" s="240">
        <f>BEAUVAIS!O95</f>
        <v>0</v>
      </c>
      <c r="M371" s="240">
        <f>BEAUVAIS!P95</f>
        <v>0</v>
      </c>
      <c r="N371" s="240">
        <f>BEAUVAIS!Q95</f>
        <v>0</v>
      </c>
      <c r="O371" s="240">
        <f>BEAUVAIS!R95</f>
        <v>0</v>
      </c>
      <c r="P371" s="240">
        <f>BEAUVAIS!S95</f>
        <v>0</v>
      </c>
      <c r="Q371" s="240">
        <f>BEAUVAIS!T95</f>
        <v>0</v>
      </c>
      <c r="R371" s="240">
        <f>BEAUVAIS!U95</f>
        <v>0</v>
      </c>
      <c r="S371" s="242">
        <f t="shared" si="30"/>
        <v>0</v>
      </c>
    </row>
    <row r="372" spans="1:256" x14ac:dyDescent="0.2">
      <c r="A372" s="159">
        <v>615190</v>
      </c>
      <c r="B372" s="160" t="s">
        <v>117</v>
      </c>
      <c r="C372" s="148" t="s">
        <v>156</v>
      </c>
      <c r="D372" s="148" t="s">
        <v>197</v>
      </c>
      <c r="E372" s="240">
        <f>BEAUVAIS!H96</f>
        <v>0</v>
      </c>
      <c r="F372" s="240">
        <f>BEAUVAIS!I96</f>
        <v>0</v>
      </c>
      <c r="G372" s="240">
        <f>BEAUVAIS!J96</f>
        <v>0</v>
      </c>
      <c r="H372" s="240">
        <f>BEAUVAIS!K96</f>
        <v>0</v>
      </c>
      <c r="I372" s="240">
        <f>BEAUVAIS!L96</f>
        <v>0</v>
      </c>
      <c r="J372" s="240">
        <f>BEAUVAIS!M96</f>
        <v>0</v>
      </c>
      <c r="K372" s="240">
        <f>BEAUVAIS!N96</f>
        <v>0</v>
      </c>
      <c r="L372" s="240">
        <f>BEAUVAIS!O96</f>
        <v>0</v>
      </c>
      <c r="M372" s="240">
        <f>BEAUVAIS!P96</f>
        <v>0</v>
      </c>
      <c r="N372" s="240">
        <f>BEAUVAIS!Q96</f>
        <v>0</v>
      </c>
      <c r="O372" s="240">
        <f>BEAUVAIS!R96</f>
        <v>0</v>
      </c>
      <c r="P372" s="240">
        <f>BEAUVAIS!S96</f>
        <v>0</v>
      </c>
      <c r="Q372" s="240">
        <f>BEAUVAIS!T96</f>
        <v>0</v>
      </c>
      <c r="R372" s="240">
        <f>BEAUVAIS!U96</f>
        <v>0</v>
      </c>
      <c r="S372" s="242">
        <f t="shared" si="30"/>
        <v>0</v>
      </c>
    </row>
    <row r="373" spans="1:256" x14ac:dyDescent="0.2">
      <c r="A373" s="270"/>
      <c r="B373" s="235"/>
      <c r="C373" s="148"/>
      <c r="D373" s="272"/>
      <c r="E373" s="240"/>
      <c r="F373" s="240"/>
      <c r="G373" s="240"/>
      <c r="H373" s="240"/>
      <c r="I373" s="240"/>
      <c r="J373" s="240"/>
      <c r="K373" s="240"/>
      <c r="L373" s="240"/>
      <c r="M373" s="240"/>
      <c r="N373" s="240"/>
      <c r="O373" s="240"/>
      <c r="P373" s="240"/>
      <c r="Q373" s="240"/>
      <c r="R373" s="240"/>
      <c r="S373" s="242"/>
    </row>
    <row r="374" spans="1:256" x14ac:dyDescent="0.2">
      <c r="A374" s="159">
        <v>615190</v>
      </c>
      <c r="B374" s="160" t="s">
        <v>117</v>
      </c>
      <c r="C374" s="148" t="s">
        <v>79</v>
      </c>
      <c r="D374" s="148" t="s">
        <v>192</v>
      </c>
      <c r="E374" s="240">
        <f>SIEGE!H39</f>
        <v>0</v>
      </c>
      <c r="F374" s="240">
        <f>SIEGE!I39</f>
        <v>0</v>
      </c>
      <c r="G374" s="240">
        <f>SIEGE!J39</f>
        <v>1659.06</v>
      </c>
      <c r="H374" s="240">
        <f>SIEGE!K39</f>
        <v>0</v>
      </c>
      <c r="I374" s="240">
        <f>SIEGE!L39</f>
        <v>0</v>
      </c>
      <c r="J374" s="240">
        <f>SIEGE!M39</f>
        <v>506.6</v>
      </c>
      <c r="K374" s="240">
        <f>SIEGE!N39</f>
        <v>148.4</v>
      </c>
      <c r="L374" s="240">
        <f>SIEGE!O39</f>
        <v>0</v>
      </c>
      <c r="M374" s="240">
        <f>SIEGE!P39</f>
        <v>0</v>
      </c>
      <c r="N374" s="240">
        <f>SIEGE!Q39</f>
        <v>0</v>
      </c>
      <c r="O374" s="240">
        <f>SIEGE!R39</f>
        <v>0</v>
      </c>
      <c r="P374" s="240">
        <f>SIEGE!S39</f>
        <v>0</v>
      </c>
      <c r="Q374" s="240">
        <f>SIEGE!T39</f>
        <v>0</v>
      </c>
      <c r="R374" s="240">
        <f>SIEGE!U39</f>
        <v>0</v>
      </c>
      <c r="S374" s="242">
        <f>SUM(E374:Q374)</f>
        <v>2314.06</v>
      </c>
    </row>
    <row r="375" spans="1:256" x14ac:dyDescent="0.2">
      <c r="A375" s="159">
        <v>615190</v>
      </c>
      <c r="B375" s="160" t="s">
        <v>117</v>
      </c>
      <c r="C375" s="148" t="s">
        <v>79</v>
      </c>
      <c r="D375" s="148" t="s">
        <v>196</v>
      </c>
      <c r="E375" s="240">
        <f>+SUM(SIEGE!H37:H38)</f>
        <v>0</v>
      </c>
      <c r="F375" s="240">
        <f>+SUM(SIEGE!I37:I38)</f>
        <v>630.67000000000007</v>
      </c>
      <c r="G375" s="240">
        <f>+SUM(SIEGE!J37:J38)</f>
        <v>630.67000000000007</v>
      </c>
      <c r="H375" s="240">
        <f>+SUM(SIEGE!K37:K38)</f>
        <v>630.67000000000007</v>
      </c>
      <c r="I375" s="240">
        <f>+SUM(SIEGE!L37:L38)</f>
        <v>630.67000000000007</v>
      </c>
      <c r="J375" s="240">
        <f>+SUM(SIEGE!M37:M38)</f>
        <v>-1219.33</v>
      </c>
      <c r="K375" s="240">
        <f>+SUM(SIEGE!N37:N38)</f>
        <v>260.67</v>
      </c>
      <c r="L375" s="240">
        <f>+SUM(SIEGE!O37:O38)</f>
        <v>260.67</v>
      </c>
      <c r="M375" s="240">
        <f>+SUM(SIEGE!P37:P38)</f>
        <v>260.67</v>
      </c>
      <c r="N375" s="240">
        <f>+SUM(SIEGE!Q37:Q38)</f>
        <v>260.67</v>
      </c>
      <c r="O375" s="240">
        <f>+SUM(SIEGE!R37:R38)</f>
        <v>260.67</v>
      </c>
      <c r="P375" s="240">
        <f>+SUM(SIEGE!S37:S38)</f>
        <v>260.63</v>
      </c>
      <c r="Q375" s="240">
        <f>+SUM(SIEGE!T37:T38)</f>
        <v>264.66000000000003</v>
      </c>
      <c r="R375" s="240">
        <f>+SUM(SIEGE!U37:U38)</f>
        <v>0</v>
      </c>
      <c r="S375" s="242">
        <f>SUM(E375:Q375)</f>
        <v>3131.9900000000007</v>
      </c>
    </row>
    <row r="376" spans="1:256" x14ac:dyDescent="0.2">
      <c r="A376" s="159"/>
      <c r="B376" s="160"/>
      <c r="C376" s="148"/>
      <c r="D376" s="148"/>
      <c r="E376" s="240"/>
      <c r="F376" s="240"/>
      <c r="G376" s="240"/>
      <c r="H376" s="240"/>
      <c r="I376" s="240"/>
      <c r="J376" s="240"/>
      <c r="K376" s="240"/>
      <c r="L376" s="240"/>
      <c r="M376" s="240"/>
      <c r="N376" s="240"/>
      <c r="O376" s="240"/>
      <c r="P376" s="240"/>
      <c r="Q376" s="240"/>
      <c r="R376" s="240"/>
      <c r="S376" s="242">
        <f>SUM(E376:Q376)</f>
        <v>0</v>
      </c>
    </row>
    <row r="377" spans="1:256" x14ac:dyDescent="0.2">
      <c r="A377" s="159">
        <v>615190</v>
      </c>
      <c r="B377" s="160" t="s">
        <v>117</v>
      </c>
      <c r="C377" s="148" t="s">
        <v>367</v>
      </c>
      <c r="D377" s="148">
        <v>999999</v>
      </c>
      <c r="E377" s="240"/>
      <c r="F377" s="240">
        <v>1807.83</v>
      </c>
      <c r="G377" s="240">
        <f>-1807.83+3735.77</f>
        <v>1927.94</v>
      </c>
      <c r="H377" s="240">
        <f>-3735.77-2204.97</f>
        <v>-5940.74</v>
      </c>
      <c r="I377" s="240">
        <f>2204.97+2441.6</f>
        <v>4646.57</v>
      </c>
      <c r="J377" s="240">
        <f>-2441.6+2290.09</f>
        <v>-151.50999999999976</v>
      </c>
      <c r="K377" s="240">
        <f>-2290.09+6558.3</f>
        <v>4268.21</v>
      </c>
      <c r="L377" s="240">
        <f>-6558.3+9461.25</f>
        <v>2902.95</v>
      </c>
      <c r="M377" s="240">
        <f>-9461.25+12485.63</f>
        <v>3024.3799999999992</v>
      </c>
      <c r="N377" s="240">
        <f>-12485.63+11701.23</f>
        <v>-784.39999999999964</v>
      </c>
      <c r="O377" s="240">
        <f>-11701.23-17749.44</f>
        <v>-29450.67</v>
      </c>
      <c r="P377" s="240">
        <f>17749.44+0.61</f>
        <v>17750.05</v>
      </c>
      <c r="Q377" s="240"/>
      <c r="R377" s="240"/>
      <c r="S377" s="242">
        <f>SUM(E377:Q377)</f>
        <v>0.61000000000058208</v>
      </c>
    </row>
    <row r="378" spans="1:256" x14ac:dyDescent="0.2">
      <c r="A378" s="159">
        <v>615190</v>
      </c>
      <c r="B378" s="160" t="s">
        <v>117</v>
      </c>
      <c r="C378" s="148" t="s">
        <v>381</v>
      </c>
      <c r="D378" s="148">
        <v>999999</v>
      </c>
      <c r="E378" s="240"/>
      <c r="F378" s="240">
        <v>614.34</v>
      </c>
      <c r="G378" s="240">
        <f>-614.34-430.38</f>
        <v>-1044.72</v>
      </c>
      <c r="H378" s="240">
        <f>430.38-859.68</f>
        <v>-429.29999999999995</v>
      </c>
      <c r="I378" s="240">
        <f>859.68-231.14</f>
        <v>628.54</v>
      </c>
      <c r="J378" s="240">
        <f>231.14+2247.4</f>
        <v>2478.54</v>
      </c>
      <c r="K378" s="240">
        <f>-2247.4+1787.92</f>
        <v>-459.48</v>
      </c>
      <c r="L378" s="240">
        <f>-1787.92+2633.5</f>
        <v>845.57999999999993</v>
      </c>
      <c r="M378" s="240">
        <f>-2633.5+4072.32</f>
        <v>1438.8200000000002</v>
      </c>
      <c r="N378" s="240">
        <f>-4072.32+6764.11</f>
        <v>2691.7899999999995</v>
      </c>
      <c r="O378" s="240">
        <f>-6764.11+201.29</f>
        <v>-6562.82</v>
      </c>
      <c r="P378" s="240">
        <f>-201.29+0.31</f>
        <v>-200.98</v>
      </c>
      <c r="Q378" s="240"/>
      <c r="R378" s="240"/>
      <c r="S378" s="242">
        <f>SUM(E378:Q378)</f>
        <v>0.30999999999997385</v>
      </c>
    </row>
    <row r="379" spans="1:256" s="185" customFormat="1" ht="24" customHeight="1" x14ac:dyDescent="0.2">
      <c r="A379" s="267"/>
      <c r="B379" s="268"/>
      <c r="C379" s="267" t="s">
        <v>66</v>
      </c>
      <c r="D379" s="267"/>
      <c r="E379" s="269">
        <f t="shared" ref="E379:S379" si="31">SUM(E314:E378)</f>
        <v>-4791.46</v>
      </c>
      <c r="F379" s="269">
        <f t="shared" si="31"/>
        <v>13587.859999999999</v>
      </c>
      <c r="G379" s="269">
        <f t="shared" si="31"/>
        <v>12178.08</v>
      </c>
      <c r="H379" s="269">
        <f t="shared" si="31"/>
        <v>4550.4099999999989</v>
      </c>
      <c r="I379" s="269">
        <f t="shared" si="31"/>
        <v>16614.289999999997</v>
      </c>
      <c r="J379" s="269">
        <f t="shared" si="31"/>
        <v>9569.5799999999981</v>
      </c>
      <c r="K379" s="269">
        <f t="shared" si="31"/>
        <v>14469.239999999998</v>
      </c>
      <c r="L379" s="269">
        <f t="shared" si="31"/>
        <v>12614.92</v>
      </c>
      <c r="M379" s="269">
        <f t="shared" si="31"/>
        <v>10746.72</v>
      </c>
      <c r="N379" s="269">
        <f t="shared" si="31"/>
        <v>14067.539999999999</v>
      </c>
      <c r="O379" s="269">
        <f t="shared" si="31"/>
        <v>3128.9900000000052</v>
      </c>
      <c r="P379" s="269">
        <f t="shared" si="31"/>
        <v>26458.489999999998</v>
      </c>
      <c r="Q379" s="269">
        <f t="shared" si="31"/>
        <v>8919.48</v>
      </c>
      <c r="R379" s="269">
        <f>SUM(R314:R378)</f>
        <v>0</v>
      </c>
      <c r="S379" s="269">
        <f t="shared" si="31"/>
        <v>142114.13999999996</v>
      </c>
      <c r="T379" s="212">
        <v>133465.70000000001</v>
      </c>
      <c r="U379" s="334">
        <f>T379-S379</f>
        <v>-8648.4399999999441</v>
      </c>
      <c r="V379" s="185" t="s">
        <v>853</v>
      </c>
      <c r="X379" s="569">
        <f>U379-CENTRALISATION!V380</f>
        <v>-0.30999999999767169</v>
      </c>
    </row>
    <row r="380" spans="1:256" x14ac:dyDescent="0.2">
      <c r="A380" s="159">
        <v>615191</v>
      </c>
      <c r="B380" s="160" t="s">
        <v>134</v>
      </c>
      <c r="C380" s="148" t="s">
        <v>78</v>
      </c>
      <c r="D380" s="148" t="s">
        <v>192</v>
      </c>
      <c r="E380" s="240">
        <f>FLEURY!H112</f>
        <v>0</v>
      </c>
      <c r="F380" s="240">
        <f>FLEURY!I112</f>
        <v>0</v>
      </c>
      <c r="G380" s="240">
        <f>FLEURY!J112</f>
        <v>0</v>
      </c>
      <c r="H380" s="240">
        <f>FLEURY!K112</f>
        <v>229</v>
      </c>
      <c r="I380" s="240">
        <f>FLEURY!L112</f>
        <v>0</v>
      </c>
      <c r="J380" s="240">
        <f>FLEURY!M112</f>
        <v>0</v>
      </c>
      <c r="K380" s="240">
        <f>FLEURY!N112</f>
        <v>605</v>
      </c>
      <c r="L380" s="240">
        <f>FLEURY!O112</f>
        <v>0</v>
      </c>
      <c r="M380" s="240">
        <f>FLEURY!P112</f>
        <v>0</v>
      </c>
      <c r="N380" s="240">
        <f>FLEURY!Q112</f>
        <v>0</v>
      </c>
      <c r="O380" s="240">
        <f>FLEURY!R112</f>
        <v>0</v>
      </c>
      <c r="P380" s="240">
        <f>FLEURY!S112</f>
        <v>0</v>
      </c>
      <c r="Q380" s="240">
        <f>FLEURY!T112</f>
        <v>0</v>
      </c>
      <c r="R380" s="240">
        <f>FLEURY!U112</f>
        <v>0</v>
      </c>
      <c r="S380" s="242">
        <f>SUM(E380:Q380)</f>
        <v>834</v>
      </c>
    </row>
    <row r="381" spans="1:256" s="175" customFormat="1" x14ac:dyDescent="0.2">
      <c r="A381" s="270"/>
      <c r="B381" s="235"/>
      <c r="C381" s="148"/>
      <c r="D381" s="148"/>
      <c r="E381" s="240"/>
      <c r="F381" s="240"/>
      <c r="G381" s="240"/>
      <c r="H381" s="240"/>
      <c r="I381" s="240"/>
      <c r="J381" s="240"/>
      <c r="K381" s="240"/>
      <c r="L381" s="240"/>
      <c r="M381" s="240"/>
      <c r="N381" s="240"/>
      <c r="O381" s="240"/>
      <c r="P381" s="240"/>
      <c r="Q381" s="240"/>
      <c r="R381" s="240"/>
      <c r="S381" s="242"/>
      <c r="T381" s="184"/>
      <c r="U381" s="332"/>
      <c r="W381" s="184"/>
      <c r="X381" s="184"/>
      <c r="Y381" s="184"/>
      <c r="Z381" s="184"/>
      <c r="AA381" s="184"/>
      <c r="AB381" s="184"/>
      <c r="AC381" s="184"/>
      <c r="AD381" s="184"/>
      <c r="AE381" s="184"/>
      <c r="AF381" s="184"/>
      <c r="AG381" s="184"/>
      <c r="AH381" s="184"/>
      <c r="AI381" s="184"/>
      <c r="AJ381" s="184"/>
      <c r="AK381" s="184"/>
      <c r="AL381" s="184"/>
      <c r="AM381" s="184"/>
      <c r="AN381" s="184"/>
      <c r="AO381" s="184"/>
      <c r="AP381" s="184"/>
      <c r="AQ381" s="184"/>
      <c r="AR381" s="184"/>
      <c r="AS381" s="184"/>
      <c r="AT381" s="184"/>
      <c r="AU381" s="184"/>
      <c r="AV381" s="184"/>
      <c r="AW381" s="184"/>
      <c r="AX381" s="184"/>
      <c r="AY381" s="184"/>
      <c r="AZ381" s="184"/>
      <c r="BA381" s="184"/>
      <c r="BB381" s="184"/>
      <c r="BC381" s="184"/>
      <c r="BD381" s="184"/>
      <c r="BE381" s="184"/>
      <c r="BF381" s="184"/>
      <c r="BG381" s="184"/>
      <c r="BH381" s="184"/>
      <c r="BI381" s="184"/>
      <c r="BJ381" s="184"/>
      <c r="BK381" s="184"/>
      <c r="BL381" s="184"/>
      <c r="BM381" s="184"/>
      <c r="BN381" s="184"/>
      <c r="BO381" s="184"/>
      <c r="BP381" s="184"/>
      <c r="BQ381" s="184"/>
      <c r="BR381" s="184"/>
      <c r="BS381" s="184"/>
      <c r="BT381" s="184"/>
      <c r="BU381" s="184"/>
      <c r="BV381" s="184"/>
      <c r="BW381" s="184"/>
      <c r="BX381" s="184"/>
      <c r="BY381" s="184"/>
      <c r="BZ381" s="184"/>
      <c r="CA381" s="184"/>
      <c r="CB381" s="184"/>
      <c r="CC381" s="184"/>
      <c r="CD381" s="184"/>
      <c r="CE381" s="184"/>
      <c r="CF381" s="184"/>
      <c r="CG381" s="184"/>
      <c r="CH381" s="184"/>
      <c r="CI381" s="184"/>
      <c r="CJ381" s="184"/>
      <c r="CK381" s="184"/>
      <c r="CL381" s="184"/>
      <c r="CM381" s="184"/>
      <c r="CN381" s="184"/>
      <c r="CO381" s="184"/>
      <c r="CP381" s="184"/>
      <c r="CQ381" s="184"/>
      <c r="CR381" s="184"/>
      <c r="CS381" s="184"/>
      <c r="CT381" s="184"/>
      <c r="CU381" s="184"/>
      <c r="CV381" s="184"/>
      <c r="CW381" s="184"/>
      <c r="CX381" s="184"/>
      <c r="CY381" s="184"/>
      <c r="CZ381" s="184"/>
      <c r="DA381" s="184"/>
      <c r="DB381" s="184"/>
      <c r="DC381" s="184"/>
      <c r="DD381" s="184"/>
      <c r="DE381" s="184"/>
      <c r="DF381" s="184"/>
      <c r="DG381" s="184"/>
      <c r="DH381" s="184"/>
      <c r="DI381" s="184"/>
      <c r="DJ381" s="184"/>
      <c r="DK381" s="184"/>
      <c r="DL381" s="184"/>
      <c r="DM381" s="184"/>
      <c r="DN381" s="184"/>
      <c r="DO381" s="184"/>
      <c r="DP381" s="184"/>
      <c r="DQ381" s="184"/>
      <c r="DR381" s="184"/>
      <c r="DS381" s="184"/>
      <c r="DT381" s="184"/>
      <c r="DU381" s="184"/>
      <c r="DV381" s="184"/>
      <c r="DW381" s="184"/>
      <c r="DX381" s="184"/>
      <c r="DY381" s="184"/>
      <c r="DZ381" s="184"/>
      <c r="EA381" s="184"/>
      <c r="EB381" s="184"/>
      <c r="EC381" s="184"/>
      <c r="ED381" s="184"/>
      <c r="EE381" s="184"/>
      <c r="EF381" s="184"/>
      <c r="EG381" s="184"/>
      <c r="EH381" s="184"/>
      <c r="EI381" s="184"/>
      <c r="EJ381" s="184"/>
      <c r="EK381" s="184"/>
      <c r="EL381" s="184"/>
      <c r="EM381" s="184"/>
      <c r="EN381" s="184"/>
      <c r="EO381" s="184"/>
      <c r="EP381" s="184"/>
      <c r="EQ381" s="184"/>
      <c r="ER381" s="184"/>
      <c r="ES381" s="184"/>
      <c r="ET381" s="184"/>
      <c r="EU381" s="184"/>
      <c r="EV381" s="184"/>
      <c r="EW381" s="184"/>
      <c r="EX381" s="184"/>
      <c r="EY381" s="184"/>
      <c r="EZ381" s="184"/>
      <c r="FA381" s="184"/>
      <c r="FB381" s="184"/>
      <c r="FC381" s="184"/>
      <c r="FD381" s="184"/>
      <c r="FE381" s="184"/>
      <c r="FF381" s="184"/>
      <c r="FG381" s="184"/>
      <c r="FH381" s="184"/>
      <c r="FI381" s="184"/>
      <c r="FJ381" s="184"/>
      <c r="FK381" s="184"/>
      <c r="FL381" s="184"/>
      <c r="FM381" s="184"/>
      <c r="FN381" s="184"/>
      <c r="FO381" s="184"/>
      <c r="FP381" s="184"/>
      <c r="FQ381" s="184"/>
      <c r="FR381" s="184"/>
      <c r="FS381" s="184"/>
      <c r="FT381" s="184"/>
      <c r="FU381" s="184"/>
      <c r="FV381" s="184"/>
      <c r="FW381" s="184"/>
      <c r="FX381" s="184"/>
      <c r="FY381" s="184"/>
      <c r="FZ381" s="184"/>
      <c r="GA381" s="184"/>
      <c r="GB381" s="184"/>
      <c r="GC381" s="184"/>
      <c r="GD381" s="184"/>
      <c r="GE381" s="184"/>
      <c r="GF381" s="184"/>
      <c r="GG381" s="184"/>
      <c r="GH381" s="184"/>
      <c r="GI381" s="184"/>
      <c r="GJ381" s="184"/>
      <c r="GK381" s="184"/>
      <c r="GL381" s="184"/>
      <c r="GM381" s="184"/>
      <c r="GN381" s="184"/>
      <c r="GO381" s="184"/>
      <c r="GP381" s="184"/>
      <c r="GQ381" s="184"/>
      <c r="GR381" s="184"/>
      <c r="GS381" s="184"/>
      <c r="GT381" s="184"/>
      <c r="GU381" s="184"/>
      <c r="GV381" s="184"/>
      <c r="GW381" s="184"/>
      <c r="GX381" s="184"/>
      <c r="GY381" s="184"/>
      <c r="GZ381" s="184"/>
      <c r="HA381" s="184"/>
      <c r="HB381" s="184"/>
      <c r="HC381" s="184"/>
      <c r="HD381" s="184"/>
      <c r="HE381" s="184"/>
      <c r="HF381" s="184"/>
      <c r="HG381" s="184"/>
      <c r="HH381" s="184"/>
      <c r="HI381" s="184"/>
      <c r="HJ381" s="184"/>
      <c r="HK381" s="184"/>
      <c r="HL381" s="184"/>
      <c r="HM381" s="184"/>
      <c r="HN381" s="184"/>
      <c r="HO381" s="184"/>
      <c r="HP381" s="184"/>
      <c r="HQ381" s="184"/>
      <c r="HR381" s="184"/>
      <c r="HS381" s="184"/>
      <c r="HT381" s="184"/>
      <c r="HU381" s="184"/>
      <c r="HV381" s="184"/>
      <c r="HW381" s="184"/>
      <c r="HX381" s="184"/>
      <c r="HY381" s="184"/>
      <c r="HZ381" s="184"/>
      <c r="IA381" s="184"/>
      <c r="IB381" s="184"/>
      <c r="IC381" s="184"/>
      <c r="ID381" s="184"/>
      <c r="IE381" s="184"/>
      <c r="IF381" s="184"/>
      <c r="IG381" s="184"/>
      <c r="IH381" s="184"/>
      <c r="II381" s="184"/>
      <c r="IJ381" s="184"/>
      <c r="IK381" s="184"/>
      <c r="IL381" s="184"/>
      <c r="IM381" s="184"/>
      <c r="IN381" s="184"/>
      <c r="IO381" s="184"/>
      <c r="IP381" s="184"/>
      <c r="IQ381" s="184"/>
      <c r="IR381" s="184"/>
      <c r="IS381" s="184"/>
      <c r="IT381" s="184"/>
      <c r="IU381" s="184"/>
      <c r="IV381" s="184"/>
    </row>
    <row r="382" spans="1:256" x14ac:dyDescent="0.2">
      <c r="A382" s="159">
        <v>615191</v>
      </c>
      <c r="B382" s="160" t="s">
        <v>134</v>
      </c>
      <c r="C382" s="148" t="s">
        <v>71</v>
      </c>
      <c r="D382" s="148" t="s">
        <v>192</v>
      </c>
      <c r="E382" s="240">
        <f>AIX!H103</f>
        <v>-325</v>
      </c>
      <c r="F382" s="240">
        <f>AIX!I103</f>
        <v>0</v>
      </c>
      <c r="G382" s="240">
        <f>AIX!J103</f>
        <v>0</v>
      </c>
      <c r="H382" s="240">
        <f>AIX!K103</f>
        <v>411</v>
      </c>
      <c r="I382" s="240">
        <f>AIX!L103</f>
        <v>891</v>
      </c>
      <c r="J382" s="240">
        <f>AIX!M103</f>
        <v>1881</v>
      </c>
      <c r="K382" s="240">
        <f>AIX!N103</f>
        <v>0</v>
      </c>
      <c r="L382" s="240">
        <f>AIX!O103</f>
        <v>0</v>
      </c>
      <c r="M382" s="240">
        <f>AIX!P103</f>
        <v>0</v>
      </c>
      <c r="N382" s="240">
        <f>AIX!Q103</f>
        <v>3396.52</v>
      </c>
      <c r="O382" s="240">
        <f>AIX!R103</f>
        <v>260.51</v>
      </c>
      <c r="P382" s="240">
        <f>AIX!S103</f>
        <v>0</v>
      </c>
      <c r="Q382" s="240">
        <f>AIX!T103</f>
        <v>0</v>
      </c>
      <c r="R382" s="240">
        <f>AIX!U103</f>
        <v>0</v>
      </c>
      <c r="S382" s="242">
        <f>SUM(E382:Q382)</f>
        <v>6515.0300000000007</v>
      </c>
    </row>
    <row r="383" spans="1:256" x14ac:dyDescent="0.2">
      <c r="A383" s="159">
        <v>615191</v>
      </c>
      <c r="B383" s="160" t="s">
        <v>134</v>
      </c>
      <c r="C383" s="148" t="s">
        <v>71</v>
      </c>
      <c r="D383" s="148" t="s">
        <v>179</v>
      </c>
      <c r="E383" s="240">
        <f>AIX!H104</f>
        <v>0</v>
      </c>
      <c r="F383" s="240">
        <f>AIX!I104</f>
        <v>70.09</v>
      </c>
      <c r="G383" s="240">
        <f>AIX!J104</f>
        <v>70.09</v>
      </c>
      <c r="H383" s="240">
        <f>AIX!K104</f>
        <v>70.09</v>
      </c>
      <c r="I383" s="240">
        <f>AIX!L104</f>
        <v>70.09</v>
      </c>
      <c r="J383" s="240">
        <f>AIX!M104</f>
        <v>70.09</v>
      </c>
      <c r="K383" s="240">
        <f>AIX!N104</f>
        <v>70.09</v>
      </c>
      <c r="L383" s="240">
        <f>AIX!O104</f>
        <v>70.09</v>
      </c>
      <c r="M383" s="240">
        <f>AIX!P104</f>
        <v>70.09</v>
      </c>
      <c r="N383" s="240">
        <f>AIX!Q104</f>
        <v>70.09</v>
      </c>
      <c r="O383" s="240">
        <f>AIX!R104</f>
        <v>70.09</v>
      </c>
      <c r="P383" s="240">
        <f>AIX!S104</f>
        <v>70.010000000000005</v>
      </c>
      <c r="Q383" s="240">
        <f>AIX!T104</f>
        <v>70.92</v>
      </c>
      <c r="R383" s="240">
        <f>AIX!U104</f>
        <v>0</v>
      </c>
      <c r="S383" s="242">
        <f>SUM(E383:Q383)</f>
        <v>841.83000000000015</v>
      </c>
    </row>
    <row r="384" spans="1:256" s="175" customFormat="1" x14ac:dyDescent="0.2">
      <c r="A384" s="270"/>
      <c r="B384" s="235"/>
      <c r="C384" s="148"/>
      <c r="D384" s="148"/>
      <c r="E384" s="240"/>
      <c r="F384" s="240"/>
      <c r="G384" s="240"/>
      <c r="H384" s="240"/>
      <c r="I384" s="240"/>
      <c r="J384" s="240"/>
      <c r="K384" s="240"/>
      <c r="L384" s="240"/>
      <c r="M384" s="240"/>
      <c r="N384" s="240"/>
      <c r="O384" s="240"/>
      <c r="P384" s="240"/>
      <c r="Q384" s="240"/>
      <c r="R384" s="240"/>
      <c r="S384" s="242"/>
      <c r="T384" s="184"/>
      <c r="U384" s="332"/>
      <c r="W384" s="184"/>
      <c r="X384" s="184"/>
      <c r="Y384" s="184"/>
      <c r="Z384" s="184"/>
      <c r="AA384" s="184"/>
      <c r="AB384" s="184"/>
      <c r="AC384" s="184"/>
      <c r="AD384" s="184"/>
      <c r="AE384" s="184"/>
      <c r="AF384" s="184"/>
      <c r="AG384" s="184"/>
      <c r="AH384" s="184"/>
      <c r="AI384" s="184"/>
      <c r="AJ384" s="184"/>
      <c r="AK384" s="184"/>
      <c r="AL384" s="184"/>
      <c r="AM384" s="184"/>
      <c r="AN384" s="184"/>
      <c r="AO384" s="184"/>
      <c r="AP384" s="184"/>
      <c r="AQ384" s="184"/>
      <c r="AR384" s="184"/>
      <c r="AS384" s="184"/>
      <c r="AT384" s="184"/>
      <c r="AU384" s="184"/>
      <c r="AV384" s="184"/>
      <c r="AW384" s="184"/>
      <c r="AX384" s="184"/>
      <c r="AY384" s="184"/>
      <c r="AZ384" s="184"/>
      <c r="BA384" s="184"/>
      <c r="BB384" s="184"/>
      <c r="BC384" s="184"/>
      <c r="BD384" s="184"/>
      <c r="BE384" s="184"/>
      <c r="BF384" s="184"/>
      <c r="BG384" s="184"/>
      <c r="BH384" s="184"/>
      <c r="BI384" s="184"/>
      <c r="BJ384" s="184"/>
      <c r="BK384" s="184"/>
      <c r="BL384" s="184"/>
      <c r="BM384" s="184"/>
      <c r="BN384" s="184"/>
      <c r="BO384" s="184"/>
      <c r="BP384" s="184"/>
      <c r="BQ384" s="184"/>
      <c r="BR384" s="184"/>
      <c r="BS384" s="184"/>
      <c r="BT384" s="184"/>
      <c r="BU384" s="184"/>
      <c r="BV384" s="184"/>
      <c r="BW384" s="184"/>
      <c r="BX384" s="184"/>
      <c r="BY384" s="184"/>
      <c r="BZ384" s="184"/>
      <c r="CA384" s="184"/>
      <c r="CB384" s="184"/>
      <c r="CC384" s="184"/>
      <c r="CD384" s="184"/>
      <c r="CE384" s="184"/>
      <c r="CF384" s="184"/>
      <c r="CG384" s="184"/>
      <c r="CH384" s="184"/>
      <c r="CI384" s="184"/>
      <c r="CJ384" s="184"/>
      <c r="CK384" s="184"/>
      <c r="CL384" s="184"/>
      <c r="CM384" s="184"/>
      <c r="CN384" s="184"/>
      <c r="CO384" s="184"/>
      <c r="CP384" s="184"/>
      <c r="CQ384" s="184"/>
      <c r="CR384" s="184"/>
      <c r="CS384" s="184"/>
      <c r="CT384" s="184"/>
      <c r="CU384" s="184"/>
      <c r="CV384" s="184"/>
      <c r="CW384" s="184"/>
      <c r="CX384" s="184"/>
      <c r="CY384" s="184"/>
      <c r="CZ384" s="184"/>
      <c r="DA384" s="184"/>
      <c r="DB384" s="184"/>
      <c r="DC384" s="184"/>
      <c r="DD384" s="184"/>
      <c r="DE384" s="184"/>
      <c r="DF384" s="184"/>
      <c r="DG384" s="184"/>
      <c r="DH384" s="184"/>
      <c r="DI384" s="184"/>
      <c r="DJ384" s="184"/>
      <c r="DK384" s="184"/>
      <c r="DL384" s="184"/>
      <c r="DM384" s="184"/>
      <c r="DN384" s="184"/>
      <c r="DO384" s="184"/>
      <c r="DP384" s="184"/>
      <c r="DQ384" s="184"/>
      <c r="DR384" s="184"/>
      <c r="DS384" s="184"/>
      <c r="DT384" s="184"/>
      <c r="DU384" s="184"/>
      <c r="DV384" s="184"/>
      <c r="DW384" s="184"/>
      <c r="DX384" s="184"/>
      <c r="DY384" s="184"/>
      <c r="DZ384" s="184"/>
      <c r="EA384" s="184"/>
      <c r="EB384" s="184"/>
      <c r="EC384" s="184"/>
      <c r="ED384" s="184"/>
      <c r="EE384" s="184"/>
      <c r="EF384" s="184"/>
      <c r="EG384" s="184"/>
      <c r="EH384" s="184"/>
      <c r="EI384" s="184"/>
      <c r="EJ384" s="184"/>
      <c r="EK384" s="184"/>
      <c r="EL384" s="184"/>
      <c r="EM384" s="184"/>
      <c r="EN384" s="184"/>
      <c r="EO384" s="184"/>
      <c r="EP384" s="184"/>
      <c r="EQ384" s="184"/>
      <c r="ER384" s="184"/>
      <c r="ES384" s="184"/>
      <c r="ET384" s="184"/>
      <c r="EU384" s="184"/>
      <c r="EV384" s="184"/>
      <c r="EW384" s="184"/>
      <c r="EX384" s="184"/>
      <c r="EY384" s="184"/>
      <c r="EZ384" s="184"/>
      <c r="FA384" s="184"/>
      <c r="FB384" s="184"/>
      <c r="FC384" s="184"/>
      <c r="FD384" s="184"/>
      <c r="FE384" s="184"/>
      <c r="FF384" s="184"/>
      <c r="FG384" s="184"/>
      <c r="FH384" s="184"/>
      <c r="FI384" s="184"/>
      <c r="FJ384" s="184"/>
      <c r="FK384" s="184"/>
      <c r="FL384" s="184"/>
      <c r="FM384" s="184"/>
      <c r="FN384" s="184"/>
      <c r="FO384" s="184"/>
      <c r="FP384" s="184"/>
      <c r="FQ384" s="184"/>
      <c r="FR384" s="184"/>
      <c r="FS384" s="184"/>
      <c r="FT384" s="184"/>
      <c r="FU384" s="184"/>
      <c r="FV384" s="184"/>
      <c r="FW384" s="184"/>
      <c r="FX384" s="184"/>
      <c r="FY384" s="184"/>
      <c r="FZ384" s="184"/>
      <c r="GA384" s="184"/>
      <c r="GB384" s="184"/>
      <c r="GC384" s="184"/>
      <c r="GD384" s="184"/>
      <c r="GE384" s="184"/>
      <c r="GF384" s="184"/>
      <c r="GG384" s="184"/>
      <c r="GH384" s="184"/>
      <c r="GI384" s="184"/>
      <c r="GJ384" s="184"/>
      <c r="GK384" s="184"/>
      <c r="GL384" s="184"/>
      <c r="GM384" s="184"/>
      <c r="GN384" s="184"/>
      <c r="GO384" s="184"/>
      <c r="GP384" s="184"/>
      <c r="GQ384" s="184"/>
      <c r="GR384" s="184"/>
      <c r="GS384" s="184"/>
      <c r="GT384" s="184"/>
      <c r="GU384" s="184"/>
      <c r="GV384" s="184"/>
      <c r="GW384" s="184"/>
      <c r="GX384" s="184"/>
      <c r="GY384" s="184"/>
      <c r="GZ384" s="184"/>
      <c r="HA384" s="184"/>
      <c r="HB384" s="184"/>
      <c r="HC384" s="184"/>
      <c r="HD384" s="184"/>
      <c r="HE384" s="184"/>
      <c r="HF384" s="184"/>
      <c r="HG384" s="184"/>
      <c r="HH384" s="184"/>
      <c r="HI384" s="184"/>
      <c r="HJ384" s="184"/>
      <c r="HK384" s="184"/>
      <c r="HL384" s="184"/>
      <c r="HM384" s="184"/>
      <c r="HN384" s="184"/>
      <c r="HO384" s="184"/>
      <c r="HP384" s="184"/>
      <c r="HQ384" s="184"/>
      <c r="HR384" s="184"/>
      <c r="HS384" s="184"/>
      <c r="HT384" s="184"/>
      <c r="HU384" s="184"/>
      <c r="HV384" s="184"/>
      <c r="HW384" s="184"/>
      <c r="HX384" s="184"/>
      <c r="HY384" s="184"/>
      <c r="HZ384" s="184"/>
      <c r="IA384" s="184"/>
      <c r="IB384" s="184"/>
      <c r="IC384" s="184"/>
      <c r="ID384" s="184"/>
      <c r="IE384" s="184"/>
      <c r="IF384" s="184"/>
      <c r="IG384" s="184"/>
      <c r="IH384" s="184"/>
      <c r="II384" s="184"/>
      <c r="IJ384" s="184"/>
      <c r="IK384" s="184"/>
      <c r="IL384" s="184"/>
      <c r="IM384" s="184"/>
      <c r="IN384" s="184"/>
      <c r="IO384" s="184"/>
      <c r="IP384" s="184"/>
      <c r="IQ384" s="184"/>
      <c r="IR384" s="184"/>
      <c r="IS384" s="184"/>
      <c r="IT384" s="184"/>
      <c r="IU384" s="184"/>
      <c r="IV384" s="184"/>
    </row>
    <row r="385" spans="1:256" s="175" customFormat="1" x14ac:dyDescent="0.2">
      <c r="A385" s="159">
        <v>615191</v>
      </c>
      <c r="B385" s="160" t="s">
        <v>134</v>
      </c>
      <c r="C385" s="148" t="s">
        <v>73</v>
      </c>
      <c r="D385" s="148" t="s">
        <v>435</v>
      </c>
      <c r="E385" s="240">
        <f>+LYON!H96</f>
        <v>0</v>
      </c>
      <c r="F385" s="240">
        <f>+LYON!I96</f>
        <v>0</v>
      </c>
      <c r="G385" s="240">
        <f>+LYON!J96</f>
        <v>0</v>
      </c>
      <c r="H385" s="240" t="str">
        <f>+LYON!K96</f>
        <v xml:space="preserve"> </v>
      </c>
      <c r="I385" s="240">
        <f>+LYON!L96</f>
        <v>0</v>
      </c>
      <c r="J385" s="240">
        <f>+LYON!M96</f>
        <v>0</v>
      </c>
      <c r="K385" s="240">
        <f>+LYON!N96</f>
        <v>0</v>
      </c>
      <c r="L385" s="240">
        <f>+LYON!O96</f>
        <v>0</v>
      </c>
      <c r="M385" s="240">
        <f>+LYON!P96</f>
        <v>1932</v>
      </c>
      <c r="N385" s="240">
        <f>+LYON!Q96</f>
        <v>0</v>
      </c>
      <c r="O385" s="240">
        <f>+LYON!R96</f>
        <v>0</v>
      </c>
      <c r="P385" s="240">
        <f>+LYON!S96</f>
        <v>0</v>
      </c>
      <c r="Q385" s="240">
        <f>+LYON!T98</f>
        <v>0</v>
      </c>
      <c r="R385" s="240">
        <f>+LYON!U98</f>
        <v>0</v>
      </c>
      <c r="S385" s="242">
        <f>SUM(E385:Q385)</f>
        <v>1932</v>
      </c>
      <c r="T385" s="184"/>
      <c r="U385" s="332"/>
      <c r="W385" s="184"/>
      <c r="X385" s="184"/>
      <c r="Y385" s="184"/>
      <c r="Z385" s="184"/>
      <c r="AA385" s="184"/>
      <c r="AB385" s="184"/>
      <c r="AC385" s="184"/>
      <c r="AD385" s="184"/>
      <c r="AE385" s="184"/>
      <c r="AF385" s="184"/>
      <c r="AG385" s="184"/>
      <c r="AH385" s="184"/>
      <c r="AI385" s="184"/>
      <c r="AJ385" s="184"/>
      <c r="AK385" s="184"/>
      <c r="AL385" s="184"/>
      <c r="AM385" s="184"/>
      <c r="AN385" s="184"/>
      <c r="AO385" s="184"/>
      <c r="AP385" s="184"/>
      <c r="AQ385" s="184"/>
      <c r="AR385" s="184"/>
      <c r="AS385" s="184"/>
      <c r="AT385" s="184"/>
      <c r="AU385" s="184"/>
      <c r="AV385" s="184"/>
      <c r="AW385" s="184"/>
      <c r="AX385" s="184"/>
      <c r="AY385" s="184"/>
      <c r="AZ385" s="184"/>
      <c r="BA385" s="184"/>
      <c r="BB385" s="184"/>
      <c r="BC385" s="184"/>
      <c r="BD385" s="184"/>
      <c r="BE385" s="184"/>
      <c r="BF385" s="184"/>
      <c r="BG385" s="184"/>
      <c r="BH385" s="184"/>
      <c r="BI385" s="184"/>
      <c r="BJ385" s="184"/>
      <c r="BK385" s="184"/>
      <c r="BL385" s="184"/>
      <c r="BM385" s="184"/>
      <c r="BN385" s="184"/>
      <c r="BO385" s="184"/>
      <c r="BP385" s="184"/>
      <c r="BQ385" s="184"/>
      <c r="BR385" s="184"/>
      <c r="BS385" s="184"/>
      <c r="BT385" s="184"/>
      <c r="BU385" s="184"/>
      <c r="BV385" s="184"/>
      <c r="BW385" s="184"/>
      <c r="BX385" s="184"/>
      <c r="BY385" s="184"/>
      <c r="BZ385" s="184"/>
      <c r="CA385" s="184"/>
      <c r="CB385" s="184"/>
      <c r="CC385" s="184"/>
      <c r="CD385" s="184"/>
      <c r="CE385" s="184"/>
      <c r="CF385" s="184"/>
      <c r="CG385" s="184"/>
      <c r="CH385" s="184"/>
      <c r="CI385" s="184"/>
      <c r="CJ385" s="184"/>
      <c r="CK385" s="184"/>
      <c r="CL385" s="184"/>
      <c r="CM385" s="184"/>
      <c r="CN385" s="184"/>
      <c r="CO385" s="184"/>
      <c r="CP385" s="184"/>
      <c r="CQ385" s="184"/>
      <c r="CR385" s="184"/>
      <c r="CS385" s="184"/>
      <c r="CT385" s="184"/>
      <c r="CU385" s="184"/>
      <c r="CV385" s="184"/>
      <c r="CW385" s="184"/>
      <c r="CX385" s="184"/>
      <c r="CY385" s="184"/>
      <c r="CZ385" s="184"/>
      <c r="DA385" s="184"/>
      <c r="DB385" s="184"/>
      <c r="DC385" s="184"/>
      <c r="DD385" s="184"/>
      <c r="DE385" s="184"/>
      <c r="DF385" s="184"/>
      <c r="DG385" s="184"/>
      <c r="DH385" s="184"/>
      <c r="DI385" s="184"/>
      <c r="DJ385" s="184"/>
      <c r="DK385" s="184"/>
      <c r="DL385" s="184"/>
      <c r="DM385" s="184"/>
      <c r="DN385" s="184"/>
      <c r="DO385" s="184"/>
      <c r="DP385" s="184"/>
      <c r="DQ385" s="184"/>
      <c r="DR385" s="184"/>
      <c r="DS385" s="184"/>
      <c r="DT385" s="184"/>
      <c r="DU385" s="184"/>
      <c r="DV385" s="184"/>
      <c r="DW385" s="184"/>
      <c r="DX385" s="184"/>
      <c r="DY385" s="184"/>
      <c r="DZ385" s="184"/>
      <c r="EA385" s="184"/>
      <c r="EB385" s="184"/>
      <c r="EC385" s="184"/>
      <c r="ED385" s="184"/>
      <c r="EE385" s="184"/>
      <c r="EF385" s="184"/>
      <c r="EG385" s="184"/>
      <c r="EH385" s="184"/>
      <c r="EI385" s="184"/>
      <c r="EJ385" s="184"/>
      <c r="EK385" s="184"/>
      <c r="EL385" s="184"/>
      <c r="EM385" s="184"/>
      <c r="EN385" s="184"/>
      <c r="EO385" s="184"/>
      <c r="EP385" s="184"/>
      <c r="EQ385" s="184"/>
      <c r="ER385" s="184"/>
      <c r="ES385" s="184"/>
      <c r="ET385" s="184"/>
      <c r="EU385" s="184"/>
      <c r="EV385" s="184"/>
      <c r="EW385" s="184"/>
      <c r="EX385" s="184"/>
      <c r="EY385" s="184"/>
      <c r="EZ385" s="184"/>
      <c r="FA385" s="184"/>
      <c r="FB385" s="184"/>
      <c r="FC385" s="184"/>
      <c r="FD385" s="184"/>
      <c r="FE385" s="184"/>
      <c r="FF385" s="184"/>
      <c r="FG385" s="184"/>
      <c r="FH385" s="184"/>
      <c r="FI385" s="184"/>
      <c r="FJ385" s="184"/>
      <c r="FK385" s="184"/>
      <c r="FL385" s="184"/>
      <c r="FM385" s="184"/>
      <c r="FN385" s="184"/>
      <c r="FO385" s="184"/>
      <c r="FP385" s="184"/>
      <c r="FQ385" s="184"/>
      <c r="FR385" s="184"/>
      <c r="FS385" s="184"/>
      <c r="FT385" s="184"/>
      <c r="FU385" s="184"/>
      <c r="FV385" s="184"/>
      <c r="FW385" s="184"/>
      <c r="FX385" s="184"/>
      <c r="FY385" s="184"/>
      <c r="FZ385" s="184"/>
      <c r="GA385" s="184"/>
      <c r="GB385" s="184"/>
      <c r="GC385" s="184"/>
      <c r="GD385" s="184"/>
      <c r="GE385" s="184"/>
      <c r="GF385" s="184"/>
      <c r="GG385" s="184"/>
      <c r="GH385" s="184"/>
      <c r="GI385" s="184"/>
      <c r="GJ385" s="184"/>
      <c r="GK385" s="184"/>
      <c r="GL385" s="184"/>
      <c r="GM385" s="184"/>
      <c r="GN385" s="184"/>
      <c r="GO385" s="184"/>
      <c r="GP385" s="184"/>
      <c r="GQ385" s="184"/>
      <c r="GR385" s="184"/>
      <c r="GS385" s="184"/>
      <c r="GT385" s="184"/>
      <c r="GU385" s="184"/>
      <c r="GV385" s="184"/>
      <c r="GW385" s="184"/>
      <c r="GX385" s="184"/>
      <c r="GY385" s="184"/>
      <c r="GZ385" s="184"/>
      <c r="HA385" s="184"/>
      <c r="HB385" s="184"/>
      <c r="HC385" s="184"/>
      <c r="HD385" s="184"/>
      <c r="HE385" s="184"/>
      <c r="HF385" s="184"/>
      <c r="HG385" s="184"/>
      <c r="HH385" s="184"/>
      <c r="HI385" s="184"/>
      <c r="HJ385" s="184"/>
      <c r="HK385" s="184"/>
      <c r="HL385" s="184"/>
      <c r="HM385" s="184"/>
      <c r="HN385" s="184"/>
      <c r="HO385" s="184"/>
      <c r="HP385" s="184"/>
      <c r="HQ385" s="184"/>
      <c r="HR385" s="184"/>
      <c r="HS385" s="184"/>
      <c r="HT385" s="184"/>
      <c r="HU385" s="184"/>
      <c r="HV385" s="184"/>
      <c r="HW385" s="184"/>
      <c r="HX385" s="184"/>
      <c r="HY385" s="184"/>
      <c r="HZ385" s="184"/>
      <c r="IA385" s="184"/>
      <c r="IB385" s="184"/>
      <c r="IC385" s="184"/>
      <c r="ID385" s="184"/>
      <c r="IE385" s="184"/>
      <c r="IF385" s="184"/>
      <c r="IG385" s="184"/>
      <c r="IH385" s="184"/>
      <c r="II385" s="184"/>
      <c r="IJ385" s="184"/>
      <c r="IK385" s="184"/>
      <c r="IL385" s="184"/>
      <c r="IM385" s="184"/>
      <c r="IN385" s="184"/>
      <c r="IO385" s="184"/>
      <c r="IP385" s="184"/>
      <c r="IQ385" s="184"/>
      <c r="IR385" s="184"/>
      <c r="IS385" s="184"/>
      <c r="IT385" s="184"/>
      <c r="IU385" s="184"/>
      <c r="IV385" s="184"/>
    </row>
    <row r="386" spans="1:256" x14ac:dyDescent="0.2">
      <c r="A386" s="159">
        <v>615191</v>
      </c>
      <c r="B386" s="160" t="s">
        <v>134</v>
      </c>
      <c r="C386" s="148" t="s">
        <v>73</v>
      </c>
      <c r="D386" s="148" t="s">
        <v>192</v>
      </c>
      <c r="E386" s="240">
        <f>LYON!H98</f>
        <v>1560</v>
      </c>
      <c r="F386" s="240">
        <f>LYON!I98</f>
        <v>2676</v>
      </c>
      <c r="G386" s="240">
        <f>LYON!J98</f>
        <v>1700</v>
      </c>
      <c r="H386" s="240">
        <f>LYON!K98</f>
        <v>210</v>
      </c>
      <c r="I386" s="240">
        <f>LYON!L98</f>
        <v>1095</v>
      </c>
      <c r="J386" s="240">
        <f>LYON!M98</f>
        <v>733.5</v>
      </c>
      <c r="K386" s="240">
        <f>LYON!N98</f>
        <v>733.5</v>
      </c>
      <c r="L386" s="240">
        <f>LYON!O98</f>
        <v>0</v>
      </c>
      <c r="M386" s="240">
        <f>LYON!P98</f>
        <v>140</v>
      </c>
      <c r="N386" s="240">
        <f>LYON!Q98</f>
        <v>0</v>
      </c>
      <c r="O386" s="240">
        <f>LYON!R98</f>
        <v>1607.18</v>
      </c>
      <c r="P386" s="240">
        <f>LYON!S98</f>
        <v>566.14</v>
      </c>
      <c r="Q386" s="240">
        <f>LYON!T98</f>
        <v>0</v>
      </c>
      <c r="R386" s="240">
        <f>LYON!U98</f>
        <v>0</v>
      </c>
      <c r="S386" s="242">
        <f>SUM(E386:Q386)</f>
        <v>11021.32</v>
      </c>
    </row>
    <row r="387" spans="1:256" x14ac:dyDescent="0.2">
      <c r="A387" s="159">
        <v>615191</v>
      </c>
      <c r="B387" s="160" t="s">
        <v>134</v>
      </c>
      <c r="C387" s="148" t="s">
        <v>73</v>
      </c>
      <c r="D387" s="148" t="s">
        <v>191</v>
      </c>
      <c r="E387" s="240">
        <f>LYON!H99</f>
        <v>0</v>
      </c>
      <c r="F387" s="240">
        <f>LYON!I99</f>
        <v>0</v>
      </c>
      <c r="G387" s="240">
        <f>LYON!J99</f>
        <v>0</v>
      </c>
      <c r="H387" s="240">
        <f>LYON!K99</f>
        <v>0</v>
      </c>
      <c r="I387" s="240">
        <f>LYON!L99</f>
        <v>0</v>
      </c>
      <c r="J387" s="240">
        <f>LYON!M99</f>
        <v>300</v>
      </c>
      <c r="K387" s="240">
        <f>LYON!N99</f>
        <v>0</v>
      </c>
      <c r="L387" s="240">
        <f>LYON!O99</f>
        <v>0</v>
      </c>
      <c r="M387" s="240">
        <f>LYON!P99</f>
        <v>0</v>
      </c>
      <c r="N387" s="240">
        <f>LYON!Q99</f>
        <v>0</v>
      </c>
      <c r="O387" s="240">
        <f>LYON!R99</f>
        <v>0</v>
      </c>
      <c r="P387" s="240">
        <f>LYON!S99</f>
        <v>0</v>
      </c>
      <c r="Q387" s="240">
        <f>LYON!T99</f>
        <v>774.08</v>
      </c>
      <c r="R387" s="240">
        <f>LYON!U99</f>
        <v>0</v>
      </c>
      <c r="S387" s="242">
        <f>SUM(E387:Q387)</f>
        <v>1074.08</v>
      </c>
    </row>
    <row r="388" spans="1:256" x14ac:dyDescent="0.2">
      <c r="A388" s="159">
        <v>615191</v>
      </c>
      <c r="B388" s="160" t="s">
        <v>134</v>
      </c>
      <c r="C388" s="148" t="s">
        <v>73</v>
      </c>
      <c r="D388" s="148" t="s">
        <v>179</v>
      </c>
      <c r="E388" s="240">
        <f>SUM(LYON!H100:H100)</f>
        <v>0</v>
      </c>
      <c r="F388" s="240">
        <f>SUM(LYON!I100:I100)</f>
        <v>70.09</v>
      </c>
      <c r="G388" s="240">
        <f>SUM(LYON!J100:J100)</f>
        <v>70.09</v>
      </c>
      <c r="H388" s="240">
        <f>SUM(LYON!K100:K100)</f>
        <v>70.09</v>
      </c>
      <c r="I388" s="240">
        <f>SUM(LYON!L100:L100)</f>
        <v>70.09</v>
      </c>
      <c r="J388" s="240">
        <f>SUM(LYON!M100:M100)</f>
        <v>70.09</v>
      </c>
      <c r="K388" s="240">
        <f>SUM(LYON!N100:N100)</f>
        <v>70.09</v>
      </c>
      <c r="L388" s="240">
        <f>SUM(LYON!O100:O100)</f>
        <v>70.09</v>
      </c>
      <c r="M388" s="240">
        <f>SUM(LYON!P100:P100)</f>
        <v>70.09</v>
      </c>
      <c r="N388" s="240">
        <f>SUM(LYON!Q100:Q100)</f>
        <v>70.09</v>
      </c>
      <c r="O388" s="240">
        <f>SUM(LYON!R100:R100)</f>
        <v>70.09</v>
      </c>
      <c r="P388" s="240">
        <f>SUM(LYON!S100:S100)</f>
        <v>70.010000000000005</v>
      </c>
      <c r="Q388" s="240">
        <f>SUM(LYON!T100:T100)</f>
        <v>70.92</v>
      </c>
      <c r="R388" s="240">
        <f>SUM(LYON!U100:U100)</f>
        <v>0</v>
      </c>
      <c r="S388" s="242">
        <f>SUM(E388:Q388)</f>
        <v>841.83000000000015</v>
      </c>
    </row>
    <row r="389" spans="1:256" s="175" customFormat="1" x14ac:dyDescent="0.2">
      <c r="A389" s="270"/>
      <c r="B389" s="235"/>
      <c r="C389" s="148"/>
      <c r="D389" s="148"/>
      <c r="E389" s="240"/>
      <c r="F389" s="240"/>
      <c r="G389" s="240"/>
      <c r="H389" s="240"/>
      <c r="I389" s="240"/>
      <c r="J389" s="240"/>
      <c r="K389" s="240"/>
      <c r="L389" s="240"/>
      <c r="M389" s="240"/>
      <c r="N389" s="240"/>
      <c r="O389" s="240"/>
      <c r="P389" s="240"/>
      <c r="Q389" s="240"/>
      <c r="R389" s="240"/>
      <c r="S389" s="242"/>
      <c r="T389" s="184"/>
      <c r="U389" s="332"/>
      <c r="W389" s="184"/>
      <c r="X389" s="184"/>
      <c r="Y389" s="184"/>
      <c r="Z389" s="184"/>
      <c r="AA389" s="184"/>
      <c r="AB389" s="184"/>
      <c r="AC389" s="184"/>
      <c r="AD389" s="184"/>
      <c r="AE389" s="184"/>
      <c r="AF389" s="184"/>
      <c r="AG389" s="184"/>
      <c r="AH389" s="184"/>
      <c r="AI389" s="184"/>
      <c r="AJ389" s="184"/>
      <c r="AK389" s="184"/>
      <c r="AL389" s="184"/>
      <c r="AM389" s="184"/>
      <c r="AN389" s="184"/>
      <c r="AO389" s="184"/>
      <c r="AP389" s="184"/>
      <c r="AQ389" s="184"/>
      <c r="AR389" s="184"/>
      <c r="AS389" s="184"/>
      <c r="AT389" s="184"/>
      <c r="AU389" s="184"/>
      <c r="AV389" s="184"/>
      <c r="AW389" s="184"/>
      <c r="AX389" s="184"/>
      <c r="AY389" s="184"/>
      <c r="AZ389" s="184"/>
      <c r="BA389" s="184"/>
      <c r="BB389" s="184"/>
      <c r="BC389" s="184"/>
      <c r="BD389" s="184"/>
      <c r="BE389" s="184"/>
      <c r="BF389" s="184"/>
      <c r="BG389" s="184"/>
      <c r="BH389" s="184"/>
      <c r="BI389" s="184"/>
      <c r="BJ389" s="184"/>
      <c r="BK389" s="184"/>
      <c r="BL389" s="184"/>
      <c r="BM389" s="184"/>
      <c r="BN389" s="184"/>
      <c r="BO389" s="184"/>
      <c r="BP389" s="184"/>
      <c r="BQ389" s="184"/>
      <c r="BR389" s="184"/>
      <c r="BS389" s="184"/>
      <c r="BT389" s="184"/>
      <c r="BU389" s="184"/>
      <c r="BV389" s="184"/>
      <c r="BW389" s="184"/>
      <c r="BX389" s="184"/>
      <c r="BY389" s="184"/>
      <c r="BZ389" s="184"/>
      <c r="CA389" s="184"/>
      <c r="CB389" s="184"/>
      <c r="CC389" s="184"/>
      <c r="CD389" s="184"/>
      <c r="CE389" s="184"/>
      <c r="CF389" s="184"/>
      <c r="CG389" s="184"/>
      <c r="CH389" s="184"/>
      <c r="CI389" s="184"/>
      <c r="CJ389" s="184"/>
      <c r="CK389" s="184"/>
      <c r="CL389" s="184"/>
      <c r="CM389" s="184"/>
      <c r="CN389" s="184"/>
      <c r="CO389" s="184"/>
      <c r="CP389" s="184"/>
      <c r="CQ389" s="184"/>
      <c r="CR389" s="184"/>
      <c r="CS389" s="184"/>
      <c r="CT389" s="184"/>
      <c r="CU389" s="184"/>
      <c r="CV389" s="184"/>
      <c r="CW389" s="184"/>
      <c r="CX389" s="184"/>
      <c r="CY389" s="184"/>
      <c r="CZ389" s="184"/>
      <c r="DA389" s="184"/>
      <c r="DB389" s="184"/>
      <c r="DC389" s="184"/>
      <c r="DD389" s="184"/>
      <c r="DE389" s="184"/>
      <c r="DF389" s="184"/>
      <c r="DG389" s="184"/>
      <c r="DH389" s="184"/>
      <c r="DI389" s="184"/>
      <c r="DJ389" s="184"/>
      <c r="DK389" s="184"/>
      <c r="DL389" s="184"/>
      <c r="DM389" s="184"/>
      <c r="DN389" s="184"/>
      <c r="DO389" s="184"/>
      <c r="DP389" s="184"/>
      <c r="DQ389" s="184"/>
      <c r="DR389" s="184"/>
      <c r="DS389" s="184"/>
      <c r="DT389" s="184"/>
      <c r="DU389" s="184"/>
      <c r="DV389" s="184"/>
      <c r="DW389" s="184"/>
      <c r="DX389" s="184"/>
      <c r="DY389" s="184"/>
      <c r="DZ389" s="184"/>
      <c r="EA389" s="184"/>
      <c r="EB389" s="184"/>
      <c r="EC389" s="184"/>
      <c r="ED389" s="184"/>
      <c r="EE389" s="184"/>
      <c r="EF389" s="184"/>
      <c r="EG389" s="184"/>
      <c r="EH389" s="184"/>
      <c r="EI389" s="184"/>
      <c r="EJ389" s="184"/>
      <c r="EK389" s="184"/>
      <c r="EL389" s="184"/>
      <c r="EM389" s="184"/>
      <c r="EN389" s="184"/>
      <c r="EO389" s="184"/>
      <c r="EP389" s="184"/>
      <c r="EQ389" s="184"/>
      <c r="ER389" s="184"/>
      <c r="ES389" s="184"/>
      <c r="ET389" s="184"/>
      <c r="EU389" s="184"/>
      <c r="EV389" s="184"/>
      <c r="EW389" s="184"/>
      <c r="EX389" s="184"/>
      <c r="EY389" s="184"/>
      <c r="EZ389" s="184"/>
      <c r="FA389" s="184"/>
      <c r="FB389" s="184"/>
      <c r="FC389" s="184"/>
      <c r="FD389" s="184"/>
      <c r="FE389" s="184"/>
      <c r="FF389" s="184"/>
      <c r="FG389" s="184"/>
      <c r="FH389" s="184"/>
      <c r="FI389" s="184"/>
      <c r="FJ389" s="184"/>
      <c r="FK389" s="184"/>
      <c r="FL389" s="184"/>
      <c r="FM389" s="184"/>
      <c r="FN389" s="184"/>
      <c r="FO389" s="184"/>
      <c r="FP389" s="184"/>
      <c r="FQ389" s="184"/>
      <c r="FR389" s="184"/>
      <c r="FS389" s="184"/>
      <c r="FT389" s="184"/>
      <c r="FU389" s="184"/>
      <c r="FV389" s="184"/>
      <c r="FW389" s="184"/>
      <c r="FX389" s="184"/>
      <c r="FY389" s="184"/>
      <c r="FZ389" s="184"/>
      <c r="GA389" s="184"/>
      <c r="GB389" s="184"/>
      <c r="GC389" s="184"/>
      <c r="GD389" s="184"/>
      <c r="GE389" s="184"/>
      <c r="GF389" s="184"/>
      <c r="GG389" s="184"/>
      <c r="GH389" s="184"/>
      <c r="GI389" s="184"/>
      <c r="GJ389" s="184"/>
      <c r="GK389" s="184"/>
      <c r="GL389" s="184"/>
      <c r="GM389" s="184"/>
      <c r="GN389" s="184"/>
      <c r="GO389" s="184"/>
      <c r="GP389" s="184"/>
      <c r="GQ389" s="184"/>
      <c r="GR389" s="184"/>
      <c r="GS389" s="184"/>
      <c r="GT389" s="184"/>
      <c r="GU389" s="184"/>
      <c r="GV389" s="184"/>
      <c r="GW389" s="184"/>
      <c r="GX389" s="184"/>
      <c r="GY389" s="184"/>
      <c r="GZ389" s="184"/>
      <c r="HA389" s="184"/>
      <c r="HB389" s="184"/>
      <c r="HC389" s="184"/>
      <c r="HD389" s="184"/>
      <c r="HE389" s="184"/>
      <c r="HF389" s="184"/>
      <c r="HG389" s="184"/>
      <c r="HH389" s="184"/>
      <c r="HI389" s="184"/>
      <c r="HJ389" s="184"/>
      <c r="HK389" s="184"/>
      <c r="HL389" s="184"/>
      <c r="HM389" s="184"/>
      <c r="HN389" s="184"/>
      <c r="HO389" s="184"/>
      <c r="HP389" s="184"/>
      <c r="HQ389" s="184"/>
      <c r="HR389" s="184"/>
      <c r="HS389" s="184"/>
      <c r="HT389" s="184"/>
      <c r="HU389" s="184"/>
      <c r="HV389" s="184"/>
      <c r="HW389" s="184"/>
      <c r="HX389" s="184"/>
      <c r="HY389" s="184"/>
      <c r="HZ389" s="184"/>
      <c r="IA389" s="184"/>
      <c r="IB389" s="184"/>
      <c r="IC389" s="184"/>
      <c r="ID389" s="184"/>
      <c r="IE389" s="184"/>
      <c r="IF389" s="184"/>
      <c r="IG389" s="184"/>
      <c r="IH389" s="184"/>
      <c r="II389" s="184"/>
      <c r="IJ389" s="184"/>
      <c r="IK389" s="184"/>
      <c r="IL389" s="184"/>
      <c r="IM389" s="184"/>
      <c r="IN389" s="184"/>
      <c r="IO389" s="184"/>
      <c r="IP389" s="184"/>
      <c r="IQ389" s="184"/>
      <c r="IR389" s="184"/>
      <c r="IS389" s="184"/>
      <c r="IT389" s="184"/>
      <c r="IU389" s="184"/>
      <c r="IV389" s="184"/>
    </row>
    <row r="390" spans="1:256" x14ac:dyDescent="0.2">
      <c r="A390" s="159">
        <v>615191</v>
      </c>
      <c r="B390" s="160" t="s">
        <v>134</v>
      </c>
      <c r="C390" s="148" t="s">
        <v>67</v>
      </c>
      <c r="D390" s="148" t="s">
        <v>179</v>
      </c>
      <c r="E390" s="240">
        <f>+BORDEAUX!H104</f>
        <v>0</v>
      </c>
      <c r="F390" s="240">
        <f>+BORDEAUX!I104</f>
        <v>0</v>
      </c>
      <c r="G390" s="240">
        <f>+BORDEAUX!J104</f>
        <v>0</v>
      </c>
      <c r="H390" s="240">
        <f>+BORDEAUX!K104</f>
        <v>0</v>
      </c>
      <c r="I390" s="240">
        <f>+BORDEAUX!L104</f>
        <v>0</v>
      </c>
      <c r="J390" s="240">
        <f>+BORDEAUX!M104</f>
        <v>0</v>
      </c>
      <c r="K390" s="240">
        <f>+BORDEAUX!N104</f>
        <v>0</v>
      </c>
      <c r="L390" s="240">
        <f>+BORDEAUX!O104</f>
        <v>0</v>
      </c>
      <c r="M390" s="240">
        <f>+BORDEAUX!P104</f>
        <v>0</v>
      </c>
      <c r="N390" s="240">
        <f>+BORDEAUX!Q104</f>
        <v>3800</v>
      </c>
      <c r="O390" s="240">
        <f>+BORDEAUX!R104</f>
        <v>0</v>
      </c>
      <c r="P390" s="240">
        <f>+BORDEAUX!S104</f>
        <v>0</v>
      </c>
      <c r="Q390" s="240">
        <f>+BORDEAUX!T104</f>
        <v>0</v>
      </c>
      <c r="R390" s="240">
        <f>+BORDEAUX!U104</f>
        <v>0</v>
      </c>
      <c r="S390" s="242">
        <f>SUM(E390:Q390)</f>
        <v>3800</v>
      </c>
    </row>
    <row r="391" spans="1:256" x14ac:dyDescent="0.2">
      <c r="A391" s="159">
        <v>615191</v>
      </c>
      <c r="B391" s="160" t="s">
        <v>134</v>
      </c>
      <c r="C391" s="148" t="s">
        <v>67</v>
      </c>
      <c r="D391" s="148" t="s">
        <v>192</v>
      </c>
      <c r="E391" s="240">
        <f>+BORDEAUX!H105</f>
        <v>0</v>
      </c>
      <c r="F391" s="240">
        <f>+BORDEAUX!I105</f>
        <v>0</v>
      </c>
      <c r="G391" s="240">
        <f>+BORDEAUX!J105</f>
        <v>0</v>
      </c>
      <c r="H391" s="240">
        <f>+BORDEAUX!K105</f>
        <v>0</v>
      </c>
      <c r="I391" s="240">
        <f>+BORDEAUX!L105</f>
        <v>0</v>
      </c>
      <c r="J391" s="240">
        <f>+BORDEAUX!M105</f>
        <v>0</v>
      </c>
      <c r="K391" s="240">
        <f>+BORDEAUX!N105</f>
        <v>0</v>
      </c>
      <c r="L391" s="240">
        <f>+BORDEAUX!O105</f>
        <v>0</v>
      </c>
      <c r="M391" s="240">
        <f>+BORDEAUX!P105</f>
        <v>0</v>
      </c>
      <c r="N391" s="240">
        <f>+BORDEAUX!Q105</f>
        <v>0</v>
      </c>
      <c r="O391" s="240">
        <f>+BORDEAUX!R105</f>
        <v>0</v>
      </c>
      <c r="P391" s="240">
        <f>+BORDEAUX!S105</f>
        <v>4605.2999999999993</v>
      </c>
      <c r="Q391" s="240">
        <f>+BORDEAUX!T105</f>
        <v>0</v>
      </c>
      <c r="R391" s="240">
        <f>+BORDEAUX!U105</f>
        <v>0</v>
      </c>
      <c r="S391" s="242">
        <f>SUM(E391:Q391)</f>
        <v>4605.2999999999993</v>
      </c>
    </row>
    <row r="392" spans="1:256" s="175" customFormat="1" x14ac:dyDescent="0.2">
      <c r="A392" s="270"/>
      <c r="B392" s="235"/>
      <c r="C392" s="148"/>
      <c r="D392" s="148"/>
      <c r="E392" s="240"/>
      <c r="F392" s="240"/>
      <c r="G392" s="240"/>
      <c r="H392" s="240"/>
      <c r="I392" s="240"/>
      <c r="J392" s="240"/>
      <c r="K392" s="240"/>
      <c r="L392" s="240"/>
      <c r="M392" s="240"/>
      <c r="N392" s="240"/>
      <c r="O392" s="240"/>
      <c r="P392" s="240"/>
      <c r="Q392" s="240"/>
      <c r="R392" s="240"/>
      <c r="S392" s="242"/>
      <c r="T392" s="184"/>
      <c r="U392" s="332"/>
      <c r="W392" s="184"/>
      <c r="X392" s="184"/>
      <c r="Y392" s="184"/>
      <c r="Z392" s="184"/>
      <c r="AA392" s="184"/>
      <c r="AB392" s="184"/>
      <c r="AC392" s="184"/>
      <c r="AD392" s="184"/>
      <c r="AE392" s="184"/>
      <c r="AF392" s="184"/>
      <c r="AG392" s="184"/>
      <c r="AH392" s="184"/>
      <c r="AI392" s="184"/>
      <c r="AJ392" s="184"/>
      <c r="AK392" s="184"/>
      <c r="AL392" s="184"/>
      <c r="AM392" s="184"/>
      <c r="AN392" s="184"/>
      <c r="AO392" s="184"/>
      <c r="AP392" s="184"/>
      <c r="AQ392" s="184"/>
      <c r="AR392" s="184"/>
      <c r="AS392" s="184"/>
      <c r="AT392" s="184"/>
      <c r="AU392" s="184"/>
      <c r="AV392" s="184"/>
      <c r="AW392" s="184"/>
      <c r="AX392" s="184"/>
      <c r="AY392" s="184"/>
      <c r="AZ392" s="184"/>
      <c r="BA392" s="184"/>
      <c r="BB392" s="184"/>
      <c r="BC392" s="184"/>
      <c r="BD392" s="184"/>
      <c r="BE392" s="184"/>
      <c r="BF392" s="184"/>
      <c r="BG392" s="184"/>
      <c r="BH392" s="184"/>
      <c r="BI392" s="184"/>
      <c r="BJ392" s="184"/>
      <c r="BK392" s="184"/>
      <c r="BL392" s="184"/>
      <c r="BM392" s="184"/>
      <c r="BN392" s="184"/>
      <c r="BO392" s="184"/>
      <c r="BP392" s="184"/>
      <c r="BQ392" s="184"/>
      <c r="BR392" s="184"/>
      <c r="BS392" s="184"/>
      <c r="BT392" s="184"/>
      <c r="BU392" s="184"/>
      <c r="BV392" s="184"/>
      <c r="BW392" s="184"/>
      <c r="BX392" s="184"/>
      <c r="BY392" s="184"/>
      <c r="BZ392" s="184"/>
      <c r="CA392" s="184"/>
      <c r="CB392" s="184"/>
      <c r="CC392" s="184"/>
      <c r="CD392" s="184"/>
      <c r="CE392" s="184"/>
      <c r="CF392" s="184"/>
      <c r="CG392" s="184"/>
      <c r="CH392" s="184"/>
      <c r="CI392" s="184"/>
      <c r="CJ392" s="184"/>
      <c r="CK392" s="184"/>
      <c r="CL392" s="184"/>
      <c r="CM392" s="184"/>
      <c r="CN392" s="184"/>
      <c r="CO392" s="184"/>
      <c r="CP392" s="184"/>
      <c r="CQ392" s="184"/>
      <c r="CR392" s="184"/>
      <c r="CS392" s="184"/>
      <c r="CT392" s="184"/>
      <c r="CU392" s="184"/>
      <c r="CV392" s="184"/>
      <c r="CW392" s="184"/>
      <c r="CX392" s="184"/>
      <c r="CY392" s="184"/>
      <c r="CZ392" s="184"/>
      <c r="DA392" s="184"/>
      <c r="DB392" s="184"/>
      <c r="DC392" s="184"/>
      <c r="DD392" s="184"/>
      <c r="DE392" s="184"/>
      <c r="DF392" s="184"/>
      <c r="DG392" s="184"/>
      <c r="DH392" s="184"/>
      <c r="DI392" s="184"/>
      <c r="DJ392" s="184"/>
      <c r="DK392" s="184"/>
      <c r="DL392" s="184"/>
      <c r="DM392" s="184"/>
      <c r="DN392" s="184"/>
      <c r="DO392" s="184"/>
      <c r="DP392" s="184"/>
      <c r="DQ392" s="184"/>
      <c r="DR392" s="184"/>
      <c r="DS392" s="184"/>
      <c r="DT392" s="184"/>
      <c r="DU392" s="184"/>
      <c r="DV392" s="184"/>
      <c r="DW392" s="184"/>
      <c r="DX392" s="184"/>
      <c r="DY392" s="184"/>
      <c r="DZ392" s="184"/>
      <c r="EA392" s="184"/>
      <c r="EB392" s="184"/>
      <c r="EC392" s="184"/>
      <c r="ED392" s="184"/>
      <c r="EE392" s="184"/>
      <c r="EF392" s="184"/>
      <c r="EG392" s="184"/>
      <c r="EH392" s="184"/>
      <c r="EI392" s="184"/>
      <c r="EJ392" s="184"/>
      <c r="EK392" s="184"/>
      <c r="EL392" s="184"/>
      <c r="EM392" s="184"/>
      <c r="EN392" s="184"/>
      <c r="EO392" s="184"/>
      <c r="EP392" s="184"/>
      <c r="EQ392" s="184"/>
      <c r="ER392" s="184"/>
      <c r="ES392" s="184"/>
      <c r="ET392" s="184"/>
      <c r="EU392" s="184"/>
      <c r="EV392" s="184"/>
      <c r="EW392" s="184"/>
      <c r="EX392" s="184"/>
      <c r="EY392" s="184"/>
      <c r="EZ392" s="184"/>
      <c r="FA392" s="184"/>
      <c r="FB392" s="184"/>
      <c r="FC392" s="184"/>
      <c r="FD392" s="184"/>
      <c r="FE392" s="184"/>
      <c r="FF392" s="184"/>
      <c r="FG392" s="184"/>
      <c r="FH392" s="184"/>
      <c r="FI392" s="184"/>
      <c r="FJ392" s="184"/>
      <c r="FK392" s="184"/>
      <c r="FL392" s="184"/>
      <c r="FM392" s="184"/>
      <c r="FN392" s="184"/>
      <c r="FO392" s="184"/>
      <c r="FP392" s="184"/>
      <c r="FQ392" s="184"/>
      <c r="FR392" s="184"/>
      <c r="FS392" s="184"/>
      <c r="FT392" s="184"/>
      <c r="FU392" s="184"/>
      <c r="FV392" s="184"/>
      <c r="FW392" s="184"/>
      <c r="FX392" s="184"/>
      <c r="FY392" s="184"/>
      <c r="FZ392" s="184"/>
      <c r="GA392" s="184"/>
      <c r="GB392" s="184"/>
      <c r="GC392" s="184"/>
      <c r="GD392" s="184"/>
      <c r="GE392" s="184"/>
      <c r="GF392" s="184"/>
      <c r="GG392" s="184"/>
      <c r="GH392" s="184"/>
      <c r="GI392" s="184"/>
      <c r="GJ392" s="184"/>
      <c r="GK392" s="184"/>
      <c r="GL392" s="184"/>
      <c r="GM392" s="184"/>
      <c r="GN392" s="184"/>
      <c r="GO392" s="184"/>
      <c r="GP392" s="184"/>
      <c r="GQ392" s="184"/>
      <c r="GR392" s="184"/>
      <c r="GS392" s="184"/>
      <c r="GT392" s="184"/>
      <c r="GU392" s="184"/>
      <c r="GV392" s="184"/>
      <c r="GW392" s="184"/>
      <c r="GX392" s="184"/>
      <c r="GY392" s="184"/>
      <c r="GZ392" s="184"/>
      <c r="HA392" s="184"/>
      <c r="HB392" s="184"/>
      <c r="HC392" s="184"/>
      <c r="HD392" s="184"/>
      <c r="HE392" s="184"/>
      <c r="HF392" s="184"/>
      <c r="HG392" s="184"/>
      <c r="HH392" s="184"/>
      <c r="HI392" s="184"/>
      <c r="HJ392" s="184"/>
      <c r="HK392" s="184"/>
      <c r="HL392" s="184"/>
      <c r="HM392" s="184"/>
      <c r="HN392" s="184"/>
      <c r="HO392" s="184"/>
      <c r="HP392" s="184"/>
      <c r="HQ392" s="184"/>
      <c r="HR392" s="184"/>
      <c r="HS392" s="184"/>
      <c r="HT392" s="184"/>
      <c r="HU392" s="184"/>
      <c r="HV392" s="184"/>
      <c r="HW392" s="184"/>
      <c r="HX392" s="184"/>
      <c r="HY392" s="184"/>
      <c r="HZ392" s="184"/>
      <c r="IA392" s="184"/>
      <c r="IB392" s="184"/>
      <c r="IC392" s="184"/>
      <c r="ID392" s="184"/>
      <c r="IE392" s="184"/>
      <c r="IF392" s="184"/>
      <c r="IG392" s="184"/>
      <c r="IH392" s="184"/>
      <c r="II392" s="184"/>
      <c r="IJ392" s="184"/>
      <c r="IK392" s="184"/>
      <c r="IL392" s="184"/>
      <c r="IM392" s="184"/>
      <c r="IN392" s="184"/>
      <c r="IO392" s="184"/>
      <c r="IP392" s="184"/>
      <c r="IQ392" s="184"/>
      <c r="IR392" s="184"/>
      <c r="IS392" s="184"/>
      <c r="IT392" s="184"/>
      <c r="IU392" s="184"/>
      <c r="IV392" s="184"/>
    </row>
    <row r="393" spans="1:256" x14ac:dyDescent="0.2">
      <c r="A393" s="159">
        <v>615191</v>
      </c>
      <c r="B393" s="160" t="s">
        <v>134</v>
      </c>
      <c r="C393" s="148" t="s">
        <v>62</v>
      </c>
      <c r="D393" s="148" t="s">
        <v>192</v>
      </c>
      <c r="E393" s="240">
        <f>NANCY!H62</f>
        <v>0</v>
      </c>
      <c r="F393" s="240">
        <f>NANCY!I62</f>
        <v>0</v>
      </c>
      <c r="G393" s="240">
        <f>NANCY!J62</f>
        <v>0</v>
      </c>
      <c r="H393" s="240">
        <f>NANCY!K62</f>
        <v>0</v>
      </c>
      <c r="I393" s="240">
        <f>NANCY!L62</f>
        <v>0</v>
      </c>
      <c r="J393" s="240">
        <f>NANCY!M62</f>
        <v>0</v>
      </c>
      <c r="K393" s="240">
        <f>NANCY!N62</f>
        <v>0</v>
      </c>
      <c r="L393" s="240">
        <f>NANCY!O62</f>
        <v>0</v>
      </c>
      <c r="M393" s="240">
        <f>NANCY!P62</f>
        <v>0</v>
      </c>
      <c r="N393" s="240">
        <f>NANCY!Q62</f>
        <v>0</v>
      </c>
      <c r="O393" s="240">
        <f>NANCY!R62</f>
        <v>0</v>
      </c>
      <c r="P393" s="240">
        <f>NANCY!S62</f>
        <v>0</v>
      </c>
      <c r="Q393" s="240">
        <f>NANCY!T62</f>
        <v>0</v>
      </c>
      <c r="R393" s="240">
        <f>NANCY!U62</f>
        <v>0</v>
      </c>
      <c r="S393" s="242">
        <f>SUM(E393:Q393)</f>
        <v>0</v>
      </c>
    </row>
    <row r="394" spans="1:256" s="175" customFormat="1" x14ac:dyDescent="0.2">
      <c r="A394" s="270"/>
      <c r="B394" s="235"/>
      <c r="C394" s="148"/>
      <c r="D394" s="148"/>
      <c r="E394" s="240"/>
      <c r="F394" s="240"/>
      <c r="G394" s="240"/>
      <c r="H394" s="240"/>
      <c r="I394" s="240"/>
      <c r="J394" s="240"/>
      <c r="K394" s="240"/>
      <c r="L394" s="240"/>
      <c r="M394" s="240"/>
      <c r="N394" s="240"/>
      <c r="O394" s="240"/>
      <c r="P394" s="240"/>
      <c r="Q394" s="240"/>
      <c r="R394" s="240"/>
      <c r="S394" s="242"/>
      <c r="T394" s="184"/>
      <c r="U394" s="332"/>
      <c r="W394" s="184"/>
      <c r="X394" s="184"/>
      <c r="Y394" s="184"/>
      <c r="Z394" s="184"/>
      <c r="AA394" s="184"/>
      <c r="AB394" s="184"/>
      <c r="AC394" s="184"/>
      <c r="AD394" s="184"/>
      <c r="AE394" s="184"/>
      <c r="AF394" s="184"/>
      <c r="AG394" s="184"/>
      <c r="AH394" s="184"/>
      <c r="AI394" s="184"/>
      <c r="AJ394" s="184"/>
      <c r="AK394" s="184"/>
      <c r="AL394" s="184"/>
      <c r="AM394" s="184"/>
      <c r="AN394" s="184"/>
      <c r="AO394" s="184"/>
      <c r="AP394" s="184"/>
      <c r="AQ394" s="184"/>
      <c r="AR394" s="184"/>
      <c r="AS394" s="184"/>
      <c r="AT394" s="184"/>
      <c r="AU394" s="184"/>
      <c r="AV394" s="184"/>
      <c r="AW394" s="184"/>
      <c r="AX394" s="184"/>
      <c r="AY394" s="184"/>
      <c r="AZ394" s="184"/>
      <c r="BA394" s="184"/>
      <c r="BB394" s="184"/>
      <c r="BC394" s="184"/>
      <c r="BD394" s="184"/>
      <c r="BE394" s="184"/>
      <c r="BF394" s="184"/>
      <c r="BG394" s="184"/>
      <c r="BH394" s="184"/>
      <c r="BI394" s="184"/>
      <c r="BJ394" s="184"/>
      <c r="BK394" s="184"/>
      <c r="BL394" s="184"/>
      <c r="BM394" s="184"/>
      <c r="BN394" s="184"/>
      <c r="BO394" s="184"/>
      <c r="BP394" s="184"/>
      <c r="BQ394" s="184"/>
      <c r="BR394" s="184"/>
      <c r="BS394" s="184"/>
      <c r="BT394" s="184"/>
      <c r="BU394" s="184"/>
      <c r="BV394" s="184"/>
      <c r="BW394" s="184"/>
      <c r="BX394" s="184"/>
      <c r="BY394" s="184"/>
      <c r="BZ394" s="184"/>
      <c r="CA394" s="184"/>
      <c r="CB394" s="184"/>
      <c r="CC394" s="184"/>
      <c r="CD394" s="184"/>
      <c r="CE394" s="184"/>
      <c r="CF394" s="184"/>
      <c r="CG394" s="184"/>
      <c r="CH394" s="184"/>
      <c r="CI394" s="184"/>
      <c r="CJ394" s="184"/>
      <c r="CK394" s="184"/>
      <c r="CL394" s="184"/>
      <c r="CM394" s="184"/>
      <c r="CN394" s="184"/>
      <c r="CO394" s="184"/>
      <c r="CP394" s="184"/>
      <c r="CQ394" s="184"/>
      <c r="CR394" s="184"/>
      <c r="CS394" s="184"/>
      <c r="CT394" s="184"/>
      <c r="CU394" s="184"/>
      <c r="CV394" s="184"/>
      <c r="CW394" s="184"/>
      <c r="CX394" s="184"/>
      <c r="CY394" s="184"/>
      <c r="CZ394" s="184"/>
      <c r="DA394" s="184"/>
      <c r="DB394" s="184"/>
      <c r="DC394" s="184"/>
      <c r="DD394" s="184"/>
      <c r="DE394" s="184"/>
      <c r="DF394" s="184"/>
      <c r="DG394" s="184"/>
      <c r="DH394" s="184"/>
      <c r="DI394" s="184"/>
      <c r="DJ394" s="184"/>
      <c r="DK394" s="184"/>
      <c r="DL394" s="184"/>
      <c r="DM394" s="184"/>
      <c r="DN394" s="184"/>
      <c r="DO394" s="184"/>
      <c r="DP394" s="184"/>
      <c r="DQ394" s="184"/>
      <c r="DR394" s="184"/>
      <c r="DS394" s="184"/>
      <c r="DT394" s="184"/>
      <c r="DU394" s="184"/>
      <c r="DV394" s="184"/>
      <c r="DW394" s="184"/>
      <c r="DX394" s="184"/>
      <c r="DY394" s="184"/>
      <c r="DZ394" s="184"/>
      <c r="EA394" s="184"/>
      <c r="EB394" s="184"/>
      <c r="EC394" s="184"/>
      <c r="ED394" s="184"/>
      <c r="EE394" s="184"/>
      <c r="EF394" s="184"/>
      <c r="EG394" s="184"/>
      <c r="EH394" s="184"/>
      <c r="EI394" s="184"/>
      <c r="EJ394" s="184"/>
      <c r="EK394" s="184"/>
      <c r="EL394" s="184"/>
      <c r="EM394" s="184"/>
      <c r="EN394" s="184"/>
      <c r="EO394" s="184"/>
      <c r="EP394" s="184"/>
      <c r="EQ394" s="184"/>
      <c r="ER394" s="184"/>
      <c r="ES394" s="184"/>
      <c r="ET394" s="184"/>
      <c r="EU394" s="184"/>
      <c r="EV394" s="184"/>
      <c r="EW394" s="184"/>
      <c r="EX394" s="184"/>
      <c r="EY394" s="184"/>
      <c r="EZ394" s="184"/>
      <c r="FA394" s="184"/>
      <c r="FB394" s="184"/>
      <c r="FC394" s="184"/>
      <c r="FD394" s="184"/>
      <c r="FE394" s="184"/>
      <c r="FF394" s="184"/>
      <c r="FG394" s="184"/>
      <c r="FH394" s="184"/>
      <c r="FI394" s="184"/>
      <c r="FJ394" s="184"/>
      <c r="FK394" s="184"/>
      <c r="FL394" s="184"/>
      <c r="FM394" s="184"/>
      <c r="FN394" s="184"/>
      <c r="FO394" s="184"/>
      <c r="FP394" s="184"/>
      <c r="FQ394" s="184"/>
      <c r="FR394" s="184"/>
      <c r="FS394" s="184"/>
      <c r="FT394" s="184"/>
      <c r="FU394" s="184"/>
      <c r="FV394" s="184"/>
      <c r="FW394" s="184"/>
      <c r="FX394" s="184"/>
      <c r="FY394" s="184"/>
      <c r="FZ394" s="184"/>
      <c r="GA394" s="184"/>
      <c r="GB394" s="184"/>
      <c r="GC394" s="184"/>
      <c r="GD394" s="184"/>
      <c r="GE394" s="184"/>
      <c r="GF394" s="184"/>
      <c r="GG394" s="184"/>
      <c r="GH394" s="184"/>
      <c r="GI394" s="184"/>
      <c r="GJ394" s="184"/>
      <c r="GK394" s="184"/>
      <c r="GL394" s="184"/>
      <c r="GM394" s="184"/>
      <c r="GN394" s="184"/>
      <c r="GO394" s="184"/>
      <c r="GP394" s="184"/>
      <c r="GQ394" s="184"/>
      <c r="GR394" s="184"/>
      <c r="GS394" s="184"/>
      <c r="GT394" s="184"/>
      <c r="GU394" s="184"/>
      <c r="GV394" s="184"/>
      <c r="GW394" s="184"/>
      <c r="GX394" s="184"/>
      <c r="GY394" s="184"/>
      <c r="GZ394" s="184"/>
      <c r="HA394" s="184"/>
      <c r="HB394" s="184"/>
      <c r="HC394" s="184"/>
      <c r="HD394" s="184"/>
      <c r="HE394" s="184"/>
      <c r="HF394" s="184"/>
      <c r="HG394" s="184"/>
      <c r="HH394" s="184"/>
      <c r="HI394" s="184"/>
      <c r="HJ394" s="184"/>
      <c r="HK394" s="184"/>
      <c r="HL394" s="184"/>
      <c r="HM394" s="184"/>
      <c r="HN394" s="184"/>
      <c r="HO394" s="184"/>
      <c r="HP394" s="184"/>
      <c r="HQ394" s="184"/>
      <c r="HR394" s="184"/>
      <c r="HS394" s="184"/>
      <c r="HT394" s="184"/>
      <c r="HU394" s="184"/>
      <c r="HV394" s="184"/>
      <c r="HW394" s="184"/>
      <c r="HX394" s="184"/>
      <c r="HY394" s="184"/>
      <c r="HZ394" s="184"/>
      <c r="IA394" s="184"/>
      <c r="IB394" s="184"/>
      <c r="IC394" s="184"/>
      <c r="ID394" s="184"/>
      <c r="IE394" s="184"/>
      <c r="IF394" s="184"/>
      <c r="IG394" s="184"/>
      <c r="IH394" s="184"/>
      <c r="II394" s="184"/>
      <c r="IJ394" s="184"/>
      <c r="IK394" s="184"/>
      <c r="IL394" s="184"/>
      <c r="IM394" s="184"/>
      <c r="IN394" s="184"/>
      <c r="IO394" s="184"/>
      <c r="IP394" s="184"/>
      <c r="IQ394" s="184"/>
      <c r="IR394" s="184"/>
      <c r="IS394" s="184"/>
      <c r="IT394" s="184"/>
      <c r="IU394" s="184"/>
      <c r="IV394" s="184"/>
    </row>
    <row r="395" spans="1:256" x14ac:dyDescent="0.2">
      <c r="A395" s="159">
        <v>615191</v>
      </c>
      <c r="B395" s="160" t="s">
        <v>134</v>
      </c>
      <c r="C395" s="148" t="s">
        <v>80</v>
      </c>
      <c r="D395" s="148" t="s">
        <v>192</v>
      </c>
      <c r="E395" s="240">
        <f>RENNES!H99</f>
        <v>0</v>
      </c>
      <c r="F395" s="240">
        <f>RENNES!I99</f>
        <v>0</v>
      </c>
      <c r="G395" s="240">
        <f>RENNES!J99</f>
        <v>0</v>
      </c>
      <c r="H395" s="240">
        <f>RENNES!K99</f>
        <v>0</v>
      </c>
      <c r="I395" s="240">
        <f>RENNES!L99</f>
        <v>0</v>
      </c>
      <c r="J395" s="240">
        <f>RENNES!M99</f>
        <v>0</v>
      </c>
      <c r="K395" s="240">
        <f>RENNES!N99</f>
        <v>0</v>
      </c>
      <c r="L395" s="240">
        <f>RENNES!O99</f>
        <v>0</v>
      </c>
      <c r="M395" s="240">
        <f>RENNES!P99</f>
        <v>0</v>
      </c>
      <c r="N395" s="240">
        <f>RENNES!Q99</f>
        <v>1328.5</v>
      </c>
      <c r="O395" s="240">
        <f>RENNES!R99</f>
        <v>0</v>
      </c>
      <c r="P395" s="240">
        <f>RENNES!S99</f>
        <v>99.45</v>
      </c>
      <c r="Q395" s="240">
        <f>RENNES!T99</f>
        <v>0</v>
      </c>
      <c r="R395" s="240">
        <f>RENNES!U99</f>
        <v>0</v>
      </c>
      <c r="S395" s="242">
        <f>SUM(E395:Q395)</f>
        <v>1427.95</v>
      </c>
    </row>
    <row r="396" spans="1:256" x14ac:dyDescent="0.2">
      <c r="A396" s="159">
        <v>615191</v>
      </c>
      <c r="B396" s="160" t="s">
        <v>134</v>
      </c>
      <c r="C396" s="148" t="s">
        <v>80</v>
      </c>
      <c r="D396" s="148" t="s">
        <v>696</v>
      </c>
      <c r="E396" s="240">
        <f>RENNES!H98</f>
        <v>0</v>
      </c>
      <c r="F396" s="240">
        <f>RENNES!I98</f>
        <v>0</v>
      </c>
      <c r="G396" s="240">
        <f>RENNES!J98</f>
        <v>0</v>
      </c>
      <c r="H396" s="240">
        <f>RENNES!K98</f>
        <v>274.5</v>
      </c>
      <c r="I396" s="240">
        <f>RENNES!L98</f>
        <v>0</v>
      </c>
      <c r="J396" s="240">
        <f>RENNES!M98</f>
        <v>0</v>
      </c>
      <c r="K396" s="240">
        <f>RENNES!N98</f>
        <v>0</v>
      </c>
      <c r="L396" s="240">
        <f>RENNES!O98</f>
        <v>0</v>
      </c>
      <c r="M396" s="240">
        <f>RENNES!P98</f>
        <v>0</v>
      </c>
      <c r="N396" s="240">
        <f>RENNES!Q98</f>
        <v>0</v>
      </c>
      <c r="O396" s="240">
        <f>RENNES!R98</f>
        <v>0</v>
      </c>
      <c r="P396" s="240">
        <f>RENNES!S98</f>
        <v>0</v>
      </c>
      <c r="Q396" s="240">
        <f>RENNES!T98</f>
        <v>0</v>
      </c>
      <c r="R396" s="240">
        <f>RENNES!U98</f>
        <v>0</v>
      </c>
      <c r="S396" s="242">
        <f>SUM(E396:Q396)</f>
        <v>274.5</v>
      </c>
    </row>
    <row r="397" spans="1:256" s="175" customFormat="1" x14ac:dyDescent="0.2">
      <c r="A397" s="270"/>
      <c r="B397" s="235"/>
      <c r="C397" s="148"/>
      <c r="D397" s="148"/>
      <c r="E397" s="240"/>
      <c r="F397" s="240"/>
      <c r="G397" s="240"/>
      <c r="H397" s="240"/>
      <c r="I397" s="240"/>
      <c r="J397" s="240"/>
      <c r="K397" s="240"/>
      <c r="L397" s="240"/>
      <c r="M397" s="240"/>
      <c r="N397" s="240"/>
      <c r="O397" s="240"/>
      <c r="P397" s="240"/>
      <c r="Q397" s="240"/>
      <c r="R397" s="240"/>
      <c r="S397" s="242"/>
      <c r="T397" s="184"/>
      <c r="U397" s="332"/>
      <c r="W397" s="184"/>
      <c r="X397" s="184"/>
      <c r="Y397" s="184"/>
      <c r="Z397" s="184"/>
      <c r="AA397" s="184"/>
      <c r="AB397" s="184"/>
      <c r="AC397" s="184"/>
      <c r="AD397" s="184"/>
      <c r="AE397" s="184"/>
      <c r="AF397" s="184"/>
      <c r="AG397" s="184"/>
      <c r="AH397" s="184"/>
      <c r="AI397" s="184"/>
      <c r="AJ397" s="184"/>
      <c r="AK397" s="184"/>
      <c r="AL397" s="184"/>
      <c r="AM397" s="184"/>
      <c r="AN397" s="184"/>
      <c r="AO397" s="184"/>
      <c r="AP397" s="184"/>
      <c r="AQ397" s="184"/>
      <c r="AR397" s="184"/>
      <c r="AS397" s="184"/>
      <c r="AT397" s="184"/>
      <c r="AU397" s="184"/>
      <c r="AV397" s="184"/>
      <c r="AW397" s="184"/>
      <c r="AX397" s="184"/>
      <c r="AY397" s="184"/>
      <c r="AZ397" s="184"/>
      <c r="BA397" s="184"/>
      <c r="BB397" s="184"/>
      <c r="BC397" s="184"/>
      <c r="BD397" s="184"/>
      <c r="BE397" s="184"/>
      <c r="BF397" s="184"/>
      <c r="BG397" s="184"/>
      <c r="BH397" s="184"/>
      <c r="BI397" s="184"/>
      <c r="BJ397" s="184"/>
      <c r="BK397" s="184"/>
      <c r="BL397" s="184"/>
      <c r="BM397" s="184"/>
      <c r="BN397" s="184"/>
      <c r="BO397" s="184"/>
      <c r="BP397" s="184"/>
      <c r="BQ397" s="184"/>
      <c r="BR397" s="184"/>
      <c r="BS397" s="184"/>
      <c r="BT397" s="184"/>
      <c r="BU397" s="184"/>
      <c r="BV397" s="184"/>
      <c r="BW397" s="184"/>
      <c r="BX397" s="184"/>
      <c r="BY397" s="184"/>
      <c r="BZ397" s="184"/>
      <c r="CA397" s="184"/>
      <c r="CB397" s="184"/>
      <c r="CC397" s="184"/>
      <c r="CD397" s="184"/>
      <c r="CE397" s="184"/>
      <c r="CF397" s="184"/>
      <c r="CG397" s="184"/>
      <c r="CH397" s="184"/>
      <c r="CI397" s="184"/>
      <c r="CJ397" s="184"/>
      <c r="CK397" s="184"/>
      <c r="CL397" s="184"/>
      <c r="CM397" s="184"/>
      <c r="CN397" s="184"/>
      <c r="CO397" s="184"/>
      <c r="CP397" s="184"/>
      <c r="CQ397" s="184"/>
      <c r="CR397" s="184"/>
      <c r="CS397" s="184"/>
      <c r="CT397" s="184"/>
      <c r="CU397" s="184"/>
      <c r="CV397" s="184"/>
      <c r="CW397" s="184"/>
      <c r="CX397" s="184"/>
      <c r="CY397" s="184"/>
      <c r="CZ397" s="184"/>
      <c r="DA397" s="184"/>
      <c r="DB397" s="184"/>
      <c r="DC397" s="184"/>
      <c r="DD397" s="184"/>
      <c r="DE397" s="184"/>
      <c r="DF397" s="184"/>
      <c r="DG397" s="184"/>
      <c r="DH397" s="184"/>
      <c r="DI397" s="184"/>
      <c r="DJ397" s="184"/>
      <c r="DK397" s="184"/>
      <c r="DL397" s="184"/>
      <c r="DM397" s="184"/>
      <c r="DN397" s="184"/>
      <c r="DO397" s="184"/>
      <c r="DP397" s="184"/>
      <c r="DQ397" s="184"/>
      <c r="DR397" s="184"/>
      <c r="DS397" s="184"/>
      <c r="DT397" s="184"/>
      <c r="DU397" s="184"/>
      <c r="DV397" s="184"/>
      <c r="DW397" s="184"/>
      <c r="DX397" s="184"/>
      <c r="DY397" s="184"/>
      <c r="DZ397" s="184"/>
      <c r="EA397" s="184"/>
      <c r="EB397" s="184"/>
      <c r="EC397" s="184"/>
      <c r="ED397" s="184"/>
      <c r="EE397" s="184"/>
      <c r="EF397" s="184"/>
      <c r="EG397" s="184"/>
      <c r="EH397" s="184"/>
      <c r="EI397" s="184"/>
      <c r="EJ397" s="184"/>
      <c r="EK397" s="184"/>
      <c r="EL397" s="184"/>
      <c r="EM397" s="184"/>
      <c r="EN397" s="184"/>
      <c r="EO397" s="184"/>
      <c r="EP397" s="184"/>
      <c r="EQ397" s="184"/>
      <c r="ER397" s="184"/>
      <c r="ES397" s="184"/>
      <c r="ET397" s="184"/>
      <c r="EU397" s="184"/>
      <c r="EV397" s="184"/>
      <c r="EW397" s="184"/>
      <c r="EX397" s="184"/>
      <c r="EY397" s="184"/>
      <c r="EZ397" s="184"/>
      <c r="FA397" s="184"/>
      <c r="FB397" s="184"/>
      <c r="FC397" s="184"/>
      <c r="FD397" s="184"/>
      <c r="FE397" s="184"/>
      <c r="FF397" s="184"/>
      <c r="FG397" s="184"/>
      <c r="FH397" s="184"/>
      <c r="FI397" s="184"/>
      <c r="FJ397" s="184"/>
      <c r="FK397" s="184"/>
      <c r="FL397" s="184"/>
      <c r="FM397" s="184"/>
      <c r="FN397" s="184"/>
      <c r="FO397" s="184"/>
      <c r="FP397" s="184"/>
      <c r="FQ397" s="184"/>
      <c r="FR397" s="184"/>
      <c r="FS397" s="184"/>
      <c r="FT397" s="184"/>
      <c r="FU397" s="184"/>
      <c r="FV397" s="184"/>
      <c r="FW397" s="184"/>
      <c r="FX397" s="184"/>
      <c r="FY397" s="184"/>
      <c r="FZ397" s="184"/>
      <c r="GA397" s="184"/>
      <c r="GB397" s="184"/>
      <c r="GC397" s="184"/>
      <c r="GD397" s="184"/>
      <c r="GE397" s="184"/>
      <c r="GF397" s="184"/>
      <c r="GG397" s="184"/>
      <c r="GH397" s="184"/>
      <c r="GI397" s="184"/>
      <c r="GJ397" s="184"/>
      <c r="GK397" s="184"/>
      <c r="GL397" s="184"/>
      <c r="GM397" s="184"/>
      <c r="GN397" s="184"/>
      <c r="GO397" s="184"/>
      <c r="GP397" s="184"/>
      <c r="GQ397" s="184"/>
      <c r="GR397" s="184"/>
      <c r="GS397" s="184"/>
      <c r="GT397" s="184"/>
      <c r="GU397" s="184"/>
      <c r="GV397" s="184"/>
      <c r="GW397" s="184"/>
      <c r="GX397" s="184"/>
      <c r="GY397" s="184"/>
      <c r="GZ397" s="184"/>
      <c r="HA397" s="184"/>
      <c r="HB397" s="184"/>
      <c r="HC397" s="184"/>
      <c r="HD397" s="184"/>
      <c r="HE397" s="184"/>
      <c r="HF397" s="184"/>
      <c r="HG397" s="184"/>
      <c r="HH397" s="184"/>
      <c r="HI397" s="184"/>
      <c r="HJ397" s="184"/>
      <c r="HK397" s="184"/>
      <c r="HL397" s="184"/>
      <c r="HM397" s="184"/>
      <c r="HN397" s="184"/>
      <c r="HO397" s="184"/>
      <c r="HP397" s="184"/>
      <c r="HQ397" s="184"/>
      <c r="HR397" s="184"/>
      <c r="HS397" s="184"/>
      <c r="HT397" s="184"/>
      <c r="HU397" s="184"/>
      <c r="HV397" s="184"/>
      <c r="HW397" s="184"/>
      <c r="HX397" s="184"/>
      <c r="HY397" s="184"/>
      <c r="HZ397" s="184"/>
      <c r="IA397" s="184"/>
      <c r="IB397" s="184"/>
      <c r="IC397" s="184"/>
      <c r="ID397" s="184"/>
      <c r="IE397" s="184"/>
      <c r="IF397" s="184"/>
      <c r="IG397" s="184"/>
      <c r="IH397" s="184"/>
      <c r="II397" s="184"/>
      <c r="IJ397" s="184"/>
      <c r="IK397" s="184"/>
      <c r="IL397" s="184"/>
      <c r="IM397" s="184"/>
      <c r="IN397" s="184"/>
      <c r="IO397" s="184"/>
      <c r="IP397" s="184"/>
      <c r="IQ397" s="184"/>
      <c r="IR397" s="184"/>
      <c r="IS397" s="184"/>
      <c r="IT397" s="184"/>
      <c r="IU397" s="184"/>
      <c r="IV397" s="184"/>
    </row>
    <row r="398" spans="1:256" x14ac:dyDescent="0.2">
      <c r="A398" s="159">
        <v>615191</v>
      </c>
      <c r="B398" s="160" t="s">
        <v>134</v>
      </c>
      <c r="C398" s="148" t="s">
        <v>156</v>
      </c>
      <c r="D398" s="148" t="s">
        <v>192</v>
      </c>
      <c r="E398" s="240">
        <f>BEAUVAIS!H100</f>
        <v>0</v>
      </c>
      <c r="F398" s="240">
        <f>BEAUVAIS!I100</f>
        <v>0</v>
      </c>
      <c r="G398" s="240">
        <f>BEAUVAIS!J100</f>
        <v>0</v>
      </c>
      <c r="H398" s="240">
        <f>BEAUVAIS!K100</f>
        <v>0</v>
      </c>
      <c r="I398" s="240">
        <f>BEAUVAIS!L100</f>
        <v>0</v>
      </c>
      <c r="J398" s="240">
        <f>BEAUVAIS!M100</f>
        <v>0</v>
      </c>
      <c r="K398" s="240">
        <f>BEAUVAIS!N100</f>
        <v>0</v>
      </c>
      <c r="L398" s="240">
        <f>BEAUVAIS!O100</f>
        <v>0</v>
      </c>
      <c r="M398" s="240">
        <f>BEAUVAIS!P100</f>
        <v>0</v>
      </c>
      <c r="N398" s="240">
        <f>BEAUVAIS!Q100</f>
        <v>0</v>
      </c>
      <c r="O398" s="240">
        <f>BEAUVAIS!R100</f>
        <v>0</v>
      </c>
      <c r="P398" s="240">
        <f>BEAUVAIS!S100</f>
        <v>0</v>
      </c>
      <c r="Q398" s="240">
        <f>BEAUVAIS!T100</f>
        <v>0</v>
      </c>
      <c r="R398" s="240">
        <f>BEAUVAIS!U100</f>
        <v>0</v>
      </c>
      <c r="S398" s="242">
        <f>SUM(E398:Q398)</f>
        <v>0</v>
      </c>
    </row>
    <row r="399" spans="1:256" x14ac:dyDescent="0.2">
      <c r="A399" s="159">
        <v>615191</v>
      </c>
      <c r="B399" s="160" t="s">
        <v>134</v>
      </c>
      <c r="C399" s="148" t="s">
        <v>156</v>
      </c>
      <c r="D399" s="148" t="s">
        <v>179</v>
      </c>
      <c r="E399" s="240">
        <f>+BEAUVAIS!H101</f>
        <v>0</v>
      </c>
      <c r="F399" s="240">
        <f>+BEAUVAIS!I101</f>
        <v>149.81</v>
      </c>
      <c r="G399" s="240">
        <f>+BEAUVAIS!J101</f>
        <v>149.81</v>
      </c>
      <c r="H399" s="240">
        <f>+BEAUVAIS!K101</f>
        <v>149.81</v>
      </c>
      <c r="I399" s="240">
        <f>+BEAUVAIS!L101</f>
        <v>149.81</v>
      </c>
      <c r="J399" s="240">
        <f>+BEAUVAIS!M101</f>
        <v>149.81</v>
      </c>
      <c r="K399" s="240">
        <f>+BEAUVAIS!N101</f>
        <v>0</v>
      </c>
      <c r="L399" s="240">
        <f>+BEAUVAIS!O101</f>
        <v>0</v>
      </c>
      <c r="M399" s="240">
        <f>+BEAUVAIS!P101</f>
        <v>0</v>
      </c>
      <c r="N399" s="240">
        <f>+BEAUVAIS!Q101</f>
        <v>0</v>
      </c>
      <c r="O399" s="240">
        <f>+BEAUVAIS!R101</f>
        <v>0</v>
      </c>
      <c r="P399" s="240">
        <f>+BEAUVAIS!S101</f>
        <v>0</v>
      </c>
      <c r="Q399" s="240">
        <f>+BEAUVAIS!T101</f>
        <v>0</v>
      </c>
      <c r="R399" s="240">
        <f>+BEAUVAIS!U101</f>
        <v>0</v>
      </c>
      <c r="S399" s="242">
        <f>SUM(E399:Q399)</f>
        <v>749.05</v>
      </c>
    </row>
    <row r="400" spans="1:256" s="175" customFormat="1" x14ac:dyDescent="0.2">
      <c r="A400" s="270"/>
      <c r="B400" s="235"/>
      <c r="C400" s="148"/>
      <c r="D400" s="148"/>
      <c r="E400" s="240"/>
      <c r="F400" s="240"/>
      <c r="G400" s="240"/>
      <c r="H400" s="240"/>
      <c r="I400" s="240"/>
      <c r="J400" s="240"/>
      <c r="K400" s="240"/>
      <c r="L400" s="240"/>
      <c r="M400" s="240"/>
      <c r="N400" s="240"/>
      <c r="O400" s="240"/>
      <c r="P400" s="240"/>
      <c r="Q400" s="240"/>
      <c r="R400" s="240"/>
      <c r="S400" s="242"/>
      <c r="T400" s="184"/>
      <c r="U400" s="332"/>
      <c r="W400" s="184"/>
      <c r="X400" s="184"/>
      <c r="Y400" s="184"/>
      <c r="Z400" s="184"/>
      <c r="AA400" s="184"/>
      <c r="AB400" s="184"/>
      <c r="AC400" s="184"/>
      <c r="AD400" s="184"/>
      <c r="AE400" s="184"/>
      <c r="AF400" s="184"/>
      <c r="AG400" s="184"/>
      <c r="AH400" s="184"/>
      <c r="AI400" s="184"/>
      <c r="AJ400" s="184"/>
      <c r="AK400" s="184"/>
      <c r="AL400" s="184"/>
      <c r="AM400" s="184"/>
      <c r="AN400" s="184"/>
      <c r="AO400" s="184"/>
      <c r="AP400" s="184"/>
      <c r="AQ400" s="184"/>
      <c r="AR400" s="184"/>
      <c r="AS400" s="184"/>
      <c r="AT400" s="184"/>
      <c r="AU400" s="184"/>
      <c r="AV400" s="184"/>
      <c r="AW400" s="184"/>
      <c r="AX400" s="184"/>
      <c r="AY400" s="184"/>
      <c r="AZ400" s="184"/>
      <c r="BA400" s="184"/>
      <c r="BB400" s="184"/>
      <c r="BC400" s="184"/>
      <c r="BD400" s="184"/>
      <c r="BE400" s="184"/>
      <c r="BF400" s="184"/>
      <c r="BG400" s="184"/>
      <c r="BH400" s="184"/>
      <c r="BI400" s="184"/>
      <c r="BJ400" s="184"/>
      <c r="BK400" s="184"/>
      <c r="BL400" s="184"/>
      <c r="BM400" s="184"/>
      <c r="BN400" s="184"/>
      <c r="BO400" s="184"/>
      <c r="BP400" s="184"/>
      <c r="BQ400" s="184"/>
      <c r="BR400" s="184"/>
      <c r="BS400" s="184"/>
      <c r="BT400" s="184"/>
      <c r="BU400" s="184"/>
      <c r="BV400" s="184"/>
      <c r="BW400" s="184"/>
      <c r="BX400" s="184"/>
      <c r="BY400" s="184"/>
      <c r="BZ400" s="184"/>
      <c r="CA400" s="184"/>
      <c r="CB400" s="184"/>
      <c r="CC400" s="184"/>
      <c r="CD400" s="184"/>
      <c r="CE400" s="184"/>
      <c r="CF400" s="184"/>
      <c r="CG400" s="184"/>
      <c r="CH400" s="184"/>
      <c r="CI400" s="184"/>
      <c r="CJ400" s="184"/>
      <c r="CK400" s="184"/>
      <c r="CL400" s="184"/>
      <c r="CM400" s="184"/>
      <c r="CN400" s="184"/>
      <c r="CO400" s="184"/>
      <c r="CP400" s="184"/>
      <c r="CQ400" s="184"/>
      <c r="CR400" s="184"/>
      <c r="CS400" s="184"/>
      <c r="CT400" s="184"/>
      <c r="CU400" s="184"/>
      <c r="CV400" s="184"/>
      <c r="CW400" s="184"/>
      <c r="CX400" s="184"/>
      <c r="CY400" s="184"/>
      <c r="CZ400" s="184"/>
      <c r="DA400" s="184"/>
      <c r="DB400" s="184"/>
      <c r="DC400" s="184"/>
      <c r="DD400" s="184"/>
      <c r="DE400" s="184"/>
      <c r="DF400" s="184"/>
      <c r="DG400" s="184"/>
      <c r="DH400" s="184"/>
      <c r="DI400" s="184"/>
      <c r="DJ400" s="184"/>
      <c r="DK400" s="184"/>
      <c r="DL400" s="184"/>
      <c r="DM400" s="184"/>
      <c r="DN400" s="184"/>
      <c r="DO400" s="184"/>
      <c r="DP400" s="184"/>
      <c r="DQ400" s="184"/>
      <c r="DR400" s="184"/>
      <c r="DS400" s="184"/>
      <c r="DT400" s="184"/>
      <c r="DU400" s="184"/>
      <c r="DV400" s="184"/>
      <c r="DW400" s="184"/>
      <c r="DX400" s="184"/>
      <c r="DY400" s="184"/>
      <c r="DZ400" s="184"/>
      <c r="EA400" s="184"/>
      <c r="EB400" s="184"/>
      <c r="EC400" s="184"/>
      <c r="ED400" s="184"/>
      <c r="EE400" s="184"/>
      <c r="EF400" s="184"/>
      <c r="EG400" s="184"/>
      <c r="EH400" s="184"/>
      <c r="EI400" s="184"/>
      <c r="EJ400" s="184"/>
      <c r="EK400" s="184"/>
      <c r="EL400" s="184"/>
      <c r="EM400" s="184"/>
      <c r="EN400" s="184"/>
      <c r="EO400" s="184"/>
      <c r="EP400" s="184"/>
      <c r="EQ400" s="184"/>
      <c r="ER400" s="184"/>
      <c r="ES400" s="184"/>
      <c r="ET400" s="184"/>
      <c r="EU400" s="184"/>
      <c r="EV400" s="184"/>
      <c r="EW400" s="184"/>
      <c r="EX400" s="184"/>
      <c r="EY400" s="184"/>
      <c r="EZ400" s="184"/>
      <c r="FA400" s="184"/>
      <c r="FB400" s="184"/>
      <c r="FC400" s="184"/>
      <c r="FD400" s="184"/>
      <c r="FE400" s="184"/>
      <c r="FF400" s="184"/>
      <c r="FG400" s="184"/>
      <c r="FH400" s="184"/>
      <c r="FI400" s="184"/>
      <c r="FJ400" s="184"/>
      <c r="FK400" s="184"/>
      <c r="FL400" s="184"/>
      <c r="FM400" s="184"/>
      <c r="FN400" s="184"/>
      <c r="FO400" s="184"/>
      <c r="FP400" s="184"/>
      <c r="FQ400" s="184"/>
      <c r="FR400" s="184"/>
      <c r="FS400" s="184"/>
      <c r="FT400" s="184"/>
      <c r="FU400" s="184"/>
      <c r="FV400" s="184"/>
      <c r="FW400" s="184"/>
      <c r="FX400" s="184"/>
      <c r="FY400" s="184"/>
      <c r="FZ400" s="184"/>
      <c r="GA400" s="184"/>
      <c r="GB400" s="184"/>
      <c r="GC400" s="184"/>
      <c r="GD400" s="184"/>
      <c r="GE400" s="184"/>
      <c r="GF400" s="184"/>
      <c r="GG400" s="184"/>
      <c r="GH400" s="184"/>
      <c r="GI400" s="184"/>
      <c r="GJ400" s="184"/>
      <c r="GK400" s="184"/>
      <c r="GL400" s="184"/>
      <c r="GM400" s="184"/>
      <c r="GN400" s="184"/>
      <c r="GO400" s="184"/>
      <c r="GP400" s="184"/>
      <c r="GQ400" s="184"/>
      <c r="GR400" s="184"/>
      <c r="GS400" s="184"/>
      <c r="GT400" s="184"/>
      <c r="GU400" s="184"/>
      <c r="GV400" s="184"/>
      <c r="GW400" s="184"/>
      <c r="GX400" s="184"/>
      <c r="GY400" s="184"/>
      <c r="GZ400" s="184"/>
      <c r="HA400" s="184"/>
      <c r="HB400" s="184"/>
      <c r="HC400" s="184"/>
      <c r="HD400" s="184"/>
      <c r="HE400" s="184"/>
      <c r="HF400" s="184"/>
      <c r="HG400" s="184"/>
      <c r="HH400" s="184"/>
      <c r="HI400" s="184"/>
      <c r="HJ400" s="184"/>
      <c r="HK400" s="184"/>
      <c r="HL400" s="184"/>
      <c r="HM400" s="184"/>
      <c r="HN400" s="184"/>
      <c r="HO400" s="184"/>
      <c r="HP400" s="184"/>
      <c r="HQ400" s="184"/>
      <c r="HR400" s="184"/>
      <c r="HS400" s="184"/>
      <c r="HT400" s="184"/>
      <c r="HU400" s="184"/>
      <c r="HV400" s="184"/>
      <c r="HW400" s="184"/>
      <c r="HX400" s="184"/>
      <c r="HY400" s="184"/>
      <c r="HZ400" s="184"/>
      <c r="IA400" s="184"/>
      <c r="IB400" s="184"/>
      <c r="IC400" s="184"/>
      <c r="ID400" s="184"/>
      <c r="IE400" s="184"/>
      <c r="IF400" s="184"/>
      <c r="IG400" s="184"/>
      <c r="IH400" s="184"/>
      <c r="II400" s="184"/>
      <c r="IJ400" s="184"/>
      <c r="IK400" s="184"/>
      <c r="IL400" s="184"/>
      <c r="IM400" s="184"/>
      <c r="IN400" s="184"/>
      <c r="IO400" s="184"/>
      <c r="IP400" s="184"/>
      <c r="IQ400" s="184"/>
      <c r="IR400" s="184"/>
      <c r="IS400" s="184"/>
      <c r="IT400" s="184"/>
      <c r="IU400" s="184"/>
      <c r="IV400" s="184"/>
    </row>
    <row r="401" spans="1:24" x14ac:dyDescent="0.2">
      <c r="A401" s="159">
        <v>615191</v>
      </c>
      <c r="B401" s="160" t="s">
        <v>134</v>
      </c>
      <c r="C401" s="148" t="s">
        <v>79</v>
      </c>
      <c r="D401" s="148" t="s">
        <v>192</v>
      </c>
      <c r="E401" s="240">
        <f>SIEGE!H43</f>
        <v>0</v>
      </c>
      <c r="F401" s="240">
        <f>SIEGE!I43</f>
        <v>0</v>
      </c>
      <c r="G401" s="240">
        <f>SIEGE!J43</f>
        <v>0</v>
      </c>
      <c r="H401" s="240">
        <f>SIEGE!K43</f>
        <v>0</v>
      </c>
      <c r="I401" s="240">
        <f>SIEGE!L43</f>
        <v>0</v>
      </c>
      <c r="J401" s="240">
        <f>SIEGE!M43</f>
        <v>0</v>
      </c>
      <c r="K401" s="240">
        <f>SIEGE!N43</f>
        <v>0</v>
      </c>
      <c r="L401" s="240">
        <f>SIEGE!O43</f>
        <v>0</v>
      </c>
      <c r="M401" s="240">
        <f>SIEGE!P43</f>
        <v>0</v>
      </c>
      <c r="N401" s="240">
        <f>SIEGE!Q43</f>
        <v>0</v>
      </c>
      <c r="O401" s="240">
        <f>SIEGE!R43</f>
        <v>2990</v>
      </c>
      <c r="P401" s="240">
        <f>SIEGE!S43</f>
        <v>872.19</v>
      </c>
      <c r="Q401" s="240">
        <f>SIEGE!T43</f>
        <v>1955</v>
      </c>
      <c r="R401" s="240">
        <f>SIEGE!U43</f>
        <v>0</v>
      </c>
      <c r="S401" s="242">
        <f t="shared" ref="S401:S406" si="32">SUM(E401:Q401)</f>
        <v>5817.1900000000005</v>
      </c>
    </row>
    <row r="402" spans="1:24" x14ac:dyDescent="0.2">
      <c r="A402" s="159">
        <v>615191</v>
      </c>
      <c r="B402" s="160" t="s">
        <v>134</v>
      </c>
      <c r="C402" s="148" t="s">
        <v>79</v>
      </c>
      <c r="D402" s="148" t="s">
        <v>179</v>
      </c>
      <c r="E402" s="240">
        <f>SIEGE!H44</f>
        <v>0</v>
      </c>
      <c r="F402" s="240">
        <f>SIEGE!I44</f>
        <v>304.08</v>
      </c>
      <c r="G402" s="240">
        <f>SIEGE!J44</f>
        <v>304.08</v>
      </c>
      <c r="H402" s="240">
        <f>SIEGE!K44</f>
        <v>304.08</v>
      </c>
      <c r="I402" s="240">
        <f>SIEGE!L44</f>
        <v>304.08</v>
      </c>
      <c r="J402" s="240">
        <f>SIEGE!M44</f>
        <v>304.08</v>
      </c>
      <c r="K402" s="240">
        <f>SIEGE!N44</f>
        <v>308.66000000000003</v>
      </c>
      <c r="L402" s="240">
        <f>SIEGE!O44</f>
        <v>308.64</v>
      </c>
      <c r="M402" s="240">
        <f>SIEGE!P44</f>
        <v>308.64</v>
      </c>
      <c r="N402" s="240">
        <f>SIEGE!Q44</f>
        <v>308.64</v>
      </c>
      <c r="O402" s="240">
        <f>SIEGE!R44</f>
        <v>308.64</v>
      </c>
      <c r="P402" s="240">
        <f>SIEGE!S44</f>
        <v>308.64</v>
      </c>
      <c r="Q402" s="240">
        <f>SIEGE!T44</f>
        <v>308.64</v>
      </c>
      <c r="R402" s="240">
        <f>SIEGE!U44</f>
        <v>0</v>
      </c>
      <c r="S402" s="242">
        <f t="shared" si="32"/>
        <v>3680.8999999999992</v>
      </c>
    </row>
    <row r="403" spans="1:24" x14ac:dyDescent="0.2">
      <c r="A403" s="159"/>
      <c r="B403" s="160"/>
      <c r="C403" s="148"/>
      <c r="D403" s="148"/>
      <c r="E403" s="240"/>
      <c r="F403" s="240"/>
      <c r="G403" s="240"/>
      <c r="H403" s="240"/>
      <c r="I403" s="240"/>
      <c r="J403" s="240"/>
      <c r="K403" s="240"/>
      <c r="L403" s="240"/>
      <c r="M403" s="240"/>
      <c r="N403" s="240"/>
      <c r="O403" s="240"/>
      <c r="P403" s="240"/>
      <c r="Q403" s="240"/>
      <c r="R403" s="240"/>
      <c r="S403" s="242">
        <f t="shared" si="32"/>
        <v>0</v>
      </c>
    </row>
    <row r="404" spans="1:24" x14ac:dyDescent="0.2">
      <c r="A404" s="159">
        <v>615191</v>
      </c>
      <c r="B404" s="160" t="s">
        <v>134</v>
      </c>
      <c r="C404" s="148" t="s">
        <v>172</v>
      </c>
      <c r="D404" s="148" t="s">
        <v>192</v>
      </c>
      <c r="E404" s="240">
        <f>+TOULOUSE!H55</f>
        <v>0</v>
      </c>
      <c r="F404" s="240">
        <f>+TOULOUSE!I55</f>
        <v>0</v>
      </c>
      <c r="G404" s="240">
        <f>+TOULOUSE!J55</f>
        <v>0</v>
      </c>
      <c r="H404" s="240">
        <f>+TOULOUSE!K55</f>
        <v>0</v>
      </c>
      <c r="I404" s="240">
        <f>+TOULOUSE!L55</f>
        <v>0</v>
      </c>
      <c r="J404" s="240">
        <f>+TOULOUSE!M55</f>
        <v>0</v>
      </c>
      <c r="K404" s="240">
        <f>+TOULOUSE!N55</f>
        <v>0</v>
      </c>
      <c r="L404" s="240">
        <f>+TOULOUSE!O55</f>
        <v>1300</v>
      </c>
      <c r="M404" s="240">
        <f>+TOULOUSE!P55</f>
        <v>0</v>
      </c>
      <c r="N404" s="240">
        <f>+TOULOUSE!Q55</f>
        <v>0</v>
      </c>
      <c r="O404" s="240">
        <f>+TOULOUSE!R55</f>
        <v>0</v>
      </c>
      <c r="P404" s="240">
        <f>+TOULOUSE!S55</f>
        <v>36</v>
      </c>
      <c r="Q404" s="240">
        <f>+TOULOUSE!T55</f>
        <v>0</v>
      </c>
      <c r="R404" s="240">
        <f>+TOULOUSE!U55</f>
        <v>0</v>
      </c>
      <c r="S404" s="242">
        <f t="shared" si="32"/>
        <v>1336</v>
      </c>
    </row>
    <row r="405" spans="1:24" x14ac:dyDescent="0.2">
      <c r="A405" s="159"/>
      <c r="B405" s="160"/>
      <c r="C405" s="148"/>
      <c r="D405" s="148"/>
      <c r="E405" s="240"/>
      <c r="F405" s="240"/>
      <c r="G405" s="240"/>
      <c r="H405" s="240"/>
      <c r="I405" s="240"/>
      <c r="J405" s="240"/>
      <c r="K405" s="240"/>
      <c r="L405" s="240"/>
      <c r="M405" s="240"/>
      <c r="N405" s="240"/>
      <c r="O405" s="240"/>
      <c r="P405" s="240"/>
      <c r="Q405" s="240"/>
      <c r="R405" s="240"/>
      <c r="S405" s="242">
        <f t="shared" si="32"/>
        <v>0</v>
      </c>
    </row>
    <row r="406" spans="1:24" x14ac:dyDescent="0.2">
      <c r="A406" s="159">
        <v>615191</v>
      </c>
      <c r="B406" s="160" t="s">
        <v>134</v>
      </c>
      <c r="C406" s="148" t="s">
        <v>367</v>
      </c>
      <c r="D406" s="148">
        <v>999999</v>
      </c>
      <c r="E406" s="240"/>
      <c r="F406" s="240">
        <v>3163.09</v>
      </c>
      <c r="G406" s="240">
        <f>-3163.09+2090.18</f>
        <v>-1072.9100000000003</v>
      </c>
      <c r="H406" s="240">
        <f>-2090.18+2644.77</f>
        <v>554.59000000000015</v>
      </c>
      <c r="I406" s="240">
        <f>-2644.77+4706.86</f>
        <v>2062.0899999999997</v>
      </c>
      <c r="J406" s="240">
        <f>-4706.86+6474.95</f>
        <v>1768.0900000000001</v>
      </c>
      <c r="K406" s="240">
        <f>-6474.95+6165.91</f>
        <v>-309.03999999999996</v>
      </c>
      <c r="L406" s="240">
        <f>-6165.91+7873.11</f>
        <v>1707.1999999999998</v>
      </c>
      <c r="M406" s="240">
        <f>-7873.11+11030.31</f>
        <v>3157.2</v>
      </c>
      <c r="N406" s="240">
        <f>-11030.31+3823.77</f>
        <v>-7206.5399999999991</v>
      </c>
      <c r="O406" s="240">
        <f>-3823.77+7858.54</f>
        <v>4034.77</v>
      </c>
      <c r="P406" s="240">
        <f>-7858.54+0.24</f>
        <v>-7858.3</v>
      </c>
      <c r="Q406" s="240"/>
      <c r="R406" s="240"/>
      <c r="S406" s="242">
        <f t="shared" si="32"/>
        <v>0.24000000000069122</v>
      </c>
    </row>
    <row r="407" spans="1:24" s="185" customFormat="1" ht="24" customHeight="1" x14ac:dyDescent="0.2">
      <c r="A407" s="267"/>
      <c r="B407" s="268"/>
      <c r="C407" s="267" t="s">
        <v>66</v>
      </c>
      <c r="D407" s="267"/>
      <c r="E407" s="269">
        <f t="shared" ref="E407:S407" si="33">SUM(E380:E406)</f>
        <v>1235</v>
      </c>
      <c r="F407" s="269">
        <f t="shared" si="33"/>
        <v>6433.16</v>
      </c>
      <c r="G407" s="269">
        <f t="shared" si="33"/>
        <v>1221.1599999999994</v>
      </c>
      <c r="H407" s="269">
        <f t="shared" si="33"/>
        <v>2273.16</v>
      </c>
      <c r="I407" s="269">
        <f t="shared" si="33"/>
        <v>4642.16</v>
      </c>
      <c r="J407" s="269">
        <f t="shared" si="33"/>
        <v>5276.66</v>
      </c>
      <c r="K407" s="269">
        <f t="shared" si="33"/>
        <v>1478.3000000000002</v>
      </c>
      <c r="L407" s="269">
        <f t="shared" si="33"/>
        <v>3456.0199999999995</v>
      </c>
      <c r="M407" s="269">
        <f t="shared" si="33"/>
        <v>5678.02</v>
      </c>
      <c r="N407" s="269">
        <f t="shared" si="33"/>
        <v>1767.3000000000011</v>
      </c>
      <c r="O407" s="269">
        <f t="shared" si="33"/>
        <v>9341.2800000000007</v>
      </c>
      <c r="P407" s="269">
        <f t="shared" si="33"/>
        <v>-1230.5600000000013</v>
      </c>
      <c r="Q407" s="269">
        <f t="shared" si="33"/>
        <v>3179.56</v>
      </c>
      <c r="R407" s="269">
        <f>SUM(R380:R406)</f>
        <v>0</v>
      </c>
      <c r="S407" s="269">
        <f t="shared" si="33"/>
        <v>44751.220000000008</v>
      </c>
      <c r="T407" s="212">
        <v>41059.89</v>
      </c>
      <c r="U407" s="334">
        <f>T407-S407</f>
        <v>-3691.330000000009</v>
      </c>
      <c r="V407" s="185" t="s">
        <v>853</v>
      </c>
      <c r="X407" s="569">
        <f>U407-CENTRALISATION!V408</f>
        <v>0</v>
      </c>
    </row>
    <row r="408" spans="1:24" x14ac:dyDescent="0.2">
      <c r="A408" s="159">
        <v>615193</v>
      </c>
      <c r="B408" s="160" t="s">
        <v>118</v>
      </c>
      <c r="C408" s="148" t="s">
        <v>78</v>
      </c>
      <c r="D408" s="148" t="s">
        <v>203</v>
      </c>
      <c r="E408" s="240">
        <f>+FLEURY!H115</f>
        <v>0</v>
      </c>
      <c r="F408" s="240">
        <f>+FLEURY!I115</f>
        <v>0</v>
      </c>
      <c r="G408" s="240">
        <f>+FLEURY!J115</f>
        <v>0</v>
      </c>
      <c r="H408" s="240">
        <f>+FLEURY!K115</f>
        <v>0</v>
      </c>
      <c r="I408" s="240">
        <f>+FLEURY!L115</f>
        <v>0</v>
      </c>
      <c r="J408" s="240">
        <f>+FLEURY!M115</f>
        <v>0</v>
      </c>
      <c r="K408" s="240">
        <f>+FLEURY!N115</f>
        <v>0</v>
      </c>
      <c r="L408" s="240">
        <f>+FLEURY!O115</f>
        <v>0</v>
      </c>
      <c r="M408" s="240">
        <f>+FLEURY!P115</f>
        <v>0</v>
      </c>
      <c r="N408" s="240">
        <f>+FLEURY!Q115</f>
        <v>0</v>
      </c>
      <c r="O408" s="240">
        <f>+FLEURY!R115</f>
        <v>0</v>
      </c>
      <c r="P408" s="240">
        <f>+FLEURY!S115</f>
        <v>0</v>
      </c>
      <c r="Q408" s="240">
        <f>+FLEURY!T115</f>
        <v>0</v>
      </c>
      <c r="R408" s="240">
        <f>+FLEURY!U115</f>
        <v>0</v>
      </c>
      <c r="S408" s="242">
        <f t="shared" ref="S408:S417" si="34">SUM(E408:Q408)</f>
        <v>0</v>
      </c>
    </row>
    <row r="409" spans="1:24" x14ac:dyDescent="0.2">
      <c r="A409" s="159">
        <v>615193</v>
      </c>
      <c r="B409" s="160" t="s">
        <v>118</v>
      </c>
      <c r="C409" s="148" t="s">
        <v>78</v>
      </c>
      <c r="D409" s="148" t="s">
        <v>435</v>
      </c>
      <c r="E409" s="240">
        <f>+FLEURY!H116</f>
        <v>0</v>
      </c>
      <c r="F409" s="240">
        <f>+FLEURY!I116</f>
        <v>0</v>
      </c>
      <c r="G409" s="240">
        <f>+FLEURY!J116</f>
        <v>0</v>
      </c>
      <c r="H409" s="240">
        <f>+FLEURY!K116</f>
        <v>0</v>
      </c>
      <c r="I409" s="240">
        <f>+FLEURY!L116</f>
        <v>0</v>
      </c>
      <c r="J409" s="240">
        <f>+FLEURY!M116</f>
        <v>0</v>
      </c>
      <c r="K409" s="240">
        <f>+FLEURY!N116</f>
        <v>0</v>
      </c>
      <c r="L409" s="240">
        <f>+FLEURY!O116</f>
        <v>0</v>
      </c>
      <c r="M409" s="240">
        <f>+FLEURY!P116</f>
        <v>0</v>
      </c>
      <c r="N409" s="240">
        <f>+FLEURY!Q116</f>
        <v>0</v>
      </c>
      <c r="O409" s="240">
        <f>+FLEURY!R116</f>
        <v>0</v>
      </c>
      <c r="P409" s="240">
        <f>+FLEURY!S116</f>
        <v>0</v>
      </c>
      <c r="Q409" s="240">
        <f>+FLEURY!T116</f>
        <v>0</v>
      </c>
      <c r="R409" s="240">
        <f>+FLEURY!U116</f>
        <v>0</v>
      </c>
      <c r="S409" s="242">
        <f t="shared" si="34"/>
        <v>0</v>
      </c>
    </row>
    <row r="410" spans="1:24" x14ac:dyDescent="0.2">
      <c r="A410" s="159">
        <v>615193</v>
      </c>
      <c r="B410" s="160" t="s">
        <v>118</v>
      </c>
      <c r="C410" s="148" t="s">
        <v>78</v>
      </c>
      <c r="D410" s="148" t="s">
        <v>192</v>
      </c>
      <c r="E410" s="240">
        <f>+FLEURY!H124</f>
        <v>0</v>
      </c>
      <c r="F410" s="240">
        <f>+FLEURY!I124</f>
        <v>0</v>
      </c>
      <c r="G410" s="240">
        <f>+FLEURY!J124</f>
        <v>0</v>
      </c>
      <c r="H410" s="240">
        <f>+FLEURY!K124</f>
        <v>0</v>
      </c>
      <c r="I410" s="240">
        <f>+FLEURY!L124</f>
        <v>0</v>
      </c>
      <c r="J410" s="240">
        <f>+FLEURY!M124</f>
        <v>0</v>
      </c>
      <c r="K410" s="240">
        <f>+FLEURY!N124</f>
        <v>0</v>
      </c>
      <c r="L410" s="240">
        <f>+FLEURY!O124</f>
        <v>0</v>
      </c>
      <c r="M410" s="240">
        <f>+FLEURY!P124</f>
        <v>0</v>
      </c>
      <c r="N410" s="240">
        <f>+FLEURY!Q124</f>
        <v>0</v>
      </c>
      <c r="O410" s="240">
        <f>+FLEURY!R124</f>
        <v>0</v>
      </c>
      <c r="P410" s="240">
        <f>+FLEURY!S124</f>
        <v>0</v>
      </c>
      <c r="Q410" s="240">
        <f>+FLEURY!T124</f>
        <v>780</v>
      </c>
      <c r="R410" s="240">
        <f>+FLEURY!U124</f>
        <v>0</v>
      </c>
      <c r="S410" s="242">
        <f t="shared" si="34"/>
        <v>780</v>
      </c>
    </row>
    <row r="411" spans="1:24" x14ac:dyDescent="0.2">
      <c r="A411" s="159">
        <v>615193</v>
      </c>
      <c r="B411" s="160" t="s">
        <v>118</v>
      </c>
      <c r="C411" s="148" t="s">
        <v>78</v>
      </c>
      <c r="D411" s="148" t="s">
        <v>243</v>
      </c>
      <c r="E411" s="240">
        <f>+FLEURY!H117</f>
        <v>0</v>
      </c>
      <c r="F411" s="240">
        <f>+FLEURY!I117</f>
        <v>0</v>
      </c>
      <c r="G411" s="240">
        <f>+FLEURY!J117</f>
        <v>2277.79</v>
      </c>
      <c r="H411" s="240">
        <f>+FLEURY!K117</f>
        <v>0</v>
      </c>
      <c r="I411" s="240">
        <f>+FLEURY!L117</f>
        <v>0</v>
      </c>
      <c r="J411" s="240">
        <f>+FLEURY!M117</f>
        <v>0</v>
      </c>
      <c r="K411" s="240">
        <f>+FLEURY!N117</f>
        <v>0</v>
      </c>
      <c r="L411" s="240">
        <f>+FLEURY!O117</f>
        <v>0</v>
      </c>
      <c r="M411" s="240">
        <f>+FLEURY!P117</f>
        <v>0</v>
      </c>
      <c r="N411" s="240">
        <f>+FLEURY!Q117</f>
        <v>0</v>
      </c>
      <c r="O411" s="240">
        <f>+FLEURY!R117</f>
        <v>0</v>
      </c>
      <c r="P411" s="240">
        <f>+FLEURY!S117</f>
        <v>0</v>
      </c>
      <c r="Q411" s="240">
        <f>+FLEURY!T117</f>
        <v>0</v>
      </c>
      <c r="R411" s="240">
        <f>+FLEURY!U117</f>
        <v>0</v>
      </c>
      <c r="S411" s="242">
        <f t="shared" si="34"/>
        <v>2277.79</v>
      </c>
    </row>
    <row r="412" spans="1:24" x14ac:dyDescent="0.2">
      <c r="A412" s="159">
        <v>615193</v>
      </c>
      <c r="B412" s="160" t="s">
        <v>118</v>
      </c>
      <c r="C412" s="148" t="s">
        <v>78</v>
      </c>
      <c r="D412" s="148" t="s">
        <v>189</v>
      </c>
      <c r="E412" s="240">
        <f>FLEURY!H118</f>
        <v>0</v>
      </c>
      <c r="F412" s="240">
        <f>FLEURY!I118</f>
        <v>0</v>
      </c>
      <c r="G412" s="240">
        <f>FLEURY!J118</f>
        <v>232.56</v>
      </c>
      <c r="H412" s="240">
        <f>FLEURY!K118</f>
        <v>0</v>
      </c>
      <c r="I412" s="240">
        <f>FLEURY!L118</f>
        <v>0</v>
      </c>
      <c r="J412" s="240">
        <f>FLEURY!M118</f>
        <v>0</v>
      </c>
      <c r="K412" s="240">
        <f>FLEURY!N118</f>
        <v>0</v>
      </c>
      <c r="L412" s="240">
        <f>FLEURY!O118</f>
        <v>0</v>
      </c>
      <c r="M412" s="240">
        <f>FLEURY!P118</f>
        <v>0</v>
      </c>
      <c r="N412" s="240">
        <f>FLEURY!Q118</f>
        <v>0</v>
      </c>
      <c r="O412" s="240">
        <f>FLEURY!R118</f>
        <v>0</v>
      </c>
      <c r="P412" s="240">
        <f>FLEURY!S118</f>
        <v>0</v>
      </c>
      <c r="Q412" s="240">
        <f>FLEURY!T118</f>
        <v>0</v>
      </c>
      <c r="R412" s="240">
        <f>FLEURY!U118</f>
        <v>0</v>
      </c>
      <c r="S412" s="242">
        <f t="shared" si="34"/>
        <v>232.56</v>
      </c>
    </row>
    <row r="413" spans="1:24" x14ac:dyDescent="0.2">
      <c r="A413" s="159">
        <v>615193</v>
      </c>
      <c r="B413" s="160" t="s">
        <v>118</v>
      </c>
      <c r="C413" s="148" t="s">
        <v>78</v>
      </c>
      <c r="D413" s="148" t="s">
        <v>191</v>
      </c>
      <c r="E413" s="240">
        <f>FLEURY!H120</f>
        <v>0</v>
      </c>
      <c r="F413" s="240">
        <f>FLEURY!I120</f>
        <v>0</v>
      </c>
      <c r="G413" s="240">
        <f>FLEURY!J120</f>
        <v>433.2</v>
      </c>
      <c r="H413" s="240">
        <f>FLEURY!K120</f>
        <v>0</v>
      </c>
      <c r="I413" s="240">
        <f>FLEURY!L120</f>
        <v>1446.12</v>
      </c>
      <c r="J413" s="240">
        <f>FLEURY!M120</f>
        <v>0</v>
      </c>
      <c r="K413" s="240">
        <f>FLEURY!N120</f>
        <v>0</v>
      </c>
      <c r="L413" s="240">
        <f>FLEURY!O120</f>
        <v>0</v>
      </c>
      <c r="M413" s="240">
        <f>FLEURY!P120</f>
        <v>0</v>
      </c>
      <c r="N413" s="240">
        <f>FLEURY!Q120</f>
        <v>0</v>
      </c>
      <c r="O413" s="240">
        <f>FLEURY!R120</f>
        <v>0</v>
      </c>
      <c r="P413" s="240">
        <f>FLEURY!S120</f>
        <v>0</v>
      </c>
      <c r="Q413" s="240">
        <f>FLEURY!T120</f>
        <v>0</v>
      </c>
      <c r="R413" s="240">
        <f>FLEURY!U120</f>
        <v>0</v>
      </c>
      <c r="S413" s="242">
        <f t="shared" si="34"/>
        <v>1879.32</v>
      </c>
    </row>
    <row r="414" spans="1:24" x14ac:dyDescent="0.2">
      <c r="A414" s="159">
        <v>615193</v>
      </c>
      <c r="B414" s="160" t="s">
        <v>118</v>
      </c>
      <c r="C414" s="148" t="s">
        <v>78</v>
      </c>
      <c r="D414" s="148" t="s">
        <v>179</v>
      </c>
      <c r="E414" s="240">
        <f>FLEURY!H123</f>
        <v>-3000</v>
      </c>
      <c r="F414" s="240">
        <f>FLEURY!I123</f>
        <v>0</v>
      </c>
      <c r="G414" s="240">
        <f>FLEURY!J123</f>
        <v>2463.92</v>
      </c>
      <c r="H414" s="240">
        <f>FLEURY!K123</f>
        <v>0</v>
      </c>
      <c r="I414" s="240">
        <f>FLEURY!L123</f>
        <v>0</v>
      </c>
      <c r="J414" s="240">
        <f>FLEURY!M123</f>
        <v>0</v>
      </c>
      <c r="K414" s="240">
        <f>FLEURY!N123</f>
        <v>0</v>
      </c>
      <c r="L414" s="240">
        <f>FLEURY!O123</f>
        <v>0</v>
      </c>
      <c r="M414" s="240">
        <f>FLEURY!P123</f>
        <v>0</v>
      </c>
      <c r="N414" s="240">
        <f>FLEURY!Q123</f>
        <v>0</v>
      </c>
      <c r="O414" s="240">
        <f>FLEURY!R123</f>
        <v>0</v>
      </c>
      <c r="P414" s="240">
        <f>FLEURY!S123</f>
        <v>0</v>
      </c>
      <c r="Q414" s="240">
        <f>FLEURY!T123</f>
        <v>2700</v>
      </c>
      <c r="R414" s="240">
        <f>FLEURY!U123</f>
        <v>0</v>
      </c>
      <c r="S414" s="242">
        <f t="shared" si="34"/>
        <v>2163.92</v>
      </c>
    </row>
    <row r="415" spans="1:24" x14ac:dyDescent="0.2">
      <c r="A415" s="159">
        <v>615193</v>
      </c>
      <c r="B415" s="160" t="s">
        <v>118</v>
      </c>
      <c r="C415" s="148" t="s">
        <v>78</v>
      </c>
      <c r="D415" s="148" t="s">
        <v>201</v>
      </c>
      <c r="E415" s="240">
        <f>FLEURY!H121</f>
        <v>0</v>
      </c>
      <c r="F415" s="240">
        <f>FLEURY!I121</f>
        <v>0</v>
      </c>
      <c r="G415" s="240">
        <f>FLEURY!J121</f>
        <v>0</v>
      </c>
      <c r="H415" s="240">
        <f>FLEURY!K121</f>
        <v>0</v>
      </c>
      <c r="I415" s="240">
        <f>FLEURY!L121</f>
        <v>0</v>
      </c>
      <c r="J415" s="240">
        <f>FLEURY!M121</f>
        <v>0</v>
      </c>
      <c r="K415" s="240">
        <f>FLEURY!N121</f>
        <v>0</v>
      </c>
      <c r="L415" s="240">
        <f>FLEURY!O121</f>
        <v>0</v>
      </c>
      <c r="M415" s="240">
        <f>FLEURY!P121</f>
        <v>0</v>
      </c>
      <c r="N415" s="240">
        <f>FLEURY!Q121</f>
        <v>0</v>
      </c>
      <c r="O415" s="240">
        <f>FLEURY!R121</f>
        <v>0</v>
      </c>
      <c r="P415" s="240">
        <f>FLEURY!S121</f>
        <v>0</v>
      </c>
      <c r="Q415" s="240">
        <f>FLEURY!T121</f>
        <v>0</v>
      </c>
      <c r="R415" s="240">
        <f>FLEURY!U121</f>
        <v>0</v>
      </c>
      <c r="S415" s="242">
        <f t="shared" si="34"/>
        <v>0</v>
      </c>
    </row>
    <row r="416" spans="1:24" x14ac:dyDescent="0.2">
      <c r="A416" s="159">
        <v>615193</v>
      </c>
      <c r="B416" s="160" t="s">
        <v>118</v>
      </c>
      <c r="C416" s="148" t="s">
        <v>78</v>
      </c>
      <c r="D416" s="148" t="s">
        <v>184</v>
      </c>
      <c r="E416" s="240">
        <f>FLEURY!H122</f>
        <v>0</v>
      </c>
      <c r="F416" s="240">
        <f>FLEURY!I122</f>
        <v>0</v>
      </c>
      <c r="G416" s="240">
        <f>FLEURY!J122</f>
        <v>1193.1300000000001</v>
      </c>
      <c r="H416" s="240">
        <f>FLEURY!K122</f>
        <v>0</v>
      </c>
      <c r="I416" s="240">
        <f>FLEURY!L122</f>
        <v>0</v>
      </c>
      <c r="J416" s="240">
        <f>FLEURY!M122</f>
        <v>0</v>
      </c>
      <c r="K416" s="240">
        <f>FLEURY!N122</f>
        <v>0</v>
      </c>
      <c r="L416" s="240">
        <f>FLEURY!O122</f>
        <v>0</v>
      </c>
      <c r="M416" s="240">
        <f>FLEURY!P122</f>
        <v>0</v>
      </c>
      <c r="N416" s="240">
        <f>FLEURY!Q122</f>
        <v>0</v>
      </c>
      <c r="O416" s="240">
        <f>FLEURY!R122</f>
        <v>0</v>
      </c>
      <c r="P416" s="240">
        <f>FLEURY!S122</f>
        <v>0</v>
      </c>
      <c r="Q416" s="240">
        <f>FLEURY!T122</f>
        <v>0</v>
      </c>
      <c r="R416" s="240">
        <f>FLEURY!U122</f>
        <v>0</v>
      </c>
      <c r="S416" s="242">
        <f t="shared" si="34"/>
        <v>1193.1300000000001</v>
      </c>
    </row>
    <row r="417" spans="1:256" x14ac:dyDescent="0.2">
      <c r="A417" s="159">
        <v>615193</v>
      </c>
      <c r="B417" s="160" t="s">
        <v>118</v>
      </c>
      <c r="C417" s="148" t="s">
        <v>78</v>
      </c>
      <c r="D417" s="148" t="s">
        <v>204</v>
      </c>
      <c r="E417" s="240">
        <f>+FLEURY!H119</f>
        <v>0</v>
      </c>
      <c r="F417" s="240">
        <f>+FLEURY!I119</f>
        <v>0</v>
      </c>
      <c r="G417" s="240">
        <f>+FLEURY!J119</f>
        <v>0</v>
      </c>
      <c r="H417" s="240">
        <f>+FLEURY!K119</f>
        <v>0</v>
      </c>
      <c r="I417" s="240">
        <f>+FLEURY!L119</f>
        <v>0</v>
      </c>
      <c r="J417" s="240">
        <f>+FLEURY!M119</f>
        <v>0</v>
      </c>
      <c r="K417" s="240">
        <f>+FLEURY!N119</f>
        <v>0</v>
      </c>
      <c r="L417" s="240">
        <f>+FLEURY!O119</f>
        <v>0</v>
      </c>
      <c r="M417" s="240">
        <f>+FLEURY!P119</f>
        <v>0</v>
      </c>
      <c r="N417" s="240">
        <f>+FLEURY!Q119</f>
        <v>0</v>
      </c>
      <c r="O417" s="240">
        <f>+FLEURY!R119</f>
        <v>0</v>
      </c>
      <c r="P417" s="240">
        <f>+FLEURY!S119</f>
        <v>0</v>
      </c>
      <c r="Q417" s="240">
        <f>+FLEURY!T119</f>
        <v>0</v>
      </c>
      <c r="R417" s="240">
        <f>+FLEURY!U119</f>
        <v>0</v>
      </c>
      <c r="S417" s="242">
        <f t="shared" si="34"/>
        <v>0</v>
      </c>
      <c r="AZ417" s="184">
        <f>+FLEURY!AQ119</f>
        <v>0</v>
      </c>
      <c r="BA417" s="184">
        <f>+FLEURY!AR119</f>
        <v>0</v>
      </c>
      <c r="BB417" s="184">
        <f>+FLEURY!AS119</f>
        <v>0</v>
      </c>
      <c r="BC417" s="184">
        <f>+FLEURY!AT119</f>
        <v>0</v>
      </c>
      <c r="BD417" s="184">
        <f>+FLEURY!AU119</f>
        <v>0</v>
      </c>
      <c r="BE417" s="184">
        <f>+FLEURY!AV119</f>
        <v>0</v>
      </c>
      <c r="BF417" s="184">
        <f>+FLEURY!AW119</f>
        <v>0</v>
      </c>
      <c r="BG417" s="184">
        <f>+FLEURY!AX119</f>
        <v>0</v>
      </c>
      <c r="BH417" s="184">
        <f>+FLEURY!AY119</f>
        <v>0</v>
      </c>
      <c r="BI417" s="184">
        <f>+FLEURY!AZ119</f>
        <v>0</v>
      </c>
      <c r="BJ417" s="184">
        <f>+FLEURY!BA119</f>
        <v>0</v>
      </c>
      <c r="BK417" s="184">
        <f>+FLEURY!BB119</f>
        <v>0</v>
      </c>
      <c r="BL417" s="184">
        <f>+FLEURY!BC119</f>
        <v>0</v>
      </c>
      <c r="BM417" s="184">
        <f>+FLEURY!BD119</f>
        <v>0</v>
      </c>
      <c r="BN417" s="184">
        <f>+FLEURY!BE119</f>
        <v>0</v>
      </c>
      <c r="BO417" s="184">
        <f>+FLEURY!BF119</f>
        <v>0</v>
      </c>
      <c r="BP417" s="184">
        <f>+FLEURY!BG119</f>
        <v>0</v>
      </c>
      <c r="BQ417" s="184">
        <f>+FLEURY!BH119</f>
        <v>0</v>
      </c>
      <c r="BR417" s="184">
        <f>+FLEURY!BI119</f>
        <v>0</v>
      </c>
      <c r="BS417" s="184">
        <f>+FLEURY!BJ119</f>
        <v>0</v>
      </c>
      <c r="BT417" s="184">
        <f>+FLEURY!BK119</f>
        <v>0</v>
      </c>
      <c r="BU417" s="184">
        <f>+FLEURY!BL119</f>
        <v>0</v>
      </c>
      <c r="BV417" s="184">
        <f>+FLEURY!BM119</f>
        <v>0</v>
      </c>
      <c r="BW417" s="184">
        <f>+FLEURY!BN119</f>
        <v>0</v>
      </c>
      <c r="BX417" s="184">
        <f>+FLEURY!BO119</f>
        <v>0</v>
      </c>
      <c r="BY417" s="184">
        <f>+FLEURY!BP119</f>
        <v>0</v>
      </c>
      <c r="BZ417" s="184">
        <f>+FLEURY!BQ119</f>
        <v>0</v>
      </c>
      <c r="CA417" s="184">
        <f>+FLEURY!BR119</f>
        <v>0</v>
      </c>
      <c r="CB417" s="184">
        <f>+FLEURY!BS119</f>
        <v>0</v>
      </c>
      <c r="CC417" s="184">
        <f>+FLEURY!BT119</f>
        <v>0</v>
      </c>
      <c r="CD417" s="184">
        <f>+FLEURY!BU119</f>
        <v>0</v>
      </c>
      <c r="CE417" s="184">
        <f>+FLEURY!BV119</f>
        <v>0</v>
      </c>
      <c r="CF417" s="184">
        <f>+FLEURY!BW119</f>
        <v>0</v>
      </c>
      <c r="CG417" s="184">
        <f>+FLEURY!BX119</f>
        <v>0</v>
      </c>
      <c r="CH417" s="184">
        <f>+FLEURY!BY119</f>
        <v>0</v>
      </c>
      <c r="CI417" s="184">
        <f>+FLEURY!BZ119</f>
        <v>0</v>
      </c>
      <c r="CJ417" s="184">
        <f>+FLEURY!CA119</f>
        <v>0</v>
      </c>
      <c r="CK417" s="184">
        <f>+FLEURY!CB119</f>
        <v>0</v>
      </c>
      <c r="CL417" s="184">
        <f>+FLEURY!CC119</f>
        <v>0</v>
      </c>
      <c r="CM417" s="184">
        <f>+FLEURY!CD119</f>
        <v>0</v>
      </c>
      <c r="CN417" s="184">
        <f>+FLEURY!CE119</f>
        <v>0</v>
      </c>
      <c r="CO417" s="184">
        <f>+FLEURY!CF119</f>
        <v>0</v>
      </c>
      <c r="CP417" s="184">
        <f>+FLEURY!CG119</f>
        <v>0</v>
      </c>
      <c r="CQ417" s="184">
        <f>+FLEURY!CH119</f>
        <v>0</v>
      </c>
      <c r="CR417" s="184">
        <f>+FLEURY!CI119</f>
        <v>0</v>
      </c>
      <c r="CS417" s="184">
        <f>+FLEURY!CJ119</f>
        <v>0</v>
      </c>
      <c r="CT417" s="184">
        <f>+FLEURY!CK119</f>
        <v>0</v>
      </c>
      <c r="CU417" s="184">
        <f>+FLEURY!CL119</f>
        <v>0</v>
      </c>
      <c r="CV417" s="184">
        <f>+FLEURY!CM119</f>
        <v>0</v>
      </c>
      <c r="CW417" s="184">
        <f>+FLEURY!CN119</f>
        <v>0</v>
      </c>
      <c r="CX417" s="184">
        <f>+FLEURY!CO119</f>
        <v>0</v>
      </c>
      <c r="CY417" s="184">
        <f>+FLEURY!CP119</f>
        <v>0</v>
      </c>
      <c r="CZ417" s="184">
        <f>+FLEURY!CQ119</f>
        <v>0</v>
      </c>
      <c r="DA417" s="184">
        <f>+FLEURY!CR119</f>
        <v>0</v>
      </c>
      <c r="DB417" s="184">
        <f>+FLEURY!CS119</f>
        <v>0</v>
      </c>
      <c r="DC417" s="184">
        <f>+FLEURY!CT119</f>
        <v>0</v>
      </c>
      <c r="DD417" s="184">
        <f>+FLEURY!CU119</f>
        <v>0</v>
      </c>
      <c r="DE417" s="184">
        <f>+FLEURY!CV119</f>
        <v>0</v>
      </c>
      <c r="DF417" s="184">
        <f>+FLEURY!CW119</f>
        <v>0</v>
      </c>
      <c r="DG417" s="184">
        <f>+FLEURY!CX119</f>
        <v>0</v>
      </c>
      <c r="DH417" s="184">
        <f>+FLEURY!CY119</f>
        <v>0</v>
      </c>
      <c r="DI417" s="184">
        <f>+FLEURY!CZ119</f>
        <v>0</v>
      </c>
      <c r="DJ417" s="184">
        <f>+FLEURY!DA119</f>
        <v>0</v>
      </c>
      <c r="DK417" s="184">
        <f>+FLEURY!DB119</f>
        <v>0</v>
      </c>
      <c r="DL417" s="184">
        <f>+FLEURY!DC119</f>
        <v>0</v>
      </c>
      <c r="DM417" s="184">
        <f>+FLEURY!DD119</f>
        <v>0</v>
      </c>
      <c r="DN417" s="184">
        <f>+FLEURY!DE119</f>
        <v>0</v>
      </c>
      <c r="DO417" s="184">
        <f>+FLEURY!DF119</f>
        <v>0</v>
      </c>
      <c r="DP417" s="184">
        <f>+FLEURY!DG119</f>
        <v>0</v>
      </c>
      <c r="DQ417" s="184">
        <f>+FLEURY!DH119</f>
        <v>0</v>
      </c>
      <c r="DR417" s="184">
        <f>+FLEURY!DI119</f>
        <v>0</v>
      </c>
      <c r="DS417" s="184">
        <f>+FLEURY!DJ119</f>
        <v>0</v>
      </c>
      <c r="DT417" s="184">
        <f>+FLEURY!DK119</f>
        <v>0</v>
      </c>
      <c r="DU417" s="184">
        <f>+FLEURY!DL119</f>
        <v>0</v>
      </c>
      <c r="DV417" s="184">
        <f>+FLEURY!DM119</f>
        <v>0</v>
      </c>
      <c r="DW417" s="184">
        <f>+FLEURY!DN119</f>
        <v>0</v>
      </c>
      <c r="DX417" s="184">
        <f>+FLEURY!DO119</f>
        <v>0</v>
      </c>
      <c r="DY417" s="184">
        <f>+FLEURY!DP119</f>
        <v>0</v>
      </c>
      <c r="DZ417" s="184">
        <f>+FLEURY!DQ119</f>
        <v>0</v>
      </c>
      <c r="EA417" s="184">
        <f>+FLEURY!DR119</f>
        <v>0</v>
      </c>
      <c r="EB417" s="184">
        <f>+FLEURY!DS119</f>
        <v>0</v>
      </c>
      <c r="EC417" s="184">
        <f>+FLEURY!DT119</f>
        <v>0</v>
      </c>
      <c r="ED417" s="184">
        <f>+FLEURY!DU119</f>
        <v>0</v>
      </c>
      <c r="EE417" s="184">
        <f>+FLEURY!DV119</f>
        <v>0</v>
      </c>
      <c r="EF417" s="184">
        <f>+FLEURY!DW119</f>
        <v>0</v>
      </c>
      <c r="EG417" s="184">
        <f>+FLEURY!DX119</f>
        <v>0</v>
      </c>
      <c r="EH417" s="184">
        <f>+FLEURY!DY119</f>
        <v>0</v>
      </c>
      <c r="EI417" s="184">
        <f>+FLEURY!DZ119</f>
        <v>0</v>
      </c>
      <c r="EJ417" s="184">
        <f>+FLEURY!EA119</f>
        <v>0</v>
      </c>
      <c r="EK417" s="184">
        <f>+FLEURY!EB119</f>
        <v>0</v>
      </c>
      <c r="EL417" s="184">
        <f>+FLEURY!EC119</f>
        <v>0</v>
      </c>
      <c r="EM417" s="184">
        <f>+FLEURY!ED119</f>
        <v>0</v>
      </c>
      <c r="EN417" s="184">
        <f>+FLEURY!EE119</f>
        <v>0</v>
      </c>
      <c r="EO417" s="184">
        <f>+FLEURY!EF119</f>
        <v>0</v>
      </c>
      <c r="EP417" s="184">
        <f>+FLEURY!EG119</f>
        <v>0</v>
      </c>
      <c r="EQ417" s="184">
        <f>+FLEURY!EH119</f>
        <v>0</v>
      </c>
      <c r="ER417" s="184">
        <f>+FLEURY!EI119</f>
        <v>0</v>
      </c>
      <c r="ES417" s="184">
        <f>+FLEURY!EJ119</f>
        <v>0</v>
      </c>
      <c r="ET417" s="184">
        <f>+FLEURY!EK119</f>
        <v>0</v>
      </c>
      <c r="EU417" s="184">
        <f>+FLEURY!EL119</f>
        <v>0</v>
      </c>
      <c r="EV417" s="184">
        <f>+FLEURY!EM119</f>
        <v>0</v>
      </c>
      <c r="EW417" s="184">
        <f>+FLEURY!EN119</f>
        <v>0</v>
      </c>
      <c r="EX417" s="184">
        <f>+FLEURY!EO119</f>
        <v>0</v>
      </c>
      <c r="EY417" s="184">
        <f>+FLEURY!EP119</f>
        <v>0</v>
      </c>
      <c r="EZ417" s="184">
        <f>+FLEURY!EQ119</f>
        <v>0</v>
      </c>
      <c r="FA417" s="184">
        <f>+FLEURY!ER119</f>
        <v>0</v>
      </c>
      <c r="FB417" s="184">
        <f>+FLEURY!ES119</f>
        <v>0</v>
      </c>
      <c r="FC417" s="184">
        <f>+FLEURY!ET119</f>
        <v>0</v>
      </c>
      <c r="FD417" s="184">
        <f>+FLEURY!EU119</f>
        <v>0</v>
      </c>
      <c r="FE417" s="184">
        <f>+FLEURY!EV119</f>
        <v>0</v>
      </c>
      <c r="FF417" s="184">
        <f>+FLEURY!EW119</f>
        <v>0</v>
      </c>
      <c r="FG417" s="184">
        <f>+FLEURY!EX119</f>
        <v>0</v>
      </c>
      <c r="FH417" s="184">
        <f>+FLEURY!EY119</f>
        <v>0</v>
      </c>
      <c r="FI417" s="184">
        <f>+FLEURY!EZ119</f>
        <v>0</v>
      </c>
      <c r="FJ417" s="184">
        <f>+FLEURY!FA119</f>
        <v>0</v>
      </c>
      <c r="FK417" s="184">
        <f>+FLEURY!FB119</f>
        <v>0</v>
      </c>
      <c r="FL417" s="184">
        <f>+FLEURY!FC119</f>
        <v>0</v>
      </c>
      <c r="FM417" s="184">
        <f>+FLEURY!FD119</f>
        <v>0</v>
      </c>
      <c r="FN417" s="184">
        <f>+FLEURY!FE119</f>
        <v>0</v>
      </c>
      <c r="FO417" s="184">
        <f>+FLEURY!FF119</f>
        <v>0</v>
      </c>
      <c r="FP417" s="184">
        <f>+FLEURY!FG119</f>
        <v>0</v>
      </c>
      <c r="FQ417" s="184">
        <f>+FLEURY!FH119</f>
        <v>0</v>
      </c>
      <c r="FR417" s="184">
        <f>+FLEURY!FI119</f>
        <v>0</v>
      </c>
      <c r="FS417" s="184">
        <f>+FLEURY!FJ119</f>
        <v>0</v>
      </c>
      <c r="FT417" s="184">
        <f>+FLEURY!FK119</f>
        <v>0</v>
      </c>
      <c r="FU417" s="184">
        <f>+FLEURY!FL119</f>
        <v>0</v>
      </c>
      <c r="FV417" s="184">
        <f>+FLEURY!FM119</f>
        <v>0</v>
      </c>
      <c r="FW417" s="184">
        <f>+FLEURY!FN119</f>
        <v>0</v>
      </c>
      <c r="FX417" s="184">
        <f>+FLEURY!FO119</f>
        <v>0</v>
      </c>
      <c r="FY417" s="184">
        <f>+FLEURY!FP119</f>
        <v>0</v>
      </c>
      <c r="FZ417" s="184">
        <f>+FLEURY!FQ119</f>
        <v>0</v>
      </c>
      <c r="GA417" s="184">
        <f>+FLEURY!FR119</f>
        <v>0</v>
      </c>
      <c r="GB417" s="184">
        <f>+FLEURY!FS119</f>
        <v>0</v>
      </c>
      <c r="GC417" s="184">
        <f>+FLEURY!FT119</f>
        <v>0</v>
      </c>
      <c r="GD417" s="184">
        <f>+FLEURY!FU119</f>
        <v>0</v>
      </c>
      <c r="GE417" s="184">
        <f>+FLEURY!FV119</f>
        <v>0</v>
      </c>
      <c r="GF417" s="184">
        <f>+FLEURY!FW119</f>
        <v>0</v>
      </c>
      <c r="GG417" s="184">
        <f>+FLEURY!FX119</f>
        <v>0</v>
      </c>
      <c r="GH417" s="184">
        <f>+FLEURY!FY119</f>
        <v>0</v>
      </c>
      <c r="GI417" s="184">
        <f>+FLEURY!FZ119</f>
        <v>0</v>
      </c>
      <c r="GJ417" s="184">
        <f>+FLEURY!GA119</f>
        <v>0</v>
      </c>
      <c r="GK417" s="184">
        <f>+FLEURY!GB119</f>
        <v>0</v>
      </c>
      <c r="GL417" s="184">
        <f>+FLEURY!GC119</f>
        <v>0</v>
      </c>
      <c r="GM417" s="184">
        <f>+FLEURY!GD119</f>
        <v>0</v>
      </c>
      <c r="GN417" s="184">
        <f>+FLEURY!GE119</f>
        <v>0</v>
      </c>
      <c r="GO417" s="184">
        <f>+FLEURY!GF119</f>
        <v>0</v>
      </c>
      <c r="GP417" s="184">
        <f>+FLEURY!GG119</f>
        <v>0</v>
      </c>
      <c r="GQ417" s="184">
        <f>+FLEURY!GH119</f>
        <v>0</v>
      </c>
      <c r="GR417" s="184">
        <f>+FLEURY!GI119</f>
        <v>0</v>
      </c>
      <c r="GS417" s="184">
        <f>+FLEURY!GJ119</f>
        <v>0</v>
      </c>
      <c r="GT417" s="184">
        <f>+FLEURY!GK119</f>
        <v>0</v>
      </c>
      <c r="GU417" s="184">
        <f>+FLEURY!GL119</f>
        <v>0</v>
      </c>
      <c r="GV417" s="184">
        <f>+FLEURY!GM119</f>
        <v>0</v>
      </c>
      <c r="GW417" s="184">
        <f>+FLEURY!GN119</f>
        <v>0</v>
      </c>
      <c r="GX417" s="184">
        <f>+FLEURY!GO119</f>
        <v>0</v>
      </c>
      <c r="GY417" s="184">
        <f>+FLEURY!GP119</f>
        <v>0</v>
      </c>
      <c r="GZ417" s="184">
        <f>+FLEURY!GQ119</f>
        <v>0</v>
      </c>
      <c r="HA417" s="184">
        <f>+FLEURY!GR119</f>
        <v>0</v>
      </c>
      <c r="HB417" s="184">
        <f>+FLEURY!GS119</f>
        <v>0</v>
      </c>
      <c r="HC417" s="184">
        <f>+FLEURY!GT119</f>
        <v>0</v>
      </c>
      <c r="HD417" s="184">
        <f>+FLEURY!GU119</f>
        <v>0</v>
      </c>
      <c r="HE417" s="184">
        <f>+FLEURY!GV119</f>
        <v>0</v>
      </c>
      <c r="HF417" s="184">
        <f>+FLEURY!GW119</f>
        <v>0</v>
      </c>
      <c r="HG417" s="184">
        <f>+FLEURY!GX119</f>
        <v>0</v>
      </c>
      <c r="HH417" s="184">
        <f>+FLEURY!GY119</f>
        <v>0</v>
      </c>
      <c r="HI417" s="184">
        <f>+FLEURY!GZ119</f>
        <v>0</v>
      </c>
      <c r="HJ417" s="184">
        <f>+FLEURY!HA119</f>
        <v>0</v>
      </c>
      <c r="HK417" s="184">
        <f>+FLEURY!HB119</f>
        <v>0</v>
      </c>
      <c r="HL417" s="184">
        <f>+FLEURY!HC119</f>
        <v>0</v>
      </c>
      <c r="HM417" s="184">
        <f>+FLEURY!HD119</f>
        <v>0</v>
      </c>
      <c r="HN417" s="184">
        <f>+FLEURY!HE119</f>
        <v>0</v>
      </c>
      <c r="HO417" s="184">
        <f>+FLEURY!HF119</f>
        <v>0</v>
      </c>
      <c r="HP417" s="184">
        <f>+FLEURY!HG119</f>
        <v>0</v>
      </c>
      <c r="HQ417" s="184">
        <f>+FLEURY!HH119</f>
        <v>0</v>
      </c>
      <c r="HR417" s="184">
        <f>+FLEURY!HI119</f>
        <v>0</v>
      </c>
      <c r="HS417" s="184">
        <f>+FLEURY!HJ119</f>
        <v>0</v>
      </c>
      <c r="HT417" s="184">
        <f>+FLEURY!HK119</f>
        <v>0</v>
      </c>
      <c r="HU417" s="184">
        <f>+FLEURY!HL119</f>
        <v>0</v>
      </c>
      <c r="HV417" s="184">
        <f>+FLEURY!HM119</f>
        <v>0</v>
      </c>
      <c r="HW417" s="184">
        <f>+FLEURY!HN119</f>
        <v>0</v>
      </c>
      <c r="HX417" s="184">
        <f>+FLEURY!HO119</f>
        <v>0</v>
      </c>
      <c r="HY417" s="184">
        <f>+FLEURY!HP119</f>
        <v>0</v>
      </c>
      <c r="HZ417" s="184">
        <f>+FLEURY!HQ119</f>
        <v>0</v>
      </c>
      <c r="IA417" s="184">
        <f>+FLEURY!HR119</f>
        <v>0</v>
      </c>
      <c r="IB417" s="184">
        <f>+FLEURY!HS119</f>
        <v>0</v>
      </c>
      <c r="IC417" s="184">
        <f>+FLEURY!HT119</f>
        <v>0</v>
      </c>
      <c r="ID417" s="184">
        <f>+FLEURY!HU119</f>
        <v>0</v>
      </c>
      <c r="IE417" s="184">
        <f>+FLEURY!HV119</f>
        <v>0</v>
      </c>
      <c r="IF417" s="184">
        <f>+FLEURY!HW119</f>
        <v>0</v>
      </c>
      <c r="IG417" s="184">
        <f>+FLEURY!HX119</f>
        <v>0</v>
      </c>
      <c r="IH417" s="184">
        <f>+FLEURY!HY119</f>
        <v>0</v>
      </c>
      <c r="II417" s="184">
        <f>+FLEURY!HZ119</f>
        <v>0</v>
      </c>
      <c r="IJ417" s="184">
        <f>+FLEURY!IA119</f>
        <v>0</v>
      </c>
      <c r="IK417" s="184">
        <f>+FLEURY!IB119</f>
        <v>0</v>
      </c>
      <c r="IL417" s="184">
        <f>+FLEURY!IC119</f>
        <v>0</v>
      </c>
      <c r="IM417" s="184">
        <f>+FLEURY!ID119</f>
        <v>0</v>
      </c>
      <c r="IN417" s="184">
        <f>+FLEURY!IE119</f>
        <v>0</v>
      </c>
      <c r="IO417" s="184">
        <f>+FLEURY!IF119</f>
        <v>0</v>
      </c>
      <c r="IP417" s="184">
        <f>+FLEURY!IG119</f>
        <v>0</v>
      </c>
      <c r="IQ417" s="184">
        <f>+FLEURY!IH119</f>
        <v>0</v>
      </c>
      <c r="IR417" s="184">
        <f>+FLEURY!II119</f>
        <v>0</v>
      </c>
      <c r="IS417" s="184" t="e">
        <f>+FLEURY!#REF!</f>
        <v>#REF!</v>
      </c>
      <c r="IT417" s="184" t="e">
        <f>+FLEURY!#REF!</f>
        <v>#REF!</v>
      </c>
      <c r="IU417" s="184" t="e">
        <f>+FLEURY!#REF!</f>
        <v>#REF!</v>
      </c>
      <c r="IV417" s="184" t="e">
        <f>+FLEURY!#REF!</f>
        <v>#REF!</v>
      </c>
    </row>
    <row r="418" spans="1:256" s="175" customFormat="1" x14ac:dyDescent="0.2">
      <c r="A418" s="270"/>
      <c r="B418" s="235"/>
      <c r="C418" s="148"/>
      <c r="D418" s="148"/>
      <c r="E418" s="240"/>
      <c r="F418" s="240"/>
      <c r="G418" s="240"/>
      <c r="H418" s="240"/>
      <c r="I418" s="240"/>
      <c r="J418" s="240"/>
      <c r="K418" s="240"/>
      <c r="L418" s="240"/>
      <c r="M418" s="240"/>
      <c r="N418" s="240"/>
      <c r="O418" s="240"/>
      <c r="P418" s="240"/>
      <c r="Q418" s="240"/>
      <c r="R418" s="240"/>
      <c r="S418" s="245"/>
      <c r="U418" s="332"/>
    </row>
    <row r="419" spans="1:256" x14ac:dyDescent="0.2">
      <c r="A419" s="159">
        <v>615193</v>
      </c>
      <c r="B419" s="160" t="s">
        <v>118</v>
      </c>
      <c r="C419" s="148" t="s">
        <v>71</v>
      </c>
      <c r="D419" s="148" t="s">
        <v>192</v>
      </c>
      <c r="E419" s="240">
        <f>AIX!H115</f>
        <v>0</v>
      </c>
      <c r="F419" s="240">
        <f>AIX!I115</f>
        <v>0</v>
      </c>
      <c r="G419" s="240">
        <f>AIX!J115</f>
        <v>1229.43</v>
      </c>
      <c r="H419" s="240">
        <f>AIX!K115</f>
        <v>0</v>
      </c>
      <c r="I419" s="240">
        <f>AIX!L115</f>
        <v>0</v>
      </c>
      <c r="J419" s="240">
        <f>AIX!M115</f>
        <v>0</v>
      </c>
      <c r="K419" s="240">
        <f>AIX!N115</f>
        <v>0</v>
      </c>
      <c r="L419" s="240">
        <f>AIX!O115</f>
        <v>0</v>
      </c>
      <c r="M419" s="240">
        <f>AIX!P115</f>
        <v>0</v>
      </c>
      <c r="N419" s="240">
        <f>AIX!Q115</f>
        <v>0</v>
      </c>
      <c r="O419" s="240">
        <f>AIX!R115</f>
        <v>0</v>
      </c>
      <c r="P419" s="240">
        <f>AIX!S115</f>
        <v>0</v>
      </c>
      <c r="Q419" s="240">
        <f>AIX!T115</f>
        <v>0</v>
      </c>
      <c r="R419" s="240">
        <f>AIX!U115</f>
        <v>0</v>
      </c>
      <c r="S419" s="242">
        <f t="shared" ref="S419:S426" si="35">SUM(E419:Q419)</f>
        <v>1229.43</v>
      </c>
    </row>
    <row r="420" spans="1:256" x14ac:dyDescent="0.2">
      <c r="A420" s="159">
        <v>615193</v>
      </c>
      <c r="B420" s="160" t="s">
        <v>118</v>
      </c>
      <c r="C420" s="148" t="s">
        <v>108</v>
      </c>
      <c r="D420" s="148" t="s">
        <v>243</v>
      </c>
      <c r="E420" s="240">
        <f>AIX!H114</f>
        <v>0</v>
      </c>
      <c r="F420" s="240">
        <f>AIX!I114</f>
        <v>0</v>
      </c>
      <c r="G420" s="240">
        <f>AIX!J114</f>
        <v>0</v>
      </c>
      <c r="H420" s="240">
        <f>AIX!K114</f>
        <v>297.24</v>
      </c>
      <c r="I420" s="240">
        <f>AIX!L114</f>
        <v>0</v>
      </c>
      <c r="J420" s="240">
        <f>AIX!M114</f>
        <v>0</v>
      </c>
      <c r="K420" s="240">
        <f>AIX!N114</f>
        <v>0</v>
      </c>
      <c r="L420" s="240">
        <f>AIX!O114</f>
        <v>0</v>
      </c>
      <c r="M420" s="240">
        <f>AIX!P114</f>
        <v>0</v>
      </c>
      <c r="N420" s="240">
        <f>AIX!Q114</f>
        <v>0</v>
      </c>
      <c r="O420" s="240">
        <f>AIX!R114</f>
        <v>0</v>
      </c>
      <c r="P420" s="240">
        <f>AIX!S114</f>
        <v>0</v>
      </c>
      <c r="Q420" s="240">
        <f>AIX!T114</f>
        <v>0</v>
      </c>
      <c r="R420" s="240">
        <f>AIX!U114</f>
        <v>0</v>
      </c>
      <c r="S420" s="242">
        <f>SUM(E420:Q420)</f>
        <v>297.24</v>
      </c>
    </row>
    <row r="421" spans="1:256" x14ac:dyDescent="0.2">
      <c r="A421" s="159">
        <v>615193</v>
      </c>
      <c r="B421" s="160" t="s">
        <v>118</v>
      </c>
      <c r="C421" s="148" t="s">
        <v>71</v>
      </c>
      <c r="D421" s="148" t="s">
        <v>189</v>
      </c>
      <c r="E421" s="240">
        <f>AIX!H109</f>
        <v>0</v>
      </c>
      <c r="F421" s="240">
        <f>AIX!I109</f>
        <v>0</v>
      </c>
      <c r="G421" s="240">
        <f>AIX!J109</f>
        <v>0</v>
      </c>
      <c r="H421" s="240">
        <f>AIX!K109</f>
        <v>137.63999999999999</v>
      </c>
      <c r="I421" s="240">
        <f>AIX!L109</f>
        <v>0</v>
      </c>
      <c r="J421" s="240">
        <f>AIX!M109</f>
        <v>0</v>
      </c>
      <c r="K421" s="240">
        <f>AIX!N109</f>
        <v>137.63999999999999</v>
      </c>
      <c r="L421" s="240">
        <f>AIX!O109</f>
        <v>0</v>
      </c>
      <c r="M421" s="240">
        <f>AIX!P109</f>
        <v>0</v>
      </c>
      <c r="N421" s="240">
        <f>AIX!Q109</f>
        <v>137.63999999999999</v>
      </c>
      <c r="O421" s="240">
        <f>AIX!R109</f>
        <v>0</v>
      </c>
      <c r="P421" s="240">
        <f>AIX!S109</f>
        <v>0</v>
      </c>
      <c r="Q421" s="240">
        <f>AIX!T109</f>
        <v>0</v>
      </c>
      <c r="R421" s="240">
        <f>AIX!U109</f>
        <v>0</v>
      </c>
      <c r="S421" s="242">
        <f t="shared" si="35"/>
        <v>412.91999999999996</v>
      </c>
    </row>
    <row r="422" spans="1:256" x14ac:dyDescent="0.2">
      <c r="A422" s="159">
        <v>615193</v>
      </c>
      <c r="B422" s="160" t="s">
        <v>118</v>
      </c>
      <c r="C422" s="148" t="s">
        <v>71</v>
      </c>
      <c r="D422" s="148" t="s">
        <v>187</v>
      </c>
      <c r="E422" s="240">
        <f>AIX!H108</f>
        <v>0</v>
      </c>
      <c r="F422" s="240">
        <f>AIX!I108</f>
        <v>0</v>
      </c>
      <c r="G422" s="240">
        <f>AIX!J108</f>
        <v>0</v>
      </c>
      <c r="H422" s="240">
        <f>AIX!K108</f>
        <v>0</v>
      </c>
      <c r="I422" s="240">
        <f>AIX!L108</f>
        <v>0</v>
      </c>
      <c r="J422" s="240">
        <f>AIX!M108</f>
        <v>0</v>
      </c>
      <c r="K422" s="240">
        <f>AIX!N108</f>
        <v>0</v>
      </c>
      <c r="L422" s="240">
        <f>AIX!O108</f>
        <v>0</v>
      </c>
      <c r="M422" s="240">
        <f>AIX!P108</f>
        <v>685</v>
      </c>
      <c r="N422" s="240">
        <f>AIX!Q108</f>
        <v>0</v>
      </c>
      <c r="O422" s="240">
        <f>AIX!R108</f>
        <v>0</v>
      </c>
      <c r="P422" s="240">
        <f>AIX!S108</f>
        <v>0</v>
      </c>
      <c r="Q422" s="240">
        <f>AIX!T108</f>
        <v>0</v>
      </c>
      <c r="R422" s="240">
        <f>AIX!U108</f>
        <v>0</v>
      </c>
      <c r="S422" s="242">
        <f t="shared" si="35"/>
        <v>685</v>
      </c>
    </row>
    <row r="423" spans="1:256" x14ac:dyDescent="0.2">
      <c r="A423" s="159">
        <v>615193</v>
      </c>
      <c r="B423" s="160" t="s">
        <v>118</v>
      </c>
      <c r="C423" s="148" t="s">
        <v>71</v>
      </c>
      <c r="D423" s="148" t="s">
        <v>191</v>
      </c>
      <c r="E423" s="240">
        <f>AIX!H110</f>
        <v>0</v>
      </c>
      <c r="F423" s="240">
        <f>AIX!I110</f>
        <v>840.25</v>
      </c>
      <c r="G423" s="240">
        <f>AIX!J110</f>
        <v>0</v>
      </c>
      <c r="H423" s="240">
        <f>AIX!K110</f>
        <v>0</v>
      </c>
      <c r="I423" s="240">
        <f>AIX!L110</f>
        <v>0</v>
      </c>
      <c r="J423" s="240">
        <f>AIX!M110</f>
        <v>0</v>
      </c>
      <c r="K423" s="240">
        <f>AIX!N110</f>
        <v>0</v>
      </c>
      <c r="L423" s="240">
        <f>AIX!O110</f>
        <v>0</v>
      </c>
      <c r="M423" s="240">
        <f>AIX!P110</f>
        <v>0</v>
      </c>
      <c r="N423" s="240">
        <f>AIX!Q110</f>
        <v>449.84</v>
      </c>
      <c r="O423" s="240">
        <f>AIX!R110</f>
        <v>0</v>
      </c>
      <c r="P423" s="240">
        <f>AIX!S110</f>
        <v>0</v>
      </c>
      <c r="Q423" s="240">
        <f>AIX!T110</f>
        <v>0</v>
      </c>
      <c r="R423" s="240">
        <f>AIX!U110</f>
        <v>0</v>
      </c>
      <c r="S423" s="242">
        <f t="shared" si="35"/>
        <v>1290.0899999999999</v>
      </c>
    </row>
    <row r="424" spans="1:256" x14ac:dyDescent="0.2">
      <c r="A424" s="159">
        <v>615193</v>
      </c>
      <c r="B424" s="160" t="s">
        <v>118</v>
      </c>
      <c r="C424" s="148" t="s">
        <v>71</v>
      </c>
      <c r="D424" s="148" t="s">
        <v>179</v>
      </c>
      <c r="E424" s="240">
        <f>AIX!H113</f>
        <v>0</v>
      </c>
      <c r="F424" s="240">
        <f>AIX!I113</f>
        <v>0</v>
      </c>
      <c r="G424" s="240">
        <f>AIX!J113</f>
        <v>0</v>
      </c>
      <c r="H424" s="240">
        <f>AIX!K113</f>
        <v>1213.7</v>
      </c>
      <c r="I424" s="240">
        <f>AIX!L113</f>
        <v>0</v>
      </c>
      <c r="J424" s="240">
        <f>AIX!M113</f>
        <v>0</v>
      </c>
      <c r="K424" s="240">
        <f>AIX!N113</f>
        <v>0</v>
      </c>
      <c r="L424" s="240">
        <f>AIX!O113</f>
        <v>0</v>
      </c>
      <c r="M424" s="240">
        <f>AIX!P113</f>
        <v>0</v>
      </c>
      <c r="N424" s="240">
        <f>AIX!Q113</f>
        <v>2347.3000000000002</v>
      </c>
      <c r="O424" s="240">
        <f>AIX!R113</f>
        <v>0</v>
      </c>
      <c r="P424" s="240">
        <f>AIX!S113</f>
        <v>2025</v>
      </c>
      <c r="Q424" s="240">
        <f>AIX!T113</f>
        <v>0</v>
      </c>
      <c r="R424" s="240">
        <f>AIX!U113</f>
        <v>0</v>
      </c>
      <c r="S424" s="242">
        <f t="shared" si="35"/>
        <v>5586</v>
      </c>
    </row>
    <row r="425" spans="1:256" x14ac:dyDescent="0.2">
      <c r="A425" s="159">
        <v>615193</v>
      </c>
      <c r="B425" s="160" t="s">
        <v>118</v>
      </c>
      <c r="C425" s="148" t="s">
        <v>71</v>
      </c>
      <c r="D425" s="148" t="s">
        <v>201</v>
      </c>
      <c r="E425" s="240">
        <f>AIX!H111</f>
        <v>0</v>
      </c>
      <c r="F425" s="240">
        <f>AIX!I111</f>
        <v>0</v>
      </c>
      <c r="G425" s="240">
        <f>AIX!J111</f>
        <v>0</v>
      </c>
      <c r="H425" s="240">
        <f>AIX!K111</f>
        <v>24.77</v>
      </c>
      <c r="I425" s="240">
        <f>AIX!L111</f>
        <v>0</v>
      </c>
      <c r="J425" s="240">
        <f>AIX!M111</f>
        <v>0</v>
      </c>
      <c r="K425" s="240">
        <f>AIX!N111</f>
        <v>0</v>
      </c>
      <c r="L425" s="240">
        <f>AIX!O111</f>
        <v>0</v>
      </c>
      <c r="M425" s="240">
        <f>AIX!P111</f>
        <v>0</v>
      </c>
      <c r="N425" s="240">
        <f>AIX!Q111</f>
        <v>0</v>
      </c>
      <c r="O425" s="240">
        <f>AIX!R111</f>
        <v>0</v>
      </c>
      <c r="P425" s="240">
        <f>AIX!S111</f>
        <v>0</v>
      </c>
      <c r="Q425" s="240">
        <f>AIX!T111</f>
        <v>0</v>
      </c>
      <c r="R425" s="240">
        <f>AIX!U111</f>
        <v>0</v>
      </c>
      <c r="S425" s="242">
        <f t="shared" si="35"/>
        <v>24.77</v>
      </c>
    </row>
    <row r="426" spans="1:256" x14ac:dyDescent="0.2">
      <c r="A426" s="159">
        <v>615193</v>
      </c>
      <c r="B426" s="160" t="s">
        <v>118</v>
      </c>
      <c r="C426" s="148" t="s">
        <v>71</v>
      </c>
      <c r="D426" s="148" t="s">
        <v>184</v>
      </c>
      <c r="E426" s="240">
        <f>AIX!H112</f>
        <v>0</v>
      </c>
      <c r="F426" s="240">
        <f>AIX!I112</f>
        <v>0</v>
      </c>
      <c r="G426" s="240">
        <f>AIX!J112</f>
        <v>0</v>
      </c>
      <c r="H426" s="240">
        <f>AIX!K112</f>
        <v>842.18</v>
      </c>
      <c r="I426" s="240">
        <f>AIX!L112</f>
        <v>0</v>
      </c>
      <c r="J426" s="240">
        <f>AIX!M112</f>
        <v>0</v>
      </c>
      <c r="K426" s="240">
        <f>AIX!N112</f>
        <v>0</v>
      </c>
      <c r="L426" s="240">
        <f>AIX!O112</f>
        <v>0</v>
      </c>
      <c r="M426" s="240">
        <f>AIX!P112</f>
        <v>0</v>
      </c>
      <c r="N426" s="240">
        <f>AIX!Q112</f>
        <v>0</v>
      </c>
      <c r="O426" s="240">
        <f>AIX!R112</f>
        <v>0</v>
      </c>
      <c r="P426" s="240">
        <f>AIX!S112</f>
        <v>0</v>
      </c>
      <c r="Q426" s="240">
        <f>AIX!T112</f>
        <v>0</v>
      </c>
      <c r="R426" s="240">
        <f>AIX!U112</f>
        <v>0</v>
      </c>
      <c r="S426" s="242">
        <f t="shared" si="35"/>
        <v>842.18</v>
      </c>
    </row>
    <row r="427" spans="1:256" s="175" customFormat="1" x14ac:dyDescent="0.2">
      <c r="A427" s="270"/>
      <c r="B427" s="235"/>
      <c r="C427" s="148"/>
      <c r="D427" s="148"/>
      <c r="E427" s="240"/>
      <c r="F427" s="240"/>
      <c r="G427" s="240"/>
      <c r="H427" s="240"/>
      <c r="I427" s="240"/>
      <c r="J427" s="240"/>
      <c r="K427" s="240"/>
      <c r="L427" s="240"/>
      <c r="M427" s="240"/>
      <c r="N427" s="240"/>
      <c r="O427" s="240"/>
      <c r="P427" s="240"/>
      <c r="Q427" s="240"/>
      <c r="R427" s="240"/>
      <c r="S427" s="245"/>
      <c r="T427" s="184"/>
      <c r="U427" s="332"/>
      <c r="W427" s="184"/>
      <c r="X427" s="184"/>
      <c r="Y427" s="184"/>
      <c r="Z427" s="184"/>
      <c r="AA427" s="184"/>
      <c r="AB427" s="184"/>
      <c r="AC427" s="184"/>
      <c r="AD427" s="184"/>
      <c r="AE427" s="184"/>
      <c r="AF427" s="184"/>
      <c r="AG427" s="184"/>
      <c r="AH427" s="184"/>
      <c r="AI427" s="184"/>
      <c r="AJ427" s="184"/>
      <c r="AK427" s="184"/>
      <c r="AL427" s="184"/>
      <c r="AM427" s="184"/>
      <c r="AN427" s="184"/>
      <c r="AO427" s="184"/>
      <c r="AP427" s="184"/>
      <c r="AQ427" s="184"/>
      <c r="AR427" s="184"/>
      <c r="AS427" s="184"/>
      <c r="AT427" s="184"/>
      <c r="AU427" s="184"/>
      <c r="AV427" s="184"/>
      <c r="AW427" s="184"/>
      <c r="AX427" s="184"/>
      <c r="AY427" s="184"/>
      <c r="AZ427" s="184"/>
      <c r="BA427" s="184"/>
      <c r="BB427" s="184"/>
      <c r="BC427" s="184"/>
      <c r="BD427" s="184"/>
      <c r="BE427" s="184"/>
      <c r="BF427" s="184"/>
      <c r="BG427" s="184"/>
      <c r="BH427" s="184"/>
      <c r="BI427" s="184"/>
      <c r="BJ427" s="184"/>
      <c r="BK427" s="184"/>
      <c r="BL427" s="184"/>
      <c r="BM427" s="184"/>
      <c r="BN427" s="184"/>
      <c r="BO427" s="184"/>
      <c r="BP427" s="184"/>
      <c r="BQ427" s="184"/>
      <c r="BR427" s="184"/>
      <c r="BS427" s="184"/>
      <c r="BT427" s="184"/>
      <c r="BU427" s="184"/>
      <c r="BV427" s="184"/>
      <c r="BW427" s="184"/>
      <c r="BX427" s="184"/>
      <c r="BY427" s="184"/>
      <c r="BZ427" s="184"/>
      <c r="CA427" s="184"/>
      <c r="CB427" s="184"/>
      <c r="CC427" s="184"/>
      <c r="CD427" s="184"/>
      <c r="CE427" s="184"/>
      <c r="CF427" s="184"/>
      <c r="CG427" s="184"/>
      <c r="CH427" s="184"/>
      <c r="CI427" s="184"/>
      <c r="CJ427" s="184"/>
      <c r="CK427" s="184"/>
      <c r="CL427" s="184"/>
      <c r="CM427" s="184"/>
      <c r="CN427" s="184"/>
      <c r="CO427" s="184"/>
      <c r="CP427" s="184"/>
      <c r="CQ427" s="184"/>
      <c r="CR427" s="184"/>
      <c r="CS427" s="184"/>
      <c r="CT427" s="184"/>
      <c r="CU427" s="184"/>
      <c r="CV427" s="184"/>
      <c r="CW427" s="184"/>
      <c r="CX427" s="184"/>
      <c r="CY427" s="184"/>
      <c r="CZ427" s="184"/>
      <c r="DA427" s="184"/>
      <c r="DB427" s="184"/>
      <c r="DC427" s="184"/>
      <c r="DD427" s="184"/>
      <c r="DE427" s="184"/>
      <c r="DF427" s="184"/>
      <c r="DG427" s="184"/>
      <c r="DH427" s="184"/>
      <c r="DI427" s="184"/>
      <c r="DJ427" s="184"/>
      <c r="DK427" s="184"/>
      <c r="DL427" s="184"/>
      <c r="DM427" s="184"/>
      <c r="DN427" s="184"/>
      <c r="DO427" s="184"/>
      <c r="DP427" s="184"/>
      <c r="DQ427" s="184"/>
      <c r="DR427" s="184"/>
      <c r="DS427" s="184"/>
      <c r="DT427" s="184"/>
      <c r="DU427" s="184"/>
      <c r="DV427" s="184"/>
      <c r="DW427" s="184"/>
      <c r="DX427" s="184"/>
      <c r="DY427" s="184"/>
      <c r="DZ427" s="184"/>
      <c r="EA427" s="184"/>
      <c r="EB427" s="184"/>
      <c r="EC427" s="184"/>
      <c r="ED427" s="184"/>
      <c r="EE427" s="184"/>
      <c r="EF427" s="184"/>
      <c r="EG427" s="184"/>
      <c r="EH427" s="184"/>
      <c r="EI427" s="184"/>
      <c r="EJ427" s="184"/>
      <c r="EK427" s="184"/>
      <c r="EL427" s="184"/>
      <c r="EM427" s="184"/>
      <c r="EN427" s="184"/>
      <c r="EO427" s="184"/>
      <c r="EP427" s="184"/>
      <c r="EQ427" s="184"/>
      <c r="ER427" s="184"/>
      <c r="ES427" s="184"/>
      <c r="ET427" s="184"/>
      <c r="EU427" s="184"/>
      <c r="EV427" s="184"/>
      <c r="EW427" s="184"/>
      <c r="EX427" s="184"/>
      <c r="EY427" s="184"/>
      <c r="EZ427" s="184"/>
      <c r="FA427" s="184"/>
      <c r="FB427" s="184"/>
      <c r="FC427" s="184"/>
      <c r="FD427" s="184"/>
      <c r="FE427" s="184"/>
      <c r="FF427" s="184"/>
      <c r="FG427" s="184"/>
      <c r="FH427" s="184"/>
      <c r="FI427" s="184"/>
      <c r="FJ427" s="184"/>
      <c r="FK427" s="184"/>
      <c r="FL427" s="184"/>
      <c r="FM427" s="184"/>
      <c r="FN427" s="184"/>
      <c r="FO427" s="184"/>
      <c r="FP427" s="184"/>
      <c r="FQ427" s="184"/>
      <c r="FR427" s="184"/>
      <c r="FS427" s="184"/>
      <c r="FT427" s="184"/>
      <c r="FU427" s="184"/>
      <c r="FV427" s="184"/>
      <c r="FW427" s="184"/>
      <c r="FX427" s="184"/>
      <c r="FY427" s="184"/>
      <c r="FZ427" s="184"/>
      <c r="GA427" s="184"/>
      <c r="GB427" s="184"/>
      <c r="GC427" s="184"/>
      <c r="GD427" s="184"/>
      <c r="GE427" s="184"/>
      <c r="GF427" s="184"/>
      <c r="GG427" s="184"/>
      <c r="GH427" s="184"/>
      <c r="GI427" s="184"/>
      <c r="GJ427" s="184"/>
      <c r="GK427" s="184"/>
      <c r="GL427" s="184"/>
      <c r="GM427" s="184"/>
      <c r="GN427" s="184"/>
      <c r="GO427" s="184"/>
      <c r="GP427" s="184"/>
      <c r="GQ427" s="184"/>
      <c r="GR427" s="184"/>
      <c r="GS427" s="184"/>
      <c r="GT427" s="184"/>
      <c r="GU427" s="184"/>
      <c r="GV427" s="184"/>
      <c r="GW427" s="184"/>
      <c r="GX427" s="184"/>
      <c r="GY427" s="184"/>
      <c r="GZ427" s="184"/>
      <c r="HA427" s="184"/>
      <c r="HB427" s="184"/>
      <c r="HC427" s="184"/>
      <c r="HD427" s="184"/>
      <c r="HE427" s="184"/>
      <c r="HF427" s="184"/>
      <c r="HG427" s="184"/>
      <c r="HH427" s="184"/>
      <c r="HI427" s="184"/>
      <c r="HJ427" s="184"/>
      <c r="HK427" s="184"/>
      <c r="HL427" s="184"/>
      <c r="HM427" s="184"/>
      <c r="HN427" s="184"/>
      <c r="HO427" s="184"/>
      <c r="HP427" s="184"/>
      <c r="HQ427" s="184"/>
      <c r="HR427" s="184"/>
      <c r="HS427" s="184"/>
      <c r="HT427" s="184"/>
      <c r="HU427" s="184"/>
      <c r="HV427" s="184"/>
      <c r="HW427" s="184"/>
      <c r="HX427" s="184"/>
      <c r="HY427" s="184"/>
      <c r="HZ427" s="184"/>
      <c r="IA427" s="184"/>
      <c r="IB427" s="184"/>
      <c r="IC427" s="184"/>
      <c r="ID427" s="184"/>
      <c r="IE427" s="184"/>
      <c r="IF427" s="184"/>
      <c r="IG427" s="184"/>
      <c r="IH427" s="184"/>
      <c r="II427" s="184"/>
      <c r="IJ427" s="184"/>
      <c r="IK427" s="184"/>
      <c r="IL427" s="184"/>
      <c r="IM427" s="184"/>
      <c r="IN427" s="184"/>
      <c r="IO427" s="184"/>
      <c r="IP427" s="184"/>
      <c r="IQ427" s="184"/>
      <c r="IR427" s="184"/>
      <c r="IS427" s="184"/>
      <c r="IT427" s="184"/>
      <c r="IU427" s="184"/>
      <c r="IV427" s="184"/>
    </row>
    <row r="428" spans="1:256" x14ac:dyDescent="0.2">
      <c r="A428" s="159">
        <v>615193</v>
      </c>
      <c r="B428" s="160" t="s">
        <v>118</v>
      </c>
      <c r="C428" s="148" t="s">
        <v>73</v>
      </c>
      <c r="D428" s="148" t="s">
        <v>192</v>
      </c>
      <c r="E428" s="240">
        <f>LYON!H110</f>
        <v>0</v>
      </c>
      <c r="F428" s="240">
        <f>LYON!I110</f>
        <v>0</v>
      </c>
      <c r="G428" s="240">
        <f>LYON!J110</f>
        <v>0</v>
      </c>
      <c r="H428" s="240">
        <f>LYON!K110</f>
        <v>0</v>
      </c>
      <c r="I428" s="240">
        <f>LYON!L110</f>
        <v>0</v>
      </c>
      <c r="J428" s="240">
        <f>LYON!M110</f>
        <v>2335.77</v>
      </c>
      <c r="K428" s="240">
        <f>LYON!N110</f>
        <v>0</v>
      </c>
      <c r="L428" s="240">
        <f>LYON!O110</f>
        <v>0</v>
      </c>
      <c r="M428" s="240">
        <f>LYON!P110</f>
        <v>0</v>
      </c>
      <c r="N428" s="240">
        <f>LYON!Q110</f>
        <v>2991.8900000000003</v>
      </c>
      <c r="O428" s="240">
        <f>LYON!R110</f>
        <v>0</v>
      </c>
      <c r="P428" s="240">
        <f>LYON!S110</f>
        <v>0</v>
      </c>
      <c r="Q428" s="240">
        <f>LYON!T110</f>
        <v>0</v>
      </c>
      <c r="R428" s="240">
        <f>LYON!U110</f>
        <v>0</v>
      </c>
      <c r="S428" s="245">
        <f>SUM(E428:Q428)</f>
        <v>5327.66</v>
      </c>
    </row>
    <row r="429" spans="1:256" x14ac:dyDescent="0.2">
      <c r="A429" s="159">
        <v>615193</v>
      </c>
      <c r="B429" s="160" t="s">
        <v>118</v>
      </c>
      <c r="C429" s="148" t="s">
        <v>73</v>
      </c>
      <c r="D429" s="148" t="s">
        <v>243</v>
      </c>
      <c r="E429" s="240">
        <f>+LYON!H109</f>
        <v>0</v>
      </c>
      <c r="F429" s="240">
        <f>+LYON!I109</f>
        <v>0</v>
      </c>
      <c r="G429" s="240">
        <f>+LYON!J109</f>
        <v>0</v>
      </c>
      <c r="H429" s="240">
        <f>+LYON!K109</f>
        <v>0</v>
      </c>
      <c r="I429" s="240">
        <f>+LYON!L109</f>
        <v>813.36</v>
      </c>
      <c r="J429" s="240">
        <f>+LYON!M109</f>
        <v>0</v>
      </c>
      <c r="K429" s="240">
        <f>+LYON!N109</f>
        <v>0</v>
      </c>
      <c r="L429" s="240">
        <f>+LYON!O109</f>
        <v>0</v>
      </c>
      <c r="M429" s="240">
        <f>+LYON!P109</f>
        <v>0</v>
      </c>
      <c r="N429" s="240">
        <f>+LYON!Q109</f>
        <v>0</v>
      </c>
      <c r="O429" s="240">
        <f>+LYON!R109</f>
        <v>0</v>
      </c>
      <c r="P429" s="240">
        <f>+LYON!S109</f>
        <v>0</v>
      </c>
      <c r="Q429" s="240">
        <f>+LYON!T109</f>
        <v>0</v>
      </c>
      <c r="R429" s="240">
        <f>+LYON!U109</f>
        <v>0</v>
      </c>
      <c r="S429" s="574">
        <f t="shared" ref="S429:S443" si="36">SUM(E429:Q429)</f>
        <v>813.36</v>
      </c>
    </row>
    <row r="430" spans="1:256" x14ac:dyDescent="0.2">
      <c r="A430" s="159">
        <v>615193</v>
      </c>
      <c r="B430" s="160" t="s">
        <v>118</v>
      </c>
      <c r="C430" s="148" t="s">
        <v>73</v>
      </c>
      <c r="D430" s="148" t="s">
        <v>189</v>
      </c>
      <c r="E430" s="240">
        <f>LYON!H104</f>
        <v>132.05000000000001</v>
      </c>
      <c r="F430" s="240">
        <f>LYON!I104</f>
        <v>0</v>
      </c>
      <c r="G430" s="240">
        <f>LYON!J104</f>
        <v>0</v>
      </c>
      <c r="H430" s="240">
        <f>LYON!K104</f>
        <v>0</v>
      </c>
      <c r="I430" s="240">
        <f>LYON!L104</f>
        <v>137.63999999999999</v>
      </c>
      <c r="J430" s="240">
        <f>LYON!M104</f>
        <v>0</v>
      </c>
      <c r="K430" s="240">
        <f>LYON!N104</f>
        <v>137.63999999999999</v>
      </c>
      <c r="L430" s="240">
        <f>LYON!O104</f>
        <v>0</v>
      </c>
      <c r="M430" s="240">
        <f>LYON!P104</f>
        <v>0</v>
      </c>
      <c r="N430" s="240">
        <f>LYON!Q104</f>
        <v>137.63999999999999</v>
      </c>
      <c r="O430" s="240">
        <f>LYON!R104</f>
        <v>0</v>
      </c>
      <c r="P430" s="240">
        <f>LYON!S104</f>
        <v>0</v>
      </c>
      <c r="Q430" s="240">
        <f>LYON!T104</f>
        <v>0</v>
      </c>
      <c r="R430" s="240">
        <f>LYON!U104</f>
        <v>0</v>
      </c>
      <c r="S430" s="245">
        <f t="shared" si="36"/>
        <v>544.97</v>
      </c>
    </row>
    <row r="431" spans="1:256" x14ac:dyDescent="0.2">
      <c r="A431" s="159">
        <v>615193</v>
      </c>
      <c r="B431" s="160" t="s">
        <v>118</v>
      </c>
      <c r="C431" s="148" t="s">
        <v>73</v>
      </c>
      <c r="D431" s="148" t="s">
        <v>191</v>
      </c>
      <c r="E431" s="240">
        <f>LYON!H105</f>
        <v>0</v>
      </c>
      <c r="F431" s="240">
        <f>LYON!I105</f>
        <v>0</v>
      </c>
      <c r="G431" s="240">
        <f>LYON!J105</f>
        <v>840.25</v>
      </c>
      <c r="H431" s="240">
        <f>LYON!K105</f>
        <v>482.99</v>
      </c>
      <c r="I431" s="240">
        <f>LYON!L105</f>
        <v>0</v>
      </c>
      <c r="J431" s="240">
        <f>LYON!M105</f>
        <v>0</v>
      </c>
      <c r="K431" s="240">
        <f>LYON!N105</f>
        <v>0</v>
      </c>
      <c r="L431" s="240">
        <f>LYON!O105</f>
        <v>0</v>
      </c>
      <c r="M431" s="240">
        <f>LYON!P105</f>
        <v>0</v>
      </c>
      <c r="N431" s="240">
        <f>LYON!Q105</f>
        <v>0</v>
      </c>
      <c r="O431" s="240">
        <f>LYON!R105</f>
        <v>0</v>
      </c>
      <c r="P431" s="240">
        <f>LYON!S105</f>
        <v>0</v>
      </c>
      <c r="Q431" s="240">
        <f>LYON!T105</f>
        <v>0</v>
      </c>
      <c r="R431" s="240">
        <f>LYON!U105</f>
        <v>0</v>
      </c>
      <c r="S431" s="245">
        <f t="shared" si="36"/>
        <v>1323.24</v>
      </c>
    </row>
    <row r="432" spans="1:256" x14ac:dyDescent="0.2">
      <c r="A432" s="159">
        <v>615193</v>
      </c>
      <c r="B432" s="160" t="s">
        <v>118</v>
      </c>
      <c r="C432" s="148" t="s">
        <v>73</v>
      </c>
      <c r="D432" s="148" t="s">
        <v>179</v>
      </c>
      <c r="E432" s="240">
        <f>LYON!H108</f>
        <v>0</v>
      </c>
      <c r="F432" s="240">
        <f>LYON!I108</f>
        <v>0</v>
      </c>
      <c r="G432" s="240">
        <f>LYON!J108</f>
        <v>0</v>
      </c>
      <c r="H432" s="240">
        <f>LYON!K108</f>
        <v>0</v>
      </c>
      <c r="I432" s="240">
        <f>LYON!L108</f>
        <v>430.58</v>
      </c>
      <c r="J432" s="240">
        <f>LYON!M108</f>
        <v>0</v>
      </c>
      <c r="K432" s="240">
        <f>LYON!N108</f>
        <v>0</v>
      </c>
      <c r="L432" s="240">
        <f>LYON!O108</f>
        <v>0</v>
      </c>
      <c r="M432" s="240">
        <f>LYON!P108</f>
        <v>0</v>
      </c>
      <c r="N432" s="240">
        <f>LYON!Q108</f>
        <v>0</v>
      </c>
      <c r="O432" s="240">
        <f>LYON!R108</f>
        <v>0</v>
      </c>
      <c r="P432" s="240">
        <f>LYON!S108</f>
        <v>0</v>
      </c>
      <c r="Q432" s="240">
        <f>LYON!T108</f>
        <v>0</v>
      </c>
      <c r="R432" s="240">
        <f>LYON!U108</f>
        <v>0</v>
      </c>
      <c r="S432" s="245">
        <f t="shared" si="36"/>
        <v>430.58</v>
      </c>
    </row>
    <row r="433" spans="1:256" x14ac:dyDescent="0.2">
      <c r="A433" s="159">
        <v>615193</v>
      </c>
      <c r="B433" s="160" t="s">
        <v>118</v>
      </c>
      <c r="C433" s="148" t="s">
        <v>73</v>
      </c>
      <c r="D433" s="148" t="s">
        <v>201</v>
      </c>
      <c r="E433" s="240">
        <f>LYON!H106</f>
        <v>0</v>
      </c>
      <c r="F433" s="240">
        <f>LYON!I106</f>
        <v>0</v>
      </c>
      <c r="G433" s="240">
        <f>LYON!J106</f>
        <v>0</v>
      </c>
      <c r="H433" s="240">
        <f>LYON!K106</f>
        <v>0</v>
      </c>
      <c r="I433" s="240">
        <f>LYON!L106</f>
        <v>23.94</v>
      </c>
      <c r="J433" s="240">
        <f>LYON!M106</f>
        <v>0</v>
      </c>
      <c r="K433" s="240">
        <f>LYON!N106</f>
        <v>0</v>
      </c>
      <c r="L433" s="240">
        <f>LYON!O106</f>
        <v>0</v>
      </c>
      <c r="M433" s="240">
        <f>LYON!P106</f>
        <v>0</v>
      </c>
      <c r="N433" s="240">
        <f>LYON!Q106</f>
        <v>0</v>
      </c>
      <c r="O433" s="240">
        <f>LYON!R106</f>
        <v>0</v>
      </c>
      <c r="P433" s="240">
        <f>LYON!S106</f>
        <v>0</v>
      </c>
      <c r="Q433" s="240">
        <f>LYON!T106</f>
        <v>0</v>
      </c>
      <c r="R433" s="240">
        <f>LYON!U106</f>
        <v>0</v>
      </c>
      <c r="S433" s="245">
        <f t="shared" si="36"/>
        <v>23.94</v>
      </c>
    </row>
    <row r="434" spans="1:256" x14ac:dyDescent="0.2">
      <c r="A434" s="159">
        <v>615193</v>
      </c>
      <c r="B434" s="160" t="s">
        <v>118</v>
      </c>
      <c r="C434" s="148" t="s">
        <v>73</v>
      </c>
      <c r="D434" s="148" t="s">
        <v>184</v>
      </c>
      <c r="E434" s="240">
        <f>LYON!H107</f>
        <v>0</v>
      </c>
      <c r="F434" s="240">
        <f>LYON!I107</f>
        <v>0</v>
      </c>
      <c r="G434" s="240">
        <f>LYON!J107</f>
        <v>0</v>
      </c>
      <c r="H434" s="240">
        <f>LYON!K107</f>
        <v>0</v>
      </c>
      <c r="I434" s="240">
        <f>LYON!L107</f>
        <v>502.37</v>
      </c>
      <c r="J434" s="240">
        <f>LYON!M107</f>
        <v>0</v>
      </c>
      <c r="K434" s="240">
        <f>LYON!N107</f>
        <v>0</v>
      </c>
      <c r="L434" s="240">
        <f>LYON!O107</f>
        <v>0</v>
      </c>
      <c r="M434" s="240">
        <f>LYON!P107</f>
        <v>0</v>
      </c>
      <c r="N434" s="240">
        <f>LYON!Q107</f>
        <v>0</v>
      </c>
      <c r="O434" s="240">
        <f>LYON!R107</f>
        <v>0</v>
      </c>
      <c r="P434" s="240">
        <f>LYON!S107</f>
        <v>0</v>
      </c>
      <c r="Q434" s="240">
        <f>LYON!T107</f>
        <v>0</v>
      </c>
      <c r="R434" s="240">
        <f>LYON!U107</f>
        <v>0</v>
      </c>
      <c r="S434" s="245">
        <f t="shared" si="36"/>
        <v>502.37</v>
      </c>
    </row>
    <row r="435" spans="1:256" x14ac:dyDescent="0.2">
      <c r="A435" s="159">
        <v>615193</v>
      </c>
      <c r="B435" s="160" t="s">
        <v>118</v>
      </c>
      <c r="C435" s="148" t="s">
        <v>73</v>
      </c>
      <c r="D435" s="148" t="s">
        <v>204</v>
      </c>
      <c r="E435" s="240"/>
      <c r="F435" s="240"/>
      <c r="G435" s="240"/>
      <c r="H435" s="240"/>
      <c r="I435" s="240"/>
      <c r="J435" s="240"/>
      <c r="K435" s="240"/>
      <c r="L435" s="240"/>
      <c r="M435" s="240"/>
      <c r="N435" s="240"/>
      <c r="O435" s="240"/>
      <c r="P435" s="240"/>
      <c r="Q435" s="240"/>
      <c r="R435" s="240"/>
      <c r="S435" s="242">
        <f>SUM(E435:Q435)</f>
        <v>0</v>
      </c>
    </row>
    <row r="436" spans="1:256" s="175" customFormat="1" x14ac:dyDescent="0.2">
      <c r="A436" s="270"/>
      <c r="B436" s="235"/>
      <c r="C436" s="148"/>
      <c r="D436" s="148"/>
      <c r="E436" s="240"/>
      <c r="F436" s="240"/>
      <c r="G436" s="240"/>
      <c r="H436" s="240"/>
      <c r="I436" s="240"/>
      <c r="J436" s="240"/>
      <c r="K436" s="240"/>
      <c r="L436" s="240"/>
      <c r="M436" s="240"/>
      <c r="N436" s="240"/>
      <c r="O436" s="240"/>
      <c r="P436" s="240"/>
      <c r="Q436" s="240"/>
      <c r="R436" s="240"/>
      <c r="S436" s="242">
        <f t="shared" si="36"/>
        <v>0</v>
      </c>
      <c r="T436" s="184"/>
      <c r="U436" s="332"/>
      <c r="W436" s="184"/>
      <c r="X436" s="184"/>
      <c r="Y436" s="184"/>
      <c r="Z436" s="184"/>
      <c r="AA436" s="184"/>
      <c r="AB436" s="184"/>
      <c r="AC436" s="184"/>
      <c r="AD436" s="184"/>
      <c r="AE436" s="184"/>
      <c r="AF436" s="184"/>
      <c r="AG436" s="184"/>
      <c r="AH436" s="184"/>
      <c r="AI436" s="184"/>
      <c r="AJ436" s="184"/>
      <c r="AK436" s="184"/>
      <c r="AL436" s="184"/>
      <c r="AM436" s="184"/>
      <c r="AN436" s="184"/>
      <c r="AO436" s="184"/>
      <c r="AP436" s="184"/>
      <c r="AQ436" s="184"/>
      <c r="AR436" s="184"/>
      <c r="AS436" s="184"/>
      <c r="AT436" s="184"/>
      <c r="AU436" s="184"/>
      <c r="AV436" s="184"/>
      <c r="AW436" s="184"/>
      <c r="AX436" s="184"/>
      <c r="AY436" s="184"/>
      <c r="AZ436" s="184"/>
      <c r="BA436" s="184"/>
      <c r="BB436" s="184"/>
      <c r="BC436" s="184"/>
      <c r="BD436" s="184"/>
      <c r="BE436" s="184"/>
      <c r="BF436" s="184"/>
      <c r="BG436" s="184"/>
      <c r="BH436" s="184"/>
      <c r="BI436" s="184"/>
      <c r="BJ436" s="184"/>
      <c r="BK436" s="184"/>
      <c r="BL436" s="184"/>
      <c r="BM436" s="184"/>
      <c r="BN436" s="184"/>
      <c r="BO436" s="184"/>
      <c r="BP436" s="184"/>
      <c r="BQ436" s="184"/>
      <c r="BR436" s="184"/>
      <c r="BS436" s="184"/>
      <c r="BT436" s="184"/>
      <c r="BU436" s="184"/>
      <c r="BV436" s="184"/>
      <c r="BW436" s="184"/>
      <c r="BX436" s="184"/>
      <c r="BY436" s="184"/>
      <c r="BZ436" s="184"/>
      <c r="CA436" s="184"/>
      <c r="CB436" s="184"/>
      <c r="CC436" s="184"/>
      <c r="CD436" s="184"/>
      <c r="CE436" s="184"/>
      <c r="CF436" s="184"/>
      <c r="CG436" s="184"/>
      <c r="CH436" s="184"/>
      <c r="CI436" s="184"/>
      <c r="CJ436" s="184"/>
      <c r="CK436" s="184"/>
      <c r="CL436" s="184"/>
      <c r="CM436" s="184"/>
      <c r="CN436" s="184"/>
      <c r="CO436" s="184"/>
      <c r="CP436" s="184"/>
      <c r="CQ436" s="184"/>
      <c r="CR436" s="184"/>
      <c r="CS436" s="184"/>
      <c r="CT436" s="184"/>
      <c r="CU436" s="184"/>
      <c r="CV436" s="184"/>
      <c r="CW436" s="184"/>
      <c r="CX436" s="184"/>
      <c r="CY436" s="184"/>
      <c r="CZ436" s="184"/>
      <c r="DA436" s="184"/>
      <c r="DB436" s="184"/>
      <c r="DC436" s="184"/>
      <c r="DD436" s="184"/>
      <c r="DE436" s="184"/>
      <c r="DF436" s="184"/>
      <c r="DG436" s="184"/>
      <c r="DH436" s="184"/>
      <c r="DI436" s="184"/>
      <c r="DJ436" s="184"/>
      <c r="DK436" s="184"/>
      <c r="DL436" s="184"/>
      <c r="DM436" s="184"/>
      <c r="DN436" s="184"/>
      <c r="DO436" s="184"/>
      <c r="DP436" s="184"/>
      <c r="DQ436" s="184"/>
      <c r="DR436" s="184"/>
      <c r="DS436" s="184"/>
      <c r="DT436" s="184"/>
      <c r="DU436" s="184"/>
      <c r="DV436" s="184"/>
      <c r="DW436" s="184"/>
      <c r="DX436" s="184"/>
      <c r="DY436" s="184"/>
      <c r="DZ436" s="184"/>
      <c r="EA436" s="184"/>
      <c r="EB436" s="184"/>
      <c r="EC436" s="184"/>
      <c r="ED436" s="184"/>
      <c r="EE436" s="184"/>
      <c r="EF436" s="184"/>
      <c r="EG436" s="184"/>
      <c r="EH436" s="184"/>
      <c r="EI436" s="184"/>
      <c r="EJ436" s="184"/>
      <c r="EK436" s="184"/>
      <c r="EL436" s="184"/>
      <c r="EM436" s="184"/>
      <c r="EN436" s="184"/>
      <c r="EO436" s="184"/>
      <c r="EP436" s="184"/>
      <c r="EQ436" s="184"/>
      <c r="ER436" s="184"/>
      <c r="ES436" s="184"/>
      <c r="ET436" s="184"/>
      <c r="EU436" s="184"/>
      <c r="EV436" s="184"/>
      <c r="EW436" s="184"/>
      <c r="EX436" s="184"/>
      <c r="EY436" s="184"/>
      <c r="EZ436" s="184"/>
      <c r="FA436" s="184"/>
      <c r="FB436" s="184"/>
      <c r="FC436" s="184"/>
      <c r="FD436" s="184"/>
      <c r="FE436" s="184"/>
      <c r="FF436" s="184"/>
      <c r="FG436" s="184"/>
      <c r="FH436" s="184"/>
      <c r="FI436" s="184"/>
      <c r="FJ436" s="184"/>
      <c r="FK436" s="184"/>
      <c r="FL436" s="184"/>
      <c r="FM436" s="184"/>
      <c r="FN436" s="184"/>
      <c r="FO436" s="184"/>
      <c r="FP436" s="184"/>
      <c r="FQ436" s="184"/>
      <c r="FR436" s="184"/>
      <c r="FS436" s="184"/>
      <c r="FT436" s="184"/>
      <c r="FU436" s="184"/>
      <c r="FV436" s="184"/>
      <c r="FW436" s="184"/>
      <c r="FX436" s="184"/>
      <c r="FY436" s="184"/>
      <c r="FZ436" s="184"/>
      <c r="GA436" s="184"/>
      <c r="GB436" s="184"/>
      <c r="GC436" s="184"/>
      <c r="GD436" s="184"/>
      <c r="GE436" s="184"/>
      <c r="GF436" s="184"/>
      <c r="GG436" s="184"/>
      <c r="GH436" s="184"/>
      <c r="GI436" s="184"/>
      <c r="GJ436" s="184"/>
      <c r="GK436" s="184"/>
      <c r="GL436" s="184"/>
      <c r="GM436" s="184"/>
      <c r="GN436" s="184"/>
      <c r="GO436" s="184"/>
      <c r="GP436" s="184"/>
      <c r="GQ436" s="184"/>
      <c r="GR436" s="184"/>
      <c r="GS436" s="184"/>
      <c r="GT436" s="184"/>
      <c r="GU436" s="184"/>
      <c r="GV436" s="184"/>
      <c r="GW436" s="184"/>
      <c r="GX436" s="184"/>
      <c r="GY436" s="184"/>
      <c r="GZ436" s="184"/>
      <c r="HA436" s="184"/>
      <c r="HB436" s="184"/>
      <c r="HC436" s="184"/>
      <c r="HD436" s="184"/>
      <c r="HE436" s="184"/>
      <c r="HF436" s="184"/>
      <c r="HG436" s="184"/>
      <c r="HH436" s="184"/>
      <c r="HI436" s="184"/>
      <c r="HJ436" s="184"/>
      <c r="HK436" s="184"/>
      <c r="HL436" s="184"/>
      <c r="HM436" s="184"/>
      <c r="HN436" s="184"/>
      <c r="HO436" s="184"/>
      <c r="HP436" s="184"/>
      <c r="HQ436" s="184"/>
      <c r="HR436" s="184"/>
      <c r="HS436" s="184"/>
      <c r="HT436" s="184"/>
      <c r="HU436" s="184"/>
      <c r="HV436" s="184"/>
      <c r="HW436" s="184"/>
      <c r="HX436" s="184"/>
      <c r="HY436" s="184"/>
      <c r="HZ436" s="184"/>
      <c r="IA436" s="184"/>
      <c r="IB436" s="184"/>
      <c r="IC436" s="184"/>
      <c r="ID436" s="184"/>
      <c r="IE436" s="184"/>
      <c r="IF436" s="184"/>
      <c r="IG436" s="184"/>
      <c r="IH436" s="184"/>
      <c r="II436" s="184"/>
      <c r="IJ436" s="184"/>
      <c r="IK436" s="184"/>
      <c r="IL436" s="184"/>
      <c r="IM436" s="184"/>
      <c r="IN436" s="184"/>
      <c r="IO436" s="184"/>
      <c r="IP436" s="184"/>
      <c r="IQ436" s="184"/>
      <c r="IR436" s="184"/>
      <c r="IS436" s="184"/>
      <c r="IT436" s="184"/>
      <c r="IU436" s="184"/>
      <c r="IV436" s="184"/>
    </row>
    <row r="437" spans="1:256" x14ac:dyDescent="0.2">
      <c r="A437" s="159">
        <v>615193</v>
      </c>
      <c r="B437" s="160" t="s">
        <v>118</v>
      </c>
      <c r="C437" s="148" t="s">
        <v>67</v>
      </c>
      <c r="D437" s="148" t="s">
        <v>192</v>
      </c>
      <c r="E437" s="240">
        <f>BORDEAUX!H118</f>
        <v>0</v>
      </c>
      <c r="F437" s="240">
        <f>BORDEAUX!I118</f>
        <v>0</v>
      </c>
      <c r="G437" s="240">
        <f>BORDEAUX!J118</f>
        <v>0</v>
      </c>
      <c r="H437" s="240">
        <f>BORDEAUX!K118</f>
        <v>0</v>
      </c>
      <c r="I437" s="240">
        <f>BORDEAUX!L118</f>
        <v>0</v>
      </c>
      <c r="J437" s="240">
        <f>BORDEAUX!M118</f>
        <v>0</v>
      </c>
      <c r="K437" s="240">
        <f>BORDEAUX!N118</f>
        <v>0</v>
      </c>
      <c r="L437" s="240">
        <f>BORDEAUX!O118</f>
        <v>0</v>
      </c>
      <c r="M437" s="240">
        <f>BORDEAUX!P118</f>
        <v>0</v>
      </c>
      <c r="N437" s="240">
        <f>BORDEAUX!Q118</f>
        <v>0</v>
      </c>
      <c r="O437" s="240">
        <f>BORDEAUX!R118</f>
        <v>0</v>
      </c>
      <c r="P437" s="240">
        <f>BORDEAUX!S118</f>
        <v>0</v>
      </c>
      <c r="Q437" s="240">
        <f>BORDEAUX!T118</f>
        <v>0</v>
      </c>
      <c r="R437" s="240">
        <f>BORDEAUX!U118</f>
        <v>0</v>
      </c>
      <c r="S437" s="242">
        <f t="shared" si="36"/>
        <v>0</v>
      </c>
    </row>
    <row r="438" spans="1:256" x14ac:dyDescent="0.2">
      <c r="A438" s="159">
        <v>615193</v>
      </c>
      <c r="B438" s="160" t="s">
        <v>118</v>
      </c>
      <c r="C438" s="148" t="s">
        <v>67</v>
      </c>
      <c r="D438" s="148" t="s">
        <v>243</v>
      </c>
      <c r="E438" s="240">
        <f>+BORDEAUX!H110</f>
        <v>0</v>
      </c>
      <c r="F438" s="240">
        <f>+BORDEAUX!I110</f>
        <v>0</v>
      </c>
      <c r="G438" s="240">
        <f>+BORDEAUX!J110</f>
        <v>0</v>
      </c>
      <c r="H438" s="240">
        <f>+BORDEAUX!K110</f>
        <v>0</v>
      </c>
      <c r="I438" s="240">
        <f>+BORDEAUX!L110</f>
        <v>0</v>
      </c>
      <c r="J438" s="240">
        <f>+BORDEAUX!M110</f>
        <v>0</v>
      </c>
      <c r="K438" s="240">
        <f>+BORDEAUX!N110</f>
        <v>0</v>
      </c>
      <c r="L438" s="240">
        <f>+BORDEAUX!O110</f>
        <v>0</v>
      </c>
      <c r="M438" s="240">
        <f>+BORDEAUX!P110</f>
        <v>0</v>
      </c>
      <c r="N438" s="240">
        <f>+BORDEAUX!Q110</f>
        <v>0</v>
      </c>
      <c r="O438" s="240">
        <f>+BORDEAUX!R110</f>
        <v>0</v>
      </c>
      <c r="P438" s="240">
        <f>+BORDEAUX!S110</f>
        <v>0</v>
      </c>
      <c r="Q438" s="240">
        <f>+BORDEAUX!T110</f>
        <v>0</v>
      </c>
      <c r="R438" s="240">
        <f>+BORDEAUX!U110</f>
        <v>0</v>
      </c>
      <c r="S438" s="242">
        <f t="shared" si="36"/>
        <v>0</v>
      </c>
    </row>
    <row r="439" spans="1:256" x14ac:dyDescent="0.2">
      <c r="A439" s="159">
        <v>615193</v>
      </c>
      <c r="B439" s="160" t="s">
        <v>118</v>
      </c>
      <c r="C439" s="148" t="s">
        <v>67</v>
      </c>
      <c r="D439" s="148" t="s">
        <v>189</v>
      </c>
      <c r="E439" s="240">
        <f>BORDEAUX!H109</f>
        <v>-50.96</v>
      </c>
      <c r="F439" s="240">
        <f>BORDEAUX!I109</f>
        <v>0</v>
      </c>
      <c r="G439" s="240">
        <f>BORDEAUX!J109</f>
        <v>20.399999999999999</v>
      </c>
      <c r="H439" s="240">
        <f>BORDEAUX!K109</f>
        <v>0</v>
      </c>
      <c r="I439" s="240">
        <f>BORDEAUX!L109</f>
        <v>0</v>
      </c>
      <c r="J439" s="240">
        <f>BORDEAUX!M109</f>
        <v>91.76</v>
      </c>
      <c r="K439" s="240">
        <f>BORDEAUX!N109</f>
        <v>0</v>
      </c>
      <c r="L439" s="240">
        <f>BORDEAUX!O109</f>
        <v>0</v>
      </c>
      <c r="M439" s="240">
        <f>BORDEAUX!P109</f>
        <v>91.76</v>
      </c>
      <c r="N439" s="240">
        <f>BORDEAUX!Q109</f>
        <v>0</v>
      </c>
      <c r="O439" s="240">
        <f>BORDEAUX!R109</f>
        <v>0</v>
      </c>
      <c r="P439" s="240">
        <f>BORDEAUX!S109</f>
        <v>91.76</v>
      </c>
      <c r="Q439" s="240">
        <f>BORDEAUX!T109</f>
        <v>0</v>
      </c>
      <c r="R439" s="240">
        <f>BORDEAUX!U109</f>
        <v>0</v>
      </c>
      <c r="S439" s="242">
        <f t="shared" si="36"/>
        <v>244.72000000000003</v>
      </c>
    </row>
    <row r="440" spans="1:256" x14ac:dyDescent="0.2">
      <c r="A440" s="159">
        <v>615193</v>
      </c>
      <c r="B440" s="160" t="s">
        <v>118</v>
      </c>
      <c r="C440" s="148" t="s">
        <v>67</v>
      </c>
      <c r="D440" s="148" t="s">
        <v>191</v>
      </c>
      <c r="E440" s="240">
        <f>BORDEAUX!H111</f>
        <v>0</v>
      </c>
      <c r="F440" s="240">
        <f>BORDEAUX!I111</f>
        <v>0</v>
      </c>
      <c r="G440" s="240">
        <f>BORDEAUX!J111</f>
        <v>0</v>
      </c>
      <c r="H440" s="240">
        <f>BORDEAUX!K111</f>
        <v>0</v>
      </c>
      <c r="I440" s="240">
        <f>BORDEAUX!L111</f>
        <v>1531.22</v>
      </c>
      <c r="J440" s="240">
        <f>BORDEAUX!M111</f>
        <v>0</v>
      </c>
      <c r="K440" s="240">
        <f>BORDEAUX!N111</f>
        <v>0</v>
      </c>
      <c r="L440" s="240">
        <f>BORDEAUX!O111</f>
        <v>0</v>
      </c>
      <c r="M440" s="240">
        <f>BORDEAUX!P111</f>
        <v>0</v>
      </c>
      <c r="N440" s="240">
        <f>BORDEAUX!Q111</f>
        <v>0</v>
      </c>
      <c r="O440" s="240">
        <f>BORDEAUX!R111</f>
        <v>0</v>
      </c>
      <c r="P440" s="240">
        <f>BORDEAUX!S111</f>
        <v>0</v>
      </c>
      <c r="Q440" s="240">
        <f>BORDEAUX!T111</f>
        <v>0</v>
      </c>
      <c r="R440" s="240">
        <f>BORDEAUX!U111</f>
        <v>0</v>
      </c>
      <c r="S440" s="242">
        <f t="shared" si="36"/>
        <v>1531.22</v>
      </c>
    </row>
    <row r="441" spans="1:256" x14ac:dyDescent="0.2">
      <c r="A441" s="159">
        <v>615193</v>
      </c>
      <c r="B441" s="160" t="s">
        <v>118</v>
      </c>
      <c r="C441" s="148" t="s">
        <v>67</v>
      </c>
      <c r="D441" s="148" t="s">
        <v>201</v>
      </c>
      <c r="E441" s="240">
        <f>BORDEAUX!H112</f>
        <v>0</v>
      </c>
      <c r="F441" s="240">
        <f>BORDEAUX!I112</f>
        <v>0</v>
      </c>
      <c r="G441" s="240">
        <f>BORDEAUX!J112</f>
        <v>0</v>
      </c>
      <c r="H441" s="240">
        <f>BORDEAUX!K112</f>
        <v>0</v>
      </c>
      <c r="I441" s="240">
        <f>BORDEAUX!L112</f>
        <v>0</v>
      </c>
      <c r="J441" s="240">
        <f>BORDEAUX!M112</f>
        <v>0</v>
      </c>
      <c r="K441" s="240">
        <f>BORDEAUX!N112</f>
        <v>0</v>
      </c>
      <c r="L441" s="240">
        <f>BORDEAUX!O112</f>
        <v>0</v>
      </c>
      <c r="M441" s="240">
        <f>BORDEAUX!P112</f>
        <v>0</v>
      </c>
      <c r="N441" s="240">
        <f>BORDEAUX!Q112</f>
        <v>0</v>
      </c>
      <c r="O441" s="240">
        <f>BORDEAUX!R112</f>
        <v>0</v>
      </c>
      <c r="P441" s="240">
        <f>BORDEAUX!S112</f>
        <v>0</v>
      </c>
      <c r="Q441" s="240">
        <f>BORDEAUX!T112</f>
        <v>0</v>
      </c>
      <c r="R441" s="240">
        <f>BORDEAUX!U112</f>
        <v>0</v>
      </c>
      <c r="S441" s="242">
        <f t="shared" si="36"/>
        <v>0</v>
      </c>
    </row>
    <row r="442" spans="1:256" x14ac:dyDescent="0.2">
      <c r="A442" s="159">
        <v>615193</v>
      </c>
      <c r="B442" s="160" t="s">
        <v>118</v>
      </c>
      <c r="C442" s="148" t="s">
        <v>67</v>
      </c>
      <c r="D442" s="148" t="s">
        <v>179</v>
      </c>
      <c r="E442" s="240">
        <f>SUM(BORDEAUX!H114:H117)</f>
        <v>-25.48</v>
      </c>
      <c r="F442" s="240">
        <f>SUM(BORDEAUX!I114:I117)</f>
        <v>0</v>
      </c>
      <c r="G442" s="240">
        <f>SUM(BORDEAUX!J114:J117)</f>
        <v>727.6</v>
      </c>
      <c r="H442" s="240">
        <f>SUM(BORDEAUX!K114:K117)</f>
        <v>0</v>
      </c>
      <c r="I442" s="240">
        <f>SUM(BORDEAUX!L114:L117)</f>
        <v>0</v>
      </c>
      <c r="J442" s="240">
        <f>SUM(BORDEAUX!M114:M117)</f>
        <v>509.96</v>
      </c>
      <c r="K442" s="240">
        <f>SUM(BORDEAUX!N114:N117)</f>
        <v>0</v>
      </c>
      <c r="L442" s="240">
        <f>SUM(BORDEAUX!O114:O117)</f>
        <v>0</v>
      </c>
      <c r="M442" s="240">
        <f>SUM(BORDEAUX!P114:P117)</f>
        <v>0</v>
      </c>
      <c r="N442" s="240">
        <f>SUM(BORDEAUX!Q114:Q117)</f>
        <v>0</v>
      </c>
      <c r="O442" s="240">
        <f>SUM(BORDEAUX!R114:R117)</f>
        <v>1122.8800000000001</v>
      </c>
      <c r="P442" s="240">
        <f>SUM(BORDEAUX!S114:S117)</f>
        <v>6177.08</v>
      </c>
      <c r="Q442" s="240">
        <f>SUM(BORDEAUX!T114:T117)</f>
        <v>0</v>
      </c>
      <c r="R442" s="240">
        <f>SUM(BORDEAUX!U114:U117)</f>
        <v>0</v>
      </c>
      <c r="S442" s="242">
        <f t="shared" si="36"/>
        <v>8512.0400000000009</v>
      </c>
    </row>
    <row r="443" spans="1:256" x14ac:dyDescent="0.2">
      <c r="A443" s="159">
        <v>615193</v>
      </c>
      <c r="B443" s="160" t="s">
        <v>118</v>
      </c>
      <c r="C443" s="148" t="s">
        <v>67</v>
      </c>
      <c r="D443" s="148" t="s">
        <v>184</v>
      </c>
      <c r="E443" s="240">
        <f>BORDEAUX!H113</f>
        <v>0</v>
      </c>
      <c r="F443" s="240">
        <f>BORDEAUX!I113</f>
        <v>0</v>
      </c>
      <c r="G443" s="240">
        <f>BORDEAUX!J113</f>
        <v>0</v>
      </c>
      <c r="H443" s="240">
        <f>BORDEAUX!K113</f>
        <v>0</v>
      </c>
      <c r="I443" s="240">
        <f>BORDEAUX!L113</f>
        <v>0</v>
      </c>
      <c r="J443" s="240">
        <f>BORDEAUX!M113</f>
        <v>0</v>
      </c>
      <c r="K443" s="240">
        <f>BORDEAUX!N113</f>
        <v>0</v>
      </c>
      <c r="L443" s="240">
        <f>BORDEAUX!O113</f>
        <v>0</v>
      </c>
      <c r="M443" s="240">
        <f>BORDEAUX!P113</f>
        <v>0</v>
      </c>
      <c r="N443" s="240">
        <f>BORDEAUX!Q113</f>
        <v>0</v>
      </c>
      <c r="O443" s="240">
        <f>BORDEAUX!R113</f>
        <v>0</v>
      </c>
      <c r="P443" s="240">
        <f>BORDEAUX!S113</f>
        <v>0</v>
      </c>
      <c r="Q443" s="240">
        <f>BORDEAUX!T113</f>
        <v>0</v>
      </c>
      <c r="R443" s="240">
        <f>BORDEAUX!U113</f>
        <v>0</v>
      </c>
      <c r="S443" s="242">
        <f t="shared" si="36"/>
        <v>0</v>
      </c>
    </row>
    <row r="444" spans="1:256" s="175" customFormat="1" x14ac:dyDescent="0.2">
      <c r="A444" s="270"/>
      <c r="B444" s="235"/>
      <c r="C444" s="148"/>
      <c r="D444" s="148"/>
      <c r="E444" s="240"/>
      <c r="F444" s="240"/>
      <c r="G444" s="240"/>
      <c r="H444" s="240"/>
      <c r="I444" s="240"/>
      <c r="J444" s="240"/>
      <c r="K444" s="240"/>
      <c r="L444" s="240"/>
      <c r="M444" s="240"/>
      <c r="N444" s="240"/>
      <c r="O444" s="240"/>
      <c r="P444" s="240"/>
      <c r="Q444" s="240"/>
      <c r="R444" s="240"/>
      <c r="S444" s="245"/>
      <c r="T444" s="184"/>
      <c r="U444" s="332"/>
      <c r="W444" s="184"/>
      <c r="X444" s="184"/>
      <c r="Y444" s="184"/>
      <c r="Z444" s="184"/>
      <c r="AA444" s="184"/>
      <c r="AB444" s="184"/>
      <c r="AC444" s="184"/>
      <c r="AD444" s="184"/>
      <c r="AE444" s="184"/>
      <c r="AF444" s="184"/>
      <c r="AG444" s="184"/>
      <c r="AH444" s="184"/>
      <c r="AI444" s="184"/>
      <c r="AJ444" s="184"/>
      <c r="AK444" s="184"/>
      <c r="AL444" s="184"/>
      <c r="AM444" s="184"/>
      <c r="AN444" s="184"/>
      <c r="AO444" s="184"/>
      <c r="AP444" s="184"/>
      <c r="AQ444" s="184"/>
      <c r="AR444" s="184"/>
      <c r="AS444" s="184"/>
      <c r="AT444" s="184"/>
      <c r="AU444" s="184"/>
      <c r="AV444" s="184"/>
      <c r="AW444" s="184"/>
      <c r="AX444" s="184"/>
      <c r="AY444" s="184"/>
      <c r="AZ444" s="184"/>
      <c r="BA444" s="184"/>
      <c r="BB444" s="184"/>
      <c r="BC444" s="184"/>
      <c r="BD444" s="184"/>
      <c r="BE444" s="184"/>
      <c r="BF444" s="184"/>
      <c r="BG444" s="184"/>
      <c r="BH444" s="184"/>
      <c r="BI444" s="184"/>
      <c r="BJ444" s="184"/>
      <c r="BK444" s="184"/>
      <c r="BL444" s="184"/>
      <c r="BM444" s="184"/>
      <c r="BN444" s="184"/>
      <c r="BO444" s="184"/>
      <c r="BP444" s="184"/>
      <c r="BQ444" s="184"/>
      <c r="BR444" s="184"/>
      <c r="BS444" s="184"/>
      <c r="BT444" s="184"/>
      <c r="BU444" s="184"/>
      <c r="BV444" s="184"/>
      <c r="BW444" s="184"/>
      <c r="BX444" s="184"/>
      <c r="BY444" s="184"/>
      <c r="BZ444" s="184"/>
      <c r="CA444" s="184"/>
      <c r="CB444" s="184"/>
      <c r="CC444" s="184"/>
      <c r="CD444" s="184"/>
      <c r="CE444" s="184"/>
      <c r="CF444" s="184"/>
      <c r="CG444" s="184"/>
      <c r="CH444" s="184"/>
      <c r="CI444" s="184"/>
      <c r="CJ444" s="184"/>
      <c r="CK444" s="184"/>
      <c r="CL444" s="184"/>
      <c r="CM444" s="184"/>
      <c r="CN444" s="184"/>
      <c r="CO444" s="184"/>
      <c r="CP444" s="184"/>
      <c r="CQ444" s="184"/>
      <c r="CR444" s="184"/>
      <c r="CS444" s="184"/>
      <c r="CT444" s="184"/>
      <c r="CU444" s="184"/>
      <c r="CV444" s="184"/>
      <c r="CW444" s="184"/>
      <c r="CX444" s="184"/>
      <c r="CY444" s="184"/>
      <c r="CZ444" s="184"/>
      <c r="DA444" s="184"/>
      <c r="DB444" s="184"/>
      <c r="DC444" s="184"/>
      <c r="DD444" s="184"/>
      <c r="DE444" s="184"/>
      <c r="DF444" s="184"/>
      <c r="DG444" s="184"/>
      <c r="DH444" s="184"/>
      <c r="DI444" s="184"/>
      <c r="DJ444" s="184"/>
      <c r="DK444" s="184"/>
      <c r="DL444" s="184"/>
      <c r="DM444" s="184"/>
      <c r="DN444" s="184"/>
      <c r="DO444" s="184"/>
      <c r="DP444" s="184"/>
      <c r="DQ444" s="184"/>
      <c r="DR444" s="184"/>
      <c r="DS444" s="184"/>
      <c r="DT444" s="184"/>
      <c r="DU444" s="184"/>
      <c r="DV444" s="184"/>
      <c r="DW444" s="184"/>
      <c r="DX444" s="184"/>
      <c r="DY444" s="184"/>
      <c r="DZ444" s="184"/>
      <c r="EA444" s="184"/>
      <c r="EB444" s="184"/>
      <c r="EC444" s="184"/>
      <c r="ED444" s="184"/>
      <c r="EE444" s="184"/>
      <c r="EF444" s="184"/>
      <c r="EG444" s="184"/>
      <c r="EH444" s="184"/>
      <c r="EI444" s="184"/>
      <c r="EJ444" s="184"/>
      <c r="EK444" s="184"/>
      <c r="EL444" s="184"/>
      <c r="EM444" s="184"/>
      <c r="EN444" s="184"/>
      <c r="EO444" s="184"/>
      <c r="EP444" s="184"/>
      <c r="EQ444" s="184"/>
      <c r="ER444" s="184"/>
      <c r="ES444" s="184"/>
      <c r="ET444" s="184"/>
      <c r="EU444" s="184"/>
      <c r="EV444" s="184"/>
      <c r="EW444" s="184"/>
      <c r="EX444" s="184"/>
      <c r="EY444" s="184"/>
      <c r="EZ444" s="184"/>
      <c r="FA444" s="184"/>
      <c r="FB444" s="184"/>
      <c r="FC444" s="184"/>
      <c r="FD444" s="184"/>
      <c r="FE444" s="184"/>
      <c r="FF444" s="184"/>
      <c r="FG444" s="184"/>
      <c r="FH444" s="184"/>
      <c r="FI444" s="184"/>
      <c r="FJ444" s="184"/>
      <c r="FK444" s="184"/>
      <c r="FL444" s="184"/>
      <c r="FM444" s="184"/>
      <c r="FN444" s="184"/>
      <c r="FO444" s="184"/>
      <c r="FP444" s="184"/>
      <c r="FQ444" s="184"/>
      <c r="FR444" s="184"/>
      <c r="FS444" s="184"/>
      <c r="FT444" s="184"/>
      <c r="FU444" s="184"/>
      <c r="FV444" s="184"/>
      <c r="FW444" s="184"/>
      <c r="FX444" s="184"/>
      <c r="FY444" s="184"/>
      <c r="FZ444" s="184"/>
      <c r="GA444" s="184"/>
      <c r="GB444" s="184"/>
      <c r="GC444" s="184"/>
      <c r="GD444" s="184"/>
      <c r="GE444" s="184"/>
      <c r="GF444" s="184"/>
      <c r="GG444" s="184"/>
      <c r="GH444" s="184"/>
      <c r="GI444" s="184"/>
      <c r="GJ444" s="184"/>
      <c r="GK444" s="184"/>
      <c r="GL444" s="184"/>
      <c r="GM444" s="184"/>
      <c r="GN444" s="184"/>
      <c r="GO444" s="184"/>
      <c r="GP444" s="184"/>
      <c r="GQ444" s="184"/>
      <c r="GR444" s="184"/>
      <c r="GS444" s="184"/>
      <c r="GT444" s="184"/>
      <c r="GU444" s="184"/>
      <c r="GV444" s="184"/>
      <c r="GW444" s="184"/>
      <c r="GX444" s="184"/>
      <c r="GY444" s="184"/>
      <c r="GZ444" s="184"/>
      <c r="HA444" s="184"/>
      <c r="HB444" s="184"/>
      <c r="HC444" s="184"/>
      <c r="HD444" s="184"/>
      <c r="HE444" s="184"/>
      <c r="HF444" s="184"/>
      <c r="HG444" s="184"/>
      <c r="HH444" s="184"/>
      <c r="HI444" s="184"/>
      <c r="HJ444" s="184"/>
      <c r="HK444" s="184"/>
      <c r="HL444" s="184"/>
      <c r="HM444" s="184"/>
      <c r="HN444" s="184"/>
      <c r="HO444" s="184"/>
      <c r="HP444" s="184"/>
      <c r="HQ444" s="184"/>
      <c r="HR444" s="184"/>
      <c r="HS444" s="184"/>
      <c r="HT444" s="184"/>
      <c r="HU444" s="184"/>
      <c r="HV444" s="184"/>
      <c r="HW444" s="184"/>
      <c r="HX444" s="184"/>
      <c r="HY444" s="184"/>
      <c r="HZ444" s="184"/>
      <c r="IA444" s="184"/>
      <c r="IB444" s="184"/>
      <c r="IC444" s="184"/>
      <c r="ID444" s="184"/>
      <c r="IE444" s="184"/>
      <c r="IF444" s="184"/>
      <c r="IG444" s="184"/>
      <c r="IH444" s="184"/>
      <c r="II444" s="184"/>
      <c r="IJ444" s="184"/>
      <c r="IK444" s="184"/>
      <c r="IL444" s="184"/>
      <c r="IM444" s="184"/>
      <c r="IN444" s="184"/>
      <c r="IO444" s="184"/>
      <c r="IP444" s="184"/>
      <c r="IQ444" s="184"/>
      <c r="IR444" s="184"/>
      <c r="IS444" s="184"/>
      <c r="IT444" s="184"/>
      <c r="IU444" s="184"/>
      <c r="IV444" s="184"/>
    </row>
    <row r="445" spans="1:256" x14ac:dyDescent="0.2">
      <c r="A445" s="159">
        <v>615193</v>
      </c>
      <c r="B445" s="160" t="s">
        <v>118</v>
      </c>
      <c r="C445" s="148" t="s">
        <v>62</v>
      </c>
      <c r="D445" s="148" t="s">
        <v>192</v>
      </c>
      <c r="E445" s="240">
        <f>+NANCY!H69</f>
        <v>0</v>
      </c>
      <c r="F445" s="240">
        <f>+NANCY!I69</f>
        <v>0</v>
      </c>
      <c r="G445" s="240">
        <f>+NANCY!J69</f>
        <v>0</v>
      </c>
      <c r="H445" s="240">
        <f>+NANCY!K69</f>
        <v>0</v>
      </c>
      <c r="I445" s="240">
        <f>+NANCY!L69</f>
        <v>0</v>
      </c>
      <c r="J445" s="240">
        <f>+NANCY!M69</f>
        <v>0</v>
      </c>
      <c r="K445" s="240">
        <f>+NANCY!N69</f>
        <v>0</v>
      </c>
      <c r="L445" s="240">
        <f>+NANCY!O69</f>
        <v>0</v>
      </c>
      <c r="M445" s="240">
        <f>+NANCY!P69</f>
        <v>0</v>
      </c>
      <c r="N445" s="240">
        <f>+NANCY!Q69</f>
        <v>0</v>
      </c>
      <c r="O445" s="240">
        <f>+NANCY!R69</f>
        <v>0</v>
      </c>
      <c r="P445" s="240">
        <f>+NANCY!S69</f>
        <v>0</v>
      </c>
      <c r="Q445" s="240">
        <f>+NANCY!T69</f>
        <v>0</v>
      </c>
      <c r="R445" s="240">
        <f>+NANCY!U69</f>
        <v>0</v>
      </c>
      <c r="S445" s="242">
        <f t="shared" ref="S445:S450" si="37">SUM(E445:Q445)</f>
        <v>0</v>
      </c>
    </row>
    <row r="446" spans="1:256" x14ac:dyDescent="0.2">
      <c r="A446" s="159">
        <v>615193</v>
      </c>
      <c r="B446" s="160" t="s">
        <v>118</v>
      </c>
      <c r="C446" s="148" t="s">
        <v>62</v>
      </c>
      <c r="D446" s="148" t="s">
        <v>189</v>
      </c>
      <c r="E446" s="240">
        <f>NANCY!H65</f>
        <v>0</v>
      </c>
      <c r="F446" s="240">
        <f>NANCY!I65</f>
        <v>0</v>
      </c>
      <c r="G446" s="240">
        <f>NANCY!J65</f>
        <v>0</v>
      </c>
      <c r="H446" s="240">
        <f>NANCY!K65</f>
        <v>130.22999999999999</v>
      </c>
      <c r="I446" s="240">
        <f>NANCY!L65</f>
        <v>0</v>
      </c>
      <c r="J446" s="240">
        <f>NANCY!M65</f>
        <v>0</v>
      </c>
      <c r="K446" s="240">
        <f>NANCY!N65</f>
        <v>130.22999999999999</v>
      </c>
      <c r="L446" s="240">
        <f>NANCY!O65</f>
        <v>0</v>
      </c>
      <c r="M446" s="240">
        <f>NANCY!P65</f>
        <v>0</v>
      </c>
      <c r="N446" s="240">
        <f>NANCY!Q65</f>
        <v>130.22999999999999</v>
      </c>
      <c r="O446" s="240">
        <f>NANCY!R65</f>
        <v>45</v>
      </c>
      <c r="P446" s="240">
        <f>NANCY!S65</f>
        <v>45</v>
      </c>
      <c r="Q446" s="240">
        <f>NANCY!T65</f>
        <v>0</v>
      </c>
      <c r="R446" s="240">
        <f>NANCY!U65</f>
        <v>0</v>
      </c>
      <c r="S446" s="242">
        <f t="shared" si="37"/>
        <v>480.68999999999994</v>
      </c>
    </row>
    <row r="447" spans="1:256" x14ac:dyDescent="0.2">
      <c r="A447" s="159">
        <v>615193</v>
      </c>
      <c r="B447" s="160" t="s">
        <v>118</v>
      </c>
      <c r="C447" s="148" t="s">
        <v>62</v>
      </c>
      <c r="D447" s="148" t="s">
        <v>191</v>
      </c>
      <c r="E447" s="240">
        <f>NANCY!H66</f>
        <v>0</v>
      </c>
      <c r="F447" s="240">
        <f>NANCY!I66</f>
        <v>0</v>
      </c>
      <c r="G447" s="240">
        <f>NANCY!J66</f>
        <v>0</v>
      </c>
      <c r="H447" s="240">
        <f>NANCY!K66</f>
        <v>0</v>
      </c>
      <c r="I447" s="240">
        <f>NANCY!L66</f>
        <v>0</v>
      </c>
      <c r="J447" s="240">
        <f>NANCY!M66</f>
        <v>0</v>
      </c>
      <c r="K447" s="240">
        <f>NANCY!N66</f>
        <v>177.51</v>
      </c>
      <c r="L447" s="240">
        <f>NANCY!O66</f>
        <v>0</v>
      </c>
      <c r="M447" s="240">
        <f>NANCY!P66</f>
        <v>0</v>
      </c>
      <c r="N447" s="240">
        <f>NANCY!Q66</f>
        <v>0</v>
      </c>
      <c r="O447" s="240">
        <f>NANCY!R66</f>
        <v>0</v>
      </c>
      <c r="P447" s="240">
        <f>NANCY!S66</f>
        <v>0</v>
      </c>
      <c r="Q447" s="240">
        <f>NANCY!T66</f>
        <v>0</v>
      </c>
      <c r="R447" s="240">
        <f>NANCY!U66</f>
        <v>0</v>
      </c>
      <c r="S447" s="242">
        <f t="shared" si="37"/>
        <v>177.51</v>
      </c>
    </row>
    <row r="448" spans="1:256" x14ac:dyDescent="0.2">
      <c r="A448" s="159">
        <v>615193</v>
      </c>
      <c r="B448" s="160" t="s">
        <v>118</v>
      </c>
      <c r="C448" s="148" t="s">
        <v>62</v>
      </c>
      <c r="D448" s="148" t="s">
        <v>201</v>
      </c>
      <c r="E448" s="240">
        <f>NANCY!H67</f>
        <v>0</v>
      </c>
      <c r="F448" s="240">
        <f>NANCY!I67</f>
        <v>0</v>
      </c>
      <c r="G448" s="240">
        <f>NANCY!J67</f>
        <v>0</v>
      </c>
      <c r="H448" s="240">
        <f>NANCY!K67</f>
        <v>0</v>
      </c>
      <c r="I448" s="240">
        <f>NANCY!L67</f>
        <v>0</v>
      </c>
      <c r="J448" s="240">
        <f>NANCY!M67</f>
        <v>0</v>
      </c>
      <c r="K448" s="240">
        <f>NANCY!N67</f>
        <v>0</v>
      </c>
      <c r="L448" s="240">
        <f>NANCY!O67</f>
        <v>0</v>
      </c>
      <c r="M448" s="240">
        <f>NANCY!P67</f>
        <v>0</v>
      </c>
      <c r="N448" s="240">
        <f>NANCY!Q67</f>
        <v>0</v>
      </c>
      <c r="O448" s="240">
        <f>NANCY!R67</f>
        <v>0</v>
      </c>
      <c r="P448" s="240">
        <f>NANCY!S67</f>
        <v>0</v>
      </c>
      <c r="Q448" s="240">
        <f>NANCY!T67</f>
        <v>0</v>
      </c>
      <c r="R448" s="240">
        <f>NANCY!U67</f>
        <v>0</v>
      </c>
      <c r="S448" s="242">
        <f t="shared" si="37"/>
        <v>0</v>
      </c>
    </row>
    <row r="449" spans="1:256" x14ac:dyDescent="0.2">
      <c r="A449" s="159">
        <v>615193</v>
      </c>
      <c r="B449" s="160" t="s">
        <v>118</v>
      </c>
      <c r="C449" s="148" t="s">
        <v>62</v>
      </c>
      <c r="D449" s="148" t="s">
        <v>184</v>
      </c>
      <c r="E449" s="240">
        <f>NANCY!H68</f>
        <v>0</v>
      </c>
      <c r="F449" s="240">
        <f>NANCY!I68</f>
        <v>0</v>
      </c>
      <c r="G449" s="240">
        <f>NANCY!J68</f>
        <v>0</v>
      </c>
      <c r="H449" s="240">
        <f>NANCY!K68</f>
        <v>0</v>
      </c>
      <c r="I449" s="240">
        <f>NANCY!L68</f>
        <v>0</v>
      </c>
      <c r="J449" s="240">
        <f>NANCY!M68</f>
        <v>0</v>
      </c>
      <c r="K449" s="240">
        <f>NANCY!N68</f>
        <v>0</v>
      </c>
      <c r="L449" s="240">
        <f>NANCY!O68</f>
        <v>0</v>
      </c>
      <c r="M449" s="240">
        <f>NANCY!P68</f>
        <v>0</v>
      </c>
      <c r="N449" s="240">
        <f>NANCY!Q68</f>
        <v>0</v>
      </c>
      <c r="O449" s="240">
        <f>NANCY!R68</f>
        <v>0</v>
      </c>
      <c r="P449" s="240">
        <f>NANCY!S68</f>
        <v>0</v>
      </c>
      <c r="Q449" s="240">
        <f>NANCY!T68</f>
        <v>0</v>
      </c>
      <c r="R449" s="240">
        <f>NANCY!U68</f>
        <v>0</v>
      </c>
      <c r="S449" s="242">
        <f t="shared" si="37"/>
        <v>0</v>
      </c>
    </row>
    <row r="450" spans="1:256" x14ac:dyDescent="0.2">
      <c r="A450" s="159">
        <v>615193</v>
      </c>
      <c r="B450" s="160" t="s">
        <v>118</v>
      </c>
      <c r="C450" s="148" t="s">
        <v>62</v>
      </c>
      <c r="D450" s="148" t="s">
        <v>179</v>
      </c>
      <c r="E450" s="240">
        <f>NANCY!H70</f>
        <v>0</v>
      </c>
      <c r="F450" s="240">
        <f>NANCY!I70</f>
        <v>0</v>
      </c>
      <c r="G450" s="240">
        <f>NANCY!J70</f>
        <v>0</v>
      </c>
      <c r="H450" s="240">
        <f>NANCY!K70</f>
        <v>0</v>
      </c>
      <c r="I450" s="240">
        <f>NANCY!L70</f>
        <v>0</v>
      </c>
      <c r="J450" s="240">
        <f>NANCY!M70</f>
        <v>0</v>
      </c>
      <c r="K450" s="240">
        <f>NANCY!N70</f>
        <v>0</v>
      </c>
      <c r="L450" s="240">
        <f>NANCY!O70</f>
        <v>0</v>
      </c>
      <c r="M450" s="240">
        <f>NANCY!P70</f>
        <v>0</v>
      </c>
      <c r="N450" s="240">
        <f>NANCY!Q70</f>
        <v>0</v>
      </c>
      <c r="O450" s="240">
        <f>NANCY!R70</f>
        <v>0</v>
      </c>
      <c r="P450" s="240">
        <f>NANCY!S70</f>
        <v>0</v>
      </c>
      <c r="Q450" s="240">
        <f>NANCY!T70</f>
        <v>0</v>
      </c>
      <c r="R450" s="240">
        <f>NANCY!U70</f>
        <v>0</v>
      </c>
      <c r="S450" s="242">
        <f t="shared" si="37"/>
        <v>0</v>
      </c>
    </row>
    <row r="451" spans="1:256" s="175" customFormat="1" x14ac:dyDescent="0.2">
      <c r="A451" s="270"/>
      <c r="B451" s="235"/>
      <c r="C451" s="148"/>
      <c r="D451" s="148"/>
      <c r="E451" s="240"/>
      <c r="F451" s="240"/>
      <c r="G451" s="240"/>
      <c r="H451" s="240"/>
      <c r="I451" s="240"/>
      <c r="J451" s="240"/>
      <c r="K451" s="240"/>
      <c r="L451" s="240"/>
      <c r="M451" s="240"/>
      <c r="N451" s="240"/>
      <c r="O451" s="240"/>
      <c r="P451" s="240"/>
      <c r="Q451" s="240"/>
      <c r="R451" s="240"/>
      <c r="S451" s="245"/>
      <c r="T451" s="184"/>
      <c r="U451" s="332"/>
      <c r="W451" s="184"/>
      <c r="X451" s="184"/>
      <c r="Y451" s="184"/>
      <c r="Z451" s="184"/>
      <c r="AA451" s="184"/>
      <c r="AB451" s="184"/>
      <c r="AC451" s="184"/>
      <c r="AD451" s="184"/>
      <c r="AE451" s="184"/>
      <c r="AF451" s="184"/>
      <c r="AG451" s="184"/>
      <c r="AH451" s="184"/>
      <c r="AI451" s="184"/>
      <c r="AJ451" s="184"/>
      <c r="AK451" s="184"/>
      <c r="AL451" s="184"/>
      <c r="AM451" s="184"/>
      <c r="AN451" s="184"/>
      <c r="AO451" s="184"/>
      <c r="AP451" s="184"/>
      <c r="AQ451" s="184"/>
      <c r="AR451" s="184"/>
      <c r="AS451" s="184"/>
      <c r="AT451" s="184"/>
      <c r="AU451" s="184"/>
      <c r="AV451" s="184"/>
      <c r="AW451" s="184"/>
      <c r="AX451" s="184"/>
      <c r="AY451" s="184"/>
      <c r="AZ451" s="184"/>
      <c r="BA451" s="184"/>
      <c r="BB451" s="184"/>
      <c r="BC451" s="184"/>
      <c r="BD451" s="184"/>
      <c r="BE451" s="184"/>
      <c r="BF451" s="184"/>
      <c r="BG451" s="184"/>
      <c r="BH451" s="184"/>
      <c r="BI451" s="184"/>
      <c r="BJ451" s="184"/>
      <c r="BK451" s="184"/>
      <c r="BL451" s="184"/>
      <c r="BM451" s="184"/>
      <c r="BN451" s="184"/>
      <c r="BO451" s="184"/>
      <c r="BP451" s="184"/>
      <c r="BQ451" s="184"/>
      <c r="BR451" s="184"/>
      <c r="BS451" s="184"/>
      <c r="BT451" s="184"/>
      <c r="BU451" s="184"/>
      <c r="BV451" s="184"/>
      <c r="BW451" s="184"/>
      <c r="BX451" s="184"/>
      <c r="BY451" s="184"/>
      <c r="BZ451" s="184"/>
      <c r="CA451" s="184"/>
      <c r="CB451" s="184"/>
      <c r="CC451" s="184"/>
      <c r="CD451" s="184"/>
      <c r="CE451" s="184"/>
      <c r="CF451" s="184"/>
      <c r="CG451" s="184"/>
      <c r="CH451" s="184"/>
      <c r="CI451" s="184"/>
      <c r="CJ451" s="184"/>
      <c r="CK451" s="184"/>
      <c r="CL451" s="184"/>
      <c r="CM451" s="184"/>
      <c r="CN451" s="184"/>
      <c r="CO451" s="184"/>
      <c r="CP451" s="184"/>
      <c r="CQ451" s="184"/>
      <c r="CR451" s="184"/>
      <c r="CS451" s="184"/>
      <c r="CT451" s="184"/>
      <c r="CU451" s="184"/>
      <c r="CV451" s="184"/>
      <c r="CW451" s="184"/>
      <c r="CX451" s="184"/>
      <c r="CY451" s="184"/>
      <c r="CZ451" s="184"/>
      <c r="DA451" s="184"/>
      <c r="DB451" s="184"/>
      <c r="DC451" s="184"/>
      <c r="DD451" s="184"/>
      <c r="DE451" s="184"/>
      <c r="DF451" s="184"/>
      <c r="DG451" s="184"/>
      <c r="DH451" s="184"/>
      <c r="DI451" s="184"/>
      <c r="DJ451" s="184"/>
      <c r="DK451" s="184"/>
      <c r="DL451" s="184"/>
      <c r="DM451" s="184"/>
      <c r="DN451" s="184"/>
      <c r="DO451" s="184"/>
      <c r="DP451" s="184"/>
      <c r="DQ451" s="184"/>
      <c r="DR451" s="184"/>
      <c r="DS451" s="184"/>
      <c r="DT451" s="184"/>
      <c r="DU451" s="184"/>
      <c r="DV451" s="184"/>
      <c r="DW451" s="184"/>
      <c r="DX451" s="184"/>
      <c r="DY451" s="184"/>
      <c r="DZ451" s="184"/>
      <c r="EA451" s="184"/>
      <c r="EB451" s="184"/>
      <c r="EC451" s="184"/>
      <c r="ED451" s="184"/>
      <c r="EE451" s="184"/>
      <c r="EF451" s="184"/>
      <c r="EG451" s="184"/>
      <c r="EH451" s="184"/>
      <c r="EI451" s="184"/>
      <c r="EJ451" s="184"/>
      <c r="EK451" s="184"/>
      <c r="EL451" s="184"/>
      <c r="EM451" s="184"/>
      <c r="EN451" s="184"/>
      <c r="EO451" s="184"/>
      <c r="EP451" s="184"/>
      <c r="EQ451" s="184"/>
      <c r="ER451" s="184"/>
      <c r="ES451" s="184"/>
      <c r="ET451" s="184"/>
      <c r="EU451" s="184"/>
      <c r="EV451" s="184"/>
      <c r="EW451" s="184"/>
      <c r="EX451" s="184"/>
      <c r="EY451" s="184"/>
      <c r="EZ451" s="184"/>
      <c r="FA451" s="184"/>
      <c r="FB451" s="184"/>
      <c r="FC451" s="184"/>
      <c r="FD451" s="184"/>
      <c r="FE451" s="184"/>
      <c r="FF451" s="184"/>
      <c r="FG451" s="184"/>
      <c r="FH451" s="184"/>
      <c r="FI451" s="184"/>
      <c r="FJ451" s="184"/>
      <c r="FK451" s="184"/>
      <c r="FL451" s="184"/>
      <c r="FM451" s="184"/>
      <c r="FN451" s="184"/>
      <c r="FO451" s="184"/>
      <c r="FP451" s="184"/>
      <c r="FQ451" s="184"/>
      <c r="FR451" s="184"/>
      <c r="FS451" s="184"/>
      <c r="FT451" s="184"/>
      <c r="FU451" s="184"/>
      <c r="FV451" s="184"/>
      <c r="FW451" s="184"/>
      <c r="FX451" s="184"/>
      <c r="FY451" s="184"/>
      <c r="FZ451" s="184"/>
      <c r="GA451" s="184"/>
      <c r="GB451" s="184"/>
      <c r="GC451" s="184"/>
      <c r="GD451" s="184"/>
      <c r="GE451" s="184"/>
      <c r="GF451" s="184"/>
      <c r="GG451" s="184"/>
      <c r="GH451" s="184"/>
      <c r="GI451" s="184"/>
      <c r="GJ451" s="184"/>
      <c r="GK451" s="184"/>
      <c r="GL451" s="184"/>
      <c r="GM451" s="184"/>
      <c r="GN451" s="184"/>
      <c r="GO451" s="184"/>
      <c r="GP451" s="184"/>
      <c r="GQ451" s="184"/>
      <c r="GR451" s="184"/>
      <c r="GS451" s="184"/>
      <c r="GT451" s="184"/>
      <c r="GU451" s="184"/>
      <c r="GV451" s="184"/>
      <c r="GW451" s="184"/>
      <c r="GX451" s="184"/>
      <c r="GY451" s="184"/>
      <c r="GZ451" s="184"/>
      <c r="HA451" s="184"/>
      <c r="HB451" s="184"/>
      <c r="HC451" s="184"/>
      <c r="HD451" s="184"/>
      <c r="HE451" s="184"/>
      <c r="HF451" s="184"/>
      <c r="HG451" s="184"/>
      <c r="HH451" s="184"/>
      <c r="HI451" s="184"/>
      <c r="HJ451" s="184"/>
      <c r="HK451" s="184"/>
      <c r="HL451" s="184"/>
      <c r="HM451" s="184"/>
      <c r="HN451" s="184"/>
      <c r="HO451" s="184"/>
      <c r="HP451" s="184"/>
      <c r="HQ451" s="184"/>
      <c r="HR451" s="184"/>
      <c r="HS451" s="184"/>
      <c r="HT451" s="184"/>
      <c r="HU451" s="184"/>
      <c r="HV451" s="184"/>
      <c r="HW451" s="184"/>
      <c r="HX451" s="184"/>
      <c r="HY451" s="184"/>
      <c r="HZ451" s="184"/>
      <c r="IA451" s="184"/>
      <c r="IB451" s="184"/>
      <c r="IC451" s="184"/>
      <c r="ID451" s="184"/>
      <c r="IE451" s="184"/>
      <c r="IF451" s="184"/>
      <c r="IG451" s="184"/>
      <c r="IH451" s="184"/>
      <c r="II451" s="184"/>
      <c r="IJ451" s="184"/>
      <c r="IK451" s="184"/>
      <c r="IL451" s="184"/>
      <c r="IM451" s="184"/>
      <c r="IN451" s="184"/>
      <c r="IO451" s="184"/>
      <c r="IP451" s="184"/>
      <c r="IQ451" s="184"/>
      <c r="IR451" s="184"/>
      <c r="IS451" s="184"/>
      <c r="IT451" s="184"/>
      <c r="IU451" s="184"/>
      <c r="IV451" s="184"/>
    </row>
    <row r="452" spans="1:256" x14ac:dyDescent="0.2">
      <c r="A452" s="159">
        <v>615193</v>
      </c>
      <c r="B452" s="160" t="s">
        <v>118</v>
      </c>
      <c r="C452" s="148" t="s">
        <v>80</v>
      </c>
      <c r="D452" s="148" t="s">
        <v>192</v>
      </c>
      <c r="E452" s="240">
        <f>+RENNES!H109</f>
        <v>0</v>
      </c>
      <c r="F452" s="240">
        <f>+RENNES!I109</f>
        <v>0</v>
      </c>
      <c r="G452" s="240">
        <f>+RENNES!J109</f>
        <v>0</v>
      </c>
      <c r="H452" s="240">
        <f>+RENNES!K109</f>
        <v>0</v>
      </c>
      <c r="I452" s="240">
        <f>+RENNES!L109</f>
        <v>0</v>
      </c>
      <c r="J452" s="240">
        <f>+RENNES!M109</f>
        <v>0</v>
      </c>
      <c r="K452" s="240">
        <f>+RENNES!N109</f>
        <v>0</v>
      </c>
      <c r="L452" s="240">
        <f>+RENNES!O109</f>
        <v>130.21</v>
      </c>
      <c r="M452" s="240">
        <f>+RENNES!P109</f>
        <v>0</v>
      </c>
      <c r="N452" s="240">
        <f>+RENNES!Q109</f>
        <v>0</v>
      </c>
      <c r="O452" s="240">
        <f>+RENNES!R109</f>
        <v>0</v>
      </c>
      <c r="P452" s="240">
        <f>+RENNES!S109</f>
        <v>0</v>
      </c>
      <c r="Q452" s="240">
        <f>+RENNES!T109</f>
        <v>0</v>
      </c>
      <c r="R452" s="240">
        <f>+RENNES!U109</f>
        <v>0</v>
      </c>
      <c r="S452" s="242">
        <f t="shared" ref="S452:S459" si="38">SUM(E452:Q452)</f>
        <v>130.21</v>
      </c>
    </row>
    <row r="453" spans="1:256" s="175" customFormat="1" x14ac:dyDescent="0.2">
      <c r="A453" s="159">
        <v>615193</v>
      </c>
      <c r="B453" s="160" t="s">
        <v>118</v>
      </c>
      <c r="C453" s="148" t="s">
        <v>80</v>
      </c>
      <c r="D453" s="148" t="s">
        <v>189</v>
      </c>
      <c r="E453" s="240">
        <f>+RENNES!H103</f>
        <v>0</v>
      </c>
      <c r="F453" s="240">
        <f>+RENNES!I103</f>
        <v>0</v>
      </c>
      <c r="G453" s="240">
        <f>+RENNES!J103</f>
        <v>0</v>
      </c>
      <c r="H453" s="240">
        <f>+RENNES!K103</f>
        <v>0</v>
      </c>
      <c r="I453" s="240">
        <f>+RENNES!L103</f>
        <v>0</v>
      </c>
      <c r="J453" s="240">
        <f>+RENNES!M103</f>
        <v>0</v>
      </c>
      <c r="K453" s="240">
        <f>+RENNES!N103</f>
        <v>0</v>
      </c>
      <c r="L453" s="240">
        <f>+RENNES!O103</f>
        <v>0</v>
      </c>
      <c r="M453" s="240">
        <f>+RENNES!P103</f>
        <v>0</v>
      </c>
      <c r="N453" s="240">
        <f>+RENNES!Q103</f>
        <v>0</v>
      </c>
      <c r="O453" s="240">
        <f>+RENNES!R103</f>
        <v>0</v>
      </c>
      <c r="P453" s="240">
        <f>+RENNES!S103</f>
        <v>0</v>
      </c>
      <c r="Q453" s="240">
        <f>+RENNES!T103</f>
        <v>0</v>
      </c>
      <c r="R453" s="240">
        <f>+RENNES!U103</f>
        <v>0</v>
      </c>
      <c r="S453" s="242">
        <f t="shared" si="38"/>
        <v>0</v>
      </c>
      <c r="T453" s="184"/>
      <c r="U453" s="332"/>
      <c r="W453" s="184"/>
      <c r="X453" s="184"/>
      <c r="Y453" s="184"/>
      <c r="Z453" s="184"/>
      <c r="AA453" s="184"/>
      <c r="AB453" s="184"/>
      <c r="AC453" s="184"/>
      <c r="AD453" s="184"/>
      <c r="AE453" s="184"/>
      <c r="AF453" s="184"/>
      <c r="AG453" s="184"/>
      <c r="AH453" s="184"/>
      <c r="AI453" s="184"/>
      <c r="AJ453" s="184"/>
      <c r="AK453" s="184"/>
      <c r="AL453" s="184"/>
      <c r="AM453" s="184"/>
      <c r="AN453" s="184"/>
      <c r="AO453" s="184"/>
      <c r="AP453" s="184"/>
      <c r="AQ453" s="184"/>
      <c r="AR453" s="184"/>
      <c r="AS453" s="184"/>
      <c r="AT453" s="184"/>
      <c r="AU453" s="184"/>
      <c r="AV453" s="184"/>
      <c r="AW453" s="184"/>
      <c r="AX453" s="184"/>
      <c r="AY453" s="184"/>
      <c r="AZ453" s="184"/>
      <c r="BA453" s="184"/>
      <c r="BB453" s="184"/>
      <c r="BC453" s="184"/>
      <c r="BD453" s="184"/>
      <c r="BE453" s="184"/>
      <c r="BF453" s="184"/>
      <c r="BG453" s="184"/>
      <c r="BH453" s="184"/>
      <c r="BI453" s="184"/>
      <c r="BJ453" s="184"/>
      <c r="BK453" s="184"/>
      <c r="BL453" s="184"/>
      <c r="BM453" s="184"/>
      <c r="BN453" s="184"/>
      <c r="BO453" s="184"/>
      <c r="BP453" s="184"/>
      <c r="BQ453" s="184"/>
      <c r="BR453" s="184"/>
      <c r="BS453" s="184"/>
      <c r="BT453" s="184"/>
      <c r="BU453" s="184"/>
      <c r="BV453" s="184"/>
      <c r="BW453" s="184"/>
      <c r="BX453" s="184"/>
      <c r="BY453" s="184"/>
      <c r="BZ453" s="184"/>
      <c r="CA453" s="184"/>
      <c r="CB453" s="184"/>
      <c r="CC453" s="184"/>
      <c r="CD453" s="184"/>
      <c r="CE453" s="184"/>
      <c r="CF453" s="184"/>
      <c r="CG453" s="184"/>
      <c r="CH453" s="184"/>
      <c r="CI453" s="184"/>
      <c r="CJ453" s="184"/>
      <c r="CK453" s="184"/>
      <c r="CL453" s="184"/>
      <c r="CM453" s="184"/>
      <c r="CN453" s="184"/>
      <c r="CO453" s="184"/>
      <c r="CP453" s="184"/>
      <c r="CQ453" s="184"/>
      <c r="CR453" s="184"/>
      <c r="CS453" s="184"/>
      <c r="CT453" s="184"/>
      <c r="CU453" s="184"/>
      <c r="CV453" s="184"/>
      <c r="CW453" s="184"/>
      <c r="CX453" s="184"/>
      <c r="CY453" s="184"/>
      <c r="CZ453" s="184"/>
      <c r="DA453" s="184"/>
      <c r="DB453" s="184"/>
      <c r="DC453" s="184"/>
      <c r="DD453" s="184"/>
      <c r="DE453" s="184"/>
      <c r="DF453" s="184"/>
      <c r="DG453" s="184"/>
      <c r="DH453" s="184"/>
      <c r="DI453" s="184"/>
      <c r="DJ453" s="184"/>
      <c r="DK453" s="184"/>
      <c r="DL453" s="184"/>
      <c r="DM453" s="184"/>
      <c r="DN453" s="184"/>
      <c r="DO453" s="184"/>
      <c r="DP453" s="184"/>
      <c r="DQ453" s="184"/>
      <c r="DR453" s="184"/>
      <c r="DS453" s="184"/>
      <c r="DT453" s="184"/>
      <c r="DU453" s="184"/>
      <c r="DV453" s="184"/>
      <c r="DW453" s="184"/>
      <c r="DX453" s="184"/>
      <c r="DY453" s="184"/>
      <c r="DZ453" s="184"/>
      <c r="EA453" s="184"/>
      <c r="EB453" s="184"/>
      <c r="EC453" s="184"/>
      <c r="ED453" s="184"/>
      <c r="EE453" s="184"/>
      <c r="EF453" s="184"/>
      <c r="EG453" s="184"/>
      <c r="EH453" s="184"/>
      <c r="EI453" s="184"/>
      <c r="EJ453" s="184"/>
      <c r="EK453" s="184"/>
      <c r="EL453" s="184"/>
      <c r="EM453" s="184"/>
      <c r="EN453" s="184"/>
      <c r="EO453" s="184"/>
      <c r="EP453" s="184"/>
      <c r="EQ453" s="184"/>
      <c r="ER453" s="184"/>
      <c r="ES453" s="184"/>
      <c r="ET453" s="184"/>
      <c r="EU453" s="184"/>
      <c r="EV453" s="184"/>
      <c r="EW453" s="184"/>
      <c r="EX453" s="184"/>
      <c r="EY453" s="184"/>
      <c r="EZ453" s="184"/>
      <c r="FA453" s="184"/>
      <c r="FB453" s="184"/>
      <c r="FC453" s="184"/>
      <c r="FD453" s="184"/>
      <c r="FE453" s="184"/>
      <c r="FF453" s="184"/>
      <c r="FG453" s="184"/>
      <c r="FH453" s="184"/>
      <c r="FI453" s="184"/>
      <c r="FJ453" s="184"/>
      <c r="FK453" s="184"/>
      <c r="FL453" s="184"/>
      <c r="FM453" s="184"/>
      <c r="FN453" s="184"/>
      <c r="FO453" s="184"/>
      <c r="FP453" s="184"/>
      <c r="FQ453" s="184"/>
      <c r="FR453" s="184"/>
      <c r="FS453" s="184"/>
      <c r="FT453" s="184"/>
      <c r="FU453" s="184"/>
      <c r="FV453" s="184"/>
      <c r="FW453" s="184"/>
      <c r="FX453" s="184"/>
      <c r="FY453" s="184"/>
      <c r="FZ453" s="184"/>
      <c r="GA453" s="184"/>
      <c r="GB453" s="184"/>
      <c r="GC453" s="184"/>
      <c r="GD453" s="184"/>
      <c r="GE453" s="184"/>
      <c r="GF453" s="184"/>
      <c r="GG453" s="184"/>
      <c r="GH453" s="184"/>
      <c r="GI453" s="184"/>
      <c r="GJ453" s="184"/>
      <c r="GK453" s="184"/>
      <c r="GL453" s="184"/>
      <c r="GM453" s="184"/>
      <c r="GN453" s="184"/>
      <c r="GO453" s="184"/>
      <c r="GP453" s="184"/>
      <c r="GQ453" s="184"/>
      <c r="GR453" s="184"/>
      <c r="GS453" s="184"/>
      <c r="GT453" s="184"/>
      <c r="GU453" s="184"/>
      <c r="GV453" s="184"/>
      <c r="GW453" s="184"/>
      <c r="GX453" s="184"/>
      <c r="GY453" s="184"/>
      <c r="GZ453" s="184"/>
      <c r="HA453" s="184"/>
      <c r="HB453" s="184"/>
      <c r="HC453" s="184"/>
      <c r="HD453" s="184"/>
      <c r="HE453" s="184"/>
      <c r="HF453" s="184"/>
      <c r="HG453" s="184"/>
      <c r="HH453" s="184"/>
      <c r="HI453" s="184"/>
      <c r="HJ453" s="184"/>
      <c r="HK453" s="184"/>
      <c r="HL453" s="184"/>
      <c r="HM453" s="184"/>
      <c r="HN453" s="184"/>
      <c r="HO453" s="184"/>
      <c r="HP453" s="184"/>
      <c r="HQ453" s="184"/>
      <c r="HR453" s="184"/>
      <c r="HS453" s="184"/>
      <c r="HT453" s="184"/>
      <c r="HU453" s="184"/>
      <c r="HV453" s="184"/>
      <c r="HW453" s="184"/>
      <c r="HX453" s="184"/>
      <c r="HY453" s="184"/>
      <c r="HZ453" s="184"/>
      <c r="IA453" s="184"/>
      <c r="IB453" s="184"/>
      <c r="IC453" s="184"/>
      <c r="ID453" s="184"/>
      <c r="IE453" s="184"/>
      <c r="IF453" s="184"/>
      <c r="IG453" s="184"/>
      <c r="IH453" s="184"/>
      <c r="II453" s="184"/>
      <c r="IJ453" s="184"/>
      <c r="IK453" s="184"/>
      <c r="IL453" s="184"/>
      <c r="IM453" s="184"/>
      <c r="IN453" s="184"/>
      <c r="IO453" s="184"/>
      <c r="IP453" s="184"/>
      <c r="IQ453" s="184"/>
      <c r="IR453" s="184"/>
      <c r="IS453" s="184"/>
      <c r="IT453" s="184"/>
      <c r="IU453" s="184"/>
      <c r="IV453" s="184"/>
    </row>
    <row r="454" spans="1:256" x14ac:dyDescent="0.2">
      <c r="A454" s="159">
        <v>615193</v>
      </c>
      <c r="B454" s="160" t="s">
        <v>118</v>
      </c>
      <c r="C454" s="148" t="s">
        <v>80</v>
      </c>
      <c r="D454" s="148" t="s">
        <v>243</v>
      </c>
      <c r="E454" s="240">
        <f>+RENNES!H110</f>
        <v>0</v>
      </c>
      <c r="F454" s="240">
        <f>+RENNES!I110</f>
        <v>0</v>
      </c>
      <c r="G454" s="240">
        <f>+RENNES!J110</f>
        <v>0</v>
      </c>
      <c r="H454" s="240">
        <f>+RENNES!K110</f>
        <v>0</v>
      </c>
      <c r="I454" s="240">
        <f>+RENNES!L110</f>
        <v>0</v>
      </c>
      <c r="J454" s="240">
        <f>+RENNES!M110</f>
        <v>0</v>
      </c>
      <c r="K454" s="240">
        <f>+RENNES!N110</f>
        <v>0</v>
      </c>
      <c r="L454" s="240">
        <f>+RENNES!O110</f>
        <v>0</v>
      </c>
      <c r="M454" s="240">
        <f>+RENNES!P110</f>
        <v>0</v>
      </c>
      <c r="N454" s="240">
        <f>+RENNES!Q110</f>
        <v>0</v>
      </c>
      <c r="O454" s="240">
        <f>+RENNES!R110</f>
        <v>0</v>
      </c>
      <c r="P454" s="240">
        <f>+RENNES!S110</f>
        <v>0</v>
      </c>
      <c r="Q454" s="240">
        <f>+RENNES!T110</f>
        <v>0</v>
      </c>
      <c r="R454" s="240">
        <f>+RENNES!U110</f>
        <v>0</v>
      </c>
      <c r="S454" s="242">
        <f t="shared" si="38"/>
        <v>0</v>
      </c>
    </row>
    <row r="455" spans="1:256" x14ac:dyDescent="0.2">
      <c r="A455" s="159">
        <v>615193</v>
      </c>
      <c r="B455" s="160" t="s">
        <v>118</v>
      </c>
      <c r="C455" s="148" t="s">
        <v>80</v>
      </c>
      <c r="D455" s="148" t="s">
        <v>191</v>
      </c>
      <c r="E455" s="240">
        <f>+RENNES!H104</f>
        <v>0</v>
      </c>
      <c r="F455" s="240">
        <f>+RENNES!I104</f>
        <v>0</v>
      </c>
      <c r="G455" s="240">
        <f>+RENNES!J104</f>
        <v>0</v>
      </c>
      <c r="H455" s="240">
        <f>+RENNES!K104</f>
        <v>0</v>
      </c>
      <c r="I455" s="240">
        <f>+RENNES!L104</f>
        <v>0</v>
      </c>
      <c r="J455" s="240">
        <f>+RENNES!M104</f>
        <v>1791.95</v>
      </c>
      <c r="K455" s="240">
        <f>+RENNES!N104</f>
        <v>0</v>
      </c>
      <c r="L455" s="240">
        <f>+RENNES!O104</f>
        <v>449.84</v>
      </c>
      <c r="M455" s="240">
        <f>+RENNES!P104</f>
        <v>0</v>
      </c>
      <c r="N455" s="240">
        <f>+RENNES!Q104</f>
        <v>828.65</v>
      </c>
      <c r="O455" s="240">
        <f>+RENNES!R104</f>
        <v>0</v>
      </c>
      <c r="P455" s="240">
        <f>+RENNES!S104</f>
        <v>0</v>
      </c>
      <c r="Q455" s="240">
        <f>+RENNES!T104</f>
        <v>0</v>
      </c>
      <c r="R455" s="240">
        <f>+RENNES!U104</f>
        <v>0</v>
      </c>
      <c r="S455" s="242">
        <f t="shared" si="38"/>
        <v>3070.44</v>
      </c>
    </row>
    <row r="456" spans="1:256" x14ac:dyDescent="0.2">
      <c r="A456" s="159">
        <v>615193</v>
      </c>
      <c r="B456" s="160" t="s">
        <v>118</v>
      </c>
      <c r="C456" s="148" t="s">
        <v>80</v>
      </c>
      <c r="D456" s="148" t="s">
        <v>179</v>
      </c>
      <c r="E456" s="240">
        <f>+RENNES!H108</f>
        <v>0</v>
      </c>
      <c r="F456" s="240">
        <f>+RENNES!I108</f>
        <v>0</v>
      </c>
      <c r="G456" s="240">
        <f>+RENNES!J108</f>
        <v>0</v>
      </c>
      <c r="H456" s="240">
        <f>+RENNES!K108</f>
        <v>0</v>
      </c>
      <c r="I456" s="240">
        <f>+RENNES!L108</f>
        <v>1626.38</v>
      </c>
      <c r="J456" s="240">
        <f>+RENNES!M108</f>
        <v>0</v>
      </c>
      <c r="K456" s="240">
        <f>+RENNES!N108</f>
        <v>196.04</v>
      </c>
      <c r="L456" s="240">
        <f>+RENNES!O108</f>
        <v>1536.86</v>
      </c>
      <c r="M456" s="240">
        <f>+RENNES!P108</f>
        <v>0</v>
      </c>
      <c r="N456" s="240">
        <f>+RENNES!Q108</f>
        <v>1895.97</v>
      </c>
      <c r="O456" s="241">
        <f>+RENNES!R108</f>
        <v>0</v>
      </c>
      <c r="P456" s="240">
        <f>+RENNES!S108</f>
        <v>0</v>
      </c>
      <c r="Q456" s="240">
        <f>+RENNES!T108</f>
        <v>1134</v>
      </c>
      <c r="R456" s="240">
        <f>+RENNES!U108</f>
        <v>0</v>
      </c>
      <c r="S456" s="242">
        <f t="shared" si="38"/>
        <v>6389.25</v>
      </c>
    </row>
    <row r="457" spans="1:256" x14ac:dyDescent="0.2">
      <c r="A457" s="159">
        <v>615193</v>
      </c>
      <c r="B457" s="160" t="s">
        <v>118</v>
      </c>
      <c r="C457" s="148" t="s">
        <v>80</v>
      </c>
      <c r="D457" s="148" t="s">
        <v>203</v>
      </c>
      <c r="E457" s="240">
        <f>+RENNES!H105</f>
        <v>0</v>
      </c>
      <c r="F457" s="240">
        <f>+RENNES!I105</f>
        <v>0</v>
      </c>
      <c r="G457" s="240">
        <f>+RENNES!J105</f>
        <v>0</v>
      </c>
      <c r="H457" s="240">
        <f>+RENNES!K105</f>
        <v>0</v>
      </c>
      <c r="I457" s="240">
        <f>+RENNES!L105</f>
        <v>0</v>
      </c>
      <c r="J457" s="240">
        <f>+RENNES!M105</f>
        <v>0</v>
      </c>
      <c r="K457" s="240">
        <f>+RENNES!N105</f>
        <v>0</v>
      </c>
      <c r="L457" s="240">
        <f>+RENNES!O105</f>
        <v>0</v>
      </c>
      <c r="M457" s="240">
        <f>+RENNES!P105</f>
        <v>0</v>
      </c>
      <c r="N457" s="240">
        <f>+RENNES!Q105</f>
        <v>0</v>
      </c>
      <c r="O457" s="240">
        <f>+RENNES!R105</f>
        <v>0</v>
      </c>
      <c r="P457" s="240">
        <f>+RENNES!S105</f>
        <v>0</v>
      </c>
      <c r="Q457" s="240">
        <f>+RENNES!T105</f>
        <v>0</v>
      </c>
      <c r="R457" s="240">
        <f>+RENNES!U105</f>
        <v>0</v>
      </c>
      <c r="S457" s="242">
        <f t="shared" si="38"/>
        <v>0</v>
      </c>
    </row>
    <row r="458" spans="1:256" x14ac:dyDescent="0.2">
      <c r="A458" s="159">
        <v>615193</v>
      </c>
      <c r="B458" s="160" t="s">
        <v>118</v>
      </c>
      <c r="C458" s="148" t="s">
        <v>80</v>
      </c>
      <c r="D458" s="148" t="s">
        <v>201</v>
      </c>
      <c r="E458" s="240">
        <f>+RENNES!H106</f>
        <v>0</v>
      </c>
      <c r="F458" s="240">
        <f>+RENNES!I106</f>
        <v>0</v>
      </c>
      <c r="G458" s="240">
        <f>+RENNES!J106</f>
        <v>0</v>
      </c>
      <c r="H458" s="240">
        <f>+RENNES!K106</f>
        <v>0</v>
      </c>
      <c r="I458" s="240">
        <f>+RENNES!L106</f>
        <v>0</v>
      </c>
      <c r="J458" s="240">
        <f>+RENNES!M106</f>
        <v>0</v>
      </c>
      <c r="K458" s="240">
        <f>+RENNES!N106</f>
        <v>0</v>
      </c>
      <c r="L458" s="240">
        <f>+RENNES!O106</f>
        <v>0</v>
      </c>
      <c r="M458" s="240">
        <f>+RENNES!P106</f>
        <v>0</v>
      </c>
      <c r="N458" s="240">
        <f>+RENNES!Q106</f>
        <v>0</v>
      </c>
      <c r="O458" s="240">
        <f>+RENNES!R106</f>
        <v>0</v>
      </c>
      <c r="P458" s="240">
        <f>+RENNES!S106</f>
        <v>0</v>
      </c>
      <c r="Q458" s="240">
        <f>+RENNES!T106</f>
        <v>0</v>
      </c>
      <c r="R458" s="240">
        <f>+RENNES!U106</f>
        <v>0</v>
      </c>
      <c r="S458" s="242">
        <f t="shared" si="38"/>
        <v>0</v>
      </c>
    </row>
    <row r="459" spans="1:256" x14ac:dyDescent="0.2">
      <c r="A459" s="159">
        <v>615193</v>
      </c>
      <c r="B459" s="160" t="s">
        <v>118</v>
      </c>
      <c r="C459" s="148" t="s">
        <v>80</v>
      </c>
      <c r="D459" s="148" t="s">
        <v>184</v>
      </c>
      <c r="E459" s="240">
        <f>+SUM(RENNES!H107:H107)</f>
        <v>0</v>
      </c>
      <c r="F459" s="240">
        <f>+SUM(RENNES!I107:I107)</f>
        <v>110.38</v>
      </c>
      <c r="G459" s="240">
        <f>+SUM(RENNES!J107:J107)</f>
        <v>110.38</v>
      </c>
      <c r="H459" s="240">
        <f>+SUM(RENNES!K107:K107)</f>
        <v>110.38</v>
      </c>
      <c r="I459" s="240">
        <f>+SUM(RENNES!L107:L107)</f>
        <v>110.38</v>
      </c>
      <c r="J459" s="240">
        <f>+SUM(RENNES!M107:M107)</f>
        <v>110.37</v>
      </c>
      <c r="K459" s="240">
        <f>+SUM(RENNES!N107:N107)</f>
        <v>112.69</v>
      </c>
      <c r="L459" s="240">
        <f>+SUM(RENNES!O107:O107)</f>
        <v>112.69</v>
      </c>
      <c r="M459" s="240">
        <f>+SUM(RENNES!P107:P107)</f>
        <v>112.69</v>
      </c>
      <c r="N459" s="240">
        <f>+SUM(RENNES!Q107:Q107)</f>
        <v>112.69</v>
      </c>
      <c r="O459" s="240">
        <f>+SUM(RENNES!R107:R107)</f>
        <v>112.69</v>
      </c>
      <c r="P459" s="240">
        <f>+SUM(RENNES!S107:S107)</f>
        <v>112.69</v>
      </c>
      <c r="Q459" s="240">
        <f>+SUM(RENNES!T107:T107)</f>
        <v>112.69</v>
      </c>
      <c r="R459" s="240">
        <f>+SUM(RENNES!U107:U107)</f>
        <v>0</v>
      </c>
      <c r="S459" s="242">
        <f t="shared" si="38"/>
        <v>1340.7200000000003</v>
      </c>
    </row>
    <row r="460" spans="1:256" s="175" customFormat="1" x14ac:dyDescent="0.2">
      <c r="A460" s="270"/>
      <c r="B460" s="235"/>
      <c r="C460" s="148"/>
      <c r="D460" s="148"/>
      <c r="E460" s="240"/>
      <c r="F460" s="240"/>
      <c r="G460" s="240"/>
      <c r="H460" s="240"/>
      <c r="I460" s="240"/>
      <c r="J460" s="240"/>
      <c r="K460" s="240"/>
      <c r="L460" s="240"/>
      <c r="M460" s="240"/>
      <c r="N460" s="240"/>
      <c r="O460" s="240"/>
      <c r="P460" s="240"/>
      <c r="Q460" s="240"/>
      <c r="R460" s="240"/>
      <c r="S460" s="245"/>
      <c r="T460" s="184"/>
      <c r="U460" s="332"/>
      <c r="W460" s="184"/>
      <c r="X460" s="184"/>
      <c r="Y460" s="184"/>
      <c r="Z460" s="184"/>
      <c r="AA460" s="184"/>
      <c r="AB460" s="184"/>
      <c r="AC460" s="184"/>
      <c r="AD460" s="184"/>
      <c r="AE460" s="184"/>
      <c r="AF460" s="184"/>
      <c r="AG460" s="184"/>
      <c r="AH460" s="184"/>
      <c r="AI460" s="184"/>
      <c r="AJ460" s="184"/>
      <c r="AK460" s="184"/>
      <c r="AL460" s="184"/>
      <c r="AM460" s="184"/>
      <c r="AN460" s="184"/>
      <c r="AO460" s="184"/>
      <c r="AP460" s="184"/>
      <c r="AQ460" s="184"/>
      <c r="AR460" s="184"/>
      <c r="AS460" s="184"/>
      <c r="AT460" s="184"/>
      <c r="AU460" s="184"/>
      <c r="AV460" s="184"/>
      <c r="AW460" s="184"/>
      <c r="AX460" s="184"/>
      <c r="AY460" s="184"/>
      <c r="AZ460" s="184"/>
      <c r="BA460" s="184"/>
      <c r="BB460" s="184"/>
      <c r="BC460" s="184"/>
      <c r="BD460" s="184"/>
      <c r="BE460" s="184"/>
      <c r="BF460" s="184"/>
      <c r="BG460" s="184"/>
      <c r="BH460" s="184"/>
      <c r="BI460" s="184"/>
      <c r="BJ460" s="184"/>
      <c r="BK460" s="184"/>
      <c r="BL460" s="184"/>
      <c r="BM460" s="184"/>
      <c r="BN460" s="184"/>
      <c r="BO460" s="184"/>
      <c r="BP460" s="184"/>
      <c r="BQ460" s="184"/>
      <c r="BR460" s="184"/>
      <c r="BS460" s="184"/>
      <c r="BT460" s="184"/>
      <c r="BU460" s="184"/>
      <c r="BV460" s="184"/>
      <c r="BW460" s="184"/>
      <c r="BX460" s="184"/>
      <c r="BY460" s="184"/>
      <c r="BZ460" s="184"/>
      <c r="CA460" s="184"/>
      <c r="CB460" s="184"/>
      <c r="CC460" s="184"/>
      <c r="CD460" s="184"/>
      <c r="CE460" s="184"/>
      <c r="CF460" s="184"/>
      <c r="CG460" s="184"/>
      <c r="CH460" s="184"/>
      <c r="CI460" s="184"/>
      <c r="CJ460" s="184"/>
      <c r="CK460" s="184"/>
      <c r="CL460" s="184"/>
      <c r="CM460" s="184"/>
      <c r="CN460" s="184"/>
      <c r="CO460" s="184"/>
      <c r="CP460" s="184"/>
      <c r="CQ460" s="184"/>
      <c r="CR460" s="184"/>
      <c r="CS460" s="184"/>
      <c r="CT460" s="184"/>
      <c r="CU460" s="184"/>
      <c r="CV460" s="184"/>
      <c r="CW460" s="184"/>
      <c r="CX460" s="184"/>
      <c r="CY460" s="184"/>
      <c r="CZ460" s="184"/>
      <c r="DA460" s="184"/>
      <c r="DB460" s="184"/>
      <c r="DC460" s="184"/>
      <c r="DD460" s="184"/>
      <c r="DE460" s="184"/>
      <c r="DF460" s="184"/>
      <c r="DG460" s="184"/>
      <c r="DH460" s="184"/>
      <c r="DI460" s="184"/>
      <c r="DJ460" s="184"/>
      <c r="DK460" s="184"/>
      <c r="DL460" s="184"/>
      <c r="DM460" s="184"/>
      <c r="DN460" s="184"/>
      <c r="DO460" s="184"/>
      <c r="DP460" s="184"/>
      <c r="DQ460" s="184"/>
      <c r="DR460" s="184"/>
      <c r="DS460" s="184"/>
      <c r="DT460" s="184"/>
      <c r="DU460" s="184"/>
      <c r="DV460" s="184"/>
      <c r="DW460" s="184"/>
      <c r="DX460" s="184"/>
      <c r="DY460" s="184"/>
      <c r="DZ460" s="184"/>
      <c r="EA460" s="184"/>
      <c r="EB460" s="184"/>
      <c r="EC460" s="184"/>
      <c r="ED460" s="184"/>
      <c r="EE460" s="184"/>
      <c r="EF460" s="184"/>
      <c r="EG460" s="184"/>
      <c r="EH460" s="184"/>
      <c r="EI460" s="184"/>
      <c r="EJ460" s="184"/>
      <c r="EK460" s="184"/>
      <c r="EL460" s="184"/>
      <c r="EM460" s="184"/>
      <c r="EN460" s="184"/>
      <c r="EO460" s="184"/>
      <c r="EP460" s="184"/>
      <c r="EQ460" s="184"/>
      <c r="ER460" s="184"/>
      <c r="ES460" s="184"/>
      <c r="ET460" s="184"/>
      <c r="EU460" s="184"/>
      <c r="EV460" s="184"/>
      <c r="EW460" s="184"/>
      <c r="EX460" s="184"/>
      <c r="EY460" s="184"/>
      <c r="EZ460" s="184"/>
      <c r="FA460" s="184"/>
      <c r="FB460" s="184"/>
      <c r="FC460" s="184"/>
      <c r="FD460" s="184"/>
      <c r="FE460" s="184"/>
      <c r="FF460" s="184"/>
      <c r="FG460" s="184"/>
      <c r="FH460" s="184"/>
      <c r="FI460" s="184"/>
      <c r="FJ460" s="184"/>
      <c r="FK460" s="184"/>
      <c r="FL460" s="184"/>
      <c r="FM460" s="184"/>
      <c r="FN460" s="184"/>
      <c r="FO460" s="184"/>
      <c r="FP460" s="184"/>
      <c r="FQ460" s="184"/>
      <c r="FR460" s="184"/>
      <c r="FS460" s="184"/>
      <c r="FT460" s="184"/>
      <c r="FU460" s="184"/>
      <c r="FV460" s="184"/>
      <c r="FW460" s="184"/>
      <c r="FX460" s="184"/>
      <c r="FY460" s="184"/>
      <c r="FZ460" s="184"/>
      <c r="GA460" s="184"/>
      <c r="GB460" s="184"/>
      <c r="GC460" s="184"/>
      <c r="GD460" s="184"/>
      <c r="GE460" s="184"/>
      <c r="GF460" s="184"/>
      <c r="GG460" s="184"/>
      <c r="GH460" s="184"/>
      <c r="GI460" s="184"/>
      <c r="GJ460" s="184"/>
      <c r="GK460" s="184"/>
      <c r="GL460" s="184"/>
      <c r="GM460" s="184"/>
      <c r="GN460" s="184"/>
      <c r="GO460" s="184"/>
      <c r="GP460" s="184"/>
      <c r="GQ460" s="184"/>
      <c r="GR460" s="184"/>
      <c r="GS460" s="184"/>
      <c r="GT460" s="184"/>
      <c r="GU460" s="184"/>
      <c r="GV460" s="184"/>
      <c r="GW460" s="184"/>
      <c r="GX460" s="184"/>
      <c r="GY460" s="184"/>
      <c r="GZ460" s="184"/>
      <c r="HA460" s="184"/>
      <c r="HB460" s="184"/>
      <c r="HC460" s="184"/>
      <c r="HD460" s="184"/>
      <c r="HE460" s="184"/>
      <c r="HF460" s="184"/>
      <c r="HG460" s="184"/>
      <c r="HH460" s="184"/>
      <c r="HI460" s="184"/>
      <c r="HJ460" s="184"/>
      <c r="HK460" s="184"/>
      <c r="HL460" s="184"/>
      <c r="HM460" s="184"/>
      <c r="HN460" s="184"/>
      <c r="HO460" s="184"/>
      <c r="HP460" s="184"/>
      <c r="HQ460" s="184"/>
      <c r="HR460" s="184"/>
      <c r="HS460" s="184"/>
      <c r="HT460" s="184"/>
      <c r="HU460" s="184"/>
      <c r="HV460" s="184"/>
      <c r="HW460" s="184"/>
      <c r="HX460" s="184"/>
      <c r="HY460" s="184"/>
      <c r="HZ460" s="184"/>
      <c r="IA460" s="184"/>
      <c r="IB460" s="184"/>
      <c r="IC460" s="184"/>
      <c r="ID460" s="184"/>
      <c r="IE460" s="184"/>
      <c r="IF460" s="184"/>
      <c r="IG460" s="184"/>
      <c r="IH460" s="184"/>
      <c r="II460" s="184"/>
      <c r="IJ460" s="184"/>
      <c r="IK460" s="184"/>
      <c r="IL460" s="184"/>
      <c r="IM460" s="184"/>
      <c r="IN460" s="184"/>
      <c r="IO460" s="184"/>
      <c r="IP460" s="184"/>
      <c r="IQ460" s="184"/>
      <c r="IR460" s="184"/>
      <c r="IS460" s="184"/>
      <c r="IT460" s="184"/>
      <c r="IU460" s="184"/>
      <c r="IV460" s="184"/>
    </row>
    <row r="461" spans="1:256" x14ac:dyDescent="0.2">
      <c r="A461" s="159">
        <v>615193</v>
      </c>
      <c r="B461" s="160" t="s">
        <v>118</v>
      </c>
      <c r="C461" s="148" t="s">
        <v>156</v>
      </c>
      <c r="D461" s="148" t="s">
        <v>192</v>
      </c>
      <c r="E461" s="240">
        <f>+BEAUVAIS!H105</f>
        <v>0</v>
      </c>
      <c r="F461" s="240">
        <f>+BEAUVAIS!I105</f>
        <v>0</v>
      </c>
      <c r="G461" s="240">
        <f>+BEAUVAIS!J105</f>
        <v>0</v>
      </c>
      <c r="H461" s="240">
        <f>+BEAUVAIS!K105</f>
        <v>238</v>
      </c>
      <c r="I461" s="240">
        <f>+BEAUVAIS!L105</f>
        <v>0</v>
      </c>
      <c r="J461" s="240">
        <f>+BEAUVAIS!M105</f>
        <v>0</v>
      </c>
      <c r="K461" s="240">
        <f>+BEAUVAIS!N105</f>
        <v>0</v>
      </c>
      <c r="L461" s="240">
        <f>+BEAUVAIS!O105</f>
        <v>0</v>
      </c>
      <c r="M461" s="240">
        <f>+BEAUVAIS!P105</f>
        <v>0</v>
      </c>
      <c r="N461" s="240">
        <f>+BEAUVAIS!Q105</f>
        <v>0</v>
      </c>
      <c r="O461" s="240">
        <f>+BEAUVAIS!R105</f>
        <v>0</v>
      </c>
      <c r="P461" s="240">
        <f>+BEAUVAIS!S105</f>
        <v>2520</v>
      </c>
      <c r="Q461" s="240">
        <f>+BEAUVAIS!T105</f>
        <v>0</v>
      </c>
      <c r="R461" s="240">
        <f>+BEAUVAIS!U105</f>
        <v>0</v>
      </c>
      <c r="S461" s="242">
        <f t="shared" ref="S461:S477" si="39">SUM(E461:Q461)</f>
        <v>2758</v>
      </c>
    </row>
    <row r="462" spans="1:256" x14ac:dyDescent="0.2">
      <c r="A462" s="159">
        <v>615193</v>
      </c>
      <c r="B462" s="160" t="s">
        <v>118</v>
      </c>
      <c r="C462" s="148" t="s">
        <v>156</v>
      </c>
      <c r="D462" s="148" t="s">
        <v>404</v>
      </c>
      <c r="E462" s="240">
        <f>BEAUVAIS!H106</f>
        <v>0</v>
      </c>
      <c r="F462" s="240">
        <f>BEAUVAIS!I106</f>
        <v>0</v>
      </c>
      <c r="G462" s="240">
        <f>BEAUVAIS!J106</f>
        <v>0</v>
      </c>
      <c r="H462" s="240">
        <f>BEAUVAIS!K106</f>
        <v>0</v>
      </c>
      <c r="I462" s="240">
        <f>BEAUVAIS!L106</f>
        <v>0</v>
      </c>
      <c r="J462" s="240">
        <f>BEAUVAIS!M106</f>
        <v>0</v>
      </c>
      <c r="K462" s="240">
        <f>BEAUVAIS!N106</f>
        <v>0</v>
      </c>
      <c r="L462" s="240">
        <f>BEAUVAIS!O106</f>
        <v>0</v>
      </c>
      <c r="M462" s="240">
        <f>BEAUVAIS!P106</f>
        <v>0</v>
      </c>
      <c r="N462" s="240">
        <f>BEAUVAIS!Q106</f>
        <v>0</v>
      </c>
      <c r="O462" s="240">
        <f>BEAUVAIS!R106</f>
        <v>0</v>
      </c>
      <c r="P462" s="240">
        <f>BEAUVAIS!S106</f>
        <v>0</v>
      </c>
      <c r="Q462" s="240">
        <f>BEAUVAIS!T106</f>
        <v>0</v>
      </c>
      <c r="R462" s="240">
        <f>BEAUVAIS!U106</f>
        <v>0</v>
      </c>
      <c r="S462" s="242">
        <f t="shared" si="39"/>
        <v>0</v>
      </c>
    </row>
    <row r="463" spans="1:256" x14ac:dyDescent="0.2">
      <c r="A463" s="159">
        <v>615193</v>
      </c>
      <c r="B463" s="160" t="s">
        <v>118</v>
      </c>
      <c r="C463" s="148" t="s">
        <v>156</v>
      </c>
      <c r="D463" s="148" t="s">
        <v>243</v>
      </c>
      <c r="E463" s="240">
        <f>BEAUVAIS!H112</f>
        <v>0</v>
      </c>
      <c r="F463" s="240">
        <f>BEAUVAIS!I112</f>
        <v>0</v>
      </c>
      <c r="G463" s="240">
        <f>BEAUVAIS!J112</f>
        <v>0</v>
      </c>
      <c r="H463" s="240">
        <f>BEAUVAIS!K112</f>
        <v>0</v>
      </c>
      <c r="I463" s="240">
        <f>BEAUVAIS!L112</f>
        <v>0</v>
      </c>
      <c r="J463" s="240">
        <f>BEAUVAIS!M112</f>
        <v>0</v>
      </c>
      <c r="K463" s="240">
        <f>BEAUVAIS!N112</f>
        <v>0</v>
      </c>
      <c r="L463" s="240">
        <f>BEAUVAIS!O112</f>
        <v>0</v>
      </c>
      <c r="M463" s="240">
        <f>BEAUVAIS!P112</f>
        <v>0</v>
      </c>
      <c r="N463" s="240">
        <f>BEAUVAIS!Q112</f>
        <v>0</v>
      </c>
      <c r="O463" s="240">
        <f>BEAUVAIS!R112</f>
        <v>0</v>
      </c>
      <c r="P463" s="240">
        <f>BEAUVAIS!S112</f>
        <v>0</v>
      </c>
      <c r="Q463" s="240">
        <f>BEAUVAIS!T112</f>
        <v>2464.79</v>
      </c>
      <c r="R463" s="240">
        <f>BEAUVAIS!U112</f>
        <v>0</v>
      </c>
      <c r="S463" s="242">
        <f t="shared" si="39"/>
        <v>2464.79</v>
      </c>
    </row>
    <row r="464" spans="1:256" x14ac:dyDescent="0.2">
      <c r="A464" s="159">
        <v>615193</v>
      </c>
      <c r="B464" s="160" t="s">
        <v>118</v>
      </c>
      <c r="C464" s="148" t="s">
        <v>156</v>
      </c>
      <c r="D464" s="148" t="s">
        <v>189</v>
      </c>
      <c r="E464" s="240">
        <f>+BEAUVAIS!H107</f>
        <v>0</v>
      </c>
      <c r="F464" s="240">
        <f>+BEAUVAIS!I107</f>
        <v>0</v>
      </c>
      <c r="G464" s="240">
        <f>BEAUVAIS!J107</f>
        <v>0</v>
      </c>
      <c r="H464" s="240">
        <f>BEAUVAIS!K107</f>
        <v>0</v>
      </c>
      <c r="I464" s="240">
        <f>BEAUVAIS!L107</f>
        <v>0</v>
      </c>
      <c r="J464" s="240">
        <f>BEAUVAIS!M107</f>
        <v>0</v>
      </c>
      <c r="K464" s="240">
        <f>BEAUVAIS!N107</f>
        <v>0</v>
      </c>
      <c r="L464" s="240">
        <f>BEAUVAIS!O107</f>
        <v>0</v>
      </c>
      <c r="M464" s="240">
        <f>BEAUVAIS!P107</f>
        <v>0</v>
      </c>
      <c r="N464" s="240">
        <f>BEAUVAIS!Q107</f>
        <v>0</v>
      </c>
      <c r="O464" s="240">
        <f>BEAUVAIS!R107</f>
        <v>0</v>
      </c>
      <c r="P464" s="240">
        <f>BEAUVAIS!S107</f>
        <v>0</v>
      </c>
      <c r="Q464" s="240">
        <f>BEAUVAIS!T107</f>
        <v>0</v>
      </c>
      <c r="R464" s="240">
        <f>BEAUVAIS!U107</f>
        <v>0</v>
      </c>
      <c r="S464" s="242">
        <f t="shared" si="39"/>
        <v>0</v>
      </c>
    </row>
    <row r="465" spans="1:24" x14ac:dyDescent="0.2">
      <c r="A465" s="159">
        <v>615193</v>
      </c>
      <c r="B465" s="160" t="s">
        <v>118</v>
      </c>
      <c r="C465" s="148" t="s">
        <v>156</v>
      </c>
      <c r="D465" s="148" t="s">
        <v>191</v>
      </c>
      <c r="E465" s="240">
        <f>BEAUVAIS!H108</f>
        <v>0</v>
      </c>
      <c r="F465" s="240">
        <f>BEAUVAIS!I108</f>
        <v>0</v>
      </c>
      <c r="G465" s="240">
        <f>BEAUVAIS!J108</f>
        <v>0</v>
      </c>
      <c r="H465" s="240">
        <f>BEAUVAIS!K108</f>
        <v>0</v>
      </c>
      <c r="I465" s="240">
        <f>BEAUVAIS!L108</f>
        <v>1420.49</v>
      </c>
      <c r="J465" s="240">
        <f>BEAUVAIS!M108</f>
        <v>0</v>
      </c>
      <c r="K465" s="240">
        <f>BEAUVAIS!N108</f>
        <v>0</v>
      </c>
      <c r="L465" s="240">
        <f>BEAUVAIS!O108</f>
        <v>0</v>
      </c>
      <c r="M465" s="240">
        <f>BEAUVAIS!P108</f>
        <v>449.83</v>
      </c>
      <c r="N465" s="240">
        <f>BEAUVAIS!Q108</f>
        <v>0</v>
      </c>
      <c r="O465" s="240">
        <f>BEAUVAIS!R108</f>
        <v>0</v>
      </c>
      <c r="P465" s="240">
        <f>BEAUVAIS!S108</f>
        <v>0</v>
      </c>
      <c r="Q465" s="240">
        <f>BEAUVAIS!T108</f>
        <v>0</v>
      </c>
      <c r="R465" s="240">
        <f>BEAUVAIS!U108</f>
        <v>0</v>
      </c>
      <c r="S465" s="242">
        <f t="shared" si="39"/>
        <v>1870.32</v>
      </c>
    </row>
    <row r="466" spans="1:24" x14ac:dyDescent="0.2">
      <c r="A466" s="159">
        <v>615193</v>
      </c>
      <c r="B466" s="160" t="s">
        <v>118</v>
      </c>
      <c r="C466" s="148" t="s">
        <v>156</v>
      </c>
      <c r="D466" s="148" t="s">
        <v>201</v>
      </c>
      <c r="E466" s="240">
        <f>BEAUVAIS!H109</f>
        <v>0</v>
      </c>
      <c r="F466" s="240">
        <f>BEAUVAIS!I109</f>
        <v>0</v>
      </c>
      <c r="G466" s="240">
        <f>BEAUVAIS!J109</f>
        <v>0</v>
      </c>
      <c r="H466" s="240">
        <f>BEAUVAIS!K109</f>
        <v>0</v>
      </c>
      <c r="I466" s="240">
        <f>BEAUVAIS!L109</f>
        <v>0</v>
      </c>
      <c r="J466" s="240">
        <f>BEAUVAIS!M109</f>
        <v>0</v>
      </c>
      <c r="K466" s="240">
        <f>BEAUVAIS!N109</f>
        <v>0</v>
      </c>
      <c r="L466" s="240">
        <f>BEAUVAIS!O109</f>
        <v>0</v>
      </c>
      <c r="M466" s="240">
        <f>BEAUVAIS!P109</f>
        <v>0</v>
      </c>
      <c r="N466" s="240">
        <f>BEAUVAIS!Q109</f>
        <v>0</v>
      </c>
      <c r="O466" s="240">
        <f>BEAUVAIS!R109</f>
        <v>0</v>
      </c>
      <c r="P466" s="240">
        <f>BEAUVAIS!S109</f>
        <v>0</v>
      </c>
      <c r="Q466" s="240">
        <f>BEAUVAIS!T109</f>
        <v>0</v>
      </c>
      <c r="R466" s="240">
        <f>BEAUVAIS!U109</f>
        <v>0</v>
      </c>
      <c r="S466" s="242">
        <f t="shared" si="39"/>
        <v>0</v>
      </c>
    </row>
    <row r="467" spans="1:24" x14ac:dyDescent="0.2">
      <c r="A467" s="159">
        <v>615193</v>
      </c>
      <c r="B467" s="160" t="s">
        <v>118</v>
      </c>
      <c r="C467" s="148" t="s">
        <v>156</v>
      </c>
      <c r="D467" s="148" t="s">
        <v>184</v>
      </c>
      <c r="E467" s="240">
        <f>BEAUVAIS!H110</f>
        <v>0</v>
      </c>
      <c r="F467" s="240">
        <f>BEAUVAIS!I110</f>
        <v>0</v>
      </c>
      <c r="G467" s="240">
        <f>BEAUVAIS!J110</f>
        <v>0</v>
      </c>
      <c r="H467" s="240">
        <f>BEAUVAIS!K110</f>
        <v>0</v>
      </c>
      <c r="I467" s="240">
        <f>BEAUVAIS!L110</f>
        <v>0</v>
      </c>
      <c r="J467" s="240">
        <f>BEAUVAIS!M110</f>
        <v>0</v>
      </c>
      <c r="K467" s="240">
        <f>BEAUVAIS!N110</f>
        <v>0</v>
      </c>
      <c r="L467" s="240">
        <f>BEAUVAIS!O110</f>
        <v>0</v>
      </c>
      <c r="M467" s="240">
        <f>BEAUVAIS!P110</f>
        <v>0</v>
      </c>
      <c r="N467" s="240">
        <f>BEAUVAIS!Q110</f>
        <v>0</v>
      </c>
      <c r="O467" s="240">
        <f>BEAUVAIS!R110</f>
        <v>0</v>
      </c>
      <c r="P467" s="240">
        <f>BEAUVAIS!S110</f>
        <v>0</v>
      </c>
      <c r="Q467" s="240">
        <f>BEAUVAIS!T110</f>
        <v>0</v>
      </c>
      <c r="R467" s="240">
        <f>BEAUVAIS!U110</f>
        <v>0</v>
      </c>
      <c r="S467" s="242">
        <f t="shared" si="39"/>
        <v>0</v>
      </c>
    </row>
    <row r="468" spans="1:24" x14ac:dyDescent="0.2">
      <c r="A468" s="159">
        <v>615193</v>
      </c>
      <c r="B468" s="160" t="s">
        <v>118</v>
      </c>
      <c r="C468" s="148" t="s">
        <v>156</v>
      </c>
      <c r="D468" s="148" t="s">
        <v>179</v>
      </c>
      <c r="E468" s="240">
        <f>BEAUVAIS!H111</f>
        <v>0</v>
      </c>
      <c r="F468" s="240">
        <f>BEAUVAIS!I111</f>
        <v>135.72</v>
      </c>
      <c r="G468" s="240">
        <f>BEAUVAIS!J111</f>
        <v>0</v>
      </c>
      <c r="H468" s="240">
        <f>BEAUVAIS!K111</f>
        <v>0</v>
      </c>
      <c r="I468" s="240">
        <f>BEAUVAIS!L111</f>
        <v>2592.5</v>
      </c>
      <c r="J468" s="240">
        <f>BEAUVAIS!M111</f>
        <v>0</v>
      </c>
      <c r="K468" s="240">
        <f>BEAUVAIS!N111</f>
        <v>0</v>
      </c>
      <c r="L468" s="240">
        <f>BEAUVAIS!O111</f>
        <v>135.72</v>
      </c>
      <c r="M468" s="240">
        <f>BEAUVAIS!P111</f>
        <v>0</v>
      </c>
      <c r="N468" s="240">
        <f>BEAUVAIS!Q111</f>
        <v>0</v>
      </c>
      <c r="O468" s="240">
        <f>BEAUVAIS!R111</f>
        <v>0</v>
      </c>
      <c r="P468" s="240">
        <f>BEAUVAIS!S111</f>
        <v>0</v>
      </c>
      <c r="Q468" s="240">
        <f>BEAUVAIS!T111</f>
        <v>2819.25</v>
      </c>
      <c r="R468" s="240">
        <f>BEAUVAIS!U111</f>
        <v>0</v>
      </c>
      <c r="S468" s="242">
        <f t="shared" si="39"/>
        <v>5683.19</v>
      </c>
    </row>
    <row r="469" spans="1:24" s="175" customFormat="1" x14ac:dyDescent="0.2">
      <c r="A469" s="270"/>
      <c r="B469" s="235"/>
      <c r="C469" s="148"/>
      <c r="D469" s="148"/>
      <c r="E469" s="240"/>
      <c r="F469" s="240"/>
      <c r="G469" s="240"/>
      <c r="H469" s="240"/>
      <c r="I469" s="240"/>
      <c r="J469" s="240"/>
      <c r="K469" s="240"/>
      <c r="L469" s="240"/>
      <c r="M469" s="240"/>
      <c r="N469" s="240"/>
      <c r="O469" s="240"/>
      <c r="P469" s="240"/>
      <c r="Q469" s="240"/>
      <c r="R469" s="240"/>
      <c r="S469" s="242">
        <f t="shared" si="39"/>
        <v>0</v>
      </c>
      <c r="U469" s="332"/>
    </row>
    <row r="470" spans="1:24" x14ac:dyDescent="0.2">
      <c r="A470" s="159">
        <v>615193</v>
      </c>
      <c r="B470" s="160" t="s">
        <v>118</v>
      </c>
      <c r="C470" s="148" t="s">
        <v>79</v>
      </c>
      <c r="D470" s="148" t="s">
        <v>192</v>
      </c>
      <c r="E470" s="240">
        <f>SIEGE!H49</f>
        <v>0</v>
      </c>
      <c r="F470" s="240">
        <f>SIEGE!I49</f>
        <v>0</v>
      </c>
      <c r="G470" s="240">
        <f>SIEGE!J49</f>
        <v>0</v>
      </c>
      <c r="H470" s="240">
        <f>SIEGE!K49</f>
        <v>0</v>
      </c>
      <c r="I470" s="240">
        <f>SIEGE!L49</f>
        <v>0</v>
      </c>
      <c r="J470" s="240">
        <f>SIEGE!M49</f>
        <v>0</v>
      </c>
      <c r="K470" s="240">
        <f>SIEGE!N49</f>
        <v>0</v>
      </c>
      <c r="L470" s="240">
        <f>SIEGE!O49</f>
        <v>0</v>
      </c>
      <c r="M470" s="240">
        <f>SIEGE!P49</f>
        <v>0</v>
      </c>
      <c r="N470" s="240">
        <f>SIEGE!Q49</f>
        <v>0</v>
      </c>
      <c r="O470" s="240">
        <f>SIEGE!R49</f>
        <v>0</v>
      </c>
      <c r="P470" s="240">
        <f>SIEGE!S49</f>
        <v>0</v>
      </c>
      <c r="Q470" s="240">
        <f>SIEGE!T49</f>
        <v>0</v>
      </c>
      <c r="R470" s="240">
        <f>SIEGE!U49</f>
        <v>0</v>
      </c>
      <c r="S470" s="242">
        <f t="shared" si="39"/>
        <v>0</v>
      </c>
    </row>
    <row r="471" spans="1:24" x14ac:dyDescent="0.2">
      <c r="A471" s="159">
        <v>615193</v>
      </c>
      <c r="B471" s="160" t="s">
        <v>118</v>
      </c>
      <c r="C471" s="148" t="s">
        <v>79</v>
      </c>
      <c r="D471" s="148" t="s">
        <v>191</v>
      </c>
      <c r="E471" s="240">
        <f>SIEGE!H48</f>
        <v>0</v>
      </c>
      <c r="F471" s="240">
        <f>SIEGE!I48</f>
        <v>0</v>
      </c>
      <c r="G471" s="240">
        <f>SIEGE!J48</f>
        <v>1084.24</v>
      </c>
      <c r="H471" s="240">
        <f>SIEGE!K48</f>
        <v>0</v>
      </c>
      <c r="I471" s="240">
        <f>SIEGE!L48</f>
        <v>0</v>
      </c>
      <c r="J471" s="240">
        <f>SIEGE!M48</f>
        <v>0</v>
      </c>
      <c r="K471" s="240">
        <f>SIEGE!N48</f>
        <v>0</v>
      </c>
      <c r="L471" s="240">
        <f>SIEGE!O48</f>
        <v>0</v>
      </c>
      <c r="M471" s="240">
        <f>SIEGE!P48</f>
        <v>0</v>
      </c>
      <c r="N471" s="240">
        <f>SIEGE!Q48</f>
        <v>0</v>
      </c>
      <c r="O471" s="240">
        <f>SIEGE!R48</f>
        <v>0</v>
      </c>
      <c r="P471" s="240">
        <f>SIEGE!S48</f>
        <v>0</v>
      </c>
      <c r="Q471" s="240">
        <f>SIEGE!T48</f>
        <v>0</v>
      </c>
      <c r="R471" s="240">
        <f>SIEGE!U48</f>
        <v>0</v>
      </c>
      <c r="S471" s="242">
        <f t="shared" si="39"/>
        <v>1084.24</v>
      </c>
    </row>
    <row r="472" spans="1:24" x14ac:dyDescent="0.2">
      <c r="A472" s="159"/>
      <c r="B472" s="160"/>
      <c r="C472" s="148"/>
      <c r="D472" s="148"/>
      <c r="E472" s="240"/>
      <c r="F472" s="240"/>
      <c r="G472" s="240"/>
      <c r="H472" s="240"/>
      <c r="I472" s="240"/>
      <c r="J472" s="240"/>
      <c r="K472" s="240"/>
      <c r="L472" s="240"/>
      <c r="M472" s="240"/>
      <c r="N472" s="240"/>
      <c r="O472" s="240"/>
      <c r="P472" s="240"/>
      <c r="Q472" s="240"/>
      <c r="R472" s="240"/>
      <c r="S472" s="242">
        <f t="shared" si="39"/>
        <v>0</v>
      </c>
    </row>
    <row r="473" spans="1:24" s="175" customFormat="1" x14ac:dyDescent="0.2">
      <c r="A473" s="159">
        <v>615193</v>
      </c>
      <c r="B473" s="160" t="s">
        <v>118</v>
      </c>
      <c r="C473" s="148" t="s">
        <v>172</v>
      </c>
      <c r="D473" s="148" t="s">
        <v>243</v>
      </c>
      <c r="E473" s="240">
        <f>+TOULOUSE!H66</f>
        <v>0</v>
      </c>
      <c r="F473" s="240">
        <f>+TOULOUSE!I66</f>
        <v>0</v>
      </c>
      <c r="G473" s="240">
        <f>+TOULOUSE!J66</f>
        <v>0</v>
      </c>
      <c r="H473" s="240">
        <f>+TOULOUSE!K66</f>
        <v>0</v>
      </c>
      <c r="I473" s="240">
        <f>+TOULOUSE!L66</f>
        <v>234.85</v>
      </c>
      <c r="J473" s="240">
        <f>+TOULOUSE!M66</f>
        <v>0</v>
      </c>
      <c r="K473" s="240">
        <f>+TOULOUSE!N66</f>
        <v>0</v>
      </c>
      <c r="L473" s="240">
        <f>+TOULOUSE!O66</f>
        <v>0</v>
      </c>
      <c r="M473" s="240">
        <f>+TOULOUSE!P66</f>
        <v>0</v>
      </c>
      <c r="N473" s="240">
        <f>+TOULOUSE!Q66</f>
        <v>0</v>
      </c>
      <c r="O473" s="240">
        <f>+TOULOUSE!R66</f>
        <v>0</v>
      </c>
      <c r="P473" s="240">
        <f>+TOULOUSE!S66</f>
        <v>0</v>
      </c>
      <c r="Q473" s="240">
        <f>+TOULOUSE!T66</f>
        <v>0</v>
      </c>
      <c r="R473" s="240">
        <f>+TOULOUSE!U66</f>
        <v>0</v>
      </c>
      <c r="S473" s="242">
        <f t="shared" si="39"/>
        <v>234.85</v>
      </c>
      <c r="U473" s="332"/>
      <c r="V473" s="184"/>
    </row>
    <row r="474" spans="1:24" s="175" customFormat="1" x14ac:dyDescent="0.2">
      <c r="A474" s="159">
        <v>615193</v>
      </c>
      <c r="B474" s="160" t="s">
        <v>118</v>
      </c>
      <c r="C474" s="148" t="s">
        <v>172</v>
      </c>
      <c r="D474" s="148" t="s">
        <v>191</v>
      </c>
      <c r="E474" s="240">
        <f>+TOULOUSE!H62</f>
        <v>0</v>
      </c>
      <c r="F474" s="240">
        <f>+TOULOUSE!I62</f>
        <v>0</v>
      </c>
      <c r="G474" s="240">
        <f>+TOULOUSE!J62</f>
        <v>179.99</v>
      </c>
      <c r="H474" s="240">
        <f>+TOULOUSE!K62</f>
        <v>0</v>
      </c>
      <c r="I474" s="240">
        <f>+TOULOUSE!L62</f>
        <v>0</v>
      </c>
      <c r="J474" s="240">
        <f>+TOULOUSE!M62</f>
        <v>0</v>
      </c>
      <c r="K474" s="240">
        <f>+TOULOUSE!N62</f>
        <v>0</v>
      </c>
      <c r="L474" s="240">
        <f>+TOULOUSE!O62</f>
        <v>0</v>
      </c>
      <c r="M474" s="240">
        <f>+TOULOUSE!P62</f>
        <v>0</v>
      </c>
      <c r="N474" s="240">
        <f>+TOULOUSE!Q62</f>
        <v>0</v>
      </c>
      <c r="O474" s="240">
        <f>+TOULOUSE!R62</f>
        <v>0</v>
      </c>
      <c r="P474" s="240">
        <f>+TOULOUSE!S62</f>
        <v>0</v>
      </c>
      <c r="Q474" s="240">
        <f>+TOULOUSE!T62</f>
        <v>0</v>
      </c>
      <c r="R474" s="240">
        <f>+TOULOUSE!U62</f>
        <v>0</v>
      </c>
      <c r="S474" s="242">
        <f>SUM(E474:Q474)</f>
        <v>179.99</v>
      </c>
      <c r="U474" s="332"/>
      <c r="V474" s="184"/>
    </row>
    <row r="475" spans="1:24" s="175" customFormat="1" x14ac:dyDescent="0.2">
      <c r="A475" s="159">
        <v>615193</v>
      </c>
      <c r="B475" s="160" t="s">
        <v>118</v>
      </c>
      <c r="C475" s="148" t="s">
        <v>172</v>
      </c>
      <c r="D475" s="148" t="s">
        <v>201</v>
      </c>
      <c r="E475" s="240">
        <f>+TOULOUSE!H63</f>
        <v>0</v>
      </c>
      <c r="F475" s="240">
        <f>+TOULOUSE!I63</f>
        <v>252</v>
      </c>
      <c r="G475" s="240">
        <f>+TOULOUSE!J63</f>
        <v>0</v>
      </c>
      <c r="H475" s="240">
        <f>+TOULOUSE!K63</f>
        <v>0</v>
      </c>
      <c r="I475" s="240">
        <f>+TOULOUSE!L63</f>
        <v>0</v>
      </c>
      <c r="J475" s="240">
        <f>+TOULOUSE!M63</f>
        <v>0</v>
      </c>
      <c r="K475" s="240">
        <f>+TOULOUSE!N63</f>
        <v>0</v>
      </c>
      <c r="L475" s="240">
        <f>+TOULOUSE!O63</f>
        <v>0</v>
      </c>
      <c r="M475" s="240">
        <f>+TOULOUSE!P63</f>
        <v>0</v>
      </c>
      <c r="N475" s="240">
        <f>+TOULOUSE!Q63</f>
        <v>0</v>
      </c>
      <c r="O475" s="240">
        <f>+TOULOUSE!R63</f>
        <v>0</v>
      </c>
      <c r="P475" s="240">
        <f>+TOULOUSE!S63</f>
        <v>0</v>
      </c>
      <c r="Q475" s="240">
        <f>+TOULOUSE!T63</f>
        <v>0</v>
      </c>
      <c r="R475" s="240">
        <f>+TOULOUSE!U63</f>
        <v>0</v>
      </c>
      <c r="S475" s="242">
        <f>SUM(E475:Q475)</f>
        <v>252</v>
      </c>
      <c r="U475" s="332"/>
      <c r="V475" s="184"/>
    </row>
    <row r="476" spans="1:24" s="175" customFormat="1" x14ac:dyDescent="0.2">
      <c r="A476" s="159">
        <v>615193</v>
      </c>
      <c r="B476" s="160" t="s">
        <v>118</v>
      </c>
      <c r="C476" s="148" t="s">
        <v>172</v>
      </c>
      <c r="D476" s="148" t="s">
        <v>184</v>
      </c>
      <c r="E476" s="240">
        <f>+TOULOUSE!H63</f>
        <v>0</v>
      </c>
      <c r="F476" s="240">
        <f>+TOULOUSE!I63</f>
        <v>252</v>
      </c>
      <c r="G476" s="240">
        <f>+TOULOUSE!J63</f>
        <v>0</v>
      </c>
      <c r="H476" s="240">
        <f>+TOULOUSE!K63</f>
        <v>0</v>
      </c>
      <c r="I476" s="240">
        <f>+TOULOUSE!L63</f>
        <v>0</v>
      </c>
      <c r="J476" s="240">
        <f>+TOULOUSE!M63</f>
        <v>0</v>
      </c>
      <c r="K476" s="240">
        <f>+TOULOUSE!N63</f>
        <v>0</v>
      </c>
      <c r="L476" s="240">
        <f>+TOULOUSE!O63</f>
        <v>0</v>
      </c>
      <c r="M476" s="240">
        <f>+TOULOUSE!P63</f>
        <v>0</v>
      </c>
      <c r="N476" s="240">
        <f>+TOULOUSE!Q63</f>
        <v>0</v>
      </c>
      <c r="O476" s="240">
        <f>+TOULOUSE!R63</f>
        <v>0</v>
      </c>
      <c r="P476" s="240">
        <f>+TOULOUSE!S63</f>
        <v>0</v>
      </c>
      <c r="Q476" s="240">
        <f>+TOULOUSE!T63</f>
        <v>0</v>
      </c>
      <c r="R476" s="240">
        <f>+TOULOUSE!U63</f>
        <v>0</v>
      </c>
      <c r="S476" s="242">
        <f>SUM(E476:Q476)</f>
        <v>252</v>
      </c>
      <c r="U476" s="332"/>
      <c r="V476" s="184"/>
    </row>
    <row r="477" spans="1:24" s="175" customFormat="1" x14ac:dyDescent="0.2">
      <c r="A477" s="159">
        <v>615193</v>
      </c>
      <c r="B477" s="160" t="s">
        <v>118</v>
      </c>
      <c r="C477" s="148" t="s">
        <v>172</v>
      </c>
      <c r="D477" s="148" t="s">
        <v>179</v>
      </c>
      <c r="E477" s="240">
        <f>+TOULOUSE!H65</f>
        <v>0</v>
      </c>
      <c r="F477" s="240">
        <f>+TOULOUSE!I65</f>
        <v>0</v>
      </c>
      <c r="G477" s="240">
        <f>+TOULOUSE!J65</f>
        <v>0</v>
      </c>
      <c r="H477" s="240">
        <f>+TOULOUSE!K65</f>
        <v>0</v>
      </c>
      <c r="I477" s="240">
        <f>+TOULOUSE!L65</f>
        <v>0</v>
      </c>
      <c r="J477" s="240">
        <f>+TOULOUSE!M65</f>
        <v>0</v>
      </c>
      <c r="K477" s="240">
        <f>+TOULOUSE!N65</f>
        <v>0</v>
      </c>
      <c r="L477" s="240">
        <f>+TOULOUSE!O65</f>
        <v>0</v>
      </c>
      <c r="M477" s="240">
        <f>+TOULOUSE!P65</f>
        <v>0</v>
      </c>
      <c r="N477" s="240">
        <f>+TOULOUSE!Q65</f>
        <v>0</v>
      </c>
      <c r="O477" s="240">
        <f>+TOULOUSE!R65</f>
        <v>0</v>
      </c>
      <c r="P477" s="240">
        <f>+TOULOUSE!S65</f>
        <v>850</v>
      </c>
      <c r="Q477" s="240">
        <f>+TOULOUSE!T65</f>
        <v>0</v>
      </c>
      <c r="R477" s="240">
        <f>+TOULOUSE!U65</f>
        <v>0</v>
      </c>
      <c r="S477" s="242">
        <f t="shared" si="39"/>
        <v>850</v>
      </c>
      <c r="U477" s="332"/>
      <c r="V477" s="184"/>
    </row>
    <row r="478" spans="1:24" s="175" customFormat="1" x14ac:dyDescent="0.2">
      <c r="A478" s="270"/>
      <c r="B478" s="235"/>
      <c r="C478" s="148"/>
      <c r="D478" s="148"/>
      <c r="E478" s="240"/>
      <c r="F478" s="240"/>
      <c r="G478" s="240"/>
      <c r="H478" s="240"/>
      <c r="I478" s="240"/>
      <c r="J478" s="240"/>
      <c r="K478" s="240"/>
      <c r="L478" s="240"/>
      <c r="M478" s="240"/>
      <c r="N478" s="240"/>
      <c r="O478" s="240"/>
      <c r="P478" s="240"/>
      <c r="Q478" s="240"/>
      <c r="R478" s="240"/>
      <c r="S478" s="242"/>
      <c r="U478" s="332"/>
      <c r="V478" s="184"/>
    </row>
    <row r="479" spans="1:24" x14ac:dyDescent="0.2">
      <c r="A479" s="159">
        <v>615193</v>
      </c>
      <c r="B479" s="160" t="s">
        <v>118</v>
      </c>
      <c r="C479" s="148" t="s">
        <v>367</v>
      </c>
      <c r="D479" s="148">
        <v>999999</v>
      </c>
      <c r="E479" s="240"/>
      <c r="F479" s="240">
        <v>4724.32</v>
      </c>
      <c r="G479" s="240">
        <f>-4724.32+9080.71</f>
        <v>4356.3899999999994</v>
      </c>
      <c r="H479" s="240">
        <f>-9080.71+6522.37</f>
        <v>-2558.3399999999992</v>
      </c>
      <c r="I479" s="240">
        <f>-6522.37+2918.34</f>
        <v>-3604.0299999999997</v>
      </c>
      <c r="J479" s="240">
        <f>-2918.34+2228.39</f>
        <v>-689.95000000000027</v>
      </c>
      <c r="K479" s="240">
        <f>-2228.39+5961.74</f>
        <v>3733.35</v>
      </c>
      <c r="L479" s="240">
        <f>-5961.74+11823.18</f>
        <v>5861.4400000000005</v>
      </c>
      <c r="M479" s="240">
        <f>-11823.18+16091.44</f>
        <v>4268.26</v>
      </c>
      <c r="N479" s="240">
        <f>-16091.44+23910.55</f>
        <v>7819.1099999999988</v>
      </c>
      <c r="O479" s="240">
        <f>-23910.55+19319.85</f>
        <v>-4590.7000000000007</v>
      </c>
      <c r="P479" s="240">
        <f>-19319.85+0.08</f>
        <v>-19319.769999999997</v>
      </c>
      <c r="Q479" s="240"/>
      <c r="R479" s="240"/>
      <c r="S479" s="242">
        <f>SUM(E479:Q479)</f>
        <v>8.000000000174623E-2</v>
      </c>
      <c r="V479" s="184"/>
    </row>
    <row r="480" spans="1:24" s="185" customFormat="1" ht="24" customHeight="1" x14ac:dyDescent="0.2">
      <c r="A480" s="267"/>
      <c r="B480" s="268"/>
      <c r="C480" s="267" t="s">
        <v>66</v>
      </c>
      <c r="D480" s="267"/>
      <c r="E480" s="269">
        <f t="shared" ref="E480:S480" si="40">SUM(E408:E479)</f>
        <v>-2944.39</v>
      </c>
      <c r="F480" s="269">
        <f t="shared" si="40"/>
        <v>6314.67</v>
      </c>
      <c r="G480" s="269">
        <f t="shared" si="40"/>
        <v>15149.279999999997</v>
      </c>
      <c r="H480" s="269">
        <f t="shared" si="40"/>
        <v>918.79000000000042</v>
      </c>
      <c r="I480" s="269">
        <f t="shared" si="40"/>
        <v>7265.8</v>
      </c>
      <c r="J480" s="269">
        <f t="shared" si="40"/>
        <v>4149.8600000000006</v>
      </c>
      <c r="K480" s="269">
        <f t="shared" si="40"/>
        <v>4625.1000000000004</v>
      </c>
      <c r="L480" s="269">
        <f t="shared" si="40"/>
        <v>8226.76</v>
      </c>
      <c r="M480" s="269">
        <f t="shared" si="40"/>
        <v>5607.54</v>
      </c>
      <c r="N480" s="269">
        <f t="shared" si="40"/>
        <v>16850.96</v>
      </c>
      <c r="O480" s="269">
        <f t="shared" si="40"/>
        <v>-3310.1300000000006</v>
      </c>
      <c r="P480" s="269">
        <f t="shared" si="40"/>
        <v>-7498.2399999999961</v>
      </c>
      <c r="Q480" s="269">
        <f t="shared" si="40"/>
        <v>10010.73</v>
      </c>
      <c r="R480" s="269">
        <f>SUM(R408:R479)</f>
        <v>0</v>
      </c>
      <c r="S480" s="269">
        <f t="shared" si="40"/>
        <v>65366.730000000018</v>
      </c>
      <c r="T480" s="212">
        <v>56044.24</v>
      </c>
      <c r="U480" s="334">
        <f>T480-S480</f>
        <v>-9322.4900000000198</v>
      </c>
      <c r="V480" s="185" t="s">
        <v>853</v>
      </c>
      <c r="W480" s="569"/>
      <c r="X480" s="569">
        <f>U480-CENTRALISATION!V481</f>
        <v>0</v>
      </c>
    </row>
    <row r="481" spans="1:256" x14ac:dyDescent="0.2">
      <c r="A481" s="159">
        <v>615194</v>
      </c>
      <c r="B481" s="160" t="s">
        <v>135</v>
      </c>
      <c r="C481" s="148" t="s">
        <v>78</v>
      </c>
      <c r="D481" s="148" t="s">
        <v>192</v>
      </c>
      <c r="E481" s="240">
        <f>FLEURY!H128</f>
        <v>0</v>
      </c>
      <c r="F481" s="240">
        <f>FLEURY!I128</f>
        <v>0</v>
      </c>
      <c r="G481" s="240">
        <f>FLEURY!J128</f>
        <v>0</v>
      </c>
      <c r="H481" s="240">
        <f>FLEURY!K128</f>
        <v>0</v>
      </c>
      <c r="I481" s="240">
        <f>FLEURY!L128</f>
        <v>0</v>
      </c>
      <c r="J481" s="240">
        <f>FLEURY!M128</f>
        <v>0</v>
      </c>
      <c r="K481" s="240">
        <f>FLEURY!N128</f>
        <v>0</v>
      </c>
      <c r="L481" s="240">
        <f>FLEURY!O128</f>
        <v>0</v>
      </c>
      <c r="M481" s="240">
        <f>FLEURY!P128</f>
        <v>0</v>
      </c>
      <c r="N481" s="240">
        <f>FLEURY!Q128</f>
        <v>0</v>
      </c>
      <c r="O481" s="240">
        <f>FLEURY!R128</f>
        <v>0</v>
      </c>
      <c r="P481" s="240">
        <f>FLEURY!S128</f>
        <v>0</v>
      </c>
      <c r="Q481" s="240">
        <f>FLEURY!T128</f>
        <v>0</v>
      </c>
      <c r="R481" s="240">
        <f>FLEURY!U128</f>
        <v>0</v>
      </c>
      <c r="S481" s="242">
        <f>SUM(E481:Q481)</f>
        <v>0</v>
      </c>
    </row>
    <row r="482" spans="1:256" x14ac:dyDescent="0.2">
      <c r="A482" s="159">
        <v>615194</v>
      </c>
      <c r="B482" s="160" t="s">
        <v>135</v>
      </c>
      <c r="C482" s="148" t="s">
        <v>78</v>
      </c>
      <c r="D482" s="148" t="s">
        <v>179</v>
      </c>
      <c r="E482" s="240">
        <f>FLEURY!H129</f>
        <v>0</v>
      </c>
      <c r="F482" s="240">
        <f>FLEURY!I129</f>
        <v>0</v>
      </c>
      <c r="G482" s="240">
        <f>FLEURY!J129</f>
        <v>0</v>
      </c>
      <c r="H482" s="240">
        <f>FLEURY!K129</f>
        <v>0</v>
      </c>
      <c r="I482" s="240">
        <f>FLEURY!L129</f>
        <v>0</v>
      </c>
      <c r="J482" s="240">
        <f>FLEURY!M129</f>
        <v>0</v>
      </c>
      <c r="K482" s="240">
        <f>FLEURY!N129</f>
        <v>0</v>
      </c>
      <c r="L482" s="240">
        <f>FLEURY!O129</f>
        <v>0</v>
      </c>
      <c r="M482" s="240">
        <f>FLEURY!P129</f>
        <v>0</v>
      </c>
      <c r="N482" s="240">
        <f>FLEURY!Q129</f>
        <v>0</v>
      </c>
      <c r="O482" s="240">
        <f>FLEURY!R129</f>
        <v>0</v>
      </c>
      <c r="P482" s="240">
        <f>FLEURY!S129</f>
        <v>0</v>
      </c>
      <c r="Q482" s="240">
        <f>FLEURY!T129</f>
        <v>0</v>
      </c>
      <c r="R482" s="240">
        <f>FLEURY!U129</f>
        <v>0</v>
      </c>
      <c r="S482" s="242">
        <f>SUM(E482:Q482)</f>
        <v>0</v>
      </c>
    </row>
    <row r="483" spans="1:256" s="175" customFormat="1" x14ac:dyDescent="0.2">
      <c r="A483" s="270"/>
      <c r="B483" s="235"/>
      <c r="C483" s="148"/>
      <c r="D483" s="148"/>
      <c r="E483" s="240"/>
      <c r="F483" s="240"/>
      <c r="G483" s="240"/>
      <c r="H483" s="240"/>
      <c r="I483" s="240"/>
      <c r="J483" s="240"/>
      <c r="K483" s="240"/>
      <c r="L483" s="240"/>
      <c r="M483" s="240"/>
      <c r="N483" s="240"/>
      <c r="O483" s="240"/>
      <c r="P483" s="240"/>
      <c r="Q483" s="240"/>
      <c r="R483" s="240"/>
      <c r="S483" s="242"/>
      <c r="U483" s="332"/>
    </row>
    <row r="484" spans="1:256" x14ac:dyDescent="0.2">
      <c r="A484" s="159">
        <v>615194</v>
      </c>
      <c r="B484" s="160" t="s">
        <v>135</v>
      </c>
      <c r="C484" s="148" t="s">
        <v>71</v>
      </c>
      <c r="D484" s="148" t="s">
        <v>192</v>
      </c>
      <c r="E484" s="240">
        <f>AIX!H119</f>
        <v>0</v>
      </c>
      <c r="F484" s="240">
        <f>AIX!I119</f>
        <v>0</v>
      </c>
      <c r="G484" s="240">
        <f>AIX!J119</f>
        <v>0</v>
      </c>
      <c r="H484" s="240">
        <f>AIX!K119</f>
        <v>0</v>
      </c>
      <c r="I484" s="240">
        <f>AIX!L119</f>
        <v>0</v>
      </c>
      <c r="J484" s="240">
        <f>AIX!M119</f>
        <v>0</v>
      </c>
      <c r="K484" s="240">
        <f>AIX!N119</f>
        <v>0</v>
      </c>
      <c r="L484" s="240">
        <f>AIX!O119</f>
        <v>0</v>
      </c>
      <c r="M484" s="240">
        <f>AIX!P119</f>
        <v>0</v>
      </c>
      <c r="N484" s="240">
        <f>AIX!Q119</f>
        <v>0</v>
      </c>
      <c r="O484" s="240">
        <f>AIX!R119</f>
        <v>0</v>
      </c>
      <c r="P484" s="240">
        <f>AIX!S119</f>
        <v>0</v>
      </c>
      <c r="Q484" s="240">
        <f>AIX!T119</f>
        <v>0</v>
      </c>
      <c r="R484" s="240">
        <f>AIX!U119</f>
        <v>0</v>
      </c>
      <c r="S484" s="242">
        <f>SUM(E484:Q484)</f>
        <v>0</v>
      </c>
    </row>
    <row r="485" spans="1:256" x14ac:dyDescent="0.2">
      <c r="A485" s="159">
        <v>615194</v>
      </c>
      <c r="B485" s="160" t="s">
        <v>135</v>
      </c>
      <c r="C485" s="148" t="s">
        <v>71</v>
      </c>
      <c r="D485" s="148" t="s">
        <v>179</v>
      </c>
      <c r="E485" s="240">
        <f>AIX!H120</f>
        <v>0</v>
      </c>
      <c r="F485" s="240">
        <f>AIX!I120</f>
        <v>0</v>
      </c>
      <c r="G485" s="240">
        <f>AIX!J120</f>
        <v>0</v>
      </c>
      <c r="H485" s="240">
        <f>AIX!K120</f>
        <v>0</v>
      </c>
      <c r="I485" s="240">
        <f>AIX!L120</f>
        <v>0</v>
      </c>
      <c r="J485" s="240">
        <f>AIX!M120</f>
        <v>0</v>
      </c>
      <c r="K485" s="240">
        <f>AIX!N120</f>
        <v>0</v>
      </c>
      <c r="L485" s="240">
        <f>AIX!O120</f>
        <v>0</v>
      </c>
      <c r="M485" s="240">
        <f>AIX!P120</f>
        <v>0</v>
      </c>
      <c r="N485" s="240">
        <f>AIX!Q120</f>
        <v>0</v>
      </c>
      <c r="O485" s="240">
        <f>AIX!R120</f>
        <v>0</v>
      </c>
      <c r="P485" s="240">
        <f>AIX!S120</f>
        <v>0</v>
      </c>
      <c r="Q485" s="240">
        <f>AIX!T120</f>
        <v>0</v>
      </c>
      <c r="R485" s="240">
        <f>AIX!U120</f>
        <v>0</v>
      </c>
      <c r="S485" s="242">
        <f>SUM(E485:Q485)</f>
        <v>0</v>
      </c>
    </row>
    <row r="486" spans="1:256" s="175" customFormat="1" x14ac:dyDescent="0.2">
      <c r="A486" s="270"/>
      <c r="B486" s="235"/>
      <c r="C486" s="148"/>
      <c r="D486" s="148"/>
      <c r="E486" s="240"/>
      <c r="F486" s="240"/>
      <c r="G486" s="240"/>
      <c r="H486" s="240"/>
      <c r="I486" s="240"/>
      <c r="J486" s="240"/>
      <c r="K486" s="240"/>
      <c r="L486" s="240"/>
      <c r="M486" s="240"/>
      <c r="N486" s="240"/>
      <c r="O486" s="240"/>
      <c r="P486" s="240"/>
      <c r="Q486" s="240"/>
      <c r="R486" s="240"/>
      <c r="S486" s="242"/>
      <c r="U486" s="332"/>
    </row>
    <row r="487" spans="1:256" x14ac:dyDescent="0.2">
      <c r="A487" s="159">
        <v>615194</v>
      </c>
      <c r="B487" s="160" t="s">
        <v>135</v>
      </c>
      <c r="C487" s="148" t="s">
        <v>73</v>
      </c>
      <c r="D487" s="148" t="s">
        <v>192</v>
      </c>
      <c r="E487" s="240">
        <f>LYON!H114</f>
        <v>0</v>
      </c>
      <c r="F487" s="240">
        <f>LYON!I114</f>
        <v>0</v>
      </c>
      <c r="G487" s="240">
        <f>LYON!J114</f>
        <v>0</v>
      </c>
      <c r="H487" s="240">
        <f>LYON!K114</f>
        <v>0</v>
      </c>
      <c r="I487" s="240">
        <f>LYON!L114</f>
        <v>0</v>
      </c>
      <c r="J487" s="240">
        <f>LYON!M114</f>
        <v>0</v>
      </c>
      <c r="K487" s="240">
        <f>LYON!N114</f>
        <v>0</v>
      </c>
      <c r="L487" s="240">
        <f>LYON!O114</f>
        <v>0</v>
      </c>
      <c r="M487" s="240">
        <f>LYON!P114</f>
        <v>0</v>
      </c>
      <c r="N487" s="240">
        <f>LYON!Q114</f>
        <v>0</v>
      </c>
      <c r="O487" s="240">
        <f>LYON!R114</f>
        <v>0</v>
      </c>
      <c r="P487" s="240">
        <f>LYON!S114</f>
        <v>0</v>
      </c>
      <c r="Q487" s="240">
        <f>LYON!T114</f>
        <v>0</v>
      </c>
      <c r="R487" s="240">
        <f>LYON!U114</f>
        <v>0</v>
      </c>
      <c r="S487" s="242">
        <f>SUM(E487:Q487)</f>
        <v>0</v>
      </c>
    </row>
    <row r="488" spans="1:256" x14ac:dyDescent="0.2">
      <c r="A488" s="159">
        <v>615194</v>
      </c>
      <c r="B488" s="160" t="s">
        <v>135</v>
      </c>
      <c r="C488" s="148" t="s">
        <v>73</v>
      </c>
      <c r="D488" s="148" t="s">
        <v>179</v>
      </c>
      <c r="E488" s="240">
        <f>LYON!H115</f>
        <v>0</v>
      </c>
      <c r="F488" s="240">
        <f>LYON!I115</f>
        <v>0</v>
      </c>
      <c r="G488" s="240">
        <f>LYON!J115</f>
        <v>0</v>
      </c>
      <c r="H488" s="240">
        <f>LYON!K115</f>
        <v>0</v>
      </c>
      <c r="I488" s="240">
        <f>LYON!L115</f>
        <v>0</v>
      </c>
      <c r="J488" s="240">
        <f>LYON!M115</f>
        <v>0</v>
      </c>
      <c r="K488" s="240">
        <f>LYON!N115</f>
        <v>0</v>
      </c>
      <c r="L488" s="240">
        <f>LYON!O115</f>
        <v>0</v>
      </c>
      <c r="M488" s="240">
        <f>LYON!P115</f>
        <v>0</v>
      </c>
      <c r="N488" s="240">
        <f>LYON!Q115</f>
        <v>0</v>
      </c>
      <c r="O488" s="240">
        <f>LYON!R115</f>
        <v>0</v>
      </c>
      <c r="P488" s="240">
        <f>LYON!S115</f>
        <v>0</v>
      </c>
      <c r="Q488" s="240">
        <f>LYON!T115</f>
        <v>0</v>
      </c>
      <c r="R488" s="240">
        <f>LYON!U115</f>
        <v>0</v>
      </c>
      <c r="S488" s="242">
        <f>SUM(E488:Q488)</f>
        <v>0</v>
      </c>
    </row>
    <row r="489" spans="1:256" s="175" customFormat="1" x14ac:dyDescent="0.2">
      <c r="A489" s="270"/>
      <c r="B489" s="235"/>
      <c r="C489" s="148"/>
      <c r="D489" s="148"/>
      <c r="E489" s="240"/>
      <c r="F489" s="240"/>
      <c r="G489" s="240"/>
      <c r="H489" s="240"/>
      <c r="I489" s="240"/>
      <c r="J489" s="240"/>
      <c r="K489" s="240"/>
      <c r="L489" s="240"/>
      <c r="M489" s="240"/>
      <c r="N489" s="240"/>
      <c r="O489" s="240"/>
      <c r="P489" s="240"/>
      <c r="Q489" s="240"/>
      <c r="R489" s="240"/>
      <c r="S489" s="242"/>
      <c r="U489" s="332"/>
    </row>
    <row r="490" spans="1:256" x14ac:dyDescent="0.2">
      <c r="A490" s="159">
        <v>615194</v>
      </c>
      <c r="B490" s="160" t="s">
        <v>135</v>
      </c>
      <c r="C490" s="148" t="s">
        <v>67</v>
      </c>
      <c r="D490" s="148" t="s">
        <v>192</v>
      </c>
      <c r="E490" s="240">
        <f>BORDEAUX!H122</f>
        <v>0</v>
      </c>
      <c r="F490" s="240">
        <f>BORDEAUX!I122</f>
        <v>0</v>
      </c>
      <c r="G490" s="240">
        <f>BORDEAUX!J122</f>
        <v>0</v>
      </c>
      <c r="H490" s="240">
        <f>BORDEAUX!K122</f>
        <v>0</v>
      </c>
      <c r="I490" s="240">
        <f>BORDEAUX!L122</f>
        <v>0</v>
      </c>
      <c r="J490" s="240">
        <f>BORDEAUX!M122</f>
        <v>0</v>
      </c>
      <c r="K490" s="240">
        <f>BORDEAUX!N122</f>
        <v>0</v>
      </c>
      <c r="L490" s="240">
        <f>BORDEAUX!O122</f>
        <v>0</v>
      </c>
      <c r="M490" s="240">
        <f>BORDEAUX!P122</f>
        <v>0</v>
      </c>
      <c r="N490" s="240">
        <f>BORDEAUX!Q122</f>
        <v>0</v>
      </c>
      <c r="O490" s="240">
        <f>BORDEAUX!R122</f>
        <v>0</v>
      </c>
      <c r="P490" s="240">
        <f>BORDEAUX!S122</f>
        <v>0</v>
      </c>
      <c r="Q490" s="240">
        <f>BORDEAUX!T122</f>
        <v>0</v>
      </c>
      <c r="R490" s="240">
        <f>BORDEAUX!U122</f>
        <v>0</v>
      </c>
      <c r="S490" s="242">
        <f>SUM(E490:Q490)</f>
        <v>0</v>
      </c>
    </row>
    <row r="491" spans="1:256" x14ac:dyDescent="0.2">
      <c r="A491" s="159">
        <v>615194</v>
      </c>
      <c r="B491" s="160" t="s">
        <v>135</v>
      </c>
      <c r="C491" s="148" t="s">
        <v>67</v>
      </c>
      <c r="D491" s="148" t="s">
        <v>179</v>
      </c>
      <c r="E491" s="240">
        <f>BORDEAUX!H123</f>
        <v>0</v>
      </c>
      <c r="F491" s="240">
        <f>BORDEAUX!I123</f>
        <v>0</v>
      </c>
      <c r="G491" s="240">
        <f>BORDEAUX!J123</f>
        <v>0</v>
      </c>
      <c r="H491" s="240">
        <f>BORDEAUX!K123</f>
        <v>0</v>
      </c>
      <c r="I491" s="240">
        <f>BORDEAUX!L123</f>
        <v>0</v>
      </c>
      <c r="J491" s="240">
        <f>BORDEAUX!M123</f>
        <v>0</v>
      </c>
      <c r="K491" s="240">
        <f>BORDEAUX!N123</f>
        <v>0</v>
      </c>
      <c r="L491" s="240">
        <f>BORDEAUX!O123</f>
        <v>0</v>
      </c>
      <c r="M491" s="240">
        <f>BORDEAUX!P123</f>
        <v>0</v>
      </c>
      <c r="N491" s="240">
        <f>BORDEAUX!Q123</f>
        <v>0</v>
      </c>
      <c r="O491" s="240">
        <f>BORDEAUX!R123</f>
        <v>0</v>
      </c>
      <c r="P491" s="240">
        <f>BORDEAUX!S123</f>
        <v>0</v>
      </c>
      <c r="Q491" s="240">
        <f>BORDEAUX!T123</f>
        <v>0</v>
      </c>
      <c r="R491" s="240">
        <f>BORDEAUX!U123</f>
        <v>0</v>
      </c>
      <c r="S491" s="242">
        <f>SUM(E491:Q491)</f>
        <v>0</v>
      </c>
    </row>
    <row r="492" spans="1:256" s="175" customFormat="1" x14ac:dyDescent="0.2">
      <c r="A492" s="270"/>
      <c r="B492" s="235"/>
      <c r="C492" s="148"/>
      <c r="D492" s="148"/>
      <c r="E492" s="240"/>
      <c r="F492" s="240"/>
      <c r="G492" s="240"/>
      <c r="H492" s="240"/>
      <c r="I492" s="240"/>
      <c r="J492" s="240"/>
      <c r="K492" s="240"/>
      <c r="L492" s="240"/>
      <c r="M492" s="240"/>
      <c r="N492" s="240"/>
      <c r="O492" s="240"/>
      <c r="P492" s="240"/>
      <c r="Q492" s="240"/>
      <c r="R492" s="240"/>
      <c r="S492" s="242"/>
      <c r="U492" s="332"/>
    </row>
    <row r="493" spans="1:256" x14ac:dyDescent="0.2">
      <c r="A493" s="159">
        <v>615194</v>
      </c>
      <c r="B493" s="160" t="s">
        <v>135</v>
      </c>
      <c r="C493" s="148" t="s">
        <v>80</v>
      </c>
      <c r="D493" s="148" t="s">
        <v>192</v>
      </c>
      <c r="E493" s="240">
        <f>RENNES!H114</f>
        <v>0</v>
      </c>
      <c r="F493" s="240">
        <f>RENNES!I114</f>
        <v>0</v>
      </c>
      <c r="G493" s="240">
        <f>RENNES!J114</f>
        <v>0</v>
      </c>
      <c r="H493" s="240">
        <f>RENNES!K114</f>
        <v>0</v>
      </c>
      <c r="I493" s="240">
        <f>RENNES!L114</f>
        <v>0</v>
      </c>
      <c r="J493" s="240">
        <f>RENNES!M114</f>
        <v>0</v>
      </c>
      <c r="K493" s="240">
        <f>RENNES!N114</f>
        <v>0</v>
      </c>
      <c r="L493" s="240">
        <f>RENNES!O114</f>
        <v>0</v>
      </c>
      <c r="M493" s="240">
        <f>RENNES!P114</f>
        <v>0</v>
      </c>
      <c r="N493" s="240">
        <f>RENNES!Q114</f>
        <v>0</v>
      </c>
      <c r="O493" s="240">
        <f>RENNES!R114</f>
        <v>0</v>
      </c>
      <c r="P493" s="240">
        <f>RENNES!S114</f>
        <v>0</v>
      </c>
      <c r="Q493" s="240">
        <f>RENNES!T114</f>
        <v>0</v>
      </c>
      <c r="R493" s="240">
        <f>RENNES!U114</f>
        <v>0</v>
      </c>
      <c r="S493" s="242">
        <f>SUM(E493:Q493)</f>
        <v>0</v>
      </c>
    </row>
    <row r="494" spans="1:256" x14ac:dyDescent="0.2">
      <c r="A494" s="159">
        <v>615194</v>
      </c>
      <c r="B494" s="160" t="s">
        <v>135</v>
      </c>
      <c r="C494" s="148" t="s">
        <v>80</v>
      </c>
      <c r="D494" s="148" t="s">
        <v>179</v>
      </c>
      <c r="E494" s="240">
        <f>RENNES!H115</f>
        <v>0</v>
      </c>
      <c r="F494" s="240">
        <f>RENNES!I115</f>
        <v>0</v>
      </c>
      <c r="G494" s="240">
        <f>RENNES!J115</f>
        <v>0</v>
      </c>
      <c r="H494" s="240">
        <f>RENNES!K115</f>
        <v>0</v>
      </c>
      <c r="I494" s="240">
        <f>RENNES!L115</f>
        <v>0</v>
      </c>
      <c r="J494" s="240">
        <f>RENNES!M115</f>
        <v>0</v>
      </c>
      <c r="K494" s="240">
        <f>RENNES!N115</f>
        <v>0</v>
      </c>
      <c r="L494" s="240">
        <f>RENNES!O115</f>
        <v>0</v>
      </c>
      <c r="M494" s="240">
        <f>RENNES!P115</f>
        <v>0</v>
      </c>
      <c r="N494" s="240">
        <f>RENNES!Q115</f>
        <v>0</v>
      </c>
      <c r="O494" s="240">
        <f>RENNES!R115</f>
        <v>0</v>
      </c>
      <c r="P494" s="240">
        <f>RENNES!S115</f>
        <v>0</v>
      </c>
      <c r="Q494" s="240">
        <f>RENNES!T115</f>
        <v>0</v>
      </c>
      <c r="R494" s="240">
        <f>RENNES!U115</f>
        <v>0</v>
      </c>
      <c r="S494" s="242">
        <f>SUM(E494:Q494)</f>
        <v>0</v>
      </c>
    </row>
    <row r="495" spans="1:256" s="175" customFormat="1" x14ac:dyDescent="0.2">
      <c r="A495" s="270"/>
      <c r="B495" s="235"/>
      <c r="C495" s="148"/>
      <c r="D495" s="148"/>
      <c r="E495" s="240"/>
      <c r="F495" s="240"/>
      <c r="G495" s="240"/>
      <c r="H495" s="240"/>
      <c r="I495" s="240"/>
      <c r="J495" s="240"/>
      <c r="K495" s="240"/>
      <c r="L495" s="240"/>
      <c r="M495" s="240"/>
      <c r="N495" s="240"/>
      <c r="O495" s="240"/>
      <c r="P495" s="240"/>
      <c r="Q495" s="240"/>
      <c r="R495" s="240"/>
      <c r="S495" s="242"/>
      <c r="T495" s="184"/>
      <c r="U495" s="332"/>
      <c r="W495" s="184"/>
      <c r="X495" s="184"/>
      <c r="Y495" s="184"/>
      <c r="Z495" s="184"/>
      <c r="AA495" s="184"/>
      <c r="AB495" s="184"/>
      <c r="AC495" s="184"/>
      <c r="AD495" s="184"/>
      <c r="AE495" s="184"/>
      <c r="AF495" s="184"/>
      <c r="AG495" s="184"/>
      <c r="AH495" s="184"/>
      <c r="AI495" s="184"/>
      <c r="AJ495" s="184"/>
      <c r="AK495" s="184"/>
      <c r="AL495" s="184"/>
      <c r="AM495" s="184"/>
      <c r="AN495" s="184"/>
      <c r="AO495" s="184"/>
      <c r="AP495" s="184"/>
      <c r="AQ495" s="184"/>
      <c r="AR495" s="184"/>
      <c r="AS495" s="184"/>
      <c r="AT495" s="184"/>
      <c r="AU495" s="184"/>
      <c r="AV495" s="184"/>
      <c r="AW495" s="184"/>
      <c r="AX495" s="184"/>
      <c r="AY495" s="184"/>
      <c r="AZ495" s="184"/>
      <c r="BA495" s="184"/>
      <c r="BB495" s="184"/>
      <c r="BC495" s="184"/>
      <c r="BD495" s="184"/>
      <c r="BE495" s="184"/>
      <c r="BF495" s="184"/>
      <c r="BG495" s="184"/>
      <c r="BH495" s="184"/>
      <c r="BI495" s="184"/>
      <c r="BJ495" s="184"/>
      <c r="BK495" s="184"/>
      <c r="BL495" s="184"/>
      <c r="BM495" s="184"/>
      <c r="BN495" s="184"/>
      <c r="BO495" s="184"/>
      <c r="BP495" s="184"/>
      <c r="BQ495" s="184"/>
      <c r="BR495" s="184"/>
      <c r="BS495" s="184"/>
      <c r="BT495" s="184"/>
      <c r="BU495" s="184"/>
      <c r="BV495" s="184"/>
      <c r="BW495" s="184"/>
      <c r="BX495" s="184"/>
      <c r="BY495" s="184"/>
      <c r="BZ495" s="184"/>
      <c r="CA495" s="184"/>
      <c r="CB495" s="184"/>
      <c r="CC495" s="184"/>
      <c r="CD495" s="184"/>
      <c r="CE495" s="184"/>
      <c r="CF495" s="184"/>
      <c r="CG495" s="184"/>
      <c r="CH495" s="184"/>
      <c r="CI495" s="184"/>
      <c r="CJ495" s="184"/>
      <c r="CK495" s="184"/>
      <c r="CL495" s="184"/>
      <c r="CM495" s="184"/>
      <c r="CN495" s="184"/>
      <c r="CO495" s="184"/>
      <c r="CP495" s="184"/>
      <c r="CQ495" s="184"/>
      <c r="CR495" s="184"/>
      <c r="CS495" s="184"/>
      <c r="CT495" s="184"/>
      <c r="CU495" s="184"/>
      <c r="CV495" s="184"/>
      <c r="CW495" s="184"/>
      <c r="CX495" s="184"/>
      <c r="CY495" s="184"/>
      <c r="CZ495" s="184"/>
      <c r="DA495" s="184"/>
      <c r="DB495" s="184"/>
      <c r="DC495" s="184"/>
      <c r="DD495" s="184"/>
      <c r="DE495" s="184"/>
      <c r="DF495" s="184"/>
      <c r="DG495" s="184"/>
      <c r="DH495" s="184"/>
      <c r="DI495" s="184"/>
      <c r="DJ495" s="184"/>
      <c r="DK495" s="184"/>
      <c r="DL495" s="184"/>
      <c r="DM495" s="184"/>
      <c r="DN495" s="184"/>
      <c r="DO495" s="184"/>
      <c r="DP495" s="184"/>
      <c r="DQ495" s="184"/>
      <c r="DR495" s="184"/>
      <c r="DS495" s="184"/>
      <c r="DT495" s="184"/>
      <c r="DU495" s="184"/>
      <c r="DV495" s="184"/>
      <c r="DW495" s="184"/>
      <c r="DX495" s="184"/>
      <c r="DY495" s="184"/>
      <c r="DZ495" s="184"/>
      <c r="EA495" s="184"/>
      <c r="EB495" s="184"/>
      <c r="EC495" s="184"/>
      <c r="ED495" s="184"/>
      <c r="EE495" s="184"/>
      <c r="EF495" s="184"/>
      <c r="EG495" s="184"/>
      <c r="EH495" s="184"/>
      <c r="EI495" s="184"/>
      <c r="EJ495" s="184"/>
      <c r="EK495" s="184"/>
      <c r="EL495" s="184"/>
      <c r="EM495" s="184"/>
      <c r="EN495" s="184"/>
      <c r="EO495" s="184"/>
      <c r="EP495" s="184"/>
      <c r="EQ495" s="184"/>
      <c r="ER495" s="184"/>
      <c r="ES495" s="184"/>
      <c r="ET495" s="184"/>
      <c r="EU495" s="184"/>
      <c r="EV495" s="184"/>
      <c r="EW495" s="184"/>
      <c r="EX495" s="184"/>
      <c r="EY495" s="184"/>
      <c r="EZ495" s="184"/>
      <c r="FA495" s="184"/>
      <c r="FB495" s="184"/>
      <c r="FC495" s="184"/>
      <c r="FD495" s="184"/>
      <c r="FE495" s="184"/>
      <c r="FF495" s="184"/>
      <c r="FG495" s="184"/>
      <c r="FH495" s="184"/>
      <c r="FI495" s="184"/>
      <c r="FJ495" s="184"/>
      <c r="FK495" s="184"/>
      <c r="FL495" s="184"/>
      <c r="FM495" s="184"/>
      <c r="FN495" s="184"/>
      <c r="FO495" s="184"/>
      <c r="FP495" s="184"/>
      <c r="FQ495" s="184"/>
      <c r="FR495" s="184"/>
      <c r="FS495" s="184"/>
      <c r="FT495" s="184"/>
      <c r="FU495" s="184"/>
      <c r="FV495" s="184"/>
      <c r="FW495" s="184"/>
      <c r="FX495" s="184"/>
      <c r="FY495" s="184"/>
      <c r="FZ495" s="184"/>
      <c r="GA495" s="184"/>
      <c r="GB495" s="184"/>
      <c r="GC495" s="184"/>
      <c r="GD495" s="184"/>
      <c r="GE495" s="184"/>
      <c r="GF495" s="184"/>
      <c r="GG495" s="184"/>
      <c r="GH495" s="184"/>
      <c r="GI495" s="184"/>
      <c r="GJ495" s="184"/>
      <c r="GK495" s="184"/>
      <c r="GL495" s="184"/>
      <c r="GM495" s="184"/>
      <c r="GN495" s="184"/>
      <c r="GO495" s="184"/>
      <c r="GP495" s="184"/>
      <c r="GQ495" s="184"/>
      <c r="GR495" s="184"/>
      <c r="GS495" s="184"/>
      <c r="GT495" s="184"/>
      <c r="GU495" s="184"/>
      <c r="GV495" s="184"/>
      <c r="GW495" s="184"/>
      <c r="GX495" s="184"/>
      <c r="GY495" s="184"/>
      <c r="GZ495" s="184"/>
      <c r="HA495" s="184"/>
      <c r="HB495" s="184"/>
      <c r="HC495" s="184"/>
      <c r="HD495" s="184"/>
      <c r="HE495" s="184"/>
      <c r="HF495" s="184"/>
      <c r="HG495" s="184"/>
      <c r="HH495" s="184"/>
      <c r="HI495" s="184"/>
      <c r="HJ495" s="184"/>
      <c r="HK495" s="184"/>
      <c r="HL495" s="184"/>
      <c r="HM495" s="184"/>
      <c r="HN495" s="184"/>
      <c r="HO495" s="184"/>
      <c r="HP495" s="184"/>
      <c r="HQ495" s="184"/>
      <c r="HR495" s="184"/>
      <c r="HS495" s="184"/>
      <c r="HT495" s="184"/>
      <c r="HU495" s="184"/>
      <c r="HV495" s="184"/>
      <c r="HW495" s="184"/>
      <c r="HX495" s="184"/>
      <c r="HY495" s="184"/>
      <c r="HZ495" s="184"/>
      <c r="IA495" s="184"/>
      <c r="IB495" s="184"/>
      <c r="IC495" s="184"/>
      <c r="ID495" s="184"/>
      <c r="IE495" s="184"/>
      <c r="IF495" s="184"/>
      <c r="IG495" s="184"/>
      <c r="IH495" s="184"/>
      <c r="II495" s="184"/>
      <c r="IJ495" s="184"/>
      <c r="IK495" s="184"/>
      <c r="IL495" s="184"/>
      <c r="IM495" s="184"/>
      <c r="IN495" s="184"/>
      <c r="IO495" s="184"/>
      <c r="IP495" s="184"/>
      <c r="IQ495" s="184"/>
      <c r="IR495" s="184"/>
      <c r="IS495" s="184"/>
      <c r="IT495" s="184"/>
      <c r="IU495" s="184"/>
      <c r="IV495" s="184"/>
    </row>
    <row r="496" spans="1:256" x14ac:dyDescent="0.2">
      <c r="A496" s="159">
        <v>615194</v>
      </c>
      <c r="B496" s="160" t="s">
        <v>135</v>
      </c>
      <c r="C496" s="148" t="s">
        <v>156</v>
      </c>
      <c r="D496" s="148" t="s">
        <v>192</v>
      </c>
      <c r="E496" s="240">
        <f>BEAUVAIS!H116</f>
        <v>0</v>
      </c>
      <c r="F496" s="240">
        <f>BEAUVAIS!I116</f>
        <v>0</v>
      </c>
      <c r="G496" s="240">
        <f>BEAUVAIS!J116</f>
        <v>0</v>
      </c>
      <c r="H496" s="240">
        <f>BEAUVAIS!K116</f>
        <v>0</v>
      </c>
      <c r="I496" s="240">
        <f>BEAUVAIS!L116</f>
        <v>0</v>
      </c>
      <c r="J496" s="240">
        <f>BEAUVAIS!M116</f>
        <v>0</v>
      </c>
      <c r="K496" s="240">
        <f>BEAUVAIS!N116</f>
        <v>0</v>
      </c>
      <c r="L496" s="240">
        <f>BEAUVAIS!O116</f>
        <v>0</v>
      </c>
      <c r="M496" s="240">
        <f>BEAUVAIS!P116</f>
        <v>0</v>
      </c>
      <c r="N496" s="240">
        <f>BEAUVAIS!Q116</f>
        <v>0</v>
      </c>
      <c r="O496" s="240">
        <f>BEAUVAIS!R116</f>
        <v>0</v>
      </c>
      <c r="P496" s="240">
        <f>BEAUVAIS!S116</f>
        <v>0</v>
      </c>
      <c r="Q496" s="240">
        <f>BEAUVAIS!T116</f>
        <v>0</v>
      </c>
      <c r="R496" s="240">
        <f>BEAUVAIS!U116</f>
        <v>0</v>
      </c>
      <c r="S496" s="242">
        <f>SUM(E496:Q496)</f>
        <v>0</v>
      </c>
    </row>
    <row r="497" spans="1:256" x14ac:dyDescent="0.2">
      <c r="A497" s="159">
        <v>615194</v>
      </c>
      <c r="B497" s="160" t="s">
        <v>135</v>
      </c>
      <c r="C497" s="148" t="s">
        <v>156</v>
      </c>
      <c r="D497" s="148" t="s">
        <v>179</v>
      </c>
      <c r="E497" s="240">
        <f>BEAUVAIS!H117</f>
        <v>0</v>
      </c>
      <c r="F497" s="240">
        <f>BEAUVAIS!I117</f>
        <v>0</v>
      </c>
      <c r="G497" s="240">
        <f>BEAUVAIS!J117</f>
        <v>0</v>
      </c>
      <c r="H497" s="240">
        <f>BEAUVAIS!K117</f>
        <v>0</v>
      </c>
      <c r="I497" s="240">
        <f>BEAUVAIS!L117</f>
        <v>0</v>
      </c>
      <c r="J497" s="240">
        <f>BEAUVAIS!M117</f>
        <v>0</v>
      </c>
      <c r="K497" s="240">
        <f>BEAUVAIS!N117</f>
        <v>0</v>
      </c>
      <c r="L497" s="240">
        <f>BEAUVAIS!O117</f>
        <v>0</v>
      </c>
      <c r="M497" s="240">
        <f>BEAUVAIS!P117</f>
        <v>0</v>
      </c>
      <c r="N497" s="240">
        <f>BEAUVAIS!Q117</f>
        <v>0</v>
      </c>
      <c r="O497" s="240">
        <f>BEAUVAIS!R117</f>
        <v>0</v>
      </c>
      <c r="P497" s="240">
        <f>BEAUVAIS!S117</f>
        <v>0</v>
      </c>
      <c r="Q497" s="240">
        <f>BEAUVAIS!T117</f>
        <v>0</v>
      </c>
      <c r="R497" s="240">
        <f>BEAUVAIS!U117</f>
        <v>0</v>
      </c>
      <c r="S497" s="242">
        <f>SUM(E497:Q497)</f>
        <v>0</v>
      </c>
    </row>
    <row r="498" spans="1:256" s="185" customFormat="1" ht="24" customHeight="1" x14ac:dyDescent="0.2">
      <c r="A498" s="267"/>
      <c r="B498" s="268"/>
      <c r="C498" s="267" t="s">
        <v>66</v>
      </c>
      <c r="D498" s="267"/>
      <c r="E498" s="269">
        <f>SUM(E481:E497)</f>
        <v>0</v>
      </c>
      <c r="F498" s="269">
        <f>SUM(F481:F497)</f>
        <v>0</v>
      </c>
      <c r="G498" s="269">
        <f t="shared" ref="G498:S498" si="41">SUM(G481:G497)</f>
        <v>0</v>
      </c>
      <c r="H498" s="269">
        <f t="shared" si="41"/>
        <v>0</v>
      </c>
      <c r="I498" s="269">
        <f t="shared" si="41"/>
        <v>0</v>
      </c>
      <c r="J498" s="269">
        <f t="shared" si="41"/>
        <v>0</v>
      </c>
      <c r="K498" s="269">
        <f t="shared" si="41"/>
        <v>0</v>
      </c>
      <c r="L498" s="269">
        <f t="shared" si="41"/>
        <v>0</v>
      </c>
      <c r="M498" s="269">
        <f t="shared" si="41"/>
        <v>0</v>
      </c>
      <c r="N498" s="269">
        <f t="shared" si="41"/>
        <v>0</v>
      </c>
      <c r="O498" s="269">
        <f t="shared" si="41"/>
        <v>0</v>
      </c>
      <c r="P498" s="269">
        <f t="shared" si="41"/>
        <v>0</v>
      </c>
      <c r="Q498" s="269">
        <f t="shared" si="41"/>
        <v>0</v>
      </c>
      <c r="R498" s="269">
        <f>SUM(R481:R497)</f>
        <v>0</v>
      </c>
      <c r="S498" s="269">
        <f t="shared" si="41"/>
        <v>0</v>
      </c>
      <c r="T498" s="212">
        <v>0</v>
      </c>
      <c r="U498" s="334">
        <f>T498-S498</f>
        <v>0</v>
      </c>
      <c r="V498" s="185" t="s">
        <v>853</v>
      </c>
      <c r="X498" s="569">
        <f>U498-CENTRALISATION!V499</f>
        <v>0</v>
      </c>
    </row>
    <row r="499" spans="1:256" x14ac:dyDescent="0.2">
      <c r="A499" s="159">
        <v>615195</v>
      </c>
      <c r="B499" s="160" t="s">
        <v>119</v>
      </c>
      <c r="C499" s="148" t="s">
        <v>78</v>
      </c>
      <c r="D499" s="148" t="s">
        <v>214</v>
      </c>
      <c r="E499" s="240">
        <f>+FLEURY!H133</f>
        <v>0</v>
      </c>
      <c r="F499" s="240">
        <f>+FLEURY!I133</f>
        <v>0</v>
      </c>
      <c r="G499" s="240">
        <f>+FLEURY!J133</f>
        <v>0</v>
      </c>
      <c r="H499" s="240">
        <f>+FLEURY!K133</f>
        <v>0</v>
      </c>
      <c r="I499" s="240">
        <f>+FLEURY!L133</f>
        <v>0</v>
      </c>
      <c r="J499" s="240">
        <f>+FLEURY!M133</f>
        <v>0</v>
      </c>
      <c r="K499" s="240">
        <f>+FLEURY!N133</f>
        <v>0</v>
      </c>
      <c r="L499" s="240">
        <f>+FLEURY!O133</f>
        <v>0</v>
      </c>
      <c r="M499" s="240">
        <f>+FLEURY!P133</f>
        <v>0</v>
      </c>
      <c r="N499" s="240">
        <f>+FLEURY!Q133</f>
        <v>0</v>
      </c>
      <c r="O499" s="240">
        <f>+FLEURY!R133</f>
        <v>0</v>
      </c>
      <c r="P499" s="240">
        <f>+FLEURY!S133</f>
        <v>0</v>
      </c>
      <c r="Q499" s="240">
        <f>+FLEURY!T133</f>
        <v>0</v>
      </c>
      <c r="R499" s="240">
        <f>+FLEURY!U133</f>
        <v>0</v>
      </c>
      <c r="S499" s="242">
        <f t="shared" ref="S499:S505" si="42">SUM(E499:Q499)</f>
        <v>0</v>
      </c>
    </row>
    <row r="500" spans="1:256" x14ac:dyDescent="0.2">
      <c r="A500" s="159">
        <v>615195</v>
      </c>
      <c r="B500" s="160" t="s">
        <v>119</v>
      </c>
      <c r="C500" s="148" t="s">
        <v>78</v>
      </c>
      <c r="D500" s="148" t="s">
        <v>188</v>
      </c>
      <c r="E500" s="240">
        <f>FLEURY!H134</f>
        <v>0</v>
      </c>
      <c r="F500" s="240">
        <f>FLEURY!I134</f>
        <v>0</v>
      </c>
      <c r="G500" s="240">
        <f>FLEURY!J134</f>
        <v>0</v>
      </c>
      <c r="H500" s="240">
        <f>FLEURY!K134</f>
        <v>0</v>
      </c>
      <c r="I500" s="240">
        <f>FLEURY!L134</f>
        <v>0</v>
      </c>
      <c r="J500" s="240">
        <f>FLEURY!M134</f>
        <v>0</v>
      </c>
      <c r="K500" s="240">
        <f>FLEURY!N134</f>
        <v>0</v>
      </c>
      <c r="L500" s="240">
        <f>FLEURY!O134</f>
        <v>0</v>
      </c>
      <c r="M500" s="240">
        <f>FLEURY!P134</f>
        <v>0</v>
      </c>
      <c r="N500" s="240">
        <f>FLEURY!Q134</f>
        <v>0</v>
      </c>
      <c r="O500" s="240">
        <f>FLEURY!R134</f>
        <v>0</v>
      </c>
      <c r="P500" s="240">
        <f>FLEURY!S134</f>
        <v>0</v>
      </c>
      <c r="Q500" s="240">
        <f>FLEURY!T134</f>
        <v>0</v>
      </c>
      <c r="R500" s="240">
        <f>FLEURY!U134</f>
        <v>0</v>
      </c>
      <c r="S500" s="245">
        <f t="shared" si="42"/>
        <v>0</v>
      </c>
    </row>
    <row r="501" spans="1:256" x14ac:dyDescent="0.2">
      <c r="A501" s="159">
        <v>615195</v>
      </c>
      <c r="B501" s="160" t="s">
        <v>119</v>
      </c>
      <c r="C501" s="148" t="s">
        <v>78</v>
      </c>
      <c r="D501" s="148" t="s">
        <v>203</v>
      </c>
      <c r="E501" s="240">
        <f>FLEURY!H136</f>
        <v>0</v>
      </c>
      <c r="F501" s="240">
        <f>FLEURY!I136</f>
        <v>0</v>
      </c>
      <c r="G501" s="240">
        <f>FLEURY!J136</f>
        <v>0</v>
      </c>
      <c r="H501" s="240">
        <f>FLEURY!K136</f>
        <v>0</v>
      </c>
      <c r="I501" s="240">
        <f>FLEURY!L136</f>
        <v>0</v>
      </c>
      <c r="J501" s="240">
        <f>FLEURY!M136</f>
        <v>0</v>
      </c>
      <c r="K501" s="240">
        <f>FLEURY!N136</f>
        <v>0</v>
      </c>
      <c r="L501" s="240">
        <f>FLEURY!O136</f>
        <v>0</v>
      </c>
      <c r="M501" s="240">
        <f>FLEURY!P136</f>
        <v>0</v>
      </c>
      <c r="N501" s="240">
        <f>FLEURY!Q136</f>
        <v>0</v>
      </c>
      <c r="O501" s="240">
        <f>FLEURY!R136</f>
        <v>0</v>
      </c>
      <c r="P501" s="240">
        <f>FLEURY!S136</f>
        <v>3000</v>
      </c>
      <c r="Q501" s="240">
        <f>FLEURY!T136</f>
        <v>0</v>
      </c>
      <c r="R501" s="240">
        <f>FLEURY!U136</f>
        <v>0</v>
      </c>
      <c r="S501" s="245">
        <f t="shared" si="42"/>
        <v>3000</v>
      </c>
    </row>
    <row r="502" spans="1:256" x14ac:dyDescent="0.2">
      <c r="A502" s="159">
        <v>615195</v>
      </c>
      <c r="B502" s="160" t="s">
        <v>119</v>
      </c>
      <c r="C502" s="148" t="s">
        <v>78</v>
      </c>
      <c r="D502" s="148" t="s">
        <v>185</v>
      </c>
      <c r="E502" s="240">
        <f>FLEURY!H135</f>
        <v>0</v>
      </c>
      <c r="F502" s="240">
        <f>FLEURY!I135</f>
        <v>0</v>
      </c>
      <c r="G502" s="240">
        <f>FLEURY!J135</f>
        <v>0</v>
      </c>
      <c r="H502" s="240">
        <f>FLEURY!K135</f>
        <v>1500</v>
      </c>
      <c r="I502" s="240">
        <f>FLEURY!L135</f>
        <v>390</v>
      </c>
      <c r="J502" s="240">
        <f>FLEURY!M135</f>
        <v>0</v>
      </c>
      <c r="K502" s="240">
        <f>FLEURY!N135</f>
        <v>1533.26</v>
      </c>
      <c r="L502" s="240">
        <f>FLEURY!O135</f>
        <v>0</v>
      </c>
      <c r="M502" s="240">
        <f>FLEURY!P135</f>
        <v>0</v>
      </c>
      <c r="N502" s="240">
        <f>FLEURY!Q135</f>
        <v>0</v>
      </c>
      <c r="O502" s="240">
        <f>FLEURY!R135</f>
        <v>0</v>
      </c>
      <c r="P502" s="240">
        <f>FLEURY!S135</f>
        <v>490</v>
      </c>
      <c r="Q502" s="240">
        <f>FLEURY!T135</f>
        <v>6541</v>
      </c>
      <c r="R502" s="240">
        <f>FLEURY!U135</f>
        <v>0</v>
      </c>
      <c r="S502" s="245">
        <f t="shared" si="42"/>
        <v>10454.26</v>
      </c>
    </row>
    <row r="503" spans="1:256" x14ac:dyDescent="0.2">
      <c r="A503" s="159">
        <v>615195</v>
      </c>
      <c r="B503" s="160" t="s">
        <v>119</v>
      </c>
      <c r="C503" s="148" t="s">
        <v>78</v>
      </c>
      <c r="D503" s="148" t="s">
        <v>192</v>
      </c>
      <c r="E503" s="240">
        <f>SUM(FLEURY!H137:H137)</f>
        <v>0</v>
      </c>
      <c r="F503" s="240">
        <f>SUM(FLEURY!I137:I137)</f>
        <v>0</v>
      </c>
      <c r="G503" s="240">
        <f>SUM(FLEURY!J137:J137)</f>
        <v>470</v>
      </c>
      <c r="H503" s="240">
        <f>SUM(FLEURY!K137:K137)</f>
        <v>2660</v>
      </c>
      <c r="I503" s="240">
        <f>SUM(FLEURY!L137:L137)</f>
        <v>710.62</v>
      </c>
      <c r="J503" s="240">
        <f>SUM(FLEURY!M137:M137)</f>
        <v>439</v>
      </c>
      <c r="K503" s="240">
        <f>SUM(FLEURY!N137:N137)</f>
        <v>742.21</v>
      </c>
      <c r="L503" s="240">
        <f>SUM(FLEURY!O137:O137)</f>
        <v>1173</v>
      </c>
      <c r="M503" s="240">
        <f>SUM(FLEURY!P137:P137)</f>
        <v>649.13</v>
      </c>
      <c r="N503" s="240">
        <f>SUM(FLEURY!Q137:Q137)</f>
        <v>0</v>
      </c>
      <c r="O503" s="240">
        <f>SUM(FLEURY!R137:R137)</f>
        <v>1234.2799999999997</v>
      </c>
      <c r="P503" s="240">
        <f>SUM(FLEURY!S137:S137)</f>
        <v>942</v>
      </c>
      <c r="Q503" s="240">
        <f>SUM(FLEURY!T137:T137)</f>
        <v>6707.77</v>
      </c>
      <c r="R503" s="240">
        <f>SUM(FLEURY!U137:U137)</f>
        <v>0</v>
      </c>
      <c r="S503" s="245">
        <f t="shared" si="42"/>
        <v>15728.01</v>
      </c>
      <c r="T503" s="273"/>
    </row>
    <row r="504" spans="1:256" x14ac:dyDescent="0.2">
      <c r="A504" s="159">
        <v>615195</v>
      </c>
      <c r="B504" s="160" t="s">
        <v>119</v>
      </c>
      <c r="C504" s="148" t="s">
        <v>78</v>
      </c>
      <c r="D504" s="148" t="s">
        <v>187</v>
      </c>
      <c r="E504" s="240">
        <f>FLEURY!H138</f>
        <v>0</v>
      </c>
      <c r="F504" s="240">
        <f>FLEURY!I138</f>
        <v>54.09</v>
      </c>
      <c r="G504" s="240">
        <f>FLEURY!J138</f>
        <v>54.09</v>
      </c>
      <c r="H504" s="240">
        <f>FLEURY!K138</f>
        <v>54.09</v>
      </c>
      <c r="I504" s="240">
        <f>FLEURY!L138</f>
        <v>54.11</v>
      </c>
      <c r="J504" s="240">
        <f>FLEURY!M138</f>
        <v>54.11</v>
      </c>
      <c r="K504" s="240">
        <f>FLEURY!N138</f>
        <v>54.07</v>
      </c>
      <c r="L504" s="240">
        <f>FLEURY!O138</f>
        <v>54.1</v>
      </c>
      <c r="M504" s="240">
        <f>FLEURY!P138</f>
        <v>54.1</v>
      </c>
      <c r="N504" s="240">
        <f>FLEURY!Q138</f>
        <v>54.1</v>
      </c>
      <c r="O504" s="240">
        <f>FLEURY!R138</f>
        <v>54.06</v>
      </c>
      <c r="P504" s="240">
        <f>FLEURY!S138</f>
        <v>54.11</v>
      </c>
      <c r="Q504" s="240">
        <f>FLEURY!T138</f>
        <v>54.09</v>
      </c>
      <c r="R504" s="240">
        <f>FLEURY!U138</f>
        <v>0</v>
      </c>
      <c r="S504" s="245">
        <f t="shared" si="42"/>
        <v>649.12000000000012</v>
      </c>
    </row>
    <row r="505" spans="1:256" x14ac:dyDescent="0.2">
      <c r="A505" s="159">
        <v>615195</v>
      </c>
      <c r="B505" s="160" t="s">
        <v>119</v>
      </c>
      <c r="C505" s="148" t="s">
        <v>78</v>
      </c>
      <c r="D505" s="148" t="s">
        <v>184</v>
      </c>
      <c r="E505" s="240">
        <f>FLEURY!H139</f>
        <v>0</v>
      </c>
      <c r="F505" s="240">
        <f>FLEURY!I139</f>
        <v>0</v>
      </c>
      <c r="G505" s="240">
        <f>FLEURY!J139</f>
        <v>0</v>
      </c>
      <c r="H505" s="240">
        <f>FLEURY!K139</f>
        <v>0</v>
      </c>
      <c r="I505" s="240">
        <f>FLEURY!L139</f>
        <v>0</v>
      </c>
      <c r="J505" s="240">
        <f>FLEURY!M139</f>
        <v>0</v>
      </c>
      <c r="K505" s="240">
        <f>FLEURY!N139</f>
        <v>0</v>
      </c>
      <c r="L505" s="240">
        <f>FLEURY!O139</f>
        <v>0</v>
      </c>
      <c r="M505" s="240">
        <f>FLEURY!P139</f>
        <v>0</v>
      </c>
      <c r="N505" s="240">
        <f>FLEURY!Q139</f>
        <v>0</v>
      </c>
      <c r="O505" s="240">
        <f>FLEURY!R139</f>
        <v>0</v>
      </c>
      <c r="P505" s="240">
        <f>FLEURY!S139</f>
        <v>0</v>
      </c>
      <c r="Q505" s="240">
        <f>FLEURY!T139</f>
        <v>0</v>
      </c>
      <c r="R505" s="240">
        <f>FLEURY!U139</f>
        <v>0</v>
      </c>
      <c r="S505" s="245">
        <f t="shared" si="42"/>
        <v>0</v>
      </c>
    </row>
    <row r="506" spans="1:256" s="175" customFormat="1" x14ac:dyDescent="0.2">
      <c r="A506" s="270"/>
      <c r="B506" s="235"/>
      <c r="C506" s="148"/>
      <c r="D506" s="148"/>
      <c r="E506" s="240"/>
      <c r="F506" s="240"/>
      <c r="G506" s="240"/>
      <c r="H506" s="240"/>
      <c r="I506" s="240"/>
      <c r="J506" s="240"/>
      <c r="K506" s="240"/>
      <c r="L506" s="240"/>
      <c r="M506" s="240"/>
      <c r="N506" s="240"/>
      <c r="O506" s="240"/>
      <c r="P506" s="240"/>
      <c r="Q506" s="240"/>
      <c r="R506" s="240"/>
      <c r="S506" s="245"/>
      <c r="T506" s="184"/>
      <c r="U506" s="332"/>
      <c r="W506" s="184"/>
      <c r="X506" s="184"/>
      <c r="Y506" s="184"/>
      <c r="Z506" s="184"/>
      <c r="AA506" s="184"/>
      <c r="AB506" s="184"/>
      <c r="AC506" s="184"/>
      <c r="AD506" s="184"/>
      <c r="AE506" s="184"/>
      <c r="AF506" s="184"/>
      <c r="AG506" s="184"/>
      <c r="AH506" s="184"/>
      <c r="AI506" s="184"/>
      <c r="AJ506" s="184"/>
      <c r="AK506" s="184"/>
      <c r="AL506" s="184"/>
      <c r="AM506" s="184"/>
      <c r="AN506" s="184"/>
      <c r="AO506" s="184"/>
      <c r="AP506" s="184"/>
      <c r="AQ506" s="184"/>
      <c r="AR506" s="184"/>
      <c r="AS506" s="184"/>
      <c r="AT506" s="184"/>
      <c r="AU506" s="184"/>
      <c r="AV506" s="184"/>
      <c r="AW506" s="184"/>
      <c r="AX506" s="184"/>
      <c r="AY506" s="184"/>
      <c r="AZ506" s="184"/>
      <c r="BA506" s="184"/>
      <c r="BB506" s="184"/>
      <c r="BC506" s="184"/>
      <c r="BD506" s="184"/>
      <c r="BE506" s="184"/>
      <c r="BF506" s="184"/>
      <c r="BG506" s="184"/>
      <c r="BH506" s="184"/>
      <c r="BI506" s="184"/>
      <c r="BJ506" s="184"/>
      <c r="BK506" s="184"/>
      <c r="BL506" s="184"/>
      <c r="BM506" s="184"/>
      <c r="BN506" s="184"/>
      <c r="BO506" s="184"/>
      <c r="BP506" s="184"/>
      <c r="BQ506" s="184"/>
      <c r="BR506" s="184"/>
      <c r="BS506" s="184"/>
      <c r="BT506" s="184"/>
      <c r="BU506" s="184"/>
      <c r="BV506" s="184"/>
      <c r="BW506" s="184"/>
      <c r="BX506" s="184"/>
      <c r="BY506" s="184"/>
      <c r="BZ506" s="184"/>
      <c r="CA506" s="184"/>
      <c r="CB506" s="184"/>
      <c r="CC506" s="184"/>
      <c r="CD506" s="184"/>
      <c r="CE506" s="184"/>
      <c r="CF506" s="184"/>
      <c r="CG506" s="184"/>
      <c r="CH506" s="184"/>
      <c r="CI506" s="184"/>
      <c r="CJ506" s="184"/>
      <c r="CK506" s="184"/>
      <c r="CL506" s="184"/>
      <c r="CM506" s="184"/>
      <c r="CN506" s="184"/>
      <c r="CO506" s="184"/>
      <c r="CP506" s="184"/>
      <c r="CQ506" s="184"/>
      <c r="CR506" s="184"/>
      <c r="CS506" s="184"/>
      <c r="CT506" s="184"/>
      <c r="CU506" s="184"/>
      <c r="CV506" s="184"/>
      <c r="CW506" s="184"/>
      <c r="CX506" s="184"/>
      <c r="CY506" s="184"/>
      <c r="CZ506" s="184"/>
      <c r="DA506" s="184"/>
      <c r="DB506" s="184"/>
      <c r="DC506" s="184"/>
      <c r="DD506" s="184"/>
      <c r="DE506" s="184"/>
      <c r="DF506" s="184"/>
      <c r="DG506" s="184"/>
      <c r="DH506" s="184"/>
      <c r="DI506" s="184"/>
      <c r="DJ506" s="184"/>
      <c r="DK506" s="184"/>
      <c r="DL506" s="184"/>
      <c r="DM506" s="184"/>
      <c r="DN506" s="184"/>
      <c r="DO506" s="184"/>
      <c r="DP506" s="184"/>
      <c r="DQ506" s="184"/>
      <c r="DR506" s="184"/>
      <c r="DS506" s="184"/>
      <c r="DT506" s="184"/>
      <c r="DU506" s="184"/>
      <c r="DV506" s="184"/>
      <c r="DW506" s="184"/>
      <c r="DX506" s="184"/>
      <c r="DY506" s="184"/>
      <c r="DZ506" s="184"/>
      <c r="EA506" s="184"/>
      <c r="EB506" s="184"/>
      <c r="EC506" s="184"/>
      <c r="ED506" s="184"/>
      <c r="EE506" s="184"/>
      <c r="EF506" s="184"/>
      <c r="EG506" s="184"/>
      <c r="EH506" s="184"/>
      <c r="EI506" s="184"/>
      <c r="EJ506" s="184"/>
      <c r="EK506" s="184"/>
      <c r="EL506" s="184"/>
      <c r="EM506" s="184"/>
      <c r="EN506" s="184"/>
      <c r="EO506" s="184"/>
      <c r="EP506" s="184"/>
      <c r="EQ506" s="184"/>
      <c r="ER506" s="184"/>
      <c r="ES506" s="184"/>
      <c r="ET506" s="184"/>
      <c r="EU506" s="184"/>
      <c r="EV506" s="184"/>
      <c r="EW506" s="184"/>
      <c r="EX506" s="184"/>
      <c r="EY506" s="184"/>
      <c r="EZ506" s="184"/>
      <c r="FA506" s="184"/>
      <c r="FB506" s="184"/>
      <c r="FC506" s="184"/>
      <c r="FD506" s="184"/>
      <c r="FE506" s="184"/>
      <c r="FF506" s="184"/>
      <c r="FG506" s="184"/>
      <c r="FH506" s="184"/>
      <c r="FI506" s="184"/>
      <c r="FJ506" s="184"/>
      <c r="FK506" s="184"/>
      <c r="FL506" s="184"/>
      <c r="FM506" s="184"/>
      <c r="FN506" s="184"/>
      <c r="FO506" s="184"/>
      <c r="FP506" s="184"/>
      <c r="FQ506" s="184"/>
      <c r="FR506" s="184"/>
      <c r="FS506" s="184"/>
      <c r="FT506" s="184"/>
      <c r="FU506" s="184"/>
      <c r="FV506" s="184"/>
      <c r="FW506" s="184"/>
      <c r="FX506" s="184"/>
      <c r="FY506" s="184"/>
      <c r="FZ506" s="184"/>
      <c r="GA506" s="184"/>
      <c r="GB506" s="184"/>
      <c r="GC506" s="184"/>
      <c r="GD506" s="184"/>
      <c r="GE506" s="184"/>
      <c r="GF506" s="184"/>
      <c r="GG506" s="184"/>
      <c r="GH506" s="184"/>
      <c r="GI506" s="184"/>
      <c r="GJ506" s="184"/>
      <c r="GK506" s="184"/>
      <c r="GL506" s="184"/>
      <c r="GM506" s="184"/>
      <c r="GN506" s="184"/>
      <c r="GO506" s="184"/>
      <c r="GP506" s="184"/>
      <c r="GQ506" s="184"/>
      <c r="GR506" s="184"/>
      <c r="GS506" s="184"/>
      <c r="GT506" s="184"/>
      <c r="GU506" s="184"/>
      <c r="GV506" s="184"/>
      <c r="GW506" s="184"/>
      <c r="GX506" s="184"/>
      <c r="GY506" s="184"/>
      <c r="GZ506" s="184"/>
      <c r="HA506" s="184"/>
      <c r="HB506" s="184"/>
      <c r="HC506" s="184"/>
      <c r="HD506" s="184"/>
      <c r="HE506" s="184"/>
      <c r="HF506" s="184"/>
      <c r="HG506" s="184"/>
      <c r="HH506" s="184"/>
      <c r="HI506" s="184"/>
      <c r="HJ506" s="184"/>
      <c r="HK506" s="184"/>
      <c r="HL506" s="184"/>
      <c r="HM506" s="184"/>
      <c r="HN506" s="184"/>
      <c r="HO506" s="184"/>
      <c r="HP506" s="184"/>
      <c r="HQ506" s="184"/>
      <c r="HR506" s="184"/>
      <c r="HS506" s="184"/>
      <c r="HT506" s="184"/>
      <c r="HU506" s="184"/>
      <c r="HV506" s="184"/>
      <c r="HW506" s="184"/>
      <c r="HX506" s="184"/>
      <c r="HY506" s="184"/>
      <c r="HZ506" s="184"/>
      <c r="IA506" s="184"/>
      <c r="IB506" s="184"/>
      <c r="IC506" s="184"/>
      <c r="ID506" s="184"/>
      <c r="IE506" s="184"/>
      <c r="IF506" s="184"/>
      <c r="IG506" s="184"/>
      <c r="IH506" s="184"/>
      <c r="II506" s="184"/>
      <c r="IJ506" s="184"/>
      <c r="IK506" s="184"/>
      <c r="IL506" s="184"/>
      <c r="IM506" s="184"/>
      <c r="IN506" s="184"/>
      <c r="IO506" s="184"/>
      <c r="IP506" s="184"/>
      <c r="IQ506" s="184"/>
      <c r="IR506" s="184"/>
      <c r="IS506" s="184"/>
      <c r="IT506" s="184"/>
      <c r="IU506" s="184"/>
      <c r="IV506" s="184"/>
    </row>
    <row r="507" spans="1:256" x14ac:dyDescent="0.2">
      <c r="A507" s="159">
        <v>615195</v>
      </c>
      <c r="B507" s="160" t="s">
        <v>119</v>
      </c>
      <c r="C507" s="148" t="s">
        <v>71</v>
      </c>
      <c r="D507" s="148" t="s">
        <v>214</v>
      </c>
      <c r="E507" s="240">
        <f>AIX!H128</f>
        <v>0</v>
      </c>
      <c r="F507" s="240">
        <f>AIX!I128</f>
        <v>0</v>
      </c>
      <c r="G507" s="240">
        <f>AIX!J128</f>
        <v>0</v>
      </c>
      <c r="H507" s="240">
        <f>AIX!K128</f>
        <v>0</v>
      </c>
      <c r="I507" s="240">
        <f>AIX!L128</f>
        <v>0</v>
      </c>
      <c r="J507" s="240">
        <f>AIX!M128</f>
        <v>0</v>
      </c>
      <c r="K507" s="240">
        <f>AIX!N128</f>
        <v>0</v>
      </c>
      <c r="L507" s="240">
        <f>AIX!O128</f>
        <v>0</v>
      </c>
      <c r="M507" s="240">
        <f>AIX!P128</f>
        <v>0</v>
      </c>
      <c r="N507" s="240">
        <f>AIX!Q128</f>
        <v>0</v>
      </c>
      <c r="O507" s="240">
        <f>AIX!R128</f>
        <v>0</v>
      </c>
      <c r="P507" s="240">
        <f>AIX!S128</f>
        <v>0</v>
      </c>
      <c r="Q507" s="240">
        <f>AIX!T128</f>
        <v>0</v>
      </c>
      <c r="R507" s="240">
        <f>AIX!U128</f>
        <v>0</v>
      </c>
      <c r="S507" s="245">
        <f>SUM(E507:Q507)</f>
        <v>0</v>
      </c>
    </row>
    <row r="508" spans="1:256" x14ac:dyDescent="0.2">
      <c r="A508" s="159">
        <v>615195</v>
      </c>
      <c r="B508" s="160" t="s">
        <v>119</v>
      </c>
      <c r="C508" s="148" t="s">
        <v>71</v>
      </c>
      <c r="D508" s="148" t="s">
        <v>188</v>
      </c>
      <c r="E508" s="240">
        <f>AIX!H125</f>
        <v>0</v>
      </c>
      <c r="F508" s="240">
        <f>AIX!I125</f>
        <v>0</v>
      </c>
      <c r="G508" s="240">
        <f>AIX!J125</f>
        <v>0</v>
      </c>
      <c r="H508" s="240">
        <f>AIX!K125</f>
        <v>0</v>
      </c>
      <c r="I508" s="240">
        <f>AIX!L125</f>
        <v>0</v>
      </c>
      <c r="J508" s="240">
        <f>AIX!M125</f>
        <v>0</v>
      </c>
      <c r="K508" s="240">
        <f>AIX!N125</f>
        <v>0</v>
      </c>
      <c r="L508" s="240">
        <f>AIX!O125</f>
        <v>0</v>
      </c>
      <c r="M508" s="240">
        <f>AIX!P125</f>
        <v>0</v>
      </c>
      <c r="N508" s="240">
        <f>AIX!Q125</f>
        <v>0</v>
      </c>
      <c r="O508" s="240">
        <f>AIX!R125</f>
        <v>0</v>
      </c>
      <c r="P508" s="240">
        <f>AIX!S125</f>
        <v>0</v>
      </c>
      <c r="Q508" s="240">
        <f>AIX!T125</f>
        <v>0</v>
      </c>
      <c r="R508" s="240">
        <f>AIX!U125</f>
        <v>0</v>
      </c>
      <c r="S508" s="245">
        <f>SUM(E508:Q508)</f>
        <v>0</v>
      </c>
    </row>
    <row r="509" spans="1:256" x14ac:dyDescent="0.2">
      <c r="A509" s="159">
        <v>615195</v>
      </c>
      <c r="B509" s="160" t="s">
        <v>119</v>
      </c>
      <c r="C509" s="148" t="s">
        <v>71</v>
      </c>
      <c r="D509" s="148" t="s">
        <v>203</v>
      </c>
      <c r="E509" s="240">
        <f>AIX!H127</f>
        <v>0</v>
      </c>
      <c r="F509" s="240">
        <f>AIX!I127</f>
        <v>0</v>
      </c>
      <c r="G509" s="240">
        <f>AIX!J127</f>
        <v>0</v>
      </c>
      <c r="H509" s="240">
        <f>AIX!K127</f>
        <v>0</v>
      </c>
      <c r="I509" s="240">
        <f>AIX!L127</f>
        <v>0</v>
      </c>
      <c r="J509" s="240">
        <f>AIX!M127</f>
        <v>0</v>
      </c>
      <c r="K509" s="240">
        <f>AIX!N127</f>
        <v>0</v>
      </c>
      <c r="L509" s="240">
        <f>AIX!O127</f>
        <v>0</v>
      </c>
      <c r="M509" s="240">
        <f>AIX!P127</f>
        <v>0</v>
      </c>
      <c r="N509" s="240">
        <f>AIX!Q127</f>
        <v>0</v>
      </c>
      <c r="O509" s="240">
        <f>AIX!R127</f>
        <v>0</v>
      </c>
      <c r="P509" s="240">
        <f>AIX!S127</f>
        <v>0</v>
      </c>
      <c r="Q509" s="240">
        <f>AIX!T127</f>
        <v>0</v>
      </c>
      <c r="R509" s="240">
        <f>AIX!U127</f>
        <v>0</v>
      </c>
      <c r="S509" s="245">
        <f>SUM(E509:Q509)</f>
        <v>0</v>
      </c>
    </row>
    <row r="510" spans="1:256" x14ac:dyDescent="0.2">
      <c r="A510" s="159">
        <v>615195</v>
      </c>
      <c r="B510" s="160" t="s">
        <v>119</v>
      </c>
      <c r="C510" s="148" t="s">
        <v>71</v>
      </c>
      <c r="D510" s="148" t="s">
        <v>185</v>
      </c>
      <c r="E510" s="240">
        <f>AIX!H126</f>
        <v>362.5</v>
      </c>
      <c r="F510" s="240">
        <f>AIX!I126</f>
        <v>310</v>
      </c>
      <c r="G510" s="240">
        <f>AIX!J126</f>
        <v>0</v>
      </c>
      <c r="H510" s="240">
        <f>AIX!K126</f>
        <v>0</v>
      </c>
      <c r="I510" s="240">
        <f>AIX!L126</f>
        <v>0</v>
      </c>
      <c r="J510" s="240">
        <f>AIX!M126</f>
        <v>0</v>
      </c>
      <c r="K510" s="240">
        <f>AIX!N126</f>
        <v>0</v>
      </c>
      <c r="L510" s="240">
        <f>AIX!O126</f>
        <v>0</v>
      </c>
      <c r="M510" s="240">
        <f>AIX!P126</f>
        <v>290</v>
      </c>
      <c r="N510" s="240">
        <f>AIX!Q126</f>
        <v>0</v>
      </c>
      <c r="O510" s="240">
        <f>AIX!R126</f>
        <v>2207</v>
      </c>
      <c r="P510" s="240">
        <f>AIX!S126</f>
        <v>3812</v>
      </c>
      <c r="Q510" s="240">
        <f>AIX!T126</f>
        <v>0</v>
      </c>
      <c r="R510" s="240">
        <f>AIX!U126</f>
        <v>0</v>
      </c>
      <c r="S510" s="245">
        <f>SUM(E510:Q510)</f>
        <v>6981.5</v>
      </c>
    </row>
    <row r="511" spans="1:256" x14ac:dyDescent="0.2">
      <c r="A511" s="159">
        <v>615195</v>
      </c>
      <c r="B511" s="160" t="s">
        <v>119</v>
      </c>
      <c r="C511" s="148" t="s">
        <v>71</v>
      </c>
      <c r="D511" s="148" t="s">
        <v>192</v>
      </c>
      <c r="E511" s="240">
        <f>AIX!H129</f>
        <v>840</v>
      </c>
      <c r="F511" s="240">
        <f>AIX!I129</f>
        <v>2000</v>
      </c>
      <c r="G511" s="240">
        <f>AIX!J129</f>
        <v>635</v>
      </c>
      <c r="H511" s="240">
        <f>AIX!K129</f>
        <v>850</v>
      </c>
      <c r="I511" s="240">
        <f>AIX!L129</f>
        <v>2747.2</v>
      </c>
      <c r="J511" s="240">
        <f>AIX!M129</f>
        <v>3850</v>
      </c>
      <c r="K511" s="240">
        <f>AIX!N129</f>
        <v>1150</v>
      </c>
      <c r="L511" s="240">
        <f>AIX!O129</f>
        <v>7035</v>
      </c>
      <c r="M511" s="240">
        <f>AIX!P129</f>
        <v>906.4</v>
      </c>
      <c r="N511" s="240">
        <f>AIX!Q129</f>
        <v>900</v>
      </c>
      <c r="O511" s="240">
        <f>AIX!R129</f>
        <v>2440</v>
      </c>
      <c r="P511" s="240">
        <f>AIX!S129</f>
        <v>3730</v>
      </c>
      <c r="Q511" s="240">
        <f>AIX!T129</f>
        <v>6325</v>
      </c>
      <c r="R511" s="240">
        <f>AIX!U129</f>
        <v>0</v>
      </c>
      <c r="S511" s="245">
        <f>SUM(E511:Q511)</f>
        <v>33408.600000000006</v>
      </c>
    </row>
    <row r="512" spans="1:256" x14ac:dyDescent="0.2">
      <c r="A512" s="159">
        <v>615195</v>
      </c>
      <c r="B512" s="160" t="s">
        <v>119</v>
      </c>
      <c r="C512" s="148" t="s">
        <v>71</v>
      </c>
      <c r="D512" s="148" t="s">
        <v>184</v>
      </c>
      <c r="E512" s="240">
        <f>AIX!H130</f>
        <v>0</v>
      </c>
      <c r="F512" s="240">
        <f>AIX!I130</f>
        <v>0</v>
      </c>
      <c r="G512" s="240">
        <f>AIX!J130</f>
        <v>0</v>
      </c>
      <c r="H512" s="240">
        <f>AIX!K130</f>
        <v>0</v>
      </c>
      <c r="I512" s="240">
        <f>AIX!L130</f>
        <v>0</v>
      </c>
      <c r="J512" s="240">
        <f>AIX!M130</f>
        <v>0</v>
      </c>
      <c r="K512" s="240">
        <f>AIX!N130</f>
        <v>0</v>
      </c>
      <c r="L512" s="240">
        <f>AIX!O130</f>
        <v>0</v>
      </c>
      <c r="M512" s="240">
        <f>AIX!P130</f>
        <v>0</v>
      </c>
      <c r="N512" s="240">
        <f>AIX!Q130</f>
        <v>0</v>
      </c>
      <c r="O512" s="240">
        <f>AIX!R130</f>
        <v>0</v>
      </c>
      <c r="P512" s="240">
        <f>AIX!S130</f>
        <v>0</v>
      </c>
      <c r="Q512" s="240">
        <f>AIX!T130</f>
        <v>0</v>
      </c>
      <c r="R512" s="240">
        <f>AIX!U130</f>
        <v>0</v>
      </c>
      <c r="S512" s="245">
        <f>SUM(E514:Q514)</f>
        <v>0</v>
      </c>
    </row>
    <row r="513" spans="1:256" s="175" customFormat="1" x14ac:dyDescent="0.2">
      <c r="A513" s="270"/>
      <c r="B513" s="235"/>
      <c r="C513" s="148"/>
      <c r="D513" s="148"/>
      <c r="E513" s="240"/>
      <c r="F513" s="240"/>
      <c r="G513" s="240"/>
      <c r="H513" s="240"/>
      <c r="I513" s="240"/>
      <c r="J513" s="240"/>
      <c r="K513" s="240"/>
      <c r="L513" s="240"/>
      <c r="M513" s="240"/>
      <c r="N513" s="240"/>
      <c r="O513" s="240"/>
      <c r="P513" s="240"/>
      <c r="Q513" s="240"/>
      <c r="R513" s="240"/>
      <c r="S513" s="245"/>
      <c r="T513" s="184"/>
      <c r="U513" s="332"/>
      <c r="W513" s="184"/>
      <c r="X513" s="184"/>
      <c r="Y513" s="184"/>
      <c r="Z513" s="184"/>
      <c r="AA513" s="184"/>
      <c r="AB513" s="184"/>
      <c r="AC513" s="184"/>
      <c r="AD513" s="184"/>
      <c r="AE513" s="184"/>
      <c r="AF513" s="184"/>
      <c r="AG513" s="184"/>
      <c r="AH513" s="184"/>
      <c r="AI513" s="184"/>
      <c r="AJ513" s="184"/>
      <c r="AK513" s="184"/>
      <c r="AL513" s="184"/>
      <c r="AM513" s="184"/>
      <c r="AN513" s="184"/>
      <c r="AO513" s="184"/>
      <c r="AP513" s="184"/>
      <c r="AQ513" s="184"/>
      <c r="AR513" s="184"/>
      <c r="AS513" s="184"/>
      <c r="AT513" s="184"/>
      <c r="AU513" s="184"/>
      <c r="AV513" s="184"/>
      <c r="AW513" s="184"/>
      <c r="AX513" s="184"/>
      <c r="AY513" s="184"/>
      <c r="AZ513" s="184"/>
      <c r="BA513" s="184"/>
      <c r="BB513" s="184"/>
      <c r="BC513" s="184"/>
      <c r="BD513" s="184"/>
      <c r="BE513" s="184"/>
      <c r="BF513" s="184"/>
      <c r="BG513" s="184"/>
      <c r="BH513" s="184"/>
      <c r="BI513" s="184"/>
      <c r="BJ513" s="184"/>
      <c r="BK513" s="184"/>
      <c r="BL513" s="184"/>
      <c r="BM513" s="184"/>
      <c r="BN513" s="184"/>
      <c r="BO513" s="184"/>
      <c r="BP513" s="184"/>
      <c r="BQ513" s="184"/>
      <c r="BR513" s="184"/>
      <c r="BS513" s="184"/>
      <c r="BT513" s="184"/>
      <c r="BU513" s="184"/>
      <c r="BV513" s="184"/>
      <c r="BW513" s="184"/>
      <c r="BX513" s="184"/>
      <c r="BY513" s="184"/>
      <c r="BZ513" s="184"/>
      <c r="CA513" s="184"/>
      <c r="CB513" s="184"/>
      <c r="CC513" s="184"/>
      <c r="CD513" s="184"/>
      <c r="CE513" s="184"/>
      <c r="CF513" s="184"/>
      <c r="CG513" s="184"/>
      <c r="CH513" s="184"/>
      <c r="CI513" s="184"/>
      <c r="CJ513" s="184"/>
      <c r="CK513" s="184"/>
      <c r="CL513" s="184"/>
      <c r="CM513" s="184"/>
      <c r="CN513" s="184"/>
      <c r="CO513" s="184"/>
      <c r="CP513" s="184"/>
      <c r="CQ513" s="184"/>
      <c r="CR513" s="184"/>
      <c r="CS513" s="184"/>
      <c r="CT513" s="184"/>
      <c r="CU513" s="184"/>
      <c r="CV513" s="184"/>
      <c r="CW513" s="184"/>
      <c r="CX513" s="184"/>
      <c r="CY513" s="184"/>
      <c r="CZ513" s="184"/>
      <c r="DA513" s="184"/>
      <c r="DB513" s="184"/>
      <c r="DC513" s="184"/>
      <c r="DD513" s="184"/>
      <c r="DE513" s="184"/>
      <c r="DF513" s="184"/>
      <c r="DG513" s="184"/>
      <c r="DH513" s="184"/>
      <c r="DI513" s="184"/>
      <c r="DJ513" s="184"/>
      <c r="DK513" s="184"/>
      <c r="DL513" s="184"/>
      <c r="DM513" s="184"/>
      <c r="DN513" s="184"/>
      <c r="DO513" s="184"/>
      <c r="DP513" s="184"/>
      <c r="DQ513" s="184"/>
      <c r="DR513" s="184"/>
      <c r="DS513" s="184"/>
      <c r="DT513" s="184"/>
      <c r="DU513" s="184"/>
      <c r="DV513" s="184"/>
      <c r="DW513" s="184"/>
      <c r="DX513" s="184"/>
      <c r="DY513" s="184"/>
      <c r="DZ513" s="184"/>
      <c r="EA513" s="184"/>
      <c r="EB513" s="184"/>
      <c r="EC513" s="184"/>
      <c r="ED513" s="184"/>
      <c r="EE513" s="184"/>
      <c r="EF513" s="184"/>
      <c r="EG513" s="184"/>
      <c r="EH513" s="184"/>
      <c r="EI513" s="184"/>
      <c r="EJ513" s="184"/>
      <c r="EK513" s="184"/>
      <c r="EL513" s="184"/>
      <c r="EM513" s="184"/>
      <c r="EN513" s="184"/>
      <c r="EO513" s="184"/>
      <c r="EP513" s="184"/>
      <c r="EQ513" s="184"/>
      <c r="ER513" s="184"/>
      <c r="ES513" s="184"/>
      <c r="ET513" s="184"/>
      <c r="EU513" s="184"/>
      <c r="EV513" s="184"/>
      <c r="EW513" s="184"/>
      <c r="EX513" s="184"/>
      <c r="EY513" s="184"/>
      <c r="EZ513" s="184"/>
      <c r="FA513" s="184"/>
      <c r="FB513" s="184"/>
      <c r="FC513" s="184"/>
      <c r="FD513" s="184"/>
      <c r="FE513" s="184"/>
      <c r="FF513" s="184"/>
      <c r="FG513" s="184"/>
      <c r="FH513" s="184"/>
      <c r="FI513" s="184"/>
      <c r="FJ513" s="184"/>
      <c r="FK513" s="184"/>
      <c r="FL513" s="184"/>
      <c r="FM513" s="184"/>
      <c r="FN513" s="184"/>
      <c r="FO513" s="184"/>
      <c r="FP513" s="184"/>
      <c r="FQ513" s="184"/>
      <c r="FR513" s="184"/>
      <c r="FS513" s="184"/>
      <c r="FT513" s="184"/>
      <c r="FU513" s="184"/>
      <c r="FV513" s="184"/>
      <c r="FW513" s="184"/>
      <c r="FX513" s="184"/>
      <c r="FY513" s="184"/>
      <c r="FZ513" s="184"/>
      <c r="GA513" s="184"/>
      <c r="GB513" s="184"/>
      <c r="GC513" s="184"/>
      <c r="GD513" s="184"/>
      <c r="GE513" s="184"/>
      <c r="GF513" s="184"/>
      <c r="GG513" s="184"/>
      <c r="GH513" s="184"/>
      <c r="GI513" s="184"/>
      <c r="GJ513" s="184"/>
      <c r="GK513" s="184"/>
      <c r="GL513" s="184"/>
      <c r="GM513" s="184"/>
      <c r="GN513" s="184"/>
      <c r="GO513" s="184"/>
      <c r="GP513" s="184"/>
      <c r="GQ513" s="184"/>
      <c r="GR513" s="184"/>
      <c r="GS513" s="184"/>
      <c r="GT513" s="184"/>
      <c r="GU513" s="184"/>
      <c r="GV513" s="184"/>
      <c r="GW513" s="184"/>
      <c r="GX513" s="184"/>
      <c r="GY513" s="184"/>
      <c r="GZ513" s="184"/>
      <c r="HA513" s="184"/>
      <c r="HB513" s="184"/>
      <c r="HC513" s="184"/>
      <c r="HD513" s="184"/>
      <c r="HE513" s="184"/>
      <c r="HF513" s="184"/>
      <c r="HG513" s="184"/>
      <c r="HH513" s="184"/>
      <c r="HI513" s="184"/>
      <c r="HJ513" s="184"/>
      <c r="HK513" s="184"/>
      <c r="HL513" s="184"/>
      <c r="HM513" s="184"/>
      <c r="HN513" s="184"/>
      <c r="HO513" s="184"/>
      <c r="HP513" s="184"/>
      <c r="HQ513" s="184"/>
      <c r="HR513" s="184"/>
      <c r="HS513" s="184"/>
      <c r="HT513" s="184"/>
      <c r="HU513" s="184"/>
      <c r="HV513" s="184"/>
      <c r="HW513" s="184"/>
      <c r="HX513" s="184"/>
      <c r="HY513" s="184"/>
      <c r="HZ513" s="184"/>
      <c r="IA513" s="184"/>
      <c r="IB513" s="184"/>
      <c r="IC513" s="184"/>
      <c r="ID513" s="184"/>
      <c r="IE513" s="184"/>
      <c r="IF513" s="184"/>
      <c r="IG513" s="184"/>
      <c r="IH513" s="184"/>
      <c r="II513" s="184"/>
      <c r="IJ513" s="184"/>
      <c r="IK513" s="184"/>
      <c r="IL513" s="184"/>
      <c r="IM513" s="184"/>
      <c r="IN513" s="184"/>
      <c r="IO513" s="184"/>
      <c r="IP513" s="184"/>
      <c r="IQ513" s="184"/>
      <c r="IR513" s="184"/>
      <c r="IS513" s="184"/>
      <c r="IT513" s="184"/>
      <c r="IU513" s="184"/>
      <c r="IV513" s="184"/>
    </row>
    <row r="514" spans="1:256" x14ac:dyDescent="0.2">
      <c r="A514" s="159">
        <v>615195</v>
      </c>
      <c r="B514" s="160" t="s">
        <v>119</v>
      </c>
      <c r="C514" s="148" t="s">
        <v>73</v>
      </c>
      <c r="D514" s="148" t="s">
        <v>214</v>
      </c>
      <c r="E514" s="240">
        <f>+LYON!H119</f>
        <v>0</v>
      </c>
      <c r="F514" s="240">
        <f>+LYON!I119</f>
        <v>0</v>
      </c>
      <c r="G514" s="240">
        <f>+LYON!J119</f>
        <v>0</v>
      </c>
      <c r="H514" s="240">
        <f>+LYON!K119</f>
        <v>0</v>
      </c>
      <c r="I514" s="240">
        <f>+LYON!L119</f>
        <v>0</v>
      </c>
      <c r="J514" s="240">
        <f>+LYON!M119</f>
        <v>0</v>
      </c>
      <c r="K514" s="240">
        <f>+LYON!N119</f>
        <v>0</v>
      </c>
      <c r="L514" s="240">
        <f>+LYON!O119</f>
        <v>0</v>
      </c>
      <c r="M514" s="240">
        <f>+LYON!P119</f>
        <v>0</v>
      </c>
      <c r="N514" s="240">
        <f>+LYON!Q119</f>
        <v>0</v>
      </c>
      <c r="O514" s="240">
        <f>+LYON!R119</f>
        <v>0</v>
      </c>
      <c r="P514" s="240">
        <f>+LYON!S119</f>
        <v>0</v>
      </c>
      <c r="Q514" s="240">
        <f>+LYON!T119</f>
        <v>0</v>
      </c>
      <c r="R514" s="240">
        <f>+LYON!U119</f>
        <v>0</v>
      </c>
      <c r="S514" s="245">
        <f t="shared" ref="S514:S521" si="43">SUM(E514:Q514)</f>
        <v>0</v>
      </c>
    </row>
    <row r="515" spans="1:256" x14ac:dyDescent="0.2">
      <c r="A515" s="159">
        <v>615195</v>
      </c>
      <c r="B515" s="160" t="s">
        <v>119</v>
      </c>
      <c r="C515" s="148" t="s">
        <v>73</v>
      </c>
      <c r="D515" s="148" t="s">
        <v>188</v>
      </c>
      <c r="E515" s="240">
        <f>LYON!H120</f>
        <v>0</v>
      </c>
      <c r="F515" s="240">
        <f>LYON!I120</f>
        <v>0</v>
      </c>
      <c r="G515" s="240">
        <f>LYON!J120</f>
        <v>0</v>
      </c>
      <c r="H515" s="240">
        <f>LYON!K120</f>
        <v>0</v>
      </c>
      <c r="I515" s="240">
        <f>LYON!L120</f>
        <v>0</v>
      </c>
      <c r="J515" s="240">
        <f>LYON!M120</f>
        <v>0</v>
      </c>
      <c r="K515" s="240">
        <f>LYON!N120</f>
        <v>0</v>
      </c>
      <c r="L515" s="240">
        <f>LYON!O120</f>
        <v>0</v>
      </c>
      <c r="M515" s="240">
        <f>LYON!P120</f>
        <v>0</v>
      </c>
      <c r="N515" s="240">
        <f>LYON!Q120</f>
        <v>0</v>
      </c>
      <c r="O515" s="240">
        <f>LYON!R120</f>
        <v>0</v>
      </c>
      <c r="P515" s="240">
        <f>LYON!S120</f>
        <v>0</v>
      </c>
      <c r="Q515" s="240">
        <f>LYON!T120</f>
        <v>0</v>
      </c>
      <c r="R515" s="240">
        <f>LYON!U120</f>
        <v>0</v>
      </c>
      <c r="S515" s="245">
        <f t="shared" si="43"/>
        <v>0</v>
      </c>
    </row>
    <row r="516" spans="1:256" x14ac:dyDescent="0.2">
      <c r="A516" s="159">
        <v>615195</v>
      </c>
      <c r="B516" s="160" t="s">
        <v>119</v>
      </c>
      <c r="C516" s="148" t="s">
        <v>73</v>
      </c>
      <c r="D516" s="148" t="s">
        <v>203</v>
      </c>
      <c r="E516" s="240">
        <f>LYON!H122</f>
        <v>0</v>
      </c>
      <c r="F516" s="240">
        <f>LYON!I122</f>
        <v>0</v>
      </c>
      <c r="G516" s="240">
        <f>LYON!J122</f>
        <v>0</v>
      </c>
      <c r="H516" s="240">
        <f>LYON!K122</f>
        <v>0</v>
      </c>
      <c r="I516" s="240">
        <f>LYON!L122</f>
        <v>0</v>
      </c>
      <c r="J516" s="240">
        <f>LYON!M122</f>
        <v>0</v>
      </c>
      <c r="K516" s="240">
        <f>LYON!N122</f>
        <v>0</v>
      </c>
      <c r="L516" s="240">
        <f>LYON!O122</f>
        <v>0</v>
      </c>
      <c r="M516" s="240">
        <f>LYON!P122</f>
        <v>0</v>
      </c>
      <c r="N516" s="240">
        <f>LYON!Q122</f>
        <v>0</v>
      </c>
      <c r="O516" s="240">
        <f>LYON!R122</f>
        <v>0</v>
      </c>
      <c r="P516" s="240">
        <f>LYON!S122</f>
        <v>0</v>
      </c>
      <c r="Q516" s="240">
        <f>LYON!T122</f>
        <v>0</v>
      </c>
      <c r="R516" s="240">
        <f>LYON!U122</f>
        <v>0</v>
      </c>
      <c r="S516" s="245">
        <f t="shared" si="43"/>
        <v>0</v>
      </c>
    </row>
    <row r="517" spans="1:256" x14ac:dyDescent="0.2">
      <c r="A517" s="159">
        <v>615195</v>
      </c>
      <c r="B517" s="160" t="s">
        <v>119</v>
      </c>
      <c r="C517" s="148" t="s">
        <v>73</v>
      </c>
      <c r="D517" s="148" t="s">
        <v>185</v>
      </c>
      <c r="E517" s="240">
        <f>LYON!H121</f>
        <v>0</v>
      </c>
      <c r="F517" s="240">
        <f>LYON!I121</f>
        <v>0</v>
      </c>
      <c r="G517" s="240">
        <f>LYON!J121</f>
        <v>0</v>
      </c>
      <c r="H517" s="240">
        <f>LYON!K121</f>
        <v>0</v>
      </c>
      <c r="I517" s="240">
        <f>LYON!L121</f>
        <v>0</v>
      </c>
      <c r="J517" s="240">
        <f>LYON!M121</f>
        <v>0</v>
      </c>
      <c r="K517" s="240">
        <f>LYON!N121</f>
        <v>0</v>
      </c>
      <c r="L517" s="240">
        <f>LYON!O121</f>
        <v>0</v>
      </c>
      <c r="M517" s="240">
        <f>LYON!P121</f>
        <v>958</v>
      </c>
      <c r="N517" s="240">
        <f>LYON!Q121</f>
        <v>2873</v>
      </c>
      <c r="O517" s="240">
        <f>LYON!R121</f>
        <v>0</v>
      </c>
      <c r="P517" s="240">
        <f>LYON!S121</f>
        <v>1392</v>
      </c>
      <c r="Q517" s="240">
        <f>LYON!T121</f>
        <v>1205</v>
      </c>
      <c r="R517" s="240">
        <f>LYON!U121</f>
        <v>0</v>
      </c>
      <c r="S517" s="245">
        <f t="shared" si="43"/>
        <v>6428</v>
      </c>
    </row>
    <row r="518" spans="1:256" x14ac:dyDescent="0.2">
      <c r="A518" s="159">
        <v>615195</v>
      </c>
      <c r="B518" s="160" t="s">
        <v>119</v>
      </c>
      <c r="C518" s="148" t="s">
        <v>73</v>
      </c>
      <c r="D518" s="148" t="s">
        <v>192</v>
      </c>
      <c r="E518" s="240">
        <f>LYON!H123</f>
        <v>0</v>
      </c>
      <c r="F518" s="240">
        <f>LYON!I123</f>
        <v>0</v>
      </c>
      <c r="G518" s="240">
        <f>LYON!J123</f>
        <v>0</v>
      </c>
      <c r="H518" s="240">
        <f>LYON!K123</f>
        <v>12715</v>
      </c>
      <c r="I518" s="240">
        <f>LYON!L123</f>
        <v>3471</v>
      </c>
      <c r="J518" s="240">
        <f>LYON!M123</f>
        <v>1537</v>
      </c>
      <c r="K518" s="240">
        <f>LYON!N123</f>
        <v>2468</v>
      </c>
      <c r="L518" s="240">
        <f>LYON!O123</f>
        <v>1209.32</v>
      </c>
      <c r="M518" s="240">
        <f>LYON!P123</f>
        <v>0</v>
      </c>
      <c r="N518" s="240">
        <f>LYON!Q123</f>
        <v>10769.34</v>
      </c>
      <c r="O518" s="240">
        <f>LYON!R123</f>
        <v>5851.37</v>
      </c>
      <c r="P518" s="240">
        <f>LYON!S123</f>
        <v>6952</v>
      </c>
      <c r="Q518" s="240">
        <f>LYON!T123</f>
        <v>1477.96</v>
      </c>
      <c r="R518" s="240">
        <f>LYON!U123</f>
        <v>0</v>
      </c>
      <c r="S518" s="245">
        <f t="shared" si="43"/>
        <v>46450.99</v>
      </c>
      <c r="T518" s="273"/>
    </row>
    <row r="519" spans="1:256" x14ac:dyDescent="0.2">
      <c r="A519" s="159">
        <v>615195</v>
      </c>
      <c r="B519" s="160" t="s">
        <v>119</v>
      </c>
      <c r="C519" s="148" t="s">
        <v>73</v>
      </c>
      <c r="D519" s="148" t="s">
        <v>187</v>
      </c>
      <c r="E519" s="240">
        <f>LYON!H124</f>
        <v>0</v>
      </c>
      <c r="F519" s="240">
        <f>LYON!I124</f>
        <v>0</v>
      </c>
      <c r="G519" s="240">
        <f>LYON!J124</f>
        <v>0</v>
      </c>
      <c r="H519" s="240">
        <f>LYON!K124</f>
        <v>0</v>
      </c>
      <c r="I519" s="240">
        <f>LYON!L124</f>
        <v>0</v>
      </c>
      <c r="J519" s="240">
        <f>LYON!M124</f>
        <v>0</v>
      </c>
      <c r="K519" s="240">
        <f>LYON!N124</f>
        <v>0</v>
      </c>
      <c r="L519" s="240">
        <f>LYON!O124</f>
        <v>0</v>
      </c>
      <c r="M519" s="240">
        <f>LYON!P124</f>
        <v>0</v>
      </c>
      <c r="N519" s="240">
        <f>LYON!Q124</f>
        <v>0</v>
      </c>
      <c r="O519" s="240">
        <f>LYON!R124</f>
        <v>0</v>
      </c>
      <c r="P519" s="240">
        <f>LYON!S124</f>
        <v>0</v>
      </c>
      <c r="Q519" s="240">
        <f>LYON!T124</f>
        <v>0</v>
      </c>
      <c r="R519" s="240">
        <f>LYON!U124</f>
        <v>0</v>
      </c>
      <c r="S519" s="245">
        <f t="shared" si="43"/>
        <v>0</v>
      </c>
      <c r="T519" s="273"/>
    </row>
    <row r="520" spans="1:256" x14ac:dyDescent="0.2">
      <c r="A520" s="159">
        <v>615195</v>
      </c>
      <c r="B520" s="160" t="s">
        <v>119</v>
      </c>
      <c r="C520" s="148" t="s">
        <v>73</v>
      </c>
      <c r="D520" s="148" t="s">
        <v>184</v>
      </c>
      <c r="E520" s="240">
        <f>LYON!H124</f>
        <v>0</v>
      </c>
      <c r="F520" s="240">
        <f>LYON!I124</f>
        <v>0</v>
      </c>
      <c r="G520" s="240">
        <f>LYON!J124</f>
        <v>0</v>
      </c>
      <c r="H520" s="240">
        <f>LYON!K124</f>
        <v>0</v>
      </c>
      <c r="I520" s="240">
        <f>LYON!L124</f>
        <v>0</v>
      </c>
      <c r="J520" s="240">
        <f>LYON!M124</f>
        <v>0</v>
      </c>
      <c r="K520" s="240">
        <f>LYON!N124</f>
        <v>0</v>
      </c>
      <c r="L520" s="240">
        <f>LYON!O124</f>
        <v>0</v>
      </c>
      <c r="M520" s="240">
        <f>LYON!P124</f>
        <v>0</v>
      </c>
      <c r="N520" s="240">
        <f>LYON!Q124</f>
        <v>0</v>
      </c>
      <c r="O520" s="240">
        <f>LYON!R124</f>
        <v>0</v>
      </c>
      <c r="P520" s="240">
        <f>LYON!S124</f>
        <v>0</v>
      </c>
      <c r="Q520" s="240">
        <f>LYON!T124</f>
        <v>0</v>
      </c>
      <c r="R520" s="240">
        <f>LYON!U124</f>
        <v>0</v>
      </c>
      <c r="S520" s="245">
        <f>SUM(E520:Q520)</f>
        <v>0</v>
      </c>
    </row>
    <row r="521" spans="1:256" x14ac:dyDescent="0.2">
      <c r="A521" s="159">
        <v>615195</v>
      </c>
      <c r="B521" s="160" t="s">
        <v>119</v>
      </c>
      <c r="C521" s="148" t="s">
        <v>73</v>
      </c>
      <c r="D521" s="148" t="s">
        <v>834</v>
      </c>
      <c r="E521" s="240">
        <f>LYON!H126</f>
        <v>0</v>
      </c>
      <c r="F521" s="240">
        <f>LYON!I126</f>
        <v>0</v>
      </c>
      <c r="G521" s="240">
        <f>LYON!J126</f>
        <v>0</v>
      </c>
      <c r="H521" s="240">
        <f>LYON!K126</f>
        <v>0</v>
      </c>
      <c r="I521" s="240">
        <f>LYON!L126</f>
        <v>0</v>
      </c>
      <c r="J521" s="240">
        <f>LYON!M126</f>
        <v>0</v>
      </c>
      <c r="K521" s="240">
        <f>LYON!N126</f>
        <v>0</v>
      </c>
      <c r="L521" s="240">
        <f>LYON!O126</f>
        <v>0</v>
      </c>
      <c r="M521" s="240">
        <f>LYON!P126</f>
        <v>0</v>
      </c>
      <c r="N521" s="240">
        <f>LYON!Q126</f>
        <v>0</v>
      </c>
      <c r="O521" s="240">
        <f>LYON!R126</f>
        <v>612</v>
      </c>
      <c r="P521" s="240">
        <f>LYON!S126</f>
        <v>250</v>
      </c>
      <c r="Q521" s="240">
        <f>LYON!T126</f>
        <v>0</v>
      </c>
      <c r="R521" s="240">
        <f>LYON!U126</f>
        <v>0</v>
      </c>
      <c r="S521" s="245">
        <f t="shared" si="43"/>
        <v>862</v>
      </c>
    </row>
    <row r="522" spans="1:256" s="175" customFormat="1" x14ac:dyDescent="0.2">
      <c r="A522" s="270"/>
      <c r="B522" s="235"/>
      <c r="C522" s="148"/>
      <c r="D522" s="148"/>
      <c r="E522" s="240"/>
      <c r="F522" s="240"/>
      <c r="G522" s="240"/>
      <c r="H522" s="240"/>
      <c r="I522" s="240"/>
      <c r="J522" s="240"/>
      <c r="K522" s="240"/>
      <c r="L522" s="240"/>
      <c r="M522" s="240"/>
      <c r="N522" s="240"/>
      <c r="O522" s="240"/>
      <c r="P522" s="240"/>
      <c r="Q522" s="240"/>
      <c r="R522" s="240"/>
      <c r="S522" s="245"/>
      <c r="T522" s="184"/>
      <c r="U522" s="332"/>
      <c r="W522" s="184"/>
      <c r="X522" s="184"/>
      <c r="Y522" s="184"/>
      <c r="Z522" s="184"/>
      <c r="AA522" s="184"/>
      <c r="AB522" s="184"/>
      <c r="AC522" s="184"/>
      <c r="AD522" s="184"/>
      <c r="AE522" s="184"/>
      <c r="AF522" s="184"/>
      <c r="AG522" s="184"/>
      <c r="AH522" s="184"/>
      <c r="AI522" s="184"/>
      <c r="AJ522" s="184"/>
      <c r="AK522" s="184"/>
      <c r="AL522" s="184"/>
      <c r="AM522" s="184"/>
      <c r="AN522" s="184"/>
      <c r="AO522" s="184"/>
      <c r="AP522" s="184"/>
      <c r="AQ522" s="184"/>
      <c r="AR522" s="184"/>
      <c r="AS522" s="184"/>
      <c r="AT522" s="184"/>
      <c r="AU522" s="184"/>
      <c r="AV522" s="184"/>
      <c r="AW522" s="184"/>
      <c r="AX522" s="184"/>
      <c r="AY522" s="184"/>
      <c r="AZ522" s="184"/>
      <c r="BA522" s="184"/>
      <c r="BB522" s="184"/>
      <c r="BC522" s="184"/>
      <c r="BD522" s="184"/>
      <c r="BE522" s="184"/>
      <c r="BF522" s="184"/>
      <c r="BG522" s="184"/>
      <c r="BH522" s="184"/>
      <c r="BI522" s="184"/>
      <c r="BJ522" s="184"/>
      <c r="BK522" s="184"/>
      <c r="BL522" s="184"/>
      <c r="BM522" s="184"/>
      <c r="BN522" s="184"/>
      <c r="BO522" s="184"/>
      <c r="BP522" s="184"/>
      <c r="BQ522" s="184"/>
      <c r="BR522" s="184"/>
      <c r="BS522" s="184"/>
      <c r="BT522" s="184"/>
      <c r="BU522" s="184"/>
      <c r="BV522" s="184"/>
      <c r="BW522" s="184"/>
      <c r="BX522" s="184"/>
      <c r="BY522" s="184"/>
      <c r="BZ522" s="184"/>
      <c r="CA522" s="184"/>
      <c r="CB522" s="184"/>
      <c r="CC522" s="184"/>
      <c r="CD522" s="184"/>
      <c r="CE522" s="184"/>
      <c r="CF522" s="184"/>
      <c r="CG522" s="184"/>
      <c r="CH522" s="184"/>
      <c r="CI522" s="184"/>
      <c r="CJ522" s="184"/>
      <c r="CK522" s="184"/>
      <c r="CL522" s="184"/>
      <c r="CM522" s="184"/>
      <c r="CN522" s="184"/>
      <c r="CO522" s="184"/>
      <c r="CP522" s="184"/>
      <c r="CQ522" s="184"/>
      <c r="CR522" s="184"/>
      <c r="CS522" s="184"/>
      <c r="CT522" s="184"/>
      <c r="CU522" s="184"/>
      <c r="CV522" s="184"/>
      <c r="CW522" s="184"/>
      <c r="CX522" s="184"/>
      <c r="CY522" s="184"/>
      <c r="CZ522" s="184"/>
      <c r="DA522" s="184"/>
      <c r="DB522" s="184"/>
      <c r="DC522" s="184"/>
      <c r="DD522" s="184"/>
      <c r="DE522" s="184"/>
      <c r="DF522" s="184"/>
      <c r="DG522" s="184"/>
      <c r="DH522" s="184"/>
      <c r="DI522" s="184"/>
      <c r="DJ522" s="184"/>
      <c r="DK522" s="184"/>
      <c r="DL522" s="184"/>
      <c r="DM522" s="184"/>
      <c r="DN522" s="184"/>
      <c r="DO522" s="184"/>
      <c r="DP522" s="184"/>
      <c r="DQ522" s="184"/>
      <c r="DR522" s="184"/>
      <c r="DS522" s="184"/>
      <c r="DT522" s="184"/>
      <c r="DU522" s="184"/>
      <c r="DV522" s="184"/>
      <c r="DW522" s="184"/>
      <c r="DX522" s="184"/>
      <c r="DY522" s="184"/>
      <c r="DZ522" s="184"/>
      <c r="EA522" s="184"/>
      <c r="EB522" s="184"/>
      <c r="EC522" s="184"/>
      <c r="ED522" s="184"/>
      <c r="EE522" s="184"/>
      <c r="EF522" s="184"/>
      <c r="EG522" s="184"/>
      <c r="EH522" s="184"/>
      <c r="EI522" s="184"/>
      <c r="EJ522" s="184"/>
      <c r="EK522" s="184"/>
      <c r="EL522" s="184"/>
      <c r="EM522" s="184"/>
      <c r="EN522" s="184"/>
      <c r="EO522" s="184"/>
      <c r="EP522" s="184"/>
      <c r="EQ522" s="184"/>
      <c r="ER522" s="184"/>
      <c r="ES522" s="184"/>
      <c r="ET522" s="184"/>
      <c r="EU522" s="184"/>
      <c r="EV522" s="184"/>
      <c r="EW522" s="184"/>
      <c r="EX522" s="184"/>
      <c r="EY522" s="184"/>
      <c r="EZ522" s="184"/>
      <c r="FA522" s="184"/>
      <c r="FB522" s="184"/>
      <c r="FC522" s="184"/>
      <c r="FD522" s="184"/>
      <c r="FE522" s="184"/>
      <c r="FF522" s="184"/>
      <c r="FG522" s="184"/>
      <c r="FH522" s="184"/>
      <c r="FI522" s="184"/>
      <c r="FJ522" s="184"/>
      <c r="FK522" s="184"/>
      <c r="FL522" s="184"/>
      <c r="FM522" s="184"/>
      <c r="FN522" s="184"/>
      <c r="FO522" s="184"/>
      <c r="FP522" s="184"/>
      <c r="FQ522" s="184"/>
      <c r="FR522" s="184"/>
      <c r="FS522" s="184"/>
      <c r="FT522" s="184"/>
      <c r="FU522" s="184"/>
      <c r="FV522" s="184"/>
      <c r="FW522" s="184"/>
      <c r="FX522" s="184"/>
      <c r="FY522" s="184"/>
      <c r="FZ522" s="184"/>
      <c r="GA522" s="184"/>
      <c r="GB522" s="184"/>
      <c r="GC522" s="184"/>
      <c r="GD522" s="184"/>
      <c r="GE522" s="184"/>
      <c r="GF522" s="184"/>
      <c r="GG522" s="184"/>
      <c r="GH522" s="184"/>
      <c r="GI522" s="184"/>
      <c r="GJ522" s="184"/>
      <c r="GK522" s="184"/>
      <c r="GL522" s="184"/>
      <c r="GM522" s="184"/>
      <c r="GN522" s="184"/>
      <c r="GO522" s="184"/>
      <c r="GP522" s="184"/>
      <c r="GQ522" s="184"/>
      <c r="GR522" s="184"/>
      <c r="GS522" s="184"/>
      <c r="GT522" s="184"/>
      <c r="GU522" s="184"/>
      <c r="GV522" s="184"/>
      <c r="GW522" s="184"/>
      <c r="GX522" s="184"/>
      <c r="GY522" s="184"/>
      <c r="GZ522" s="184"/>
      <c r="HA522" s="184"/>
      <c r="HB522" s="184"/>
      <c r="HC522" s="184"/>
      <c r="HD522" s="184"/>
      <c r="HE522" s="184"/>
      <c r="HF522" s="184"/>
      <c r="HG522" s="184"/>
      <c r="HH522" s="184"/>
      <c r="HI522" s="184"/>
      <c r="HJ522" s="184"/>
      <c r="HK522" s="184"/>
      <c r="HL522" s="184"/>
      <c r="HM522" s="184"/>
      <c r="HN522" s="184"/>
      <c r="HO522" s="184"/>
      <c r="HP522" s="184"/>
      <c r="HQ522" s="184"/>
      <c r="HR522" s="184"/>
      <c r="HS522" s="184"/>
      <c r="HT522" s="184"/>
      <c r="HU522" s="184"/>
      <c r="HV522" s="184"/>
      <c r="HW522" s="184"/>
      <c r="HX522" s="184"/>
      <c r="HY522" s="184"/>
      <c r="HZ522" s="184"/>
      <c r="IA522" s="184"/>
      <c r="IB522" s="184"/>
      <c r="IC522" s="184"/>
      <c r="ID522" s="184"/>
      <c r="IE522" s="184"/>
      <c r="IF522" s="184"/>
      <c r="IG522" s="184"/>
      <c r="IH522" s="184"/>
      <c r="II522" s="184"/>
      <c r="IJ522" s="184"/>
      <c r="IK522" s="184"/>
      <c r="IL522" s="184"/>
      <c r="IM522" s="184"/>
      <c r="IN522" s="184"/>
      <c r="IO522" s="184"/>
      <c r="IP522" s="184"/>
      <c r="IQ522" s="184"/>
      <c r="IR522" s="184"/>
      <c r="IS522" s="184"/>
      <c r="IT522" s="184"/>
      <c r="IU522" s="184"/>
      <c r="IV522" s="184"/>
    </row>
    <row r="523" spans="1:256" x14ac:dyDescent="0.2">
      <c r="A523" s="159">
        <v>615195</v>
      </c>
      <c r="B523" s="160" t="s">
        <v>119</v>
      </c>
      <c r="C523" s="148" t="s">
        <v>67</v>
      </c>
      <c r="D523" s="148" t="s">
        <v>188</v>
      </c>
      <c r="E523" s="240">
        <f>BORDEAUX!H127</f>
        <v>0</v>
      </c>
      <c r="F523" s="240">
        <f>BORDEAUX!I127</f>
        <v>0</v>
      </c>
      <c r="G523" s="240">
        <f>BORDEAUX!J127</f>
        <v>0</v>
      </c>
      <c r="H523" s="240">
        <f>BORDEAUX!K127</f>
        <v>0</v>
      </c>
      <c r="I523" s="240">
        <f>BORDEAUX!L127</f>
        <v>0</v>
      </c>
      <c r="J523" s="240">
        <f>BORDEAUX!M127</f>
        <v>0</v>
      </c>
      <c r="K523" s="240">
        <f>BORDEAUX!N127</f>
        <v>0</v>
      </c>
      <c r="L523" s="240">
        <f>BORDEAUX!O127</f>
        <v>0</v>
      </c>
      <c r="M523" s="240">
        <f>BORDEAUX!P127</f>
        <v>0</v>
      </c>
      <c r="N523" s="240">
        <f>BORDEAUX!Q127</f>
        <v>0</v>
      </c>
      <c r="O523" s="240">
        <f>BORDEAUX!R127</f>
        <v>0</v>
      </c>
      <c r="P523" s="240">
        <f>BORDEAUX!S127</f>
        <v>0</v>
      </c>
      <c r="Q523" s="240">
        <f>BORDEAUX!T127</f>
        <v>0</v>
      </c>
      <c r="R523" s="240">
        <f>BORDEAUX!U127</f>
        <v>0</v>
      </c>
      <c r="S523" s="245">
        <f t="shared" ref="S523:S529" si="44">SUM(E523:Q523)</f>
        <v>0</v>
      </c>
    </row>
    <row r="524" spans="1:256" x14ac:dyDescent="0.2">
      <c r="A524" s="159">
        <v>615195</v>
      </c>
      <c r="B524" s="160" t="s">
        <v>119</v>
      </c>
      <c r="C524" s="148" t="s">
        <v>67</v>
      </c>
      <c r="D524" s="148" t="s">
        <v>185</v>
      </c>
      <c r="E524" s="240">
        <f>BORDEAUX!H128</f>
        <v>0</v>
      </c>
      <c r="F524" s="240">
        <f>BORDEAUX!I128</f>
        <v>0</v>
      </c>
      <c r="G524" s="240">
        <f>BORDEAUX!J128</f>
        <v>0</v>
      </c>
      <c r="H524" s="240">
        <f>BORDEAUX!K128</f>
        <v>300</v>
      </c>
      <c r="I524" s="240">
        <f>BORDEAUX!L128</f>
        <v>0</v>
      </c>
      <c r="J524" s="240">
        <f>BORDEAUX!M128</f>
        <v>0</v>
      </c>
      <c r="K524" s="240">
        <f>BORDEAUX!N128</f>
        <v>0</v>
      </c>
      <c r="L524" s="240">
        <f>BORDEAUX!O128</f>
        <v>0</v>
      </c>
      <c r="M524" s="240">
        <f>BORDEAUX!P128</f>
        <v>0</v>
      </c>
      <c r="N524" s="240">
        <f>BORDEAUX!Q128</f>
        <v>0</v>
      </c>
      <c r="O524" s="240">
        <f>BORDEAUX!R128</f>
        <v>0</v>
      </c>
      <c r="P524" s="240">
        <f>BORDEAUX!S128</f>
        <v>0</v>
      </c>
      <c r="Q524" s="240">
        <f>BORDEAUX!T128</f>
        <v>0</v>
      </c>
      <c r="R524" s="240">
        <f>BORDEAUX!U128</f>
        <v>0</v>
      </c>
      <c r="S524" s="245">
        <f t="shared" si="44"/>
        <v>300</v>
      </c>
    </row>
    <row r="525" spans="1:256" x14ac:dyDescent="0.2">
      <c r="A525" s="159">
        <v>615195</v>
      </c>
      <c r="B525" s="160" t="s">
        <v>119</v>
      </c>
      <c r="C525" s="148" t="s">
        <v>67</v>
      </c>
      <c r="D525" s="148" t="s">
        <v>203</v>
      </c>
      <c r="E525" s="240">
        <f>BORDEAUX!H129</f>
        <v>0</v>
      </c>
      <c r="F525" s="240">
        <f>BORDEAUX!I129</f>
        <v>0</v>
      </c>
      <c r="G525" s="240">
        <f>BORDEAUX!J129</f>
        <v>0</v>
      </c>
      <c r="H525" s="240">
        <f>BORDEAUX!K129</f>
        <v>0</v>
      </c>
      <c r="I525" s="240">
        <f>BORDEAUX!L129</f>
        <v>0</v>
      </c>
      <c r="J525" s="240">
        <f>BORDEAUX!M129</f>
        <v>0</v>
      </c>
      <c r="K525" s="240">
        <f>BORDEAUX!N129</f>
        <v>0</v>
      </c>
      <c r="L525" s="240">
        <f>BORDEAUX!O129</f>
        <v>0</v>
      </c>
      <c r="M525" s="240">
        <f>BORDEAUX!P129</f>
        <v>0</v>
      </c>
      <c r="N525" s="240">
        <f>BORDEAUX!Q129</f>
        <v>0</v>
      </c>
      <c r="O525" s="240">
        <f>BORDEAUX!R129</f>
        <v>0</v>
      </c>
      <c r="P525" s="240">
        <f>BORDEAUX!S129</f>
        <v>0</v>
      </c>
      <c r="Q525" s="240">
        <f>BORDEAUX!T129</f>
        <v>0</v>
      </c>
      <c r="R525" s="240">
        <f>BORDEAUX!U129</f>
        <v>0</v>
      </c>
      <c r="S525" s="245">
        <f t="shared" si="44"/>
        <v>0</v>
      </c>
    </row>
    <row r="526" spans="1:256" x14ac:dyDescent="0.2">
      <c r="A526" s="159">
        <v>615195</v>
      </c>
      <c r="B526" s="160" t="s">
        <v>119</v>
      </c>
      <c r="C526" s="148" t="s">
        <v>67</v>
      </c>
      <c r="D526" s="148" t="s">
        <v>192</v>
      </c>
      <c r="E526" s="240">
        <f>+BORDEAUX!H130</f>
        <v>0</v>
      </c>
      <c r="F526" s="240">
        <f>+BORDEAUX!I130</f>
        <v>0</v>
      </c>
      <c r="G526" s="240">
        <f>+BORDEAUX!J130</f>
        <v>0</v>
      </c>
      <c r="H526" s="240">
        <f>+BORDEAUX!K130</f>
        <v>0</v>
      </c>
      <c r="I526" s="240">
        <f>+BORDEAUX!L130</f>
        <v>350</v>
      </c>
      <c r="J526" s="240">
        <f>+BORDEAUX!M130</f>
        <v>445.3</v>
      </c>
      <c r="K526" s="240">
        <f>+BORDEAUX!N130</f>
        <v>489</v>
      </c>
      <c r="L526" s="240">
        <f>+BORDEAUX!O130</f>
        <v>0</v>
      </c>
      <c r="M526" s="240">
        <f>+BORDEAUX!P130</f>
        <v>0</v>
      </c>
      <c r="N526" s="240">
        <f>+BORDEAUX!Q130</f>
        <v>873.39</v>
      </c>
      <c r="O526" s="240">
        <f>+BORDEAUX!R130</f>
        <v>322.5</v>
      </c>
      <c r="P526" s="240">
        <f>+BORDEAUX!S130</f>
        <v>0</v>
      </c>
      <c r="Q526" s="240">
        <f>+BORDEAUX!T130</f>
        <v>2882.8599999999997</v>
      </c>
      <c r="R526" s="240">
        <f>+BORDEAUX!U130</f>
        <v>0</v>
      </c>
      <c r="S526" s="245">
        <f t="shared" si="44"/>
        <v>5363.0499999999993</v>
      </c>
    </row>
    <row r="527" spans="1:256" x14ac:dyDescent="0.2">
      <c r="A527" s="159">
        <v>615195</v>
      </c>
      <c r="B527" s="160" t="s">
        <v>119</v>
      </c>
      <c r="C527" s="148" t="s">
        <v>67</v>
      </c>
      <c r="D527" s="148" t="s">
        <v>187</v>
      </c>
      <c r="E527" s="240">
        <f>BORDEAUX!H131</f>
        <v>0</v>
      </c>
      <c r="F527" s="240">
        <f>BORDEAUX!I131</f>
        <v>0</v>
      </c>
      <c r="G527" s="240">
        <f>BORDEAUX!J131</f>
        <v>0</v>
      </c>
      <c r="H527" s="240">
        <f>BORDEAUX!K131</f>
        <v>0</v>
      </c>
      <c r="I527" s="240">
        <f>BORDEAUX!L131</f>
        <v>0</v>
      </c>
      <c r="J527" s="240">
        <f>BORDEAUX!M131</f>
        <v>1029</v>
      </c>
      <c r="K527" s="240">
        <f>BORDEAUX!N131</f>
        <v>0</v>
      </c>
      <c r="L527" s="240">
        <f>BORDEAUX!O131</f>
        <v>0</v>
      </c>
      <c r="M527" s="240">
        <f>BORDEAUX!P131</f>
        <v>0</v>
      </c>
      <c r="N527" s="240">
        <f>BORDEAUX!Q131</f>
        <v>0</v>
      </c>
      <c r="O527" s="240">
        <f>BORDEAUX!R131</f>
        <v>0</v>
      </c>
      <c r="P527" s="240">
        <f>BORDEAUX!S131</f>
        <v>0</v>
      </c>
      <c r="Q527" s="240">
        <f>BORDEAUX!T131</f>
        <v>0</v>
      </c>
      <c r="R527" s="240">
        <f>BORDEAUX!U131</f>
        <v>0</v>
      </c>
      <c r="S527" s="245">
        <f t="shared" si="44"/>
        <v>1029</v>
      </c>
    </row>
    <row r="528" spans="1:256" x14ac:dyDescent="0.2">
      <c r="A528" s="159">
        <v>615195</v>
      </c>
      <c r="B528" s="160" t="s">
        <v>119</v>
      </c>
      <c r="C528" s="148" t="s">
        <v>67</v>
      </c>
      <c r="D528" s="148" t="s">
        <v>196</v>
      </c>
      <c r="E528" s="240">
        <f>BORDEAUX!H132</f>
        <v>0</v>
      </c>
      <c r="F528" s="240">
        <f>BORDEAUX!I132</f>
        <v>0</v>
      </c>
      <c r="G528" s="240">
        <f>BORDEAUX!J132</f>
        <v>0</v>
      </c>
      <c r="H528" s="240">
        <f>BORDEAUX!K132</f>
        <v>0</v>
      </c>
      <c r="I528" s="240">
        <f>BORDEAUX!L132</f>
        <v>0</v>
      </c>
      <c r="J528" s="240">
        <f>BORDEAUX!M132</f>
        <v>0</v>
      </c>
      <c r="K528" s="240">
        <f>BORDEAUX!N132</f>
        <v>0</v>
      </c>
      <c r="L528" s="240">
        <f>BORDEAUX!O132</f>
        <v>0</v>
      </c>
      <c r="M528" s="240">
        <f>BORDEAUX!P132</f>
        <v>0</v>
      </c>
      <c r="N528" s="240">
        <f>BORDEAUX!Q132</f>
        <v>0</v>
      </c>
      <c r="O528" s="240">
        <f>BORDEAUX!R132</f>
        <v>0</v>
      </c>
      <c r="P528" s="240">
        <f>BORDEAUX!S132</f>
        <v>0</v>
      </c>
      <c r="Q528" s="240">
        <f>BORDEAUX!T132</f>
        <v>0</v>
      </c>
      <c r="R528" s="240">
        <f>BORDEAUX!U132</f>
        <v>0</v>
      </c>
      <c r="S528" s="245">
        <f t="shared" si="44"/>
        <v>0</v>
      </c>
    </row>
    <row r="529" spans="1:256" x14ac:dyDescent="0.2">
      <c r="A529" s="159">
        <v>615195</v>
      </c>
      <c r="B529" s="160" t="s">
        <v>119</v>
      </c>
      <c r="C529" s="148" t="s">
        <v>67</v>
      </c>
      <c r="D529" s="148" t="s">
        <v>184</v>
      </c>
      <c r="E529" s="240">
        <f>BORDEAUX!H133</f>
        <v>0</v>
      </c>
      <c r="F529" s="240">
        <f>BORDEAUX!I133</f>
        <v>0</v>
      </c>
      <c r="G529" s="240">
        <f>BORDEAUX!J133</f>
        <v>0</v>
      </c>
      <c r="H529" s="240">
        <f>BORDEAUX!K133</f>
        <v>0</v>
      </c>
      <c r="I529" s="240">
        <f>BORDEAUX!L133</f>
        <v>0</v>
      </c>
      <c r="J529" s="240">
        <f>BORDEAUX!M133</f>
        <v>0</v>
      </c>
      <c r="K529" s="240">
        <f>BORDEAUX!N133</f>
        <v>0</v>
      </c>
      <c r="L529" s="240">
        <f>BORDEAUX!O133</f>
        <v>0</v>
      </c>
      <c r="M529" s="240">
        <f>BORDEAUX!P133</f>
        <v>0</v>
      </c>
      <c r="N529" s="240">
        <f>BORDEAUX!Q133</f>
        <v>0</v>
      </c>
      <c r="O529" s="240">
        <f>BORDEAUX!R133</f>
        <v>0</v>
      </c>
      <c r="P529" s="240">
        <f>BORDEAUX!S133</f>
        <v>0</v>
      </c>
      <c r="Q529" s="240">
        <f>BORDEAUX!T133</f>
        <v>0</v>
      </c>
      <c r="R529" s="240">
        <f>BORDEAUX!U133</f>
        <v>0</v>
      </c>
      <c r="S529" s="245">
        <f t="shared" si="44"/>
        <v>0</v>
      </c>
    </row>
    <row r="530" spans="1:256" s="175" customFormat="1" x14ac:dyDescent="0.2">
      <c r="A530" s="270"/>
      <c r="B530" s="235"/>
      <c r="C530" s="148"/>
      <c r="D530" s="148"/>
      <c r="E530" s="240"/>
      <c r="F530" s="240"/>
      <c r="G530" s="240"/>
      <c r="H530" s="240"/>
      <c r="I530" s="240"/>
      <c r="J530" s="240"/>
      <c r="K530" s="240"/>
      <c r="L530" s="240"/>
      <c r="M530" s="240"/>
      <c r="N530" s="240"/>
      <c r="O530" s="240"/>
      <c r="P530" s="240"/>
      <c r="Q530" s="240"/>
      <c r="R530" s="240"/>
      <c r="S530" s="245"/>
      <c r="T530" s="184"/>
      <c r="U530" s="332"/>
      <c r="W530" s="184"/>
      <c r="X530" s="184"/>
      <c r="Y530" s="184"/>
      <c r="Z530" s="184"/>
      <c r="AA530" s="184"/>
      <c r="AB530" s="184"/>
      <c r="AC530" s="184"/>
      <c r="AD530" s="184"/>
      <c r="AE530" s="184"/>
      <c r="AF530" s="184"/>
      <c r="AG530" s="184"/>
      <c r="AH530" s="184"/>
      <c r="AI530" s="184"/>
      <c r="AJ530" s="184"/>
      <c r="AK530" s="184"/>
      <c r="AL530" s="184"/>
      <c r="AM530" s="184"/>
      <c r="AN530" s="184"/>
      <c r="AO530" s="184"/>
      <c r="AP530" s="184"/>
      <c r="AQ530" s="184"/>
      <c r="AR530" s="184"/>
      <c r="AS530" s="184"/>
      <c r="AT530" s="184"/>
      <c r="AU530" s="184"/>
      <c r="AV530" s="184"/>
      <c r="AW530" s="184"/>
      <c r="AX530" s="184"/>
      <c r="AY530" s="184"/>
      <c r="AZ530" s="184"/>
      <c r="BA530" s="184"/>
      <c r="BB530" s="184"/>
      <c r="BC530" s="184"/>
      <c r="BD530" s="184"/>
      <c r="BE530" s="184"/>
      <c r="BF530" s="184"/>
      <c r="BG530" s="184"/>
      <c r="BH530" s="184"/>
      <c r="BI530" s="184"/>
      <c r="BJ530" s="184"/>
      <c r="BK530" s="184"/>
      <c r="BL530" s="184"/>
      <c r="BM530" s="184"/>
      <c r="BN530" s="184"/>
      <c r="BO530" s="184"/>
      <c r="BP530" s="184"/>
      <c r="BQ530" s="184"/>
      <c r="BR530" s="184"/>
      <c r="BS530" s="184"/>
      <c r="BT530" s="184"/>
      <c r="BU530" s="184"/>
      <c r="BV530" s="184"/>
      <c r="BW530" s="184"/>
      <c r="BX530" s="184"/>
      <c r="BY530" s="184"/>
      <c r="BZ530" s="184"/>
      <c r="CA530" s="184"/>
      <c r="CB530" s="184"/>
      <c r="CC530" s="184"/>
      <c r="CD530" s="184"/>
      <c r="CE530" s="184"/>
      <c r="CF530" s="184"/>
      <c r="CG530" s="184"/>
      <c r="CH530" s="184"/>
      <c r="CI530" s="184"/>
      <c r="CJ530" s="184"/>
      <c r="CK530" s="184"/>
      <c r="CL530" s="184"/>
      <c r="CM530" s="184"/>
      <c r="CN530" s="184"/>
      <c r="CO530" s="184"/>
      <c r="CP530" s="184"/>
      <c r="CQ530" s="184"/>
      <c r="CR530" s="184"/>
      <c r="CS530" s="184"/>
      <c r="CT530" s="184"/>
      <c r="CU530" s="184"/>
      <c r="CV530" s="184"/>
      <c r="CW530" s="184"/>
      <c r="CX530" s="184"/>
      <c r="CY530" s="184"/>
      <c r="CZ530" s="184"/>
      <c r="DA530" s="184"/>
      <c r="DB530" s="184"/>
      <c r="DC530" s="184"/>
      <c r="DD530" s="184"/>
      <c r="DE530" s="184"/>
      <c r="DF530" s="184"/>
      <c r="DG530" s="184"/>
      <c r="DH530" s="184"/>
      <c r="DI530" s="184"/>
      <c r="DJ530" s="184"/>
      <c r="DK530" s="184"/>
      <c r="DL530" s="184"/>
      <c r="DM530" s="184"/>
      <c r="DN530" s="184"/>
      <c r="DO530" s="184"/>
      <c r="DP530" s="184"/>
      <c r="DQ530" s="184"/>
      <c r="DR530" s="184"/>
      <c r="DS530" s="184"/>
      <c r="DT530" s="184"/>
      <c r="DU530" s="184"/>
      <c r="DV530" s="184"/>
      <c r="DW530" s="184"/>
      <c r="DX530" s="184"/>
      <c r="DY530" s="184"/>
      <c r="DZ530" s="184"/>
      <c r="EA530" s="184"/>
      <c r="EB530" s="184"/>
      <c r="EC530" s="184"/>
      <c r="ED530" s="184"/>
      <c r="EE530" s="184"/>
      <c r="EF530" s="184"/>
      <c r="EG530" s="184"/>
      <c r="EH530" s="184"/>
      <c r="EI530" s="184"/>
      <c r="EJ530" s="184"/>
      <c r="EK530" s="184"/>
      <c r="EL530" s="184"/>
      <c r="EM530" s="184"/>
      <c r="EN530" s="184"/>
      <c r="EO530" s="184"/>
      <c r="EP530" s="184"/>
      <c r="EQ530" s="184"/>
      <c r="ER530" s="184"/>
      <c r="ES530" s="184"/>
      <c r="ET530" s="184"/>
      <c r="EU530" s="184"/>
      <c r="EV530" s="184"/>
      <c r="EW530" s="184"/>
      <c r="EX530" s="184"/>
      <c r="EY530" s="184"/>
      <c r="EZ530" s="184"/>
      <c r="FA530" s="184"/>
      <c r="FB530" s="184"/>
      <c r="FC530" s="184"/>
      <c r="FD530" s="184"/>
      <c r="FE530" s="184"/>
      <c r="FF530" s="184"/>
      <c r="FG530" s="184"/>
      <c r="FH530" s="184"/>
      <c r="FI530" s="184"/>
      <c r="FJ530" s="184"/>
      <c r="FK530" s="184"/>
      <c r="FL530" s="184"/>
      <c r="FM530" s="184"/>
      <c r="FN530" s="184"/>
      <c r="FO530" s="184"/>
      <c r="FP530" s="184"/>
      <c r="FQ530" s="184"/>
      <c r="FR530" s="184"/>
      <c r="FS530" s="184"/>
      <c r="FT530" s="184"/>
      <c r="FU530" s="184"/>
      <c r="FV530" s="184"/>
      <c r="FW530" s="184"/>
      <c r="FX530" s="184"/>
      <c r="FY530" s="184"/>
      <c r="FZ530" s="184"/>
      <c r="GA530" s="184"/>
      <c r="GB530" s="184"/>
      <c r="GC530" s="184"/>
      <c r="GD530" s="184"/>
      <c r="GE530" s="184"/>
      <c r="GF530" s="184"/>
      <c r="GG530" s="184"/>
      <c r="GH530" s="184"/>
      <c r="GI530" s="184"/>
      <c r="GJ530" s="184"/>
      <c r="GK530" s="184"/>
      <c r="GL530" s="184"/>
      <c r="GM530" s="184"/>
      <c r="GN530" s="184"/>
      <c r="GO530" s="184"/>
      <c r="GP530" s="184"/>
      <c r="GQ530" s="184"/>
      <c r="GR530" s="184"/>
      <c r="GS530" s="184"/>
      <c r="GT530" s="184"/>
      <c r="GU530" s="184"/>
      <c r="GV530" s="184"/>
      <c r="GW530" s="184"/>
      <c r="GX530" s="184"/>
      <c r="GY530" s="184"/>
      <c r="GZ530" s="184"/>
      <c r="HA530" s="184"/>
      <c r="HB530" s="184"/>
      <c r="HC530" s="184"/>
      <c r="HD530" s="184"/>
      <c r="HE530" s="184"/>
      <c r="HF530" s="184"/>
      <c r="HG530" s="184"/>
      <c r="HH530" s="184"/>
      <c r="HI530" s="184"/>
      <c r="HJ530" s="184"/>
      <c r="HK530" s="184"/>
      <c r="HL530" s="184"/>
      <c r="HM530" s="184"/>
      <c r="HN530" s="184"/>
      <c r="HO530" s="184"/>
      <c r="HP530" s="184"/>
      <c r="HQ530" s="184"/>
      <c r="HR530" s="184"/>
      <c r="HS530" s="184"/>
      <c r="HT530" s="184"/>
      <c r="HU530" s="184"/>
      <c r="HV530" s="184"/>
      <c r="HW530" s="184"/>
      <c r="HX530" s="184"/>
      <c r="HY530" s="184"/>
      <c r="HZ530" s="184"/>
      <c r="IA530" s="184"/>
      <c r="IB530" s="184"/>
      <c r="IC530" s="184"/>
      <c r="ID530" s="184"/>
      <c r="IE530" s="184"/>
      <c r="IF530" s="184"/>
      <c r="IG530" s="184"/>
      <c r="IH530" s="184"/>
      <c r="II530" s="184"/>
      <c r="IJ530" s="184"/>
      <c r="IK530" s="184"/>
      <c r="IL530" s="184"/>
      <c r="IM530" s="184"/>
      <c r="IN530" s="184"/>
      <c r="IO530" s="184"/>
      <c r="IP530" s="184"/>
      <c r="IQ530" s="184"/>
      <c r="IR530" s="184"/>
      <c r="IS530" s="184"/>
      <c r="IT530" s="184"/>
      <c r="IU530" s="184"/>
      <c r="IV530" s="184"/>
    </row>
    <row r="531" spans="1:256" x14ac:dyDescent="0.2">
      <c r="A531" s="159">
        <v>615195</v>
      </c>
      <c r="B531" s="160" t="s">
        <v>119</v>
      </c>
      <c r="C531" s="148" t="s">
        <v>62</v>
      </c>
      <c r="D531" s="148" t="s">
        <v>188</v>
      </c>
      <c r="E531" s="240">
        <f>+NANCY!H74</f>
        <v>0</v>
      </c>
      <c r="F531" s="240">
        <f>+NANCY!I74</f>
        <v>0</v>
      </c>
      <c r="G531" s="240">
        <f>+NANCY!J74</f>
        <v>0</v>
      </c>
      <c r="H531" s="240">
        <f>+NANCY!K74</f>
        <v>0</v>
      </c>
      <c r="I531" s="240">
        <f>+NANCY!L74</f>
        <v>0</v>
      </c>
      <c r="J531" s="240">
        <f>+NANCY!M74</f>
        <v>0</v>
      </c>
      <c r="K531" s="240">
        <f>+NANCY!N74</f>
        <v>0</v>
      </c>
      <c r="L531" s="240">
        <f>+NANCY!O74</f>
        <v>0</v>
      </c>
      <c r="M531" s="240">
        <f>+NANCY!P74</f>
        <v>0</v>
      </c>
      <c r="N531" s="240">
        <f>+NANCY!Q74</f>
        <v>0</v>
      </c>
      <c r="O531" s="240">
        <f>+NANCY!R74</f>
        <v>0</v>
      </c>
      <c r="P531" s="240">
        <f>+NANCY!S74</f>
        <v>0</v>
      </c>
      <c r="Q531" s="240">
        <f>+NANCY!T74</f>
        <v>0</v>
      </c>
      <c r="R531" s="240">
        <f>+NANCY!U74</f>
        <v>0</v>
      </c>
      <c r="S531" s="245">
        <f>SUM(E531:Q531)</f>
        <v>0</v>
      </c>
    </row>
    <row r="532" spans="1:256" x14ac:dyDescent="0.2">
      <c r="A532" s="159">
        <v>615195</v>
      </c>
      <c r="B532" s="160" t="s">
        <v>119</v>
      </c>
      <c r="C532" s="148" t="s">
        <v>62</v>
      </c>
      <c r="D532" s="148" t="s">
        <v>192</v>
      </c>
      <c r="E532" s="240">
        <f>+NANCY!H75</f>
        <v>0</v>
      </c>
      <c r="F532" s="240">
        <f>+NANCY!I75</f>
        <v>0</v>
      </c>
      <c r="G532" s="240">
        <f>+NANCY!J75</f>
        <v>0</v>
      </c>
      <c r="H532" s="240">
        <f>+NANCY!K75</f>
        <v>0</v>
      </c>
      <c r="I532" s="240">
        <f>+NANCY!L75</f>
        <v>0</v>
      </c>
      <c r="J532" s="240">
        <f>+NANCY!M75</f>
        <v>0</v>
      </c>
      <c r="K532" s="240">
        <f>+NANCY!N75</f>
        <v>0</v>
      </c>
      <c r="L532" s="240">
        <f>+NANCY!O75</f>
        <v>0</v>
      </c>
      <c r="M532" s="240">
        <f>+NANCY!P75</f>
        <v>0</v>
      </c>
      <c r="N532" s="240">
        <f>+NANCY!Q75</f>
        <v>0</v>
      </c>
      <c r="O532" s="240">
        <f>+NANCY!R75</f>
        <v>0</v>
      </c>
      <c r="P532" s="240">
        <f>+NANCY!S75</f>
        <v>0</v>
      </c>
      <c r="Q532" s="240">
        <f>+NANCY!T75</f>
        <v>0</v>
      </c>
      <c r="R532" s="240">
        <f>+NANCY!U75</f>
        <v>0</v>
      </c>
      <c r="S532" s="245">
        <f>SUM(E532:Q532)</f>
        <v>0</v>
      </c>
    </row>
    <row r="533" spans="1:256" s="175" customFormat="1" x14ac:dyDescent="0.2">
      <c r="A533" s="270"/>
      <c r="B533" s="235"/>
      <c r="C533" s="148"/>
      <c r="D533" s="148"/>
      <c r="E533" s="240"/>
      <c r="F533" s="240"/>
      <c r="G533" s="240"/>
      <c r="H533" s="240"/>
      <c r="I533" s="240"/>
      <c r="J533" s="240"/>
      <c r="K533" s="240"/>
      <c r="L533" s="240"/>
      <c r="M533" s="240"/>
      <c r="N533" s="240"/>
      <c r="O533" s="240"/>
      <c r="P533" s="240"/>
      <c r="Q533" s="240"/>
      <c r="R533" s="240"/>
      <c r="S533" s="245"/>
      <c r="T533" s="184"/>
      <c r="U533" s="332"/>
      <c r="W533" s="184"/>
      <c r="X533" s="184"/>
      <c r="Y533" s="184"/>
      <c r="Z533" s="184"/>
      <c r="AA533" s="184"/>
      <c r="AB533" s="184"/>
      <c r="AC533" s="184"/>
      <c r="AD533" s="184"/>
      <c r="AE533" s="184"/>
      <c r="AF533" s="184"/>
      <c r="AG533" s="184"/>
      <c r="AH533" s="184"/>
      <c r="AI533" s="184"/>
      <c r="AJ533" s="184"/>
      <c r="AK533" s="184"/>
      <c r="AL533" s="184"/>
      <c r="AM533" s="184"/>
      <c r="AN533" s="184"/>
      <c r="AO533" s="184"/>
      <c r="AP533" s="184"/>
      <c r="AQ533" s="184"/>
      <c r="AR533" s="184"/>
      <c r="AS533" s="184"/>
      <c r="AT533" s="184"/>
      <c r="AU533" s="184"/>
      <c r="AV533" s="184"/>
      <c r="AW533" s="184"/>
      <c r="AX533" s="184"/>
      <c r="AY533" s="184"/>
      <c r="AZ533" s="184"/>
      <c r="BA533" s="184"/>
      <c r="BB533" s="184"/>
      <c r="BC533" s="184"/>
      <c r="BD533" s="184"/>
      <c r="BE533" s="184"/>
      <c r="BF533" s="184"/>
      <c r="BG533" s="184"/>
      <c r="BH533" s="184"/>
      <c r="BI533" s="184"/>
      <c r="BJ533" s="184"/>
      <c r="BK533" s="184"/>
      <c r="BL533" s="184"/>
      <c r="BM533" s="184"/>
      <c r="BN533" s="184"/>
      <c r="BO533" s="184"/>
      <c r="BP533" s="184"/>
      <c r="BQ533" s="184"/>
      <c r="BR533" s="184"/>
      <c r="BS533" s="184"/>
      <c r="BT533" s="184"/>
      <c r="BU533" s="184"/>
      <c r="BV533" s="184"/>
      <c r="BW533" s="184"/>
      <c r="BX533" s="184"/>
      <c r="BY533" s="184"/>
      <c r="BZ533" s="184"/>
      <c r="CA533" s="184"/>
      <c r="CB533" s="184"/>
      <c r="CC533" s="184"/>
      <c r="CD533" s="184"/>
      <c r="CE533" s="184"/>
      <c r="CF533" s="184"/>
      <c r="CG533" s="184"/>
      <c r="CH533" s="184"/>
      <c r="CI533" s="184"/>
      <c r="CJ533" s="184"/>
      <c r="CK533" s="184"/>
      <c r="CL533" s="184"/>
      <c r="CM533" s="184"/>
      <c r="CN533" s="184"/>
      <c r="CO533" s="184"/>
      <c r="CP533" s="184"/>
      <c r="CQ533" s="184"/>
      <c r="CR533" s="184"/>
      <c r="CS533" s="184"/>
      <c r="CT533" s="184"/>
      <c r="CU533" s="184"/>
      <c r="CV533" s="184"/>
      <c r="CW533" s="184"/>
      <c r="CX533" s="184"/>
      <c r="CY533" s="184"/>
      <c r="CZ533" s="184"/>
      <c r="DA533" s="184"/>
      <c r="DB533" s="184"/>
      <c r="DC533" s="184"/>
      <c r="DD533" s="184"/>
      <c r="DE533" s="184"/>
      <c r="DF533" s="184"/>
      <c r="DG533" s="184"/>
      <c r="DH533" s="184"/>
      <c r="DI533" s="184"/>
      <c r="DJ533" s="184"/>
      <c r="DK533" s="184"/>
      <c r="DL533" s="184"/>
      <c r="DM533" s="184"/>
      <c r="DN533" s="184"/>
      <c r="DO533" s="184"/>
      <c r="DP533" s="184"/>
      <c r="DQ533" s="184"/>
      <c r="DR533" s="184"/>
      <c r="DS533" s="184"/>
      <c r="DT533" s="184"/>
      <c r="DU533" s="184"/>
      <c r="DV533" s="184"/>
      <c r="DW533" s="184"/>
      <c r="DX533" s="184"/>
      <c r="DY533" s="184"/>
      <c r="DZ533" s="184"/>
      <c r="EA533" s="184"/>
      <c r="EB533" s="184"/>
      <c r="EC533" s="184"/>
      <c r="ED533" s="184"/>
      <c r="EE533" s="184"/>
      <c r="EF533" s="184"/>
      <c r="EG533" s="184"/>
      <c r="EH533" s="184"/>
      <c r="EI533" s="184"/>
      <c r="EJ533" s="184"/>
      <c r="EK533" s="184"/>
      <c r="EL533" s="184"/>
      <c r="EM533" s="184"/>
      <c r="EN533" s="184"/>
      <c r="EO533" s="184"/>
      <c r="EP533" s="184"/>
      <c r="EQ533" s="184"/>
      <c r="ER533" s="184"/>
      <c r="ES533" s="184"/>
      <c r="ET533" s="184"/>
      <c r="EU533" s="184"/>
      <c r="EV533" s="184"/>
      <c r="EW533" s="184"/>
      <c r="EX533" s="184"/>
      <c r="EY533" s="184"/>
      <c r="EZ533" s="184"/>
      <c r="FA533" s="184"/>
      <c r="FB533" s="184"/>
      <c r="FC533" s="184"/>
      <c r="FD533" s="184"/>
      <c r="FE533" s="184"/>
      <c r="FF533" s="184"/>
      <c r="FG533" s="184"/>
      <c r="FH533" s="184"/>
      <c r="FI533" s="184"/>
      <c r="FJ533" s="184"/>
      <c r="FK533" s="184"/>
      <c r="FL533" s="184"/>
      <c r="FM533" s="184"/>
      <c r="FN533" s="184"/>
      <c r="FO533" s="184"/>
      <c r="FP533" s="184"/>
      <c r="FQ533" s="184"/>
      <c r="FR533" s="184"/>
      <c r="FS533" s="184"/>
      <c r="FT533" s="184"/>
      <c r="FU533" s="184"/>
      <c r="FV533" s="184"/>
      <c r="FW533" s="184"/>
      <c r="FX533" s="184"/>
      <c r="FY533" s="184"/>
      <c r="FZ533" s="184"/>
      <c r="GA533" s="184"/>
      <c r="GB533" s="184"/>
      <c r="GC533" s="184"/>
      <c r="GD533" s="184"/>
      <c r="GE533" s="184"/>
      <c r="GF533" s="184"/>
      <c r="GG533" s="184"/>
      <c r="GH533" s="184"/>
      <c r="GI533" s="184"/>
      <c r="GJ533" s="184"/>
      <c r="GK533" s="184"/>
      <c r="GL533" s="184"/>
      <c r="GM533" s="184"/>
      <c r="GN533" s="184"/>
      <c r="GO533" s="184"/>
      <c r="GP533" s="184"/>
      <c r="GQ533" s="184"/>
      <c r="GR533" s="184"/>
      <c r="GS533" s="184"/>
      <c r="GT533" s="184"/>
      <c r="GU533" s="184"/>
      <c r="GV533" s="184"/>
      <c r="GW533" s="184"/>
      <c r="GX533" s="184"/>
      <c r="GY533" s="184"/>
      <c r="GZ533" s="184"/>
      <c r="HA533" s="184"/>
      <c r="HB533" s="184"/>
      <c r="HC533" s="184"/>
      <c r="HD533" s="184"/>
      <c r="HE533" s="184"/>
      <c r="HF533" s="184"/>
      <c r="HG533" s="184"/>
      <c r="HH533" s="184"/>
      <c r="HI533" s="184"/>
      <c r="HJ533" s="184"/>
      <c r="HK533" s="184"/>
      <c r="HL533" s="184"/>
      <c r="HM533" s="184"/>
      <c r="HN533" s="184"/>
      <c r="HO533" s="184"/>
      <c r="HP533" s="184"/>
      <c r="HQ533" s="184"/>
      <c r="HR533" s="184"/>
      <c r="HS533" s="184"/>
      <c r="HT533" s="184"/>
      <c r="HU533" s="184"/>
      <c r="HV533" s="184"/>
      <c r="HW533" s="184"/>
      <c r="HX533" s="184"/>
      <c r="HY533" s="184"/>
      <c r="HZ533" s="184"/>
      <c r="IA533" s="184"/>
      <c r="IB533" s="184"/>
      <c r="IC533" s="184"/>
      <c r="ID533" s="184"/>
      <c r="IE533" s="184"/>
      <c r="IF533" s="184"/>
      <c r="IG533" s="184"/>
      <c r="IH533" s="184"/>
      <c r="II533" s="184"/>
      <c r="IJ533" s="184"/>
      <c r="IK533" s="184"/>
      <c r="IL533" s="184"/>
      <c r="IM533" s="184"/>
      <c r="IN533" s="184"/>
      <c r="IO533" s="184"/>
      <c r="IP533" s="184"/>
      <c r="IQ533" s="184"/>
      <c r="IR533" s="184"/>
      <c r="IS533" s="184"/>
      <c r="IT533" s="184"/>
      <c r="IU533" s="184"/>
      <c r="IV533" s="184"/>
    </row>
    <row r="534" spans="1:256" x14ac:dyDescent="0.2">
      <c r="A534" s="159">
        <v>615195</v>
      </c>
      <c r="B534" s="160" t="s">
        <v>119</v>
      </c>
      <c r="C534" s="148" t="s">
        <v>80</v>
      </c>
      <c r="D534" s="148" t="s">
        <v>188</v>
      </c>
      <c r="E534" s="240">
        <f>RENNES!H119</f>
        <v>0</v>
      </c>
      <c r="F534" s="240">
        <f>RENNES!I119</f>
        <v>0</v>
      </c>
      <c r="G534" s="240">
        <f>RENNES!J119</f>
        <v>0</v>
      </c>
      <c r="H534" s="240">
        <f>RENNES!K119</f>
        <v>0</v>
      </c>
      <c r="I534" s="240">
        <f>RENNES!L119</f>
        <v>0</v>
      </c>
      <c r="J534" s="240">
        <f>RENNES!M119</f>
        <v>0</v>
      </c>
      <c r="K534" s="240">
        <f>RENNES!N119</f>
        <v>0</v>
      </c>
      <c r="L534" s="240">
        <f>RENNES!O119</f>
        <v>0</v>
      </c>
      <c r="M534" s="240">
        <f>RENNES!P119</f>
        <v>0</v>
      </c>
      <c r="N534" s="240">
        <f>RENNES!Q119</f>
        <v>0</v>
      </c>
      <c r="O534" s="240">
        <f>RENNES!R119</f>
        <v>0</v>
      </c>
      <c r="P534" s="240">
        <f>RENNES!S119</f>
        <v>0</v>
      </c>
      <c r="Q534" s="240">
        <f>RENNES!T119</f>
        <v>0</v>
      </c>
      <c r="R534" s="240">
        <f>RENNES!U119</f>
        <v>0</v>
      </c>
      <c r="S534" s="245">
        <f t="shared" ref="S534:S540" si="45">SUM(E534:Q534)</f>
        <v>0</v>
      </c>
    </row>
    <row r="535" spans="1:256" x14ac:dyDescent="0.2">
      <c r="A535" s="159">
        <v>615195</v>
      </c>
      <c r="B535" s="160" t="s">
        <v>119</v>
      </c>
      <c r="C535" s="148" t="s">
        <v>80</v>
      </c>
      <c r="D535" s="148" t="s">
        <v>203</v>
      </c>
      <c r="E535" s="240">
        <f>RENNES!H121</f>
        <v>0</v>
      </c>
      <c r="F535" s="240">
        <f>RENNES!I121</f>
        <v>0</v>
      </c>
      <c r="G535" s="240">
        <f>RENNES!J121</f>
        <v>0</v>
      </c>
      <c r="H535" s="240">
        <f>RENNES!K121</f>
        <v>0</v>
      </c>
      <c r="I535" s="240">
        <f>RENNES!L121</f>
        <v>0</v>
      </c>
      <c r="J535" s="240">
        <f>RENNES!M121</f>
        <v>0</v>
      </c>
      <c r="K535" s="240">
        <f>RENNES!N121</f>
        <v>0</v>
      </c>
      <c r="L535" s="240">
        <f>RENNES!O121</f>
        <v>0</v>
      </c>
      <c r="M535" s="240">
        <f>RENNES!P121</f>
        <v>0</v>
      </c>
      <c r="N535" s="240">
        <f>RENNES!Q121</f>
        <v>0</v>
      </c>
      <c r="O535" s="240">
        <f>RENNES!R121</f>
        <v>0</v>
      </c>
      <c r="P535" s="240">
        <f>RENNES!S121</f>
        <v>0</v>
      </c>
      <c r="Q535" s="240">
        <f>RENNES!T121</f>
        <v>0</v>
      </c>
      <c r="R535" s="240">
        <f>RENNES!U121</f>
        <v>0</v>
      </c>
      <c r="S535" s="245">
        <f t="shared" si="45"/>
        <v>0</v>
      </c>
    </row>
    <row r="536" spans="1:256" x14ac:dyDescent="0.2">
      <c r="A536" s="159">
        <v>615195</v>
      </c>
      <c r="B536" s="160" t="s">
        <v>119</v>
      </c>
      <c r="C536" s="148" t="s">
        <v>80</v>
      </c>
      <c r="D536" s="148" t="s">
        <v>185</v>
      </c>
      <c r="E536" s="240">
        <f>RENNES!H120</f>
        <v>0</v>
      </c>
      <c r="F536" s="240">
        <f>RENNES!I120</f>
        <v>525</v>
      </c>
      <c r="G536" s="240">
        <f>RENNES!J120</f>
        <v>376</v>
      </c>
      <c r="H536" s="240">
        <f>RENNES!K120</f>
        <v>0</v>
      </c>
      <c r="I536" s="240">
        <f>RENNES!L120</f>
        <v>0</v>
      </c>
      <c r="J536" s="240">
        <f>RENNES!M120</f>
        <v>0</v>
      </c>
      <c r="K536" s="240">
        <f>RENNES!N120</f>
        <v>0</v>
      </c>
      <c r="L536" s="240">
        <f>RENNES!O120</f>
        <v>0</v>
      </c>
      <c r="M536" s="240">
        <f>RENNES!P120</f>
        <v>921</v>
      </c>
      <c r="N536" s="240">
        <f>RENNES!Q120</f>
        <v>388</v>
      </c>
      <c r="O536" s="240">
        <f>RENNES!R120</f>
        <v>449.89</v>
      </c>
      <c r="P536" s="240">
        <f>RENNES!S120</f>
        <v>290.2</v>
      </c>
      <c r="Q536" s="240">
        <f>RENNES!T120</f>
        <v>0</v>
      </c>
      <c r="R536" s="240">
        <f>RENNES!U120</f>
        <v>0</v>
      </c>
      <c r="S536" s="245">
        <f t="shared" si="45"/>
        <v>2950.0899999999997</v>
      </c>
      <c r="T536" s="273"/>
    </row>
    <row r="537" spans="1:256" x14ac:dyDescent="0.2">
      <c r="A537" s="159">
        <v>615195</v>
      </c>
      <c r="B537" s="160" t="s">
        <v>119</v>
      </c>
      <c r="C537" s="148" t="s">
        <v>80</v>
      </c>
      <c r="D537" s="148" t="s">
        <v>192</v>
      </c>
      <c r="E537" s="240">
        <f>RENNES!H122</f>
        <v>0</v>
      </c>
      <c r="F537" s="240">
        <f>RENNES!I122</f>
        <v>914.49</v>
      </c>
      <c r="G537" s="240">
        <f>RENNES!J122</f>
        <v>0</v>
      </c>
      <c r="H537" s="240">
        <f>RENNES!K122</f>
        <v>0</v>
      </c>
      <c r="I537" s="240">
        <f>RENNES!L122</f>
        <v>0</v>
      </c>
      <c r="J537" s="240">
        <f>RENNES!M122</f>
        <v>681</v>
      </c>
      <c r="K537" s="240">
        <f>RENNES!N122</f>
        <v>272.94</v>
      </c>
      <c r="L537" s="240">
        <f>RENNES!O122</f>
        <v>3128</v>
      </c>
      <c r="M537" s="240">
        <f>RENNES!P122</f>
        <v>0</v>
      </c>
      <c r="N537" s="240">
        <f>RENNES!Q122</f>
        <v>2465.9</v>
      </c>
      <c r="O537" s="240">
        <f>RENNES!R122</f>
        <v>1780.15</v>
      </c>
      <c r="P537" s="240">
        <f>RENNES!S122</f>
        <v>2294</v>
      </c>
      <c r="Q537" s="240">
        <f>RENNES!T122</f>
        <v>6289</v>
      </c>
      <c r="R537" s="240">
        <f>RENNES!U122</f>
        <v>0</v>
      </c>
      <c r="S537" s="245">
        <f>SUM(E537:Q537)</f>
        <v>17825.48</v>
      </c>
    </row>
    <row r="538" spans="1:256" x14ac:dyDescent="0.2">
      <c r="A538" s="159">
        <v>615195</v>
      </c>
      <c r="B538" s="160" t="s">
        <v>119</v>
      </c>
      <c r="C538" s="148" t="s">
        <v>80</v>
      </c>
      <c r="D538" s="148" t="s">
        <v>696</v>
      </c>
      <c r="E538" s="240">
        <f>RENNES!H123</f>
        <v>0</v>
      </c>
      <c r="F538" s="240">
        <f>RENNES!I123</f>
        <v>0</v>
      </c>
      <c r="G538" s="240">
        <f>RENNES!J123</f>
        <v>0</v>
      </c>
      <c r="H538" s="240">
        <f>RENNES!K123</f>
        <v>0</v>
      </c>
      <c r="I538" s="240">
        <f>RENNES!L123</f>
        <v>0</v>
      </c>
      <c r="J538" s="240">
        <f>RENNES!M123</f>
        <v>0</v>
      </c>
      <c r="K538" s="240">
        <f>RENNES!N123</f>
        <v>0</v>
      </c>
      <c r="L538" s="240">
        <f>RENNES!O123</f>
        <v>0</v>
      </c>
      <c r="M538" s="240">
        <f>RENNES!P123</f>
        <v>0</v>
      </c>
      <c r="N538" s="240">
        <f>RENNES!Q123</f>
        <v>0</v>
      </c>
      <c r="O538" s="240">
        <f>RENNES!R123</f>
        <v>0</v>
      </c>
      <c r="P538" s="240">
        <f>RENNES!S123</f>
        <v>0</v>
      </c>
      <c r="Q538" s="240">
        <f>RENNES!T123</f>
        <v>0</v>
      </c>
      <c r="R538" s="240">
        <f>RENNES!U123</f>
        <v>0</v>
      </c>
      <c r="S538" s="245">
        <f t="shared" si="45"/>
        <v>0</v>
      </c>
    </row>
    <row r="539" spans="1:256" x14ac:dyDescent="0.2">
      <c r="A539" s="159">
        <v>615195</v>
      </c>
      <c r="B539" s="160" t="s">
        <v>119</v>
      </c>
      <c r="C539" s="148" t="s">
        <v>80</v>
      </c>
      <c r="D539" s="148" t="s">
        <v>187</v>
      </c>
      <c r="E539" s="240">
        <f>RENNES!H124</f>
        <v>0</v>
      </c>
      <c r="F539" s="240">
        <f>RENNES!I124</f>
        <v>0</v>
      </c>
      <c r="G539" s="240">
        <f>RENNES!J124</f>
        <v>0</v>
      </c>
      <c r="H539" s="240">
        <f>RENNES!K124</f>
        <v>0</v>
      </c>
      <c r="I539" s="240">
        <f>RENNES!L124</f>
        <v>0</v>
      </c>
      <c r="J539" s="240">
        <f>RENNES!M124</f>
        <v>0</v>
      </c>
      <c r="K539" s="240">
        <f>RENNES!N124</f>
        <v>0</v>
      </c>
      <c r="L539" s="240">
        <f>RENNES!O124</f>
        <v>0</v>
      </c>
      <c r="M539" s="240">
        <f>RENNES!P124</f>
        <v>0</v>
      </c>
      <c r="N539" s="240">
        <f>RENNES!Q124</f>
        <v>0</v>
      </c>
      <c r="O539" s="240">
        <f>RENNES!R124</f>
        <v>0</v>
      </c>
      <c r="P539" s="240">
        <f>RENNES!S124</f>
        <v>0</v>
      </c>
      <c r="Q539" s="240">
        <f>RENNES!T124</f>
        <v>0</v>
      </c>
      <c r="R539" s="240">
        <f>RENNES!U124</f>
        <v>0</v>
      </c>
      <c r="S539" s="245">
        <f t="shared" si="45"/>
        <v>0</v>
      </c>
    </row>
    <row r="540" spans="1:256" x14ac:dyDescent="0.2">
      <c r="A540" s="159">
        <v>615195</v>
      </c>
      <c r="B540" s="160" t="s">
        <v>119</v>
      </c>
      <c r="C540" s="148" t="s">
        <v>80</v>
      </c>
      <c r="D540" s="148" t="s">
        <v>184</v>
      </c>
      <c r="E540" s="240">
        <f>RENNES!H125</f>
        <v>0</v>
      </c>
      <c r="F540" s="240">
        <f>RENNES!I125</f>
        <v>0</v>
      </c>
      <c r="G540" s="240">
        <f>RENNES!J125</f>
        <v>0</v>
      </c>
      <c r="H540" s="240">
        <f>RENNES!K125</f>
        <v>0</v>
      </c>
      <c r="I540" s="240">
        <f>RENNES!L125</f>
        <v>0</v>
      </c>
      <c r="J540" s="240">
        <f>RENNES!M125</f>
        <v>0</v>
      </c>
      <c r="K540" s="240">
        <f>RENNES!N125</f>
        <v>0</v>
      </c>
      <c r="L540" s="240">
        <f>RENNES!O125</f>
        <v>0</v>
      </c>
      <c r="M540" s="240">
        <f>RENNES!P125</f>
        <v>0</v>
      </c>
      <c r="N540" s="240">
        <f>RENNES!Q125</f>
        <v>0</v>
      </c>
      <c r="O540" s="240">
        <f>RENNES!R125</f>
        <v>0</v>
      </c>
      <c r="P540" s="240">
        <f>RENNES!S125</f>
        <v>0</v>
      </c>
      <c r="Q540" s="240">
        <f>RENNES!T125</f>
        <v>0</v>
      </c>
      <c r="R540" s="240">
        <f>RENNES!U125</f>
        <v>0</v>
      </c>
      <c r="S540" s="245">
        <f t="shared" si="45"/>
        <v>0</v>
      </c>
    </row>
    <row r="541" spans="1:256" s="175" customFormat="1" x14ac:dyDescent="0.2">
      <c r="A541" s="270"/>
      <c r="B541" s="235"/>
      <c r="C541" s="148"/>
      <c r="D541" s="148"/>
      <c r="E541" s="240"/>
      <c r="F541" s="240"/>
      <c r="G541" s="240"/>
      <c r="H541" s="240"/>
      <c r="I541" s="240"/>
      <c r="J541" s="240"/>
      <c r="K541" s="240"/>
      <c r="L541" s="240"/>
      <c r="M541" s="240"/>
      <c r="N541" s="240"/>
      <c r="O541" s="240"/>
      <c r="P541" s="240"/>
      <c r="Q541" s="240"/>
      <c r="R541" s="240"/>
      <c r="S541" s="245"/>
      <c r="T541" s="184"/>
      <c r="U541" s="332"/>
      <c r="W541" s="184"/>
      <c r="X541" s="184"/>
      <c r="Y541" s="184"/>
      <c r="Z541" s="184"/>
      <c r="AA541" s="184"/>
      <c r="AB541" s="184"/>
      <c r="AC541" s="184"/>
      <c r="AD541" s="184"/>
      <c r="AE541" s="184"/>
      <c r="AF541" s="184"/>
      <c r="AG541" s="184"/>
      <c r="AH541" s="184"/>
      <c r="AI541" s="184"/>
      <c r="AJ541" s="184"/>
      <c r="AK541" s="184"/>
      <c r="AL541" s="184"/>
      <c r="AM541" s="184"/>
      <c r="AN541" s="184"/>
      <c r="AO541" s="184"/>
      <c r="AP541" s="184"/>
      <c r="AQ541" s="184"/>
      <c r="AR541" s="184"/>
      <c r="AS541" s="184"/>
      <c r="AT541" s="184"/>
      <c r="AU541" s="184"/>
      <c r="AV541" s="184"/>
      <c r="AW541" s="184"/>
      <c r="AX541" s="184"/>
      <c r="AY541" s="184"/>
      <c r="AZ541" s="184"/>
      <c r="BA541" s="184"/>
      <c r="BB541" s="184"/>
      <c r="BC541" s="184"/>
      <c r="BD541" s="184"/>
      <c r="BE541" s="184"/>
      <c r="BF541" s="184"/>
      <c r="BG541" s="184"/>
      <c r="BH541" s="184"/>
      <c r="BI541" s="184"/>
      <c r="BJ541" s="184"/>
      <c r="BK541" s="184"/>
      <c r="BL541" s="184"/>
      <c r="BM541" s="184"/>
      <c r="BN541" s="184"/>
      <c r="BO541" s="184"/>
      <c r="BP541" s="184"/>
      <c r="BQ541" s="184"/>
      <c r="BR541" s="184"/>
      <c r="BS541" s="184"/>
      <c r="BT541" s="184"/>
      <c r="BU541" s="184"/>
      <c r="BV541" s="184"/>
      <c r="BW541" s="184"/>
      <c r="BX541" s="184"/>
      <c r="BY541" s="184"/>
      <c r="BZ541" s="184"/>
      <c r="CA541" s="184"/>
      <c r="CB541" s="184"/>
      <c r="CC541" s="184"/>
      <c r="CD541" s="184"/>
      <c r="CE541" s="184"/>
      <c r="CF541" s="184"/>
      <c r="CG541" s="184"/>
      <c r="CH541" s="184"/>
      <c r="CI541" s="184"/>
      <c r="CJ541" s="184"/>
      <c r="CK541" s="184"/>
      <c r="CL541" s="184"/>
      <c r="CM541" s="184"/>
      <c r="CN541" s="184"/>
      <c r="CO541" s="184"/>
      <c r="CP541" s="184"/>
      <c r="CQ541" s="184"/>
      <c r="CR541" s="184"/>
      <c r="CS541" s="184"/>
      <c r="CT541" s="184"/>
      <c r="CU541" s="184"/>
      <c r="CV541" s="184"/>
      <c r="CW541" s="184"/>
      <c r="CX541" s="184"/>
      <c r="CY541" s="184"/>
      <c r="CZ541" s="184"/>
      <c r="DA541" s="184"/>
      <c r="DB541" s="184"/>
      <c r="DC541" s="184"/>
      <c r="DD541" s="184"/>
      <c r="DE541" s="184"/>
      <c r="DF541" s="184"/>
      <c r="DG541" s="184"/>
      <c r="DH541" s="184"/>
      <c r="DI541" s="184"/>
      <c r="DJ541" s="184"/>
      <c r="DK541" s="184"/>
      <c r="DL541" s="184"/>
      <c r="DM541" s="184"/>
      <c r="DN541" s="184"/>
      <c r="DO541" s="184"/>
      <c r="DP541" s="184"/>
      <c r="DQ541" s="184"/>
      <c r="DR541" s="184"/>
      <c r="DS541" s="184"/>
      <c r="DT541" s="184"/>
      <c r="DU541" s="184"/>
      <c r="DV541" s="184"/>
      <c r="DW541" s="184"/>
      <c r="DX541" s="184"/>
      <c r="DY541" s="184"/>
      <c r="DZ541" s="184"/>
      <c r="EA541" s="184"/>
      <c r="EB541" s="184"/>
      <c r="EC541" s="184"/>
      <c r="ED541" s="184"/>
      <c r="EE541" s="184"/>
      <c r="EF541" s="184"/>
      <c r="EG541" s="184"/>
      <c r="EH541" s="184"/>
      <c r="EI541" s="184"/>
      <c r="EJ541" s="184"/>
      <c r="EK541" s="184"/>
      <c r="EL541" s="184"/>
      <c r="EM541" s="184"/>
      <c r="EN541" s="184"/>
      <c r="EO541" s="184"/>
      <c r="EP541" s="184"/>
      <c r="EQ541" s="184"/>
      <c r="ER541" s="184"/>
      <c r="ES541" s="184"/>
      <c r="ET541" s="184"/>
      <c r="EU541" s="184"/>
      <c r="EV541" s="184"/>
      <c r="EW541" s="184"/>
      <c r="EX541" s="184"/>
      <c r="EY541" s="184"/>
      <c r="EZ541" s="184"/>
      <c r="FA541" s="184"/>
      <c r="FB541" s="184"/>
      <c r="FC541" s="184"/>
      <c r="FD541" s="184"/>
      <c r="FE541" s="184"/>
      <c r="FF541" s="184"/>
      <c r="FG541" s="184"/>
      <c r="FH541" s="184"/>
      <c r="FI541" s="184"/>
      <c r="FJ541" s="184"/>
      <c r="FK541" s="184"/>
      <c r="FL541" s="184"/>
      <c r="FM541" s="184"/>
      <c r="FN541" s="184"/>
      <c r="FO541" s="184"/>
      <c r="FP541" s="184"/>
      <c r="FQ541" s="184"/>
      <c r="FR541" s="184"/>
      <c r="FS541" s="184"/>
      <c r="FT541" s="184"/>
      <c r="FU541" s="184"/>
      <c r="FV541" s="184"/>
      <c r="FW541" s="184"/>
      <c r="FX541" s="184"/>
      <c r="FY541" s="184"/>
      <c r="FZ541" s="184"/>
      <c r="GA541" s="184"/>
      <c r="GB541" s="184"/>
      <c r="GC541" s="184"/>
      <c r="GD541" s="184"/>
      <c r="GE541" s="184"/>
      <c r="GF541" s="184"/>
      <c r="GG541" s="184"/>
      <c r="GH541" s="184"/>
      <c r="GI541" s="184"/>
      <c r="GJ541" s="184"/>
      <c r="GK541" s="184"/>
      <c r="GL541" s="184"/>
      <c r="GM541" s="184"/>
      <c r="GN541" s="184"/>
      <c r="GO541" s="184"/>
      <c r="GP541" s="184"/>
      <c r="GQ541" s="184"/>
      <c r="GR541" s="184"/>
      <c r="GS541" s="184"/>
      <c r="GT541" s="184"/>
      <c r="GU541" s="184"/>
      <c r="GV541" s="184"/>
      <c r="GW541" s="184"/>
      <c r="GX541" s="184"/>
      <c r="GY541" s="184"/>
      <c r="GZ541" s="184"/>
      <c r="HA541" s="184"/>
      <c r="HB541" s="184"/>
      <c r="HC541" s="184"/>
      <c r="HD541" s="184"/>
      <c r="HE541" s="184"/>
      <c r="HF541" s="184"/>
      <c r="HG541" s="184"/>
      <c r="HH541" s="184"/>
      <c r="HI541" s="184"/>
      <c r="HJ541" s="184"/>
      <c r="HK541" s="184"/>
      <c r="HL541" s="184"/>
      <c r="HM541" s="184"/>
      <c r="HN541" s="184"/>
      <c r="HO541" s="184"/>
      <c r="HP541" s="184"/>
      <c r="HQ541" s="184"/>
      <c r="HR541" s="184"/>
      <c r="HS541" s="184"/>
      <c r="HT541" s="184"/>
      <c r="HU541" s="184"/>
      <c r="HV541" s="184"/>
      <c r="HW541" s="184"/>
      <c r="HX541" s="184"/>
      <c r="HY541" s="184"/>
      <c r="HZ541" s="184"/>
      <c r="IA541" s="184"/>
      <c r="IB541" s="184"/>
      <c r="IC541" s="184"/>
      <c r="ID541" s="184"/>
      <c r="IE541" s="184"/>
      <c r="IF541" s="184"/>
      <c r="IG541" s="184"/>
      <c r="IH541" s="184"/>
      <c r="II541" s="184"/>
      <c r="IJ541" s="184"/>
      <c r="IK541" s="184"/>
      <c r="IL541" s="184"/>
      <c r="IM541" s="184"/>
      <c r="IN541" s="184"/>
      <c r="IO541" s="184"/>
      <c r="IP541" s="184"/>
      <c r="IQ541" s="184"/>
      <c r="IR541" s="184"/>
      <c r="IS541" s="184"/>
      <c r="IT541" s="184"/>
      <c r="IU541" s="184"/>
      <c r="IV541" s="184"/>
    </row>
    <row r="542" spans="1:256" x14ac:dyDescent="0.2">
      <c r="A542" s="159">
        <v>615195</v>
      </c>
      <c r="B542" s="160" t="s">
        <v>119</v>
      </c>
      <c r="C542" s="148" t="s">
        <v>156</v>
      </c>
      <c r="D542" s="148" t="s">
        <v>188</v>
      </c>
      <c r="E542" s="240">
        <f>BEAUVAIS!H121</f>
        <v>0</v>
      </c>
      <c r="F542" s="240">
        <f>BEAUVAIS!I121</f>
        <v>0</v>
      </c>
      <c r="G542" s="240">
        <f>BEAUVAIS!J121</f>
        <v>0</v>
      </c>
      <c r="H542" s="240">
        <f>BEAUVAIS!K121</f>
        <v>0</v>
      </c>
      <c r="I542" s="240">
        <f>BEAUVAIS!L121</f>
        <v>0</v>
      </c>
      <c r="J542" s="240">
        <f>BEAUVAIS!M121</f>
        <v>0</v>
      </c>
      <c r="K542" s="240">
        <f>BEAUVAIS!N121</f>
        <v>0</v>
      </c>
      <c r="L542" s="240">
        <f>BEAUVAIS!O121</f>
        <v>0</v>
      </c>
      <c r="M542" s="240">
        <f>BEAUVAIS!P121</f>
        <v>0</v>
      </c>
      <c r="N542" s="240">
        <f>BEAUVAIS!Q121</f>
        <v>0</v>
      </c>
      <c r="O542" s="240">
        <f>BEAUVAIS!R121</f>
        <v>0</v>
      </c>
      <c r="P542" s="240">
        <f>BEAUVAIS!S121</f>
        <v>0</v>
      </c>
      <c r="Q542" s="240">
        <f>BEAUVAIS!T121</f>
        <v>0</v>
      </c>
      <c r="R542" s="240">
        <f>BEAUVAIS!U121</f>
        <v>0</v>
      </c>
      <c r="S542" s="245">
        <f t="shared" ref="S542:S548" si="46">SUM(E542:Q542)</f>
        <v>0</v>
      </c>
    </row>
    <row r="543" spans="1:256" x14ac:dyDescent="0.2">
      <c r="A543" s="159">
        <v>615195</v>
      </c>
      <c r="B543" s="160" t="s">
        <v>119</v>
      </c>
      <c r="C543" s="148" t="s">
        <v>156</v>
      </c>
      <c r="D543" s="148" t="s">
        <v>203</v>
      </c>
      <c r="E543" s="240">
        <f>BEAUVAIS!H123</f>
        <v>0</v>
      </c>
      <c r="F543" s="240">
        <f>BEAUVAIS!I123</f>
        <v>0</v>
      </c>
      <c r="G543" s="240">
        <f>BEAUVAIS!J123</f>
        <v>0</v>
      </c>
      <c r="H543" s="240">
        <f>BEAUVAIS!K123</f>
        <v>0</v>
      </c>
      <c r="I543" s="240">
        <f>BEAUVAIS!L123</f>
        <v>0</v>
      </c>
      <c r="J543" s="240">
        <f>BEAUVAIS!M123</f>
        <v>0</v>
      </c>
      <c r="K543" s="240">
        <f>BEAUVAIS!N123</f>
        <v>0</v>
      </c>
      <c r="L543" s="240">
        <f>BEAUVAIS!O123</f>
        <v>0</v>
      </c>
      <c r="M543" s="240">
        <f>BEAUVAIS!P123</f>
        <v>0</v>
      </c>
      <c r="N543" s="240">
        <f>BEAUVAIS!Q123</f>
        <v>0</v>
      </c>
      <c r="O543" s="240">
        <f>BEAUVAIS!R123</f>
        <v>0</v>
      </c>
      <c r="P543" s="240">
        <f>BEAUVAIS!S123</f>
        <v>0</v>
      </c>
      <c r="Q543" s="240">
        <f>BEAUVAIS!T123</f>
        <v>0</v>
      </c>
      <c r="R543" s="240">
        <f>BEAUVAIS!U123</f>
        <v>0</v>
      </c>
      <c r="S543" s="245">
        <f t="shared" si="46"/>
        <v>0</v>
      </c>
    </row>
    <row r="544" spans="1:256" x14ac:dyDescent="0.2">
      <c r="A544" s="159">
        <v>615195</v>
      </c>
      <c r="B544" s="160" t="s">
        <v>119</v>
      </c>
      <c r="C544" s="148" t="s">
        <v>156</v>
      </c>
      <c r="D544" s="148" t="s">
        <v>185</v>
      </c>
      <c r="E544" s="240">
        <f>+BEAUVAIS!H122</f>
        <v>0</v>
      </c>
      <c r="F544" s="240">
        <f>+BEAUVAIS!I122</f>
        <v>0</v>
      </c>
      <c r="G544" s="240">
        <f>+BEAUVAIS!J122</f>
        <v>2335</v>
      </c>
      <c r="H544" s="240">
        <f>+BEAUVAIS!K122</f>
        <v>839</v>
      </c>
      <c r="I544" s="240">
        <f>+BEAUVAIS!L122</f>
        <v>0</v>
      </c>
      <c r="J544" s="240">
        <f>+BEAUVAIS!M122</f>
        <v>2956</v>
      </c>
      <c r="K544" s="240">
        <f>+BEAUVAIS!N122</f>
        <v>961</v>
      </c>
      <c r="L544" s="240">
        <f>+BEAUVAIS!O122</f>
        <v>2510</v>
      </c>
      <c r="M544" s="240">
        <f>+BEAUVAIS!P122</f>
        <v>4875</v>
      </c>
      <c r="N544" s="240">
        <f>+BEAUVAIS!Q122</f>
        <v>0</v>
      </c>
      <c r="O544" s="240">
        <f>+BEAUVAIS!R122</f>
        <v>0</v>
      </c>
      <c r="P544" s="240">
        <f>+BEAUVAIS!S122</f>
        <v>2490</v>
      </c>
      <c r="Q544" s="240">
        <f>+BEAUVAIS!T122</f>
        <v>0</v>
      </c>
      <c r="R544" s="240">
        <f>+BEAUVAIS!U122</f>
        <v>0</v>
      </c>
      <c r="S544" s="245">
        <f t="shared" si="46"/>
        <v>16966</v>
      </c>
    </row>
    <row r="545" spans="1:256" x14ac:dyDescent="0.2">
      <c r="A545" s="159">
        <v>615195</v>
      </c>
      <c r="B545" s="160" t="s">
        <v>119</v>
      </c>
      <c r="C545" s="148" t="s">
        <v>156</v>
      </c>
      <c r="D545" s="148" t="s">
        <v>192</v>
      </c>
      <c r="E545" s="240">
        <f>+BEAUVAIS!H124</f>
        <v>0</v>
      </c>
      <c r="F545" s="240">
        <f>+BEAUVAIS!I124</f>
        <v>0</v>
      </c>
      <c r="G545" s="240">
        <f>+BEAUVAIS!J124</f>
        <v>0</v>
      </c>
      <c r="H545" s="240">
        <f>+BEAUVAIS!K124</f>
        <v>991.63</v>
      </c>
      <c r="I545" s="240">
        <f>+BEAUVAIS!L124</f>
        <v>546.9</v>
      </c>
      <c r="J545" s="240">
        <f>+BEAUVAIS!M124</f>
        <v>0</v>
      </c>
      <c r="K545" s="240">
        <f>+BEAUVAIS!N124</f>
        <v>1699.84</v>
      </c>
      <c r="L545" s="240">
        <f>+BEAUVAIS!O124</f>
        <v>1094</v>
      </c>
      <c r="M545" s="240">
        <f>+BEAUVAIS!P124</f>
        <v>0</v>
      </c>
      <c r="N545" s="240">
        <f>+BEAUVAIS!Q124</f>
        <v>0</v>
      </c>
      <c r="O545" s="240">
        <f>+BEAUVAIS!R124</f>
        <v>13629.23</v>
      </c>
      <c r="P545" s="240">
        <f>+BEAUVAIS!S124</f>
        <v>-575</v>
      </c>
      <c r="Q545" s="240">
        <f>+BEAUVAIS!T124</f>
        <v>1100</v>
      </c>
      <c r="R545" s="240">
        <f>+BEAUVAIS!U124</f>
        <v>0</v>
      </c>
      <c r="S545" s="245">
        <f t="shared" si="46"/>
        <v>18486.599999999999</v>
      </c>
    </row>
    <row r="546" spans="1:256" x14ac:dyDescent="0.2">
      <c r="A546" s="159">
        <v>615195</v>
      </c>
      <c r="B546" s="160" t="s">
        <v>119</v>
      </c>
      <c r="C546" s="148" t="s">
        <v>156</v>
      </c>
      <c r="D546" s="148" t="s">
        <v>187</v>
      </c>
      <c r="E546" s="240">
        <f>BEAUVAIS!H125</f>
        <v>0</v>
      </c>
      <c r="F546" s="240">
        <f>BEAUVAIS!I125</f>
        <v>0</v>
      </c>
      <c r="G546" s="240">
        <f>BEAUVAIS!J125</f>
        <v>0</v>
      </c>
      <c r="H546" s="240">
        <f>BEAUVAIS!K125</f>
        <v>0</v>
      </c>
      <c r="I546" s="240">
        <f>BEAUVAIS!L125</f>
        <v>0</v>
      </c>
      <c r="J546" s="240">
        <f>BEAUVAIS!M125</f>
        <v>0</v>
      </c>
      <c r="K546" s="240">
        <f>BEAUVAIS!N125</f>
        <v>0</v>
      </c>
      <c r="L546" s="240">
        <f>BEAUVAIS!O125</f>
        <v>0</v>
      </c>
      <c r="M546" s="240">
        <f>BEAUVAIS!P125</f>
        <v>0</v>
      </c>
      <c r="N546" s="240">
        <f>BEAUVAIS!Q125</f>
        <v>0</v>
      </c>
      <c r="O546" s="240">
        <f>BEAUVAIS!R125</f>
        <v>0</v>
      </c>
      <c r="P546" s="240">
        <f>BEAUVAIS!S125</f>
        <v>0</v>
      </c>
      <c r="Q546" s="240">
        <f>BEAUVAIS!T125</f>
        <v>0</v>
      </c>
      <c r="R546" s="240">
        <f>BEAUVAIS!U125</f>
        <v>0</v>
      </c>
      <c r="S546" s="242">
        <f t="shared" si="46"/>
        <v>0</v>
      </c>
    </row>
    <row r="547" spans="1:256" x14ac:dyDescent="0.2">
      <c r="A547" s="159">
        <v>615195</v>
      </c>
      <c r="B547" s="160" t="s">
        <v>119</v>
      </c>
      <c r="C547" s="148" t="s">
        <v>156</v>
      </c>
      <c r="D547" s="148" t="s">
        <v>184</v>
      </c>
      <c r="E547" s="240">
        <f>BEAUVAIS!H126</f>
        <v>0</v>
      </c>
      <c r="F547" s="240">
        <f>BEAUVAIS!I126</f>
        <v>0</v>
      </c>
      <c r="G547" s="240">
        <f>BEAUVAIS!J126</f>
        <v>0</v>
      </c>
      <c r="H547" s="240">
        <f>BEAUVAIS!K126</f>
        <v>0</v>
      </c>
      <c r="I547" s="240">
        <f>BEAUVAIS!L126</f>
        <v>0</v>
      </c>
      <c r="J547" s="240">
        <f>BEAUVAIS!M126</f>
        <v>0</v>
      </c>
      <c r="K547" s="240">
        <f>BEAUVAIS!N126</f>
        <v>0</v>
      </c>
      <c r="L547" s="240">
        <f>BEAUVAIS!O126</f>
        <v>0</v>
      </c>
      <c r="M547" s="240">
        <f>BEAUVAIS!P126</f>
        <v>0</v>
      </c>
      <c r="N547" s="240">
        <f>BEAUVAIS!Q126</f>
        <v>0</v>
      </c>
      <c r="O547" s="240">
        <f>BEAUVAIS!R126</f>
        <v>0</v>
      </c>
      <c r="P547" s="240">
        <f>BEAUVAIS!S126</f>
        <v>0</v>
      </c>
      <c r="Q547" s="240">
        <f>BEAUVAIS!T126</f>
        <v>0</v>
      </c>
      <c r="R547" s="240">
        <f>BEAUVAIS!U126</f>
        <v>0</v>
      </c>
      <c r="S547" s="242">
        <f t="shared" si="46"/>
        <v>0</v>
      </c>
    </row>
    <row r="548" spans="1:256" x14ac:dyDescent="0.2">
      <c r="A548" s="159">
        <v>615195</v>
      </c>
      <c r="B548" s="160" t="s">
        <v>119</v>
      </c>
      <c r="C548" s="148" t="s">
        <v>156</v>
      </c>
      <c r="D548" s="148" t="s">
        <v>348</v>
      </c>
      <c r="E548" s="240">
        <f>BEAUVAIS!H127</f>
        <v>0</v>
      </c>
      <c r="F548" s="240">
        <f>BEAUVAIS!I127</f>
        <v>0</v>
      </c>
      <c r="G548" s="240">
        <f>BEAUVAIS!J127</f>
        <v>0</v>
      </c>
      <c r="H548" s="240">
        <f>BEAUVAIS!K127</f>
        <v>0</v>
      </c>
      <c r="I548" s="240">
        <f>BEAUVAIS!L127</f>
        <v>0</v>
      </c>
      <c r="J548" s="240">
        <f>BEAUVAIS!M127</f>
        <v>0</v>
      </c>
      <c r="K548" s="240">
        <f>BEAUVAIS!N127</f>
        <v>0</v>
      </c>
      <c r="L548" s="240">
        <f>BEAUVAIS!O127</f>
        <v>0</v>
      </c>
      <c r="M548" s="240">
        <f>BEAUVAIS!P127</f>
        <v>0</v>
      </c>
      <c r="N548" s="240">
        <f>BEAUVAIS!Q127</f>
        <v>0</v>
      </c>
      <c r="O548" s="240">
        <f>BEAUVAIS!R127</f>
        <v>0</v>
      </c>
      <c r="P548" s="240">
        <f>BEAUVAIS!S127</f>
        <v>0</v>
      </c>
      <c r="Q548" s="240">
        <f>BEAUVAIS!T127</f>
        <v>0</v>
      </c>
      <c r="R548" s="240">
        <f>BEAUVAIS!U127</f>
        <v>0</v>
      </c>
      <c r="S548" s="242">
        <f t="shared" si="46"/>
        <v>0</v>
      </c>
    </row>
    <row r="549" spans="1:256" x14ac:dyDescent="0.2">
      <c r="A549" s="159"/>
      <c r="B549" s="160"/>
      <c r="C549" s="148"/>
      <c r="D549" s="148"/>
      <c r="E549" s="240"/>
      <c r="F549" s="240"/>
      <c r="G549" s="240"/>
      <c r="H549" s="240"/>
      <c r="I549" s="240"/>
      <c r="J549" s="240"/>
      <c r="K549" s="240"/>
      <c r="L549" s="240"/>
      <c r="M549" s="240"/>
      <c r="N549" s="240"/>
      <c r="O549" s="240"/>
      <c r="P549" s="240"/>
      <c r="Q549" s="240"/>
      <c r="R549" s="240"/>
      <c r="S549" s="245"/>
    </row>
    <row r="550" spans="1:256" x14ac:dyDescent="0.2">
      <c r="A550" s="159">
        <v>615195</v>
      </c>
      <c r="B550" s="160" t="s">
        <v>119</v>
      </c>
      <c r="C550" s="148" t="s">
        <v>79</v>
      </c>
      <c r="D550" s="148" t="s">
        <v>192</v>
      </c>
      <c r="E550" s="240">
        <f>SIEGE!H54</f>
        <v>0</v>
      </c>
      <c r="F550" s="240">
        <f>SIEGE!I54</f>
        <v>0</v>
      </c>
      <c r="G550" s="240">
        <f>SIEGE!J54</f>
        <v>0</v>
      </c>
      <c r="H550" s="240">
        <f>SIEGE!K54</f>
        <v>0</v>
      </c>
      <c r="I550" s="240">
        <f>SIEGE!L54</f>
        <v>0</v>
      </c>
      <c r="J550" s="240">
        <f>SIEGE!M54</f>
        <v>500</v>
      </c>
      <c r="K550" s="240">
        <f>SIEGE!N54</f>
        <v>0</v>
      </c>
      <c r="L550" s="240">
        <f>SIEGE!O54</f>
        <v>0</v>
      </c>
      <c r="M550" s="240">
        <f>SIEGE!P54</f>
        <v>0</v>
      </c>
      <c r="N550" s="240">
        <f>SIEGE!Q54</f>
        <v>210</v>
      </c>
      <c r="O550" s="240">
        <f>SIEGE!R54</f>
        <v>0</v>
      </c>
      <c r="P550" s="240">
        <f>SIEGE!S54</f>
        <v>1566.8</v>
      </c>
      <c r="Q550" s="240">
        <f>SIEGE!T54</f>
        <v>0</v>
      </c>
      <c r="R550" s="240">
        <f>SIEGE!U54</f>
        <v>0</v>
      </c>
      <c r="S550" s="242">
        <f t="shared" ref="S550:S555" si="47">SUM(E550:Q550)</f>
        <v>2276.8000000000002</v>
      </c>
    </row>
    <row r="551" spans="1:256" x14ac:dyDescent="0.2">
      <c r="A551" s="159"/>
      <c r="B551" s="160"/>
      <c r="C551" s="148"/>
      <c r="D551" s="148"/>
      <c r="E551" s="240"/>
      <c r="F551" s="240"/>
      <c r="G551" s="240"/>
      <c r="H551" s="240"/>
      <c r="I551" s="240"/>
      <c r="J551" s="240"/>
      <c r="K551" s="240"/>
      <c r="L551" s="240"/>
      <c r="M551" s="240"/>
      <c r="N551" s="240"/>
      <c r="O551" s="240"/>
      <c r="P551" s="240"/>
      <c r="Q551" s="240"/>
      <c r="R551" s="240"/>
      <c r="S551" s="242">
        <f t="shared" si="47"/>
        <v>0</v>
      </c>
    </row>
    <row r="552" spans="1:256" x14ac:dyDescent="0.2">
      <c r="A552" s="159">
        <v>615195</v>
      </c>
      <c r="B552" s="160" t="s">
        <v>119</v>
      </c>
      <c r="C552" s="148" t="s">
        <v>172</v>
      </c>
      <c r="D552" s="148" t="s">
        <v>192</v>
      </c>
      <c r="E552" s="240">
        <f>TOULOUSE!H70</f>
        <v>-36</v>
      </c>
      <c r="F552" s="240">
        <f>TOULOUSE!I70</f>
        <v>0</v>
      </c>
      <c r="G552" s="240">
        <f>TOULOUSE!J70</f>
        <v>334.85</v>
      </c>
      <c r="H552" s="240">
        <f>TOULOUSE!K70</f>
        <v>504</v>
      </c>
      <c r="I552" s="240">
        <f>TOULOUSE!L70</f>
        <v>151</v>
      </c>
      <c r="J552" s="240">
        <f>TOULOUSE!M70</f>
        <v>125</v>
      </c>
      <c r="K552" s="240">
        <f>TOULOUSE!N70</f>
        <v>0</v>
      </c>
      <c r="L552" s="240">
        <f>TOULOUSE!O70</f>
        <v>0</v>
      </c>
      <c r="M552" s="240">
        <f>TOULOUSE!P70</f>
        <v>0</v>
      </c>
      <c r="N552" s="240">
        <f>TOULOUSE!Q70</f>
        <v>0</v>
      </c>
      <c r="O552" s="240">
        <f>TOULOUSE!R70</f>
        <v>158.30000000000001</v>
      </c>
      <c r="P552" s="240">
        <f>TOULOUSE!S70</f>
        <v>1914</v>
      </c>
      <c r="Q552" s="240">
        <f>TOULOUSE!T70</f>
        <v>105.2</v>
      </c>
      <c r="R552" s="240">
        <f>TOULOUSE!U70</f>
        <v>0</v>
      </c>
      <c r="S552" s="242">
        <f t="shared" si="47"/>
        <v>3256.3499999999995</v>
      </c>
    </row>
    <row r="553" spans="1:256" x14ac:dyDescent="0.2">
      <c r="A553" s="159">
        <v>615195</v>
      </c>
      <c r="B553" s="160" t="s">
        <v>119</v>
      </c>
      <c r="C553" s="148" t="s">
        <v>172</v>
      </c>
      <c r="D553" s="148" t="s">
        <v>185</v>
      </c>
      <c r="E553" s="240"/>
      <c r="F553" s="240"/>
      <c r="G553" s="240"/>
      <c r="H553" s="240"/>
      <c r="I553" s="240"/>
      <c r="J553" s="240"/>
      <c r="K553" s="240"/>
      <c r="L553" s="240"/>
      <c r="M553" s="240"/>
      <c r="N553" s="240"/>
      <c r="O553" s="240"/>
      <c r="P553" s="240"/>
      <c r="Q553" s="240"/>
      <c r="R553" s="240"/>
      <c r="S553" s="242">
        <f t="shared" si="47"/>
        <v>0</v>
      </c>
    </row>
    <row r="554" spans="1:256" s="175" customFormat="1" x14ac:dyDescent="0.2">
      <c r="A554" s="270"/>
      <c r="B554" s="235"/>
      <c r="C554" s="148"/>
      <c r="D554" s="148"/>
      <c r="E554" s="240"/>
      <c r="F554" s="240"/>
      <c r="G554" s="240"/>
      <c r="H554" s="240"/>
      <c r="I554" s="240"/>
      <c r="J554" s="240"/>
      <c r="K554" s="240"/>
      <c r="L554" s="240"/>
      <c r="M554" s="240"/>
      <c r="N554" s="240"/>
      <c r="O554" s="240"/>
      <c r="P554" s="240"/>
      <c r="Q554" s="240"/>
      <c r="R554" s="240"/>
      <c r="S554" s="242">
        <f t="shared" si="47"/>
        <v>0</v>
      </c>
      <c r="T554" s="184"/>
      <c r="U554" s="332"/>
      <c r="W554" s="184"/>
      <c r="X554" s="184"/>
      <c r="Y554" s="184"/>
      <c r="Z554" s="184"/>
      <c r="AA554" s="184"/>
      <c r="AB554" s="184"/>
      <c r="AC554" s="184"/>
      <c r="AD554" s="184"/>
      <c r="AE554" s="184"/>
      <c r="AF554" s="184"/>
      <c r="AG554" s="184"/>
      <c r="AH554" s="184"/>
      <c r="AI554" s="184"/>
      <c r="AJ554" s="184"/>
      <c r="AK554" s="184"/>
      <c r="AL554" s="184"/>
      <c r="AM554" s="184"/>
      <c r="AN554" s="184"/>
      <c r="AO554" s="184"/>
      <c r="AP554" s="184"/>
      <c r="AQ554" s="184"/>
      <c r="AR554" s="184"/>
      <c r="AS554" s="184"/>
      <c r="AT554" s="184"/>
      <c r="AU554" s="184"/>
      <c r="AV554" s="184"/>
      <c r="AW554" s="184"/>
      <c r="AX554" s="184"/>
      <c r="AY554" s="184"/>
      <c r="AZ554" s="184"/>
      <c r="BA554" s="184"/>
      <c r="BB554" s="184"/>
      <c r="BC554" s="184"/>
      <c r="BD554" s="184"/>
      <c r="BE554" s="184"/>
      <c r="BF554" s="184"/>
      <c r="BG554" s="184"/>
      <c r="BH554" s="184"/>
      <c r="BI554" s="184"/>
      <c r="BJ554" s="184"/>
      <c r="BK554" s="184"/>
      <c r="BL554" s="184"/>
      <c r="BM554" s="184"/>
      <c r="BN554" s="184"/>
      <c r="BO554" s="184"/>
      <c r="BP554" s="184"/>
      <c r="BQ554" s="184"/>
      <c r="BR554" s="184"/>
      <c r="BS554" s="184"/>
      <c r="BT554" s="184"/>
      <c r="BU554" s="184"/>
      <c r="BV554" s="184"/>
      <c r="BW554" s="184"/>
      <c r="BX554" s="184"/>
      <c r="BY554" s="184"/>
      <c r="BZ554" s="184"/>
      <c r="CA554" s="184"/>
      <c r="CB554" s="184"/>
      <c r="CC554" s="184"/>
      <c r="CD554" s="184"/>
      <c r="CE554" s="184"/>
      <c r="CF554" s="184"/>
      <c r="CG554" s="184"/>
      <c r="CH554" s="184"/>
      <c r="CI554" s="184"/>
      <c r="CJ554" s="184"/>
      <c r="CK554" s="184"/>
      <c r="CL554" s="184"/>
      <c r="CM554" s="184"/>
      <c r="CN554" s="184"/>
      <c r="CO554" s="184"/>
      <c r="CP554" s="184"/>
      <c r="CQ554" s="184"/>
      <c r="CR554" s="184"/>
      <c r="CS554" s="184"/>
      <c r="CT554" s="184"/>
      <c r="CU554" s="184"/>
      <c r="CV554" s="184"/>
      <c r="CW554" s="184"/>
      <c r="CX554" s="184"/>
      <c r="CY554" s="184"/>
      <c r="CZ554" s="184"/>
      <c r="DA554" s="184"/>
      <c r="DB554" s="184"/>
      <c r="DC554" s="184"/>
      <c r="DD554" s="184"/>
      <c r="DE554" s="184"/>
      <c r="DF554" s="184"/>
      <c r="DG554" s="184"/>
      <c r="DH554" s="184"/>
      <c r="DI554" s="184"/>
      <c r="DJ554" s="184"/>
      <c r="DK554" s="184"/>
      <c r="DL554" s="184"/>
      <c r="DM554" s="184"/>
      <c r="DN554" s="184"/>
      <c r="DO554" s="184"/>
      <c r="DP554" s="184"/>
      <c r="DQ554" s="184"/>
      <c r="DR554" s="184"/>
      <c r="DS554" s="184"/>
      <c r="DT554" s="184"/>
      <c r="DU554" s="184"/>
      <c r="DV554" s="184"/>
      <c r="DW554" s="184"/>
      <c r="DX554" s="184"/>
      <c r="DY554" s="184"/>
      <c r="DZ554" s="184"/>
      <c r="EA554" s="184"/>
      <c r="EB554" s="184"/>
      <c r="EC554" s="184"/>
      <c r="ED554" s="184"/>
      <c r="EE554" s="184"/>
      <c r="EF554" s="184"/>
      <c r="EG554" s="184"/>
      <c r="EH554" s="184"/>
      <c r="EI554" s="184"/>
      <c r="EJ554" s="184"/>
      <c r="EK554" s="184"/>
      <c r="EL554" s="184"/>
      <c r="EM554" s="184"/>
      <c r="EN554" s="184"/>
      <c r="EO554" s="184"/>
      <c r="EP554" s="184"/>
      <c r="EQ554" s="184"/>
      <c r="ER554" s="184"/>
      <c r="ES554" s="184"/>
      <c r="ET554" s="184"/>
      <c r="EU554" s="184"/>
      <c r="EV554" s="184"/>
      <c r="EW554" s="184"/>
      <c r="EX554" s="184"/>
      <c r="EY554" s="184"/>
      <c r="EZ554" s="184"/>
      <c r="FA554" s="184"/>
      <c r="FB554" s="184"/>
      <c r="FC554" s="184"/>
      <c r="FD554" s="184"/>
      <c r="FE554" s="184"/>
      <c r="FF554" s="184"/>
      <c r="FG554" s="184"/>
      <c r="FH554" s="184"/>
      <c r="FI554" s="184"/>
      <c r="FJ554" s="184"/>
      <c r="FK554" s="184"/>
      <c r="FL554" s="184"/>
      <c r="FM554" s="184"/>
      <c r="FN554" s="184"/>
      <c r="FO554" s="184"/>
      <c r="FP554" s="184"/>
      <c r="FQ554" s="184"/>
      <c r="FR554" s="184"/>
      <c r="FS554" s="184"/>
      <c r="FT554" s="184"/>
      <c r="FU554" s="184"/>
      <c r="FV554" s="184"/>
      <c r="FW554" s="184"/>
      <c r="FX554" s="184"/>
      <c r="FY554" s="184"/>
      <c r="FZ554" s="184"/>
      <c r="GA554" s="184"/>
      <c r="GB554" s="184"/>
      <c r="GC554" s="184"/>
      <c r="GD554" s="184"/>
      <c r="GE554" s="184"/>
      <c r="GF554" s="184"/>
      <c r="GG554" s="184"/>
      <c r="GH554" s="184"/>
      <c r="GI554" s="184"/>
      <c r="GJ554" s="184"/>
      <c r="GK554" s="184"/>
      <c r="GL554" s="184"/>
      <c r="GM554" s="184"/>
      <c r="GN554" s="184"/>
      <c r="GO554" s="184"/>
      <c r="GP554" s="184"/>
      <c r="GQ554" s="184"/>
      <c r="GR554" s="184"/>
      <c r="GS554" s="184"/>
      <c r="GT554" s="184"/>
      <c r="GU554" s="184"/>
      <c r="GV554" s="184"/>
      <c r="GW554" s="184"/>
      <c r="GX554" s="184"/>
      <c r="GY554" s="184"/>
      <c r="GZ554" s="184"/>
      <c r="HA554" s="184"/>
      <c r="HB554" s="184"/>
      <c r="HC554" s="184"/>
      <c r="HD554" s="184"/>
      <c r="HE554" s="184"/>
      <c r="HF554" s="184"/>
      <c r="HG554" s="184"/>
      <c r="HH554" s="184"/>
      <c r="HI554" s="184"/>
      <c r="HJ554" s="184"/>
      <c r="HK554" s="184"/>
      <c r="HL554" s="184"/>
      <c r="HM554" s="184"/>
      <c r="HN554" s="184"/>
      <c r="HO554" s="184"/>
      <c r="HP554" s="184"/>
      <c r="HQ554" s="184"/>
      <c r="HR554" s="184"/>
      <c r="HS554" s="184"/>
      <c r="HT554" s="184"/>
      <c r="HU554" s="184"/>
      <c r="HV554" s="184"/>
      <c r="HW554" s="184"/>
      <c r="HX554" s="184"/>
      <c r="HY554" s="184"/>
      <c r="HZ554" s="184"/>
      <c r="IA554" s="184"/>
      <c r="IB554" s="184"/>
      <c r="IC554" s="184"/>
      <c r="ID554" s="184"/>
      <c r="IE554" s="184"/>
      <c r="IF554" s="184"/>
      <c r="IG554" s="184"/>
      <c r="IH554" s="184"/>
      <c r="II554" s="184"/>
      <c r="IJ554" s="184"/>
      <c r="IK554" s="184"/>
      <c r="IL554" s="184"/>
      <c r="IM554" s="184"/>
      <c r="IN554" s="184"/>
      <c r="IO554" s="184"/>
      <c r="IP554" s="184"/>
      <c r="IQ554" s="184"/>
      <c r="IR554" s="184"/>
      <c r="IS554" s="184"/>
      <c r="IT554" s="184"/>
      <c r="IU554" s="184"/>
      <c r="IV554" s="184"/>
    </row>
    <row r="555" spans="1:256" x14ac:dyDescent="0.2">
      <c r="A555" s="159">
        <v>615195</v>
      </c>
      <c r="B555" s="160" t="s">
        <v>119</v>
      </c>
      <c r="C555" s="148" t="s">
        <v>367</v>
      </c>
      <c r="D555" s="148">
        <v>999999</v>
      </c>
      <c r="E555" s="240"/>
      <c r="F555" s="240">
        <v>628.97</v>
      </c>
      <c r="G555" s="240">
        <f>-628.97+3084.29</f>
        <v>2455.3199999999997</v>
      </c>
      <c r="H555" s="240">
        <f>-3084.29-7546.86</f>
        <v>-10631.15</v>
      </c>
      <c r="I555" s="240">
        <f>7546.86+355.01</f>
        <v>7901.87</v>
      </c>
      <c r="J555" s="240">
        <f>-355.01-3125.52</f>
        <v>-3480.5299999999997</v>
      </c>
      <c r="K555" s="240">
        <f>3125.52-13839.74</f>
        <v>-10714.22</v>
      </c>
      <c r="L555" s="240">
        <f>13839.74-7438.96</f>
        <v>6400.78</v>
      </c>
      <c r="M555" s="240">
        <f>7438.96-5694.93</f>
        <v>1744.0299999999997</v>
      </c>
      <c r="N555" s="240">
        <f>5694.93-23649.56</f>
        <v>-17954.63</v>
      </c>
      <c r="O555" s="240">
        <f>23649.56-26640.59</f>
        <v>-2991.0299999999988</v>
      </c>
      <c r="P555" s="240">
        <f>26640.59+0.45</f>
        <v>26641.040000000001</v>
      </c>
      <c r="Q555" s="240"/>
      <c r="R555" s="240"/>
      <c r="S555" s="242">
        <f t="shared" si="47"/>
        <v>0.45000000000436557</v>
      </c>
    </row>
    <row r="556" spans="1:256" s="185" customFormat="1" ht="24" customHeight="1" x14ac:dyDescent="0.2">
      <c r="A556" s="267"/>
      <c r="B556" s="268"/>
      <c r="C556" s="267" t="s">
        <v>66</v>
      </c>
      <c r="D556" s="267"/>
      <c r="E556" s="269">
        <f>SUM(E500:E555)</f>
        <v>1166.5</v>
      </c>
      <c r="F556" s="269">
        <f t="shared" ref="F556:Q556" si="48">SUM(F500:F555)</f>
        <v>4432.55</v>
      </c>
      <c r="G556" s="269">
        <f t="shared" si="48"/>
        <v>6660.26</v>
      </c>
      <c r="H556" s="269">
        <f t="shared" si="48"/>
        <v>9782.5700000000015</v>
      </c>
      <c r="I556" s="269">
        <f t="shared" si="48"/>
        <v>16322.7</v>
      </c>
      <c r="J556" s="269">
        <f t="shared" si="48"/>
        <v>8135.88</v>
      </c>
      <c r="K556" s="269">
        <f t="shared" si="48"/>
        <v>-1343.8999999999996</v>
      </c>
      <c r="L556" s="269">
        <f t="shared" si="48"/>
        <v>22604.2</v>
      </c>
      <c r="M556" s="269">
        <f t="shared" si="48"/>
        <v>10397.66</v>
      </c>
      <c r="N556" s="269">
        <f t="shared" si="48"/>
        <v>579.09999999999854</v>
      </c>
      <c r="O556" s="269">
        <f t="shared" si="48"/>
        <v>25747.749999999996</v>
      </c>
      <c r="P556" s="269">
        <f t="shared" si="48"/>
        <v>55243.15</v>
      </c>
      <c r="Q556" s="269">
        <f t="shared" si="48"/>
        <v>32687.88</v>
      </c>
      <c r="R556" s="269">
        <f>SUM(R500:R555)</f>
        <v>0</v>
      </c>
      <c r="S556" s="269">
        <f>SUM(S499:S555)</f>
        <v>192416.30000000005</v>
      </c>
      <c r="T556" s="212">
        <v>167482.79999999999</v>
      </c>
      <c r="U556" s="334">
        <f>T556-S556</f>
        <v>-24933.500000000058</v>
      </c>
      <c r="V556" s="185" t="s">
        <v>853</v>
      </c>
      <c r="X556" s="569">
        <f>U556-CENTRALISATION!V557</f>
        <v>0</v>
      </c>
    </row>
    <row r="557" spans="1:256" x14ac:dyDescent="0.2">
      <c r="A557" s="159">
        <v>615196</v>
      </c>
      <c r="B557" s="160" t="s">
        <v>120</v>
      </c>
      <c r="C557" s="148" t="s">
        <v>223</v>
      </c>
      <c r="D557" s="148" t="s">
        <v>183</v>
      </c>
      <c r="E557" s="240">
        <f>FLEURY!H145</f>
        <v>0</v>
      </c>
      <c r="F557" s="240">
        <f>FLEURY!I145</f>
        <v>0</v>
      </c>
      <c r="G557" s="240">
        <f>FLEURY!J145</f>
        <v>0</v>
      </c>
      <c r="H557" s="240">
        <f>FLEURY!K145</f>
        <v>0</v>
      </c>
      <c r="I557" s="240">
        <f>FLEURY!L145</f>
        <v>0</v>
      </c>
      <c r="J557" s="240">
        <f>FLEURY!M145</f>
        <v>0</v>
      </c>
      <c r="K557" s="240">
        <f>FLEURY!N145</f>
        <v>0</v>
      </c>
      <c r="L557" s="240">
        <f>FLEURY!O145</f>
        <v>0</v>
      </c>
      <c r="M557" s="240">
        <f>FLEURY!P145</f>
        <v>0</v>
      </c>
      <c r="N557" s="240">
        <f>FLEURY!Q145</f>
        <v>0</v>
      </c>
      <c r="O557" s="240">
        <f>FLEURY!R145</f>
        <v>0</v>
      </c>
      <c r="P557" s="240">
        <f>FLEURY!S145</f>
        <v>0</v>
      </c>
      <c r="Q557" s="240">
        <f>FLEURY!T145</f>
        <v>0</v>
      </c>
      <c r="R557" s="240">
        <f>FLEURY!U145</f>
        <v>0</v>
      </c>
      <c r="S557" s="242">
        <f>SUM(E557:Q557)</f>
        <v>0</v>
      </c>
    </row>
    <row r="558" spans="1:256" x14ac:dyDescent="0.2">
      <c r="A558" s="159">
        <v>615196</v>
      </c>
      <c r="B558" s="160" t="s">
        <v>120</v>
      </c>
      <c r="C558" s="148" t="s">
        <v>78</v>
      </c>
      <c r="D558" s="148" t="s">
        <v>192</v>
      </c>
      <c r="E558" s="240">
        <f>FLEURY!H143+FLEURY!H144</f>
        <v>0</v>
      </c>
      <c r="F558" s="240">
        <f>FLEURY!I143+FLEURY!I144</f>
        <v>0</v>
      </c>
      <c r="G558" s="240">
        <f>FLEURY!J143+FLEURY!J144</f>
        <v>0</v>
      </c>
      <c r="H558" s="240">
        <f>FLEURY!K143+FLEURY!K144</f>
        <v>636.15</v>
      </c>
      <c r="I558" s="240">
        <f>FLEURY!L143+FLEURY!L144</f>
        <v>0</v>
      </c>
      <c r="J558" s="240">
        <f>FLEURY!M143+FLEURY!M144</f>
        <v>113.04</v>
      </c>
      <c r="K558" s="240">
        <f>FLEURY!N143+FLEURY!N144</f>
        <v>248.57</v>
      </c>
      <c r="L558" s="240">
        <f>FLEURY!O143+FLEURY!O144</f>
        <v>267.12</v>
      </c>
      <c r="M558" s="240">
        <f>FLEURY!P143+FLEURY!P144</f>
        <v>225.38</v>
      </c>
      <c r="N558" s="240">
        <f>FLEURY!Q143+FLEURY!Q144</f>
        <v>0</v>
      </c>
      <c r="O558" s="240">
        <f>FLEURY!R143+FLEURY!R144</f>
        <v>0</v>
      </c>
      <c r="P558" s="240">
        <f>FLEURY!S143+FLEURY!S144</f>
        <v>0</v>
      </c>
      <c r="Q558" s="240">
        <f>FLEURY!T143+FLEURY!T144</f>
        <v>1029.6100000000001</v>
      </c>
      <c r="R558" s="240">
        <f>FLEURY!U143+FLEURY!U144</f>
        <v>0</v>
      </c>
      <c r="S558" s="242">
        <f>SUM(E558:Q558)</f>
        <v>2519.8700000000003</v>
      </c>
    </row>
    <row r="559" spans="1:256" x14ac:dyDescent="0.2">
      <c r="A559" s="159">
        <v>615196</v>
      </c>
      <c r="B559" s="160" t="s">
        <v>120</v>
      </c>
      <c r="C559" s="148" t="s">
        <v>78</v>
      </c>
      <c r="D559" s="148" t="s">
        <v>182</v>
      </c>
      <c r="E559" s="240">
        <f>FLEURY!H146</f>
        <v>0</v>
      </c>
      <c r="F559" s="240">
        <f>FLEURY!I146</f>
        <v>586.29</v>
      </c>
      <c r="G559" s="240">
        <f>FLEURY!J146</f>
        <v>586.29</v>
      </c>
      <c r="H559" s="240">
        <f>FLEURY!K146</f>
        <v>586.29</v>
      </c>
      <c r="I559" s="240">
        <f>FLEURY!L146</f>
        <v>586.29</v>
      </c>
      <c r="J559" s="240">
        <f>FLEURY!M146</f>
        <v>586.29</v>
      </c>
      <c r="K559" s="240">
        <f>FLEURY!N146</f>
        <v>586.29</v>
      </c>
      <c r="L559" s="240">
        <f>FLEURY!O146</f>
        <v>586.29</v>
      </c>
      <c r="M559" s="240">
        <f>FLEURY!P146</f>
        <v>586.29</v>
      </c>
      <c r="N559" s="240">
        <f>FLEURY!Q146</f>
        <v>586.29</v>
      </c>
      <c r="O559" s="240">
        <f>FLEURY!R146</f>
        <v>586.29</v>
      </c>
      <c r="P559" s="240">
        <f>FLEURY!S146</f>
        <v>586.29</v>
      </c>
      <c r="Q559" s="240">
        <f>FLEURY!T146</f>
        <v>586.21</v>
      </c>
      <c r="R559" s="240">
        <f>FLEURY!U146</f>
        <v>0</v>
      </c>
      <c r="S559" s="242">
        <f>SUM(E559:Q559)</f>
        <v>7035.4</v>
      </c>
    </row>
    <row r="560" spans="1:256" s="175" customFormat="1" x14ac:dyDescent="0.2">
      <c r="A560" s="270"/>
      <c r="B560" s="235"/>
      <c r="C560" s="148"/>
      <c r="D560" s="148"/>
      <c r="E560" s="240"/>
      <c r="F560" s="240"/>
      <c r="G560" s="240"/>
      <c r="H560" s="240"/>
      <c r="I560" s="240"/>
      <c r="J560" s="240"/>
      <c r="K560" s="240"/>
      <c r="L560" s="240"/>
      <c r="M560" s="240"/>
      <c r="N560" s="240"/>
      <c r="O560" s="240"/>
      <c r="P560" s="240"/>
      <c r="Q560" s="240"/>
      <c r="R560" s="240"/>
      <c r="S560" s="245"/>
      <c r="T560" s="184"/>
      <c r="U560" s="332"/>
      <c r="W560" s="184"/>
      <c r="X560" s="184"/>
      <c r="Y560" s="184"/>
      <c r="Z560" s="184"/>
      <c r="AA560" s="184"/>
      <c r="AB560" s="184"/>
      <c r="AC560" s="184"/>
      <c r="AD560" s="184"/>
      <c r="AE560" s="184"/>
      <c r="AF560" s="184"/>
      <c r="AG560" s="184"/>
      <c r="AH560" s="184"/>
      <c r="AI560" s="184"/>
      <c r="AJ560" s="184"/>
      <c r="AK560" s="184"/>
      <c r="AL560" s="184"/>
      <c r="AM560" s="184"/>
      <c r="AN560" s="184"/>
      <c r="AO560" s="184"/>
      <c r="AP560" s="184"/>
      <c r="AQ560" s="184"/>
      <c r="AR560" s="184"/>
      <c r="AS560" s="184"/>
      <c r="AT560" s="184"/>
      <c r="AU560" s="184"/>
      <c r="AV560" s="184"/>
      <c r="AW560" s="184"/>
      <c r="AX560" s="184"/>
      <c r="AY560" s="184"/>
      <c r="AZ560" s="184"/>
      <c r="BA560" s="184"/>
      <c r="BB560" s="184"/>
      <c r="BC560" s="184"/>
      <c r="BD560" s="184"/>
      <c r="BE560" s="184"/>
      <c r="BF560" s="184"/>
      <c r="BG560" s="184"/>
      <c r="BH560" s="184"/>
      <c r="BI560" s="184"/>
      <c r="BJ560" s="184"/>
      <c r="BK560" s="184"/>
      <c r="BL560" s="184"/>
      <c r="BM560" s="184"/>
      <c r="BN560" s="184"/>
      <c r="BO560" s="184"/>
      <c r="BP560" s="184"/>
      <c r="BQ560" s="184"/>
      <c r="BR560" s="184"/>
      <c r="BS560" s="184"/>
      <c r="BT560" s="184"/>
      <c r="BU560" s="184"/>
      <c r="BV560" s="184"/>
      <c r="BW560" s="184"/>
      <c r="BX560" s="184"/>
      <c r="BY560" s="184"/>
      <c r="BZ560" s="184"/>
      <c r="CA560" s="184"/>
      <c r="CB560" s="184"/>
      <c r="CC560" s="184"/>
      <c r="CD560" s="184"/>
      <c r="CE560" s="184"/>
      <c r="CF560" s="184"/>
      <c r="CG560" s="184"/>
      <c r="CH560" s="184"/>
      <c r="CI560" s="184"/>
      <c r="CJ560" s="184"/>
      <c r="CK560" s="184"/>
      <c r="CL560" s="184"/>
      <c r="CM560" s="184"/>
      <c r="CN560" s="184"/>
      <c r="CO560" s="184"/>
      <c r="CP560" s="184"/>
      <c r="CQ560" s="184"/>
      <c r="CR560" s="184"/>
      <c r="CS560" s="184"/>
      <c r="CT560" s="184"/>
      <c r="CU560" s="184"/>
      <c r="CV560" s="184"/>
      <c r="CW560" s="184"/>
      <c r="CX560" s="184"/>
      <c r="CY560" s="184"/>
      <c r="CZ560" s="184"/>
      <c r="DA560" s="184"/>
      <c r="DB560" s="184"/>
      <c r="DC560" s="184"/>
      <c r="DD560" s="184"/>
      <c r="DE560" s="184"/>
      <c r="DF560" s="184"/>
      <c r="DG560" s="184"/>
      <c r="DH560" s="184"/>
      <c r="DI560" s="184"/>
      <c r="DJ560" s="184"/>
      <c r="DK560" s="184"/>
      <c r="DL560" s="184"/>
      <c r="DM560" s="184"/>
      <c r="DN560" s="184"/>
      <c r="DO560" s="184"/>
      <c r="DP560" s="184"/>
      <c r="DQ560" s="184"/>
      <c r="DR560" s="184"/>
      <c r="DS560" s="184"/>
      <c r="DT560" s="184"/>
      <c r="DU560" s="184"/>
      <c r="DV560" s="184"/>
      <c r="DW560" s="184"/>
      <c r="DX560" s="184"/>
      <c r="DY560" s="184"/>
      <c r="DZ560" s="184"/>
      <c r="EA560" s="184"/>
      <c r="EB560" s="184"/>
      <c r="EC560" s="184"/>
      <c r="ED560" s="184"/>
      <c r="EE560" s="184"/>
      <c r="EF560" s="184"/>
      <c r="EG560" s="184"/>
      <c r="EH560" s="184"/>
      <c r="EI560" s="184"/>
      <c r="EJ560" s="184"/>
      <c r="EK560" s="184"/>
      <c r="EL560" s="184"/>
      <c r="EM560" s="184"/>
      <c r="EN560" s="184"/>
      <c r="EO560" s="184"/>
      <c r="EP560" s="184"/>
      <c r="EQ560" s="184"/>
      <c r="ER560" s="184"/>
      <c r="ES560" s="184"/>
      <c r="ET560" s="184"/>
      <c r="EU560" s="184"/>
      <c r="EV560" s="184"/>
      <c r="EW560" s="184"/>
      <c r="EX560" s="184"/>
      <c r="EY560" s="184"/>
      <c r="EZ560" s="184"/>
      <c r="FA560" s="184"/>
      <c r="FB560" s="184"/>
      <c r="FC560" s="184"/>
      <c r="FD560" s="184"/>
      <c r="FE560" s="184"/>
      <c r="FF560" s="184"/>
      <c r="FG560" s="184"/>
      <c r="FH560" s="184"/>
      <c r="FI560" s="184"/>
      <c r="FJ560" s="184"/>
      <c r="FK560" s="184"/>
      <c r="FL560" s="184"/>
      <c r="FM560" s="184"/>
      <c r="FN560" s="184"/>
      <c r="FO560" s="184"/>
      <c r="FP560" s="184"/>
      <c r="FQ560" s="184"/>
      <c r="FR560" s="184"/>
      <c r="FS560" s="184"/>
      <c r="FT560" s="184"/>
      <c r="FU560" s="184"/>
      <c r="FV560" s="184"/>
      <c r="FW560" s="184"/>
      <c r="FX560" s="184"/>
      <c r="FY560" s="184"/>
      <c r="FZ560" s="184"/>
      <c r="GA560" s="184"/>
      <c r="GB560" s="184"/>
      <c r="GC560" s="184"/>
      <c r="GD560" s="184"/>
      <c r="GE560" s="184"/>
      <c r="GF560" s="184"/>
      <c r="GG560" s="184"/>
      <c r="GH560" s="184"/>
      <c r="GI560" s="184"/>
      <c r="GJ560" s="184"/>
      <c r="GK560" s="184"/>
      <c r="GL560" s="184"/>
      <c r="GM560" s="184"/>
      <c r="GN560" s="184"/>
      <c r="GO560" s="184"/>
      <c r="GP560" s="184"/>
      <c r="GQ560" s="184"/>
      <c r="GR560" s="184"/>
      <c r="GS560" s="184"/>
      <c r="GT560" s="184"/>
      <c r="GU560" s="184"/>
      <c r="GV560" s="184"/>
      <c r="GW560" s="184"/>
      <c r="GX560" s="184"/>
      <c r="GY560" s="184"/>
      <c r="GZ560" s="184"/>
      <c r="HA560" s="184"/>
      <c r="HB560" s="184"/>
      <c r="HC560" s="184"/>
      <c r="HD560" s="184"/>
      <c r="HE560" s="184"/>
      <c r="HF560" s="184"/>
      <c r="HG560" s="184"/>
      <c r="HH560" s="184"/>
      <c r="HI560" s="184"/>
      <c r="HJ560" s="184"/>
      <c r="HK560" s="184"/>
      <c r="HL560" s="184"/>
      <c r="HM560" s="184"/>
      <c r="HN560" s="184"/>
      <c r="HO560" s="184"/>
      <c r="HP560" s="184"/>
      <c r="HQ560" s="184"/>
      <c r="HR560" s="184"/>
      <c r="HS560" s="184"/>
      <c r="HT560" s="184"/>
      <c r="HU560" s="184"/>
      <c r="HV560" s="184"/>
      <c r="HW560" s="184"/>
      <c r="HX560" s="184"/>
      <c r="HY560" s="184"/>
      <c r="HZ560" s="184"/>
      <c r="IA560" s="184"/>
      <c r="IB560" s="184"/>
      <c r="IC560" s="184"/>
      <c r="ID560" s="184"/>
      <c r="IE560" s="184"/>
      <c r="IF560" s="184"/>
      <c r="IG560" s="184"/>
      <c r="IH560" s="184"/>
      <c r="II560" s="184"/>
      <c r="IJ560" s="184"/>
      <c r="IK560" s="184"/>
      <c r="IL560" s="184"/>
      <c r="IM560" s="184"/>
      <c r="IN560" s="184"/>
      <c r="IO560" s="184"/>
      <c r="IP560" s="184"/>
      <c r="IQ560" s="184"/>
      <c r="IR560" s="184"/>
      <c r="IS560" s="184"/>
      <c r="IT560" s="184"/>
      <c r="IU560" s="184"/>
      <c r="IV560" s="184"/>
    </row>
    <row r="561" spans="1:256" x14ac:dyDescent="0.2">
      <c r="A561" s="159">
        <v>615196</v>
      </c>
      <c r="B561" s="160" t="s">
        <v>120</v>
      </c>
      <c r="C561" s="148" t="s">
        <v>71</v>
      </c>
      <c r="D561" s="148" t="s">
        <v>183</v>
      </c>
      <c r="E561" s="240">
        <f>AIX!H134</f>
        <v>0</v>
      </c>
      <c r="F561" s="240">
        <f>AIX!I134</f>
        <v>0</v>
      </c>
      <c r="G561" s="240">
        <f>AIX!J134</f>
        <v>0</v>
      </c>
      <c r="H561" s="240">
        <f>AIX!K134</f>
        <v>45.96</v>
      </c>
      <c r="I561" s="240">
        <f>AIX!L134</f>
        <v>0</v>
      </c>
      <c r="J561" s="240">
        <f>AIX!M134</f>
        <v>404.83</v>
      </c>
      <c r="K561" s="240">
        <f>AIX!N134</f>
        <v>302.8</v>
      </c>
      <c r="L561" s="240">
        <f>AIX!O134</f>
        <v>0</v>
      </c>
      <c r="M561" s="240">
        <f>AIX!P134</f>
        <v>198.98</v>
      </c>
      <c r="N561" s="240">
        <f>AIX!Q134</f>
        <v>755.17000000000007</v>
      </c>
      <c r="O561" s="240">
        <f>AIX!R134</f>
        <v>0</v>
      </c>
      <c r="P561" s="240">
        <f>AIX!S134</f>
        <v>333.6</v>
      </c>
      <c r="Q561" s="240">
        <f>AIX!T134</f>
        <v>0</v>
      </c>
      <c r="R561" s="240">
        <f>AIX!U134</f>
        <v>0</v>
      </c>
      <c r="S561" s="242">
        <f>SUM(E561:Q561)</f>
        <v>2041.3400000000001</v>
      </c>
    </row>
    <row r="562" spans="1:256" x14ac:dyDescent="0.2">
      <c r="A562" s="159">
        <v>615196</v>
      </c>
      <c r="B562" s="160" t="s">
        <v>120</v>
      </c>
      <c r="C562" s="148" t="s">
        <v>71</v>
      </c>
      <c r="D562" s="148" t="s">
        <v>192</v>
      </c>
      <c r="E562" s="240">
        <f>AIX!H135</f>
        <v>0</v>
      </c>
      <c r="F562" s="240">
        <f>AIX!I135</f>
        <v>0</v>
      </c>
      <c r="G562" s="240">
        <f>AIX!J135</f>
        <v>0</v>
      </c>
      <c r="H562" s="240">
        <f>AIX!K135</f>
        <v>0</v>
      </c>
      <c r="I562" s="240">
        <f>AIX!L135</f>
        <v>0</v>
      </c>
      <c r="J562" s="240">
        <f>AIX!M135</f>
        <v>0</v>
      </c>
      <c r="K562" s="240">
        <f>AIX!N135</f>
        <v>0</v>
      </c>
      <c r="L562" s="240">
        <f>AIX!O135</f>
        <v>0</v>
      </c>
      <c r="M562" s="240">
        <f>AIX!P135</f>
        <v>0</v>
      </c>
      <c r="N562" s="240">
        <f>AIX!Q135</f>
        <v>0</v>
      </c>
      <c r="O562" s="240">
        <f>AIX!R135</f>
        <v>0</v>
      </c>
      <c r="P562" s="240">
        <f>AIX!S135</f>
        <v>0</v>
      </c>
      <c r="Q562" s="240">
        <f>AIX!T135</f>
        <v>0</v>
      </c>
      <c r="R562" s="240">
        <f>AIX!U135</f>
        <v>0</v>
      </c>
      <c r="S562" s="242">
        <f>SUM(E562:Q562)</f>
        <v>0</v>
      </c>
    </row>
    <row r="563" spans="1:256" x14ac:dyDescent="0.2">
      <c r="A563" s="159">
        <v>615196</v>
      </c>
      <c r="B563" s="160" t="s">
        <v>120</v>
      </c>
      <c r="C563" s="148" t="s">
        <v>71</v>
      </c>
      <c r="D563" s="148" t="s">
        <v>182</v>
      </c>
      <c r="E563" s="240">
        <f>AIX!H136</f>
        <v>0</v>
      </c>
      <c r="F563" s="240">
        <f>AIX!I136</f>
        <v>354.86</v>
      </c>
      <c r="G563" s="240">
        <f>AIX!J136</f>
        <v>354.86</v>
      </c>
      <c r="H563" s="240">
        <f>AIX!K136</f>
        <v>354.87</v>
      </c>
      <c r="I563" s="240">
        <f>AIX!L136</f>
        <v>354.85</v>
      </c>
      <c r="J563" s="240">
        <f>AIX!M136</f>
        <v>354.85</v>
      </c>
      <c r="K563" s="240">
        <f>AIX!N136</f>
        <v>354.85</v>
      </c>
      <c r="L563" s="240">
        <f>AIX!O136</f>
        <v>354.85</v>
      </c>
      <c r="M563" s="240">
        <f>AIX!P136</f>
        <v>354.85</v>
      </c>
      <c r="N563" s="240">
        <f>AIX!Q136</f>
        <v>354.85</v>
      </c>
      <c r="O563" s="240">
        <f>AIX!R136</f>
        <v>354.85</v>
      </c>
      <c r="P563" s="240">
        <f>AIX!S136</f>
        <v>354.85</v>
      </c>
      <c r="Q563" s="240">
        <f>AIX!T136</f>
        <v>354.85</v>
      </c>
      <c r="R563" s="240">
        <f>AIX!U136</f>
        <v>0</v>
      </c>
      <c r="S563" s="242">
        <f>SUM(E563:Q563)</f>
        <v>4258.24</v>
      </c>
    </row>
    <row r="564" spans="1:256" s="175" customFormat="1" x14ac:dyDescent="0.2">
      <c r="A564" s="270"/>
      <c r="B564" s="235"/>
      <c r="C564" s="148"/>
      <c r="D564" s="148"/>
      <c r="E564" s="240"/>
      <c r="F564" s="240"/>
      <c r="G564" s="240"/>
      <c r="H564" s="240"/>
      <c r="I564" s="240"/>
      <c r="J564" s="240"/>
      <c r="K564" s="240"/>
      <c r="L564" s="240"/>
      <c r="M564" s="240"/>
      <c r="N564" s="240"/>
      <c r="O564" s="240"/>
      <c r="P564" s="240"/>
      <c r="Q564" s="240"/>
      <c r="R564" s="240"/>
      <c r="S564" s="245"/>
      <c r="T564" s="184"/>
      <c r="U564" s="332"/>
      <c r="W564" s="184"/>
      <c r="X564" s="184"/>
      <c r="Y564" s="184"/>
      <c r="Z564" s="184"/>
      <c r="AA564" s="184"/>
      <c r="AB564" s="184"/>
      <c r="AC564" s="184"/>
      <c r="AD564" s="184"/>
      <c r="AE564" s="184"/>
      <c r="AF564" s="184"/>
      <c r="AG564" s="184"/>
      <c r="AH564" s="184"/>
      <c r="AI564" s="184"/>
      <c r="AJ564" s="184"/>
      <c r="AK564" s="184"/>
      <c r="AL564" s="184"/>
      <c r="AM564" s="184"/>
      <c r="AN564" s="184"/>
      <c r="AO564" s="184"/>
      <c r="AP564" s="184"/>
      <c r="AQ564" s="184"/>
      <c r="AR564" s="184"/>
      <c r="AS564" s="184"/>
      <c r="AT564" s="184"/>
      <c r="AU564" s="184"/>
      <c r="AV564" s="184"/>
      <c r="AW564" s="184"/>
      <c r="AX564" s="184"/>
      <c r="AY564" s="184"/>
      <c r="AZ564" s="184"/>
      <c r="BA564" s="184"/>
      <c r="BB564" s="184"/>
      <c r="BC564" s="184"/>
      <c r="BD564" s="184"/>
      <c r="BE564" s="184"/>
      <c r="BF564" s="184"/>
      <c r="BG564" s="184"/>
      <c r="BH564" s="184"/>
      <c r="BI564" s="184"/>
      <c r="BJ564" s="184"/>
      <c r="BK564" s="184"/>
      <c r="BL564" s="184"/>
      <c r="BM564" s="184"/>
      <c r="BN564" s="184"/>
      <c r="BO564" s="184"/>
      <c r="BP564" s="184"/>
      <c r="BQ564" s="184"/>
      <c r="BR564" s="184"/>
      <c r="BS564" s="184"/>
      <c r="BT564" s="184"/>
      <c r="BU564" s="184"/>
      <c r="BV564" s="184"/>
      <c r="BW564" s="184"/>
      <c r="BX564" s="184"/>
      <c r="BY564" s="184"/>
      <c r="BZ564" s="184"/>
      <c r="CA564" s="184"/>
      <c r="CB564" s="184"/>
      <c r="CC564" s="184"/>
      <c r="CD564" s="184"/>
      <c r="CE564" s="184"/>
      <c r="CF564" s="184"/>
      <c r="CG564" s="184"/>
      <c r="CH564" s="184"/>
      <c r="CI564" s="184"/>
      <c r="CJ564" s="184"/>
      <c r="CK564" s="184"/>
      <c r="CL564" s="184"/>
      <c r="CM564" s="184"/>
      <c r="CN564" s="184"/>
      <c r="CO564" s="184"/>
      <c r="CP564" s="184"/>
      <c r="CQ564" s="184"/>
      <c r="CR564" s="184"/>
      <c r="CS564" s="184"/>
      <c r="CT564" s="184"/>
      <c r="CU564" s="184"/>
      <c r="CV564" s="184"/>
      <c r="CW564" s="184"/>
      <c r="CX564" s="184"/>
      <c r="CY564" s="184"/>
      <c r="CZ564" s="184"/>
      <c r="DA564" s="184"/>
      <c r="DB564" s="184"/>
      <c r="DC564" s="184"/>
      <c r="DD564" s="184"/>
      <c r="DE564" s="184"/>
      <c r="DF564" s="184"/>
      <c r="DG564" s="184"/>
      <c r="DH564" s="184"/>
      <c r="DI564" s="184"/>
      <c r="DJ564" s="184"/>
      <c r="DK564" s="184"/>
      <c r="DL564" s="184"/>
      <c r="DM564" s="184"/>
      <c r="DN564" s="184"/>
      <c r="DO564" s="184"/>
      <c r="DP564" s="184"/>
      <c r="DQ564" s="184"/>
      <c r="DR564" s="184"/>
      <c r="DS564" s="184"/>
      <c r="DT564" s="184"/>
      <c r="DU564" s="184"/>
      <c r="DV564" s="184"/>
      <c r="DW564" s="184"/>
      <c r="DX564" s="184"/>
      <c r="DY564" s="184"/>
      <c r="DZ564" s="184"/>
      <c r="EA564" s="184"/>
      <c r="EB564" s="184"/>
      <c r="EC564" s="184"/>
      <c r="ED564" s="184"/>
      <c r="EE564" s="184"/>
      <c r="EF564" s="184"/>
      <c r="EG564" s="184"/>
      <c r="EH564" s="184"/>
      <c r="EI564" s="184"/>
      <c r="EJ564" s="184"/>
      <c r="EK564" s="184"/>
      <c r="EL564" s="184"/>
      <c r="EM564" s="184"/>
      <c r="EN564" s="184"/>
      <c r="EO564" s="184"/>
      <c r="EP564" s="184"/>
      <c r="EQ564" s="184"/>
      <c r="ER564" s="184"/>
      <c r="ES564" s="184"/>
      <c r="ET564" s="184"/>
      <c r="EU564" s="184"/>
      <c r="EV564" s="184"/>
      <c r="EW564" s="184"/>
      <c r="EX564" s="184"/>
      <c r="EY564" s="184"/>
      <c r="EZ564" s="184"/>
      <c r="FA564" s="184"/>
      <c r="FB564" s="184"/>
      <c r="FC564" s="184"/>
      <c r="FD564" s="184"/>
      <c r="FE564" s="184"/>
      <c r="FF564" s="184"/>
      <c r="FG564" s="184"/>
      <c r="FH564" s="184"/>
      <c r="FI564" s="184"/>
      <c r="FJ564" s="184"/>
      <c r="FK564" s="184"/>
      <c r="FL564" s="184"/>
      <c r="FM564" s="184"/>
      <c r="FN564" s="184"/>
      <c r="FO564" s="184"/>
      <c r="FP564" s="184"/>
      <c r="FQ564" s="184"/>
      <c r="FR564" s="184"/>
      <c r="FS564" s="184"/>
      <c r="FT564" s="184"/>
      <c r="FU564" s="184"/>
      <c r="FV564" s="184"/>
      <c r="FW564" s="184"/>
      <c r="FX564" s="184"/>
      <c r="FY564" s="184"/>
      <c r="FZ564" s="184"/>
      <c r="GA564" s="184"/>
      <c r="GB564" s="184"/>
      <c r="GC564" s="184"/>
      <c r="GD564" s="184"/>
      <c r="GE564" s="184"/>
      <c r="GF564" s="184"/>
      <c r="GG564" s="184"/>
      <c r="GH564" s="184"/>
      <c r="GI564" s="184"/>
      <c r="GJ564" s="184"/>
      <c r="GK564" s="184"/>
      <c r="GL564" s="184"/>
      <c r="GM564" s="184"/>
      <c r="GN564" s="184"/>
      <c r="GO564" s="184"/>
      <c r="GP564" s="184"/>
      <c r="GQ564" s="184"/>
      <c r="GR564" s="184"/>
      <c r="GS564" s="184"/>
      <c r="GT564" s="184"/>
      <c r="GU564" s="184"/>
      <c r="GV564" s="184"/>
      <c r="GW564" s="184"/>
      <c r="GX564" s="184"/>
      <c r="GY564" s="184"/>
      <c r="GZ564" s="184"/>
      <c r="HA564" s="184"/>
      <c r="HB564" s="184"/>
      <c r="HC564" s="184"/>
      <c r="HD564" s="184"/>
      <c r="HE564" s="184"/>
      <c r="HF564" s="184"/>
      <c r="HG564" s="184"/>
      <c r="HH564" s="184"/>
      <c r="HI564" s="184"/>
      <c r="HJ564" s="184"/>
      <c r="HK564" s="184"/>
      <c r="HL564" s="184"/>
      <c r="HM564" s="184"/>
      <c r="HN564" s="184"/>
      <c r="HO564" s="184"/>
      <c r="HP564" s="184"/>
      <c r="HQ564" s="184"/>
      <c r="HR564" s="184"/>
      <c r="HS564" s="184"/>
      <c r="HT564" s="184"/>
      <c r="HU564" s="184"/>
      <c r="HV564" s="184"/>
      <c r="HW564" s="184"/>
      <c r="HX564" s="184"/>
      <c r="HY564" s="184"/>
      <c r="HZ564" s="184"/>
      <c r="IA564" s="184"/>
      <c r="IB564" s="184"/>
      <c r="IC564" s="184"/>
      <c r="ID564" s="184"/>
      <c r="IE564" s="184"/>
      <c r="IF564" s="184"/>
      <c r="IG564" s="184"/>
      <c r="IH564" s="184"/>
      <c r="II564" s="184"/>
      <c r="IJ564" s="184"/>
      <c r="IK564" s="184"/>
      <c r="IL564" s="184"/>
      <c r="IM564" s="184"/>
      <c r="IN564" s="184"/>
      <c r="IO564" s="184"/>
      <c r="IP564" s="184"/>
      <c r="IQ564" s="184"/>
      <c r="IR564" s="184"/>
      <c r="IS564" s="184"/>
      <c r="IT564" s="184"/>
      <c r="IU564" s="184"/>
      <c r="IV564" s="184"/>
    </row>
    <row r="565" spans="1:256" x14ac:dyDescent="0.2">
      <c r="A565" s="159">
        <v>615196</v>
      </c>
      <c r="B565" s="160" t="s">
        <v>120</v>
      </c>
      <c r="C565" s="148" t="s">
        <v>73</v>
      </c>
      <c r="D565" s="148" t="s">
        <v>183</v>
      </c>
      <c r="E565" s="240">
        <f>LYON!H131</f>
        <v>0</v>
      </c>
      <c r="F565" s="240">
        <f>LYON!I131</f>
        <v>0</v>
      </c>
      <c r="G565" s="240">
        <f>LYON!J131</f>
        <v>248.94</v>
      </c>
      <c r="H565" s="240">
        <f>LYON!K131</f>
        <v>0</v>
      </c>
      <c r="I565" s="240">
        <f>LYON!L131</f>
        <v>0</v>
      </c>
      <c r="J565" s="240">
        <f>LYON!M131</f>
        <v>0</v>
      </c>
      <c r="K565" s="240">
        <f>LYON!N131</f>
        <v>0</v>
      </c>
      <c r="L565" s="240">
        <f>LYON!O131</f>
        <v>0</v>
      </c>
      <c r="M565" s="240">
        <f>LYON!P131</f>
        <v>0</v>
      </c>
      <c r="N565" s="240">
        <f>LYON!Q131</f>
        <v>0</v>
      </c>
      <c r="O565" s="240">
        <f>LYON!R131</f>
        <v>0</v>
      </c>
      <c r="P565" s="240">
        <f>LYON!S131</f>
        <v>0</v>
      </c>
      <c r="Q565" s="240">
        <f>LYON!T131</f>
        <v>0</v>
      </c>
      <c r="R565" s="240">
        <f>LYON!U131</f>
        <v>0</v>
      </c>
      <c r="S565" s="242">
        <f>SUM(E565:Q565)</f>
        <v>248.94</v>
      </c>
    </row>
    <row r="566" spans="1:256" x14ac:dyDescent="0.2">
      <c r="A566" s="159">
        <v>615196</v>
      </c>
      <c r="B566" s="160" t="s">
        <v>120</v>
      </c>
      <c r="C566" s="148" t="s">
        <v>73</v>
      </c>
      <c r="D566" s="148" t="s">
        <v>192</v>
      </c>
      <c r="E566" s="240">
        <f>LYON!H130</f>
        <v>0</v>
      </c>
      <c r="F566" s="240">
        <f>LYON!I130</f>
        <v>0</v>
      </c>
      <c r="G566" s="240">
        <f>LYON!J130</f>
        <v>0</v>
      </c>
      <c r="H566" s="240">
        <f>LYON!K130</f>
        <v>0</v>
      </c>
      <c r="I566" s="240">
        <f>LYON!L130</f>
        <v>0</v>
      </c>
      <c r="J566" s="240">
        <f>LYON!M130</f>
        <v>0</v>
      </c>
      <c r="K566" s="240">
        <f>LYON!N130</f>
        <v>0</v>
      </c>
      <c r="L566" s="240">
        <f>LYON!O130</f>
        <v>0</v>
      </c>
      <c r="M566" s="240">
        <f>LYON!P130</f>
        <v>0</v>
      </c>
      <c r="N566" s="240">
        <f>LYON!Q130</f>
        <v>1274.69</v>
      </c>
      <c r="O566" s="240">
        <f>LYON!R130</f>
        <v>112.34</v>
      </c>
      <c r="P566" s="240">
        <f>LYON!S130</f>
        <v>0</v>
      </c>
      <c r="Q566" s="240">
        <f>LYON!T130</f>
        <v>0</v>
      </c>
      <c r="R566" s="240">
        <f>LYON!U130</f>
        <v>0</v>
      </c>
      <c r="S566" s="242">
        <f>SUM(E566:Q566)</f>
        <v>1387.03</v>
      </c>
    </row>
    <row r="567" spans="1:256" x14ac:dyDescent="0.2">
      <c r="A567" s="159">
        <v>615196</v>
      </c>
      <c r="B567" s="160" t="s">
        <v>120</v>
      </c>
      <c r="C567" s="148" t="s">
        <v>73</v>
      </c>
      <c r="D567" s="148" t="s">
        <v>182</v>
      </c>
      <c r="E567" s="240">
        <f>LYON!H132</f>
        <v>0</v>
      </c>
      <c r="F567" s="240">
        <f>LYON!I132</f>
        <v>510.11</v>
      </c>
      <c r="G567" s="240">
        <f>LYON!J132</f>
        <v>510.14</v>
      </c>
      <c r="H567" s="240">
        <f>LYON!K132</f>
        <v>510.14</v>
      </c>
      <c r="I567" s="240">
        <f>LYON!L132</f>
        <v>510.15</v>
      </c>
      <c r="J567" s="240">
        <f>LYON!M132</f>
        <v>510.15</v>
      </c>
      <c r="K567" s="240">
        <f>LYON!N132</f>
        <v>510.15</v>
      </c>
      <c r="L567" s="240">
        <f>LYON!O132</f>
        <v>510.15</v>
      </c>
      <c r="M567" s="240">
        <f>LYON!P132</f>
        <v>510.15</v>
      </c>
      <c r="N567" s="240">
        <f>LYON!Q132</f>
        <v>510.15</v>
      </c>
      <c r="O567" s="240">
        <f>LYON!R132</f>
        <v>510.15</v>
      </c>
      <c r="P567" s="240">
        <f>LYON!S132</f>
        <v>510.15</v>
      </c>
      <c r="Q567" s="240">
        <f>LYON!T132</f>
        <v>510.06</v>
      </c>
      <c r="R567" s="240">
        <f>LYON!U132</f>
        <v>0</v>
      </c>
      <c r="S567" s="242">
        <f>SUM(E567:Q567)</f>
        <v>6121.65</v>
      </c>
    </row>
    <row r="568" spans="1:256" s="175" customFormat="1" x14ac:dyDescent="0.2">
      <c r="A568" s="270"/>
      <c r="B568" s="235"/>
      <c r="C568" s="148"/>
      <c r="D568" s="148"/>
      <c r="E568" s="240"/>
      <c r="F568" s="240"/>
      <c r="G568" s="240"/>
      <c r="H568" s="240"/>
      <c r="I568" s="240"/>
      <c r="J568" s="240"/>
      <c r="K568" s="240"/>
      <c r="L568" s="240"/>
      <c r="M568" s="240"/>
      <c r="N568" s="240"/>
      <c r="O568" s="240"/>
      <c r="P568" s="240"/>
      <c r="Q568" s="240"/>
      <c r="R568" s="240"/>
      <c r="S568" s="245"/>
      <c r="T568" s="184"/>
      <c r="U568" s="332"/>
      <c r="W568" s="184"/>
      <c r="X568" s="184"/>
      <c r="Y568" s="184"/>
      <c r="Z568" s="184"/>
      <c r="AA568" s="184"/>
      <c r="AB568" s="184"/>
      <c r="AC568" s="184"/>
      <c r="AD568" s="184"/>
      <c r="AE568" s="184"/>
      <c r="AF568" s="184"/>
      <c r="AG568" s="184"/>
      <c r="AH568" s="184"/>
      <c r="AI568" s="184"/>
      <c r="AJ568" s="184"/>
      <c r="AK568" s="184"/>
      <c r="AL568" s="184"/>
      <c r="AM568" s="184"/>
      <c r="AN568" s="184"/>
      <c r="AO568" s="184"/>
      <c r="AP568" s="184"/>
      <c r="AQ568" s="184"/>
      <c r="AR568" s="184"/>
      <c r="AS568" s="184"/>
      <c r="AT568" s="184"/>
      <c r="AU568" s="184"/>
      <c r="AV568" s="184"/>
      <c r="AW568" s="184"/>
      <c r="AX568" s="184"/>
      <c r="AY568" s="184"/>
      <c r="AZ568" s="184"/>
      <c r="BA568" s="184"/>
      <c r="BB568" s="184"/>
      <c r="BC568" s="184"/>
      <c r="BD568" s="184"/>
      <c r="BE568" s="184"/>
      <c r="BF568" s="184"/>
      <c r="BG568" s="184"/>
      <c r="BH568" s="184"/>
      <c r="BI568" s="184"/>
      <c r="BJ568" s="184"/>
      <c r="BK568" s="184"/>
      <c r="BL568" s="184"/>
      <c r="BM568" s="184"/>
      <c r="BN568" s="184"/>
      <c r="BO568" s="184"/>
      <c r="BP568" s="184"/>
      <c r="BQ568" s="184"/>
      <c r="BR568" s="184"/>
      <c r="BS568" s="184"/>
      <c r="BT568" s="184"/>
      <c r="BU568" s="184"/>
      <c r="BV568" s="184"/>
      <c r="BW568" s="184"/>
      <c r="BX568" s="184"/>
      <c r="BY568" s="184"/>
      <c r="BZ568" s="184"/>
      <c r="CA568" s="184"/>
      <c r="CB568" s="184"/>
      <c r="CC568" s="184"/>
      <c r="CD568" s="184"/>
      <c r="CE568" s="184"/>
      <c r="CF568" s="184"/>
      <c r="CG568" s="184"/>
      <c r="CH568" s="184"/>
      <c r="CI568" s="184"/>
      <c r="CJ568" s="184"/>
      <c r="CK568" s="184"/>
      <c r="CL568" s="184"/>
      <c r="CM568" s="184"/>
      <c r="CN568" s="184"/>
      <c r="CO568" s="184"/>
      <c r="CP568" s="184"/>
      <c r="CQ568" s="184"/>
      <c r="CR568" s="184"/>
      <c r="CS568" s="184"/>
      <c r="CT568" s="184"/>
      <c r="CU568" s="184"/>
      <c r="CV568" s="184"/>
      <c r="CW568" s="184"/>
      <c r="CX568" s="184"/>
      <c r="CY568" s="184"/>
      <c r="CZ568" s="184"/>
      <c r="DA568" s="184"/>
      <c r="DB568" s="184"/>
      <c r="DC568" s="184"/>
      <c r="DD568" s="184"/>
      <c r="DE568" s="184"/>
      <c r="DF568" s="184"/>
      <c r="DG568" s="184"/>
      <c r="DH568" s="184"/>
      <c r="DI568" s="184"/>
      <c r="DJ568" s="184"/>
      <c r="DK568" s="184"/>
      <c r="DL568" s="184"/>
      <c r="DM568" s="184"/>
      <c r="DN568" s="184"/>
      <c r="DO568" s="184"/>
      <c r="DP568" s="184"/>
      <c r="DQ568" s="184"/>
      <c r="DR568" s="184"/>
      <c r="DS568" s="184"/>
      <c r="DT568" s="184"/>
      <c r="DU568" s="184"/>
      <c r="DV568" s="184"/>
      <c r="DW568" s="184"/>
      <c r="DX568" s="184"/>
      <c r="DY568" s="184"/>
      <c r="DZ568" s="184"/>
      <c r="EA568" s="184"/>
      <c r="EB568" s="184"/>
      <c r="EC568" s="184"/>
      <c r="ED568" s="184"/>
      <c r="EE568" s="184"/>
      <c r="EF568" s="184"/>
      <c r="EG568" s="184"/>
      <c r="EH568" s="184"/>
      <c r="EI568" s="184"/>
      <c r="EJ568" s="184"/>
      <c r="EK568" s="184"/>
      <c r="EL568" s="184"/>
      <c r="EM568" s="184"/>
      <c r="EN568" s="184"/>
      <c r="EO568" s="184"/>
      <c r="EP568" s="184"/>
      <c r="EQ568" s="184"/>
      <c r="ER568" s="184"/>
      <c r="ES568" s="184"/>
      <c r="ET568" s="184"/>
      <c r="EU568" s="184"/>
      <c r="EV568" s="184"/>
      <c r="EW568" s="184"/>
      <c r="EX568" s="184"/>
      <c r="EY568" s="184"/>
      <c r="EZ568" s="184"/>
      <c r="FA568" s="184"/>
      <c r="FB568" s="184"/>
      <c r="FC568" s="184"/>
      <c r="FD568" s="184"/>
      <c r="FE568" s="184"/>
      <c r="FF568" s="184"/>
      <c r="FG568" s="184"/>
      <c r="FH568" s="184"/>
      <c r="FI568" s="184"/>
      <c r="FJ568" s="184"/>
      <c r="FK568" s="184"/>
      <c r="FL568" s="184"/>
      <c r="FM568" s="184"/>
      <c r="FN568" s="184"/>
      <c r="FO568" s="184"/>
      <c r="FP568" s="184"/>
      <c r="FQ568" s="184"/>
      <c r="FR568" s="184"/>
      <c r="FS568" s="184"/>
      <c r="FT568" s="184"/>
      <c r="FU568" s="184"/>
      <c r="FV568" s="184"/>
      <c r="FW568" s="184"/>
      <c r="FX568" s="184"/>
      <c r="FY568" s="184"/>
      <c r="FZ568" s="184"/>
      <c r="GA568" s="184"/>
      <c r="GB568" s="184"/>
      <c r="GC568" s="184"/>
      <c r="GD568" s="184"/>
      <c r="GE568" s="184"/>
      <c r="GF568" s="184"/>
      <c r="GG568" s="184"/>
      <c r="GH568" s="184"/>
      <c r="GI568" s="184"/>
      <c r="GJ568" s="184"/>
      <c r="GK568" s="184"/>
      <c r="GL568" s="184"/>
      <c r="GM568" s="184"/>
      <c r="GN568" s="184"/>
      <c r="GO568" s="184"/>
      <c r="GP568" s="184"/>
      <c r="GQ568" s="184"/>
      <c r="GR568" s="184"/>
      <c r="GS568" s="184"/>
      <c r="GT568" s="184"/>
      <c r="GU568" s="184"/>
      <c r="GV568" s="184"/>
      <c r="GW568" s="184"/>
      <c r="GX568" s="184"/>
      <c r="GY568" s="184"/>
      <c r="GZ568" s="184"/>
      <c r="HA568" s="184"/>
      <c r="HB568" s="184"/>
      <c r="HC568" s="184"/>
      <c r="HD568" s="184"/>
      <c r="HE568" s="184"/>
      <c r="HF568" s="184"/>
      <c r="HG568" s="184"/>
      <c r="HH568" s="184"/>
      <c r="HI568" s="184"/>
      <c r="HJ568" s="184"/>
      <c r="HK568" s="184"/>
      <c r="HL568" s="184"/>
      <c r="HM568" s="184"/>
      <c r="HN568" s="184"/>
      <c r="HO568" s="184"/>
      <c r="HP568" s="184"/>
      <c r="HQ568" s="184"/>
      <c r="HR568" s="184"/>
      <c r="HS568" s="184"/>
      <c r="HT568" s="184"/>
      <c r="HU568" s="184"/>
      <c r="HV568" s="184"/>
      <c r="HW568" s="184"/>
      <c r="HX568" s="184"/>
      <c r="HY568" s="184"/>
      <c r="HZ568" s="184"/>
      <c r="IA568" s="184"/>
      <c r="IB568" s="184"/>
      <c r="IC568" s="184"/>
      <c r="ID568" s="184"/>
      <c r="IE568" s="184"/>
      <c r="IF568" s="184"/>
      <c r="IG568" s="184"/>
      <c r="IH568" s="184"/>
      <c r="II568" s="184"/>
      <c r="IJ568" s="184"/>
      <c r="IK568" s="184"/>
      <c r="IL568" s="184"/>
      <c r="IM568" s="184"/>
      <c r="IN568" s="184"/>
      <c r="IO568" s="184"/>
      <c r="IP568" s="184"/>
      <c r="IQ568" s="184"/>
      <c r="IR568" s="184"/>
      <c r="IS568" s="184"/>
      <c r="IT568" s="184"/>
      <c r="IU568" s="184"/>
      <c r="IV568" s="184"/>
    </row>
    <row r="569" spans="1:256" x14ac:dyDescent="0.2">
      <c r="A569" s="159">
        <v>615196</v>
      </c>
      <c r="B569" s="160" t="s">
        <v>120</v>
      </c>
      <c r="C569" s="148" t="s">
        <v>67</v>
      </c>
      <c r="D569" s="148" t="s">
        <v>183</v>
      </c>
      <c r="E569" s="240">
        <f>BORDEAUX!H138</f>
        <v>0</v>
      </c>
      <c r="F569" s="240">
        <f>BORDEAUX!I138</f>
        <v>0</v>
      </c>
      <c r="G569" s="240">
        <f>BORDEAUX!J138</f>
        <v>0</v>
      </c>
      <c r="H569" s="240">
        <f>BORDEAUX!K138</f>
        <v>0</v>
      </c>
      <c r="I569" s="240">
        <f>BORDEAUX!L138</f>
        <v>0</v>
      </c>
      <c r="J569" s="240">
        <f>BORDEAUX!M138</f>
        <v>0</v>
      </c>
      <c r="K569" s="240">
        <f>BORDEAUX!N138</f>
        <v>0</v>
      </c>
      <c r="L569" s="240">
        <f>BORDEAUX!O138</f>
        <v>0</v>
      </c>
      <c r="M569" s="240">
        <f>BORDEAUX!P138</f>
        <v>439.35</v>
      </c>
      <c r="N569" s="240">
        <f>BORDEAUX!Q138</f>
        <v>0</v>
      </c>
      <c r="O569" s="240">
        <f>BORDEAUX!R138</f>
        <v>803.96</v>
      </c>
      <c r="P569" s="240">
        <f>BORDEAUX!S138</f>
        <v>0</v>
      </c>
      <c r="Q569" s="240">
        <f>BORDEAUX!T138</f>
        <v>0</v>
      </c>
      <c r="R569" s="240">
        <f>BORDEAUX!U138</f>
        <v>0</v>
      </c>
      <c r="S569" s="242">
        <f>SUM(E569:Q569)</f>
        <v>1243.31</v>
      </c>
    </row>
    <row r="570" spans="1:256" x14ac:dyDescent="0.2">
      <c r="A570" s="159">
        <v>615196</v>
      </c>
      <c r="B570" s="160" t="s">
        <v>120</v>
      </c>
      <c r="C570" s="148" t="s">
        <v>67</v>
      </c>
      <c r="D570" s="148" t="s">
        <v>192</v>
      </c>
      <c r="E570" s="240">
        <f>BORDEAUX!H137</f>
        <v>0</v>
      </c>
      <c r="F570" s="240">
        <f>BORDEAUX!I137</f>
        <v>0</v>
      </c>
      <c r="G570" s="240">
        <f>BORDEAUX!J137</f>
        <v>0</v>
      </c>
      <c r="H570" s="240">
        <f>BORDEAUX!K137</f>
        <v>0</v>
      </c>
      <c r="I570" s="240">
        <f>BORDEAUX!L137</f>
        <v>0</v>
      </c>
      <c r="J570" s="240">
        <f>BORDEAUX!M137</f>
        <v>0</v>
      </c>
      <c r="K570" s="240">
        <f>BORDEAUX!N137</f>
        <v>0</v>
      </c>
      <c r="L570" s="240">
        <f>BORDEAUX!O137</f>
        <v>0</v>
      </c>
      <c r="M570" s="240">
        <f>BORDEAUX!P137</f>
        <v>0</v>
      </c>
      <c r="N570" s="240">
        <f>BORDEAUX!Q137</f>
        <v>0</v>
      </c>
      <c r="O570" s="240">
        <f>BORDEAUX!R137</f>
        <v>0</v>
      </c>
      <c r="P570" s="240">
        <f>BORDEAUX!S137</f>
        <v>0</v>
      </c>
      <c r="Q570" s="240">
        <f>BORDEAUX!T137</f>
        <v>0</v>
      </c>
      <c r="R570" s="240">
        <f>BORDEAUX!U137</f>
        <v>0</v>
      </c>
      <c r="S570" s="242">
        <f>SUM(E570:Q570)</f>
        <v>0</v>
      </c>
    </row>
    <row r="571" spans="1:256" x14ac:dyDescent="0.2">
      <c r="A571" s="159">
        <v>615196</v>
      </c>
      <c r="B571" s="160" t="s">
        <v>120</v>
      </c>
      <c r="C571" s="148" t="s">
        <v>67</v>
      </c>
      <c r="D571" s="148" t="s">
        <v>182</v>
      </c>
      <c r="E571" s="240">
        <f>SUM(BORDEAUX!H139:H139)</f>
        <v>0</v>
      </c>
      <c r="F571" s="240">
        <f>SUM(BORDEAUX!I139:I139)</f>
        <v>525</v>
      </c>
      <c r="G571" s="240">
        <f>SUM(BORDEAUX!J139:J139)</f>
        <v>525</v>
      </c>
      <c r="H571" s="240">
        <f>SUM(BORDEAUX!K139:K139)</f>
        <v>525</v>
      </c>
      <c r="I571" s="240">
        <f>SUM(BORDEAUX!L139:L139)</f>
        <v>525</v>
      </c>
      <c r="J571" s="240">
        <f>SUM(BORDEAUX!M139:M139)</f>
        <v>525</v>
      </c>
      <c r="K571" s="240">
        <f>SUM(BORDEAUX!N139:N139)</f>
        <v>525</v>
      </c>
      <c r="L571" s="240">
        <f>SUM(BORDEAUX!O139:O139)</f>
        <v>525</v>
      </c>
      <c r="M571" s="240">
        <f>SUM(BORDEAUX!P139:P139)</f>
        <v>525</v>
      </c>
      <c r="N571" s="240">
        <f>SUM(BORDEAUX!Q139:Q139)</f>
        <v>525</v>
      </c>
      <c r="O571" s="240">
        <f>SUM(BORDEAUX!R139:R139)</f>
        <v>525</v>
      </c>
      <c r="P571" s="240">
        <f>SUM(BORDEAUX!S139:S139)</f>
        <v>525</v>
      </c>
      <c r="Q571" s="240">
        <f>SUM(BORDEAUX!T139:T139)</f>
        <v>525</v>
      </c>
      <c r="R571" s="240">
        <f>SUM(BORDEAUX!U139:U139)</f>
        <v>0</v>
      </c>
      <c r="S571" s="242">
        <f>SUM(E571:Q571)</f>
        <v>6300</v>
      </c>
    </row>
    <row r="572" spans="1:256" s="175" customFormat="1" x14ac:dyDescent="0.2">
      <c r="A572" s="270"/>
      <c r="B572" s="235"/>
      <c r="C572" s="148"/>
      <c r="D572" s="148"/>
      <c r="E572" s="240"/>
      <c r="F572" s="240"/>
      <c r="G572" s="240"/>
      <c r="H572" s="240"/>
      <c r="I572" s="240"/>
      <c r="J572" s="240"/>
      <c r="K572" s="240"/>
      <c r="L572" s="240"/>
      <c r="M572" s="240"/>
      <c r="N572" s="240"/>
      <c r="O572" s="240"/>
      <c r="P572" s="240"/>
      <c r="Q572" s="240"/>
      <c r="R572" s="240"/>
      <c r="S572" s="245"/>
      <c r="T572" s="184"/>
      <c r="U572" s="332"/>
      <c r="W572" s="184"/>
      <c r="X572" s="184"/>
      <c r="Y572" s="184"/>
      <c r="Z572" s="184"/>
      <c r="AA572" s="184"/>
      <c r="AB572" s="184"/>
      <c r="AC572" s="184"/>
      <c r="AD572" s="184"/>
      <c r="AE572" s="184"/>
      <c r="AF572" s="184"/>
      <c r="AG572" s="184"/>
      <c r="AH572" s="184"/>
      <c r="AI572" s="184"/>
      <c r="AJ572" s="184"/>
      <c r="AK572" s="184"/>
      <c r="AL572" s="184"/>
      <c r="AM572" s="184"/>
      <c r="AN572" s="184"/>
      <c r="AO572" s="184"/>
      <c r="AP572" s="184"/>
      <c r="AQ572" s="184"/>
      <c r="AR572" s="184"/>
      <c r="AS572" s="184"/>
      <c r="AT572" s="184"/>
      <c r="AU572" s="184"/>
      <c r="AV572" s="184"/>
      <c r="AW572" s="184"/>
      <c r="AX572" s="184"/>
      <c r="AY572" s="184"/>
      <c r="AZ572" s="184"/>
      <c r="BA572" s="184"/>
      <c r="BB572" s="184"/>
      <c r="BC572" s="184"/>
      <c r="BD572" s="184"/>
      <c r="BE572" s="184"/>
      <c r="BF572" s="184"/>
      <c r="BG572" s="184"/>
      <c r="BH572" s="184"/>
      <c r="BI572" s="184"/>
      <c r="BJ572" s="184"/>
      <c r="BK572" s="184"/>
      <c r="BL572" s="184"/>
      <c r="BM572" s="184"/>
      <c r="BN572" s="184"/>
      <c r="BO572" s="184"/>
      <c r="BP572" s="184"/>
      <c r="BQ572" s="184"/>
      <c r="BR572" s="184"/>
      <c r="BS572" s="184"/>
      <c r="BT572" s="184"/>
      <c r="BU572" s="184"/>
      <c r="BV572" s="184"/>
      <c r="BW572" s="184"/>
      <c r="BX572" s="184"/>
      <c r="BY572" s="184"/>
      <c r="BZ572" s="184"/>
      <c r="CA572" s="184"/>
      <c r="CB572" s="184"/>
      <c r="CC572" s="184"/>
      <c r="CD572" s="184"/>
      <c r="CE572" s="184"/>
      <c r="CF572" s="184"/>
      <c r="CG572" s="184"/>
      <c r="CH572" s="184"/>
      <c r="CI572" s="184"/>
      <c r="CJ572" s="184"/>
      <c r="CK572" s="184"/>
      <c r="CL572" s="184"/>
      <c r="CM572" s="184"/>
      <c r="CN572" s="184"/>
      <c r="CO572" s="184"/>
      <c r="CP572" s="184"/>
      <c r="CQ572" s="184"/>
      <c r="CR572" s="184"/>
      <c r="CS572" s="184"/>
      <c r="CT572" s="184"/>
      <c r="CU572" s="184"/>
      <c r="CV572" s="184"/>
      <c r="CW572" s="184"/>
      <c r="CX572" s="184"/>
      <c r="CY572" s="184"/>
      <c r="CZ572" s="184"/>
      <c r="DA572" s="184"/>
      <c r="DB572" s="184"/>
      <c r="DC572" s="184"/>
      <c r="DD572" s="184"/>
      <c r="DE572" s="184"/>
      <c r="DF572" s="184"/>
      <c r="DG572" s="184"/>
      <c r="DH572" s="184"/>
      <c r="DI572" s="184"/>
      <c r="DJ572" s="184"/>
      <c r="DK572" s="184"/>
      <c r="DL572" s="184"/>
      <c r="DM572" s="184"/>
      <c r="DN572" s="184"/>
      <c r="DO572" s="184"/>
      <c r="DP572" s="184"/>
      <c r="DQ572" s="184"/>
      <c r="DR572" s="184"/>
      <c r="DS572" s="184"/>
      <c r="DT572" s="184"/>
      <c r="DU572" s="184"/>
      <c r="DV572" s="184"/>
      <c r="DW572" s="184"/>
      <c r="DX572" s="184"/>
      <c r="DY572" s="184"/>
      <c r="DZ572" s="184"/>
      <c r="EA572" s="184"/>
      <c r="EB572" s="184"/>
      <c r="EC572" s="184"/>
      <c r="ED572" s="184"/>
      <c r="EE572" s="184"/>
      <c r="EF572" s="184"/>
      <c r="EG572" s="184"/>
      <c r="EH572" s="184"/>
      <c r="EI572" s="184"/>
      <c r="EJ572" s="184"/>
      <c r="EK572" s="184"/>
      <c r="EL572" s="184"/>
      <c r="EM572" s="184"/>
      <c r="EN572" s="184"/>
      <c r="EO572" s="184"/>
      <c r="EP572" s="184"/>
      <c r="EQ572" s="184"/>
      <c r="ER572" s="184"/>
      <c r="ES572" s="184"/>
      <c r="ET572" s="184"/>
      <c r="EU572" s="184"/>
      <c r="EV572" s="184"/>
      <c r="EW572" s="184"/>
      <c r="EX572" s="184"/>
      <c r="EY572" s="184"/>
      <c r="EZ572" s="184"/>
      <c r="FA572" s="184"/>
      <c r="FB572" s="184"/>
      <c r="FC572" s="184"/>
      <c r="FD572" s="184"/>
      <c r="FE572" s="184"/>
      <c r="FF572" s="184"/>
      <c r="FG572" s="184"/>
      <c r="FH572" s="184"/>
      <c r="FI572" s="184"/>
      <c r="FJ572" s="184"/>
      <c r="FK572" s="184"/>
      <c r="FL572" s="184"/>
      <c r="FM572" s="184"/>
      <c r="FN572" s="184"/>
      <c r="FO572" s="184"/>
      <c r="FP572" s="184"/>
      <c r="FQ572" s="184"/>
      <c r="FR572" s="184"/>
      <c r="FS572" s="184"/>
      <c r="FT572" s="184"/>
      <c r="FU572" s="184"/>
      <c r="FV572" s="184"/>
      <c r="FW572" s="184"/>
      <c r="FX572" s="184"/>
      <c r="FY572" s="184"/>
      <c r="FZ572" s="184"/>
      <c r="GA572" s="184"/>
      <c r="GB572" s="184"/>
      <c r="GC572" s="184"/>
      <c r="GD572" s="184"/>
      <c r="GE572" s="184"/>
      <c r="GF572" s="184"/>
      <c r="GG572" s="184"/>
      <c r="GH572" s="184"/>
      <c r="GI572" s="184"/>
      <c r="GJ572" s="184"/>
      <c r="GK572" s="184"/>
      <c r="GL572" s="184"/>
      <c r="GM572" s="184"/>
      <c r="GN572" s="184"/>
      <c r="GO572" s="184"/>
      <c r="GP572" s="184"/>
      <c r="GQ572" s="184"/>
      <c r="GR572" s="184"/>
      <c r="GS572" s="184"/>
      <c r="GT572" s="184"/>
      <c r="GU572" s="184"/>
      <c r="GV572" s="184"/>
      <c r="GW572" s="184"/>
      <c r="GX572" s="184"/>
      <c r="GY572" s="184"/>
      <c r="GZ572" s="184"/>
      <c r="HA572" s="184"/>
      <c r="HB572" s="184"/>
      <c r="HC572" s="184"/>
      <c r="HD572" s="184"/>
      <c r="HE572" s="184"/>
      <c r="HF572" s="184"/>
      <c r="HG572" s="184"/>
      <c r="HH572" s="184"/>
      <c r="HI572" s="184"/>
      <c r="HJ572" s="184"/>
      <c r="HK572" s="184"/>
      <c r="HL572" s="184"/>
      <c r="HM572" s="184"/>
      <c r="HN572" s="184"/>
      <c r="HO572" s="184"/>
      <c r="HP572" s="184"/>
      <c r="HQ572" s="184"/>
      <c r="HR572" s="184"/>
      <c r="HS572" s="184"/>
      <c r="HT572" s="184"/>
      <c r="HU572" s="184"/>
      <c r="HV572" s="184"/>
      <c r="HW572" s="184"/>
      <c r="HX572" s="184"/>
      <c r="HY572" s="184"/>
      <c r="HZ572" s="184"/>
      <c r="IA572" s="184"/>
      <c r="IB572" s="184"/>
      <c r="IC572" s="184"/>
      <c r="ID572" s="184"/>
      <c r="IE572" s="184"/>
      <c r="IF572" s="184"/>
      <c r="IG572" s="184"/>
      <c r="IH572" s="184"/>
      <c r="II572" s="184"/>
      <c r="IJ572" s="184"/>
      <c r="IK572" s="184"/>
      <c r="IL572" s="184"/>
      <c r="IM572" s="184"/>
      <c r="IN572" s="184"/>
      <c r="IO572" s="184"/>
      <c r="IP572" s="184"/>
      <c r="IQ572" s="184"/>
      <c r="IR572" s="184"/>
      <c r="IS572" s="184"/>
      <c r="IT572" s="184"/>
      <c r="IU572" s="184"/>
      <c r="IV572" s="184"/>
    </row>
    <row r="573" spans="1:256" x14ac:dyDescent="0.2">
      <c r="A573" s="159">
        <v>615196</v>
      </c>
      <c r="B573" s="160" t="s">
        <v>120</v>
      </c>
      <c r="C573" s="148" t="s">
        <v>62</v>
      </c>
      <c r="D573" s="148" t="s">
        <v>192</v>
      </c>
      <c r="E573" s="240">
        <f>NANCY!H79</f>
        <v>0</v>
      </c>
      <c r="F573" s="240">
        <f>NANCY!I79</f>
        <v>0</v>
      </c>
      <c r="G573" s="240">
        <f>NANCY!J79</f>
        <v>0</v>
      </c>
      <c r="H573" s="240">
        <f>NANCY!K79</f>
        <v>0</v>
      </c>
      <c r="I573" s="240">
        <f>NANCY!L79</f>
        <v>0</v>
      </c>
      <c r="J573" s="240">
        <f>NANCY!M79</f>
        <v>0</v>
      </c>
      <c r="K573" s="240">
        <f>NANCY!N79</f>
        <v>0</v>
      </c>
      <c r="L573" s="240">
        <f>NANCY!O79</f>
        <v>0</v>
      </c>
      <c r="M573" s="240">
        <f>NANCY!P79</f>
        <v>0</v>
      </c>
      <c r="N573" s="240">
        <f>NANCY!Q79</f>
        <v>0</v>
      </c>
      <c r="O573" s="240">
        <f>NANCY!R79</f>
        <v>0</v>
      </c>
      <c r="P573" s="240">
        <f>NANCY!S79</f>
        <v>0</v>
      </c>
      <c r="Q573" s="240">
        <f>NANCY!T79</f>
        <v>0</v>
      </c>
      <c r="R573" s="240">
        <f>NANCY!U79</f>
        <v>0</v>
      </c>
      <c r="S573" s="242">
        <f>SUM(E573:Q573)</f>
        <v>0</v>
      </c>
    </row>
    <row r="574" spans="1:256" x14ac:dyDescent="0.2">
      <c r="A574" s="159">
        <v>615196</v>
      </c>
      <c r="B574" s="160" t="s">
        <v>120</v>
      </c>
      <c r="C574" s="148" t="s">
        <v>62</v>
      </c>
      <c r="D574" s="148" t="s">
        <v>179</v>
      </c>
      <c r="E574" s="240">
        <f>NANCY!H80</f>
        <v>0</v>
      </c>
      <c r="F574" s="240">
        <f>NANCY!I80</f>
        <v>0</v>
      </c>
      <c r="G574" s="240">
        <f>NANCY!J80</f>
        <v>0</v>
      </c>
      <c r="H574" s="240">
        <f>NANCY!K80</f>
        <v>0</v>
      </c>
      <c r="I574" s="240">
        <f>NANCY!L80</f>
        <v>0</v>
      </c>
      <c r="J574" s="240">
        <f>NANCY!M80</f>
        <v>0</v>
      </c>
      <c r="K574" s="240">
        <f>NANCY!N80</f>
        <v>0</v>
      </c>
      <c r="L574" s="240">
        <f>NANCY!O80</f>
        <v>0</v>
      </c>
      <c r="M574" s="240">
        <f>NANCY!P80</f>
        <v>0</v>
      </c>
      <c r="N574" s="240">
        <f>NANCY!Q80</f>
        <v>0</v>
      </c>
      <c r="O574" s="240">
        <f>NANCY!R80</f>
        <v>0</v>
      </c>
      <c r="P574" s="240">
        <f>NANCY!S80</f>
        <v>0</v>
      </c>
      <c r="Q574" s="240">
        <f>NANCY!T80</f>
        <v>0</v>
      </c>
      <c r="R574" s="240">
        <f>NANCY!U80</f>
        <v>0</v>
      </c>
      <c r="S574" s="242">
        <f>SUM(E574:Q574)</f>
        <v>0</v>
      </c>
    </row>
    <row r="575" spans="1:256" s="175" customFormat="1" x14ac:dyDescent="0.2">
      <c r="A575" s="270"/>
      <c r="B575" s="235"/>
      <c r="C575" s="148"/>
      <c r="D575" s="148"/>
      <c r="E575" s="240"/>
      <c r="F575" s="240"/>
      <c r="G575" s="240"/>
      <c r="H575" s="240"/>
      <c r="I575" s="240"/>
      <c r="J575" s="240"/>
      <c r="K575" s="240"/>
      <c r="L575" s="240"/>
      <c r="M575" s="240"/>
      <c r="N575" s="240"/>
      <c r="O575" s="240"/>
      <c r="P575" s="240"/>
      <c r="Q575" s="240"/>
      <c r="R575" s="240"/>
      <c r="S575" s="245"/>
      <c r="T575" s="184"/>
      <c r="U575" s="332"/>
      <c r="W575" s="184"/>
      <c r="X575" s="184"/>
      <c r="Y575" s="184"/>
      <c r="Z575" s="184"/>
      <c r="AA575" s="184"/>
      <c r="AB575" s="184"/>
      <c r="AC575" s="184"/>
      <c r="AD575" s="184"/>
      <c r="AE575" s="184"/>
      <c r="AF575" s="184"/>
      <c r="AG575" s="184"/>
      <c r="AH575" s="184"/>
      <c r="AI575" s="184"/>
      <c r="AJ575" s="184"/>
      <c r="AK575" s="184"/>
      <c r="AL575" s="184"/>
      <c r="AM575" s="184"/>
      <c r="AN575" s="184"/>
      <c r="AO575" s="184"/>
      <c r="AP575" s="184"/>
      <c r="AQ575" s="184"/>
      <c r="AR575" s="184"/>
      <c r="AS575" s="184"/>
      <c r="AT575" s="184"/>
      <c r="AU575" s="184"/>
      <c r="AV575" s="184"/>
      <c r="AW575" s="184"/>
      <c r="AX575" s="184"/>
      <c r="AY575" s="184"/>
      <c r="AZ575" s="184"/>
      <c r="BA575" s="184"/>
      <c r="BB575" s="184"/>
      <c r="BC575" s="184"/>
      <c r="BD575" s="184"/>
      <c r="BE575" s="184"/>
      <c r="BF575" s="184"/>
      <c r="BG575" s="184"/>
      <c r="BH575" s="184"/>
      <c r="BI575" s="184"/>
      <c r="BJ575" s="184"/>
      <c r="BK575" s="184"/>
      <c r="BL575" s="184"/>
      <c r="BM575" s="184"/>
      <c r="BN575" s="184"/>
      <c r="BO575" s="184"/>
      <c r="BP575" s="184"/>
      <c r="BQ575" s="184"/>
      <c r="BR575" s="184"/>
      <c r="BS575" s="184"/>
      <c r="BT575" s="184"/>
      <c r="BU575" s="184"/>
      <c r="BV575" s="184"/>
      <c r="BW575" s="184"/>
      <c r="BX575" s="184"/>
      <c r="BY575" s="184"/>
      <c r="BZ575" s="184"/>
      <c r="CA575" s="184"/>
      <c r="CB575" s="184"/>
      <c r="CC575" s="184"/>
      <c r="CD575" s="184"/>
      <c r="CE575" s="184"/>
      <c r="CF575" s="184"/>
      <c r="CG575" s="184"/>
      <c r="CH575" s="184"/>
      <c r="CI575" s="184"/>
      <c r="CJ575" s="184"/>
      <c r="CK575" s="184"/>
      <c r="CL575" s="184"/>
      <c r="CM575" s="184"/>
      <c r="CN575" s="184"/>
      <c r="CO575" s="184"/>
      <c r="CP575" s="184"/>
      <c r="CQ575" s="184"/>
      <c r="CR575" s="184"/>
      <c r="CS575" s="184"/>
      <c r="CT575" s="184"/>
      <c r="CU575" s="184"/>
      <c r="CV575" s="184"/>
      <c r="CW575" s="184"/>
      <c r="CX575" s="184"/>
      <c r="CY575" s="184"/>
      <c r="CZ575" s="184"/>
      <c r="DA575" s="184"/>
      <c r="DB575" s="184"/>
      <c r="DC575" s="184"/>
      <c r="DD575" s="184"/>
      <c r="DE575" s="184"/>
      <c r="DF575" s="184"/>
      <c r="DG575" s="184"/>
      <c r="DH575" s="184"/>
      <c r="DI575" s="184"/>
      <c r="DJ575" s="184"/>
      <c r="DK575" s="184"/>
      <c r="DL575" s="184"/>
      <c r="DM575" s="184"/>
      <c r="DN575" s="184"/>
      <c r="DO575" s="184"/>
      <c r="DP575" s="184"/>
      <c r="DQ575" s="184"/>
      <c r="DR575" s="184"/>
      <c r="DS575" s="184"/>
      <c r="DT575" s="184"/>
      <c r="DU575" s="184"/>
      <c r="DV575" s="184"/>
      <c r="DW575" s="184"/>
      <c r="DX575" s="184"/>
      <c r="DY575" s="184"/>
      <c r="DZ575" s="184"/>
      <c r="EA575" s="184"/>
      <c r="EB575" s="184"/>
      <c r="EC575" s="184"/>
      <c r="ED575" s="184"/>
      <c r="EE575" s="184"/>
      <c r="EF575" s="184"/>
      <c r="EG575" s="184"/>
      <c r="EH575" s="184"/>
      <c r="EI575" s="184"/>
      <c r="EJ575" s="184"/>
      <c r="EK575" s="184"/>
      <c r="EL575" s="184"/>
      <c r="EM575" s="184"/>
      <c r="EN575" s="184"/>
      <c r="EO575" s="184"/>
      <c r="EP575" s="184"/>
      <c r="EQ575" s="184"/>
      <c r="ER575" s="184"/>
      <c r="ES575" s="184"/>
      <c r="ET575" s="184"/>
      <c r="EU575" s="184"/>
      <c r="EV575" s="184"/>
      <c r="EW575" s="184"/>
      <c r="EX575" s="184"/>
      <c r="EY575" s="184"/>
      <c r="EZ575" s="184"/>
      <c r="FA575" s="184"/>
      <c r="FB575" s="184"/>
      <c r="FC575" s="184"/>
      <c r="FD575" s="184"/>
      <c r="FE575" s="184"/>
      <c r="FF575" s="184"/>
      <c r="FG575" s="184"/>
      <c r="FH575" s="184"/>
      <c r="FI575" s="184"/>
      <c r="FJ575" s="184"/>
      <c r="FK575" s="184"/>
      <c r="FL575" s="184"/>
      <c r="FM575" s="184"/>
      <c r="FN575" s="184"/>
      <c r="FO575" s="184"/>
      <c r="FP575" s="184"/>
      <c r="FQ575" s="184"/>
      <c r="FR575" s="184"/>
      <c r="FS575" s="184"/>
      <c r="FT575" s="184"/>
      <c r="FU575" s="184"/>
      <c r="FV575" s="184"/>
      <c r="FW575" s="184"/>
      <c r="FX575" s="184"/>
      <c r="FY575" s="184"/>
      <c r="FZ575" s="184"/>
      <c r="GA575" s="184"/>
      <c r="GB575" s="184"/>
      <c r="GC575" s="184"/>
      <c r="GD575" s="184"/>
      <c r="GE575" s="184"/>
      <c r="GF575" s="184"/>
      <c r="GG575" s="184"/>
      <c r="GH575" s="184"/>
      <c r="GI575" s="184"/>
      <c r="GJ575" s="184"/>
      <c r="GK575" s="184"/>
      <c r="GL575" s="184"/>
      <c r="GM575" s="184"/>
      <c r="GN575" s="184"/>
      <c r="GO575" s="184"/>
      <c r="GP575" s="184"/>
      <c r="GQ575" s="184"/>
      <c r="GR575" s="184"/>
      <c r="GS575" s="184"/>
      <c r="GT575" s="184"/>
      <c r="GU575" s="184"/>
      <c r="GV575" s="184"/>
      <c r="GW575" s="184"/>
      <c r="GX575" s="184"/>
      <c r="GY575" s="184"/>
      <c r="GZ575" s="184"/>
      <c r="HA575" s="184"/>
      <c r="HB575" s="184"/>
      <c r="HC575" s="184"/>
      <c r="HD575" s="184"/>
      <c r="HE575" s="184"/>
      <c r="HF575" s="184"/>
      <c r="HG575" s="184"/>
      <c r="HH575" s="184"/>
      <c r="HI575" s="184"/>
      <c r="HJ575" s="184"/>
      <c r="HK575" s="184"/>
      <c r="HL575" s="184"/>
      <c r="HM575" s="184"/>
      <c r="HN575" s="184"/>
      <c r="HO575" s="184"/>
      <c r="HP575" s="184"/>
      <c r="HQ575" s="184"/>
      <c r="HR575" s="184"/>
      <c r="HS575" s="184"/>
      <c r="HT575" s="184"/>
      <c r="HU575" s="184"/>
      <c r="HV575" s="184"/>
      <c r="HW575" s="184"/>
      <c r="HX575" s="184"/>
      <c r="HY575" s="184"/>
      <c r="HZ575" s="184"/>
      <c r="IA575" s="184"/>
      <c r="IB575" s="184"/>
      <c r="IC575" s="184"/>
      <c r="ID575" s="184"/>
      <c r="IE575" s="184"/>
      <c r="IF575" s="184"/>
      <c r="IG575" s="184"/>
      <c r="IH575" s="184"/>
      <c r="II575" s="184"/>
      <c r="IJ575" s="184"/>
      <c r="IK575" s="184"/>
      <c r="IL575" s="184"/>
      <c r="IM575" s="184"/>
      <c r="IN575" s="184"/>
      <c r="IO575" s="184"/>
      <c r="IP575" s="184"/>
      <c r="IQ575" s="184"/>
      <c r="IR575" s="184"/>
      <c r="IS575" s="184"/>
      <c r="IT575" s="184"/>
      <c r="IU575" s="184"/>
      <c r="IV575" s="184"/>
    </row>
    <row r="576" spans="1:256" x14ac:dyDescent="0.2">
      <c r="A576" s="159">
        <v>615196</v>
      </c>
      <c r="B576" s="160" t="s">
        <v>120</v>
      </c>
      <c r="C576" s="148" t="s">
        <v>80</v>
      </c>
      <c r="D576" s="148" t="s">
        <v>192</v>
      </c>
      <c r="E576" s="240">
        <f>RENNES!H129</f>
        <v>0</v>
      </c>
      <c r="F576" s="240">
        <f>RENNES!I129</f>
        <v>0</v>
      </c>
      <c r="G576" s="240">
        <f>RENNES!J129</f>
        <v>0</v>
      </c>
      <c r="H576" s="240">
        <f>RENNES!K129</f>
        <v>0</v>
      </c>
      <c r="I576" s="240">
        <f>RENNES!L129</f>
        <v>0</v>
      </c>
      <c r="J576" s="240">
        <f>RENNES!M129</f>
        <v>383.18</v>
      </c>
      <c r="K576" s="240">
        <f>RENNES!N129</f>
        <v>0</v>
      </c>
      <c r="L576" s="240">
        <f>RENNES!O129</f>
        <v>0</v>
      </c>
      <c r="M576" s="240">
        <f>RENNES!P129</f>
        <v>0</v>
      </c>
      <c r="N576" s="240">
        <f>RENNES!Q129</f>
        <v>0</v>
      </c>
      <c r="O576" s="240">
        <f>RENNES!R129</f>
        <v>0</v>
      </c>
      <c r="P576" s="240">
        <f>RENNES!S129</f>
        <v>606.02</v>
      </c>
      <c r="Q576" s="240">
        <f>RENNES!T129</f>
        <v>0</v>
      </c>
      <c r="R576" s="240">
        <f>RENNES!U129</f>
        <v>0</v>
      </c>
      <c r="S576" s="242">
        <f>SUM(E576:Q576)</f>
        <v>989.2</v>
      </c>
    </row>
    <row r="577" spans="1:256" x14ac:dyDescent="0.2">
      <c r="A577" s="159">
        <v>615196</v>
      </c>
      <c r="B577" s="160" t="s">
        <v>120</v>
      </c>
      <c r="C577" s="148" t="s">
        <v>80</v>
      </c>
      <c r="D577" s="148" t="s">
        <v>183</v>
      </c>
      <c r="E577" s="240">
        <f>RENNES!H130</f>
        <v>0</v>
      </c>
      <c r="F577" s="240">
        <f>RENNES!I130</f>
        <v>0</v>
      </c>
      <c r="G577" s="240">
        <f>RENNES!J130</f>
        <v>0</v>
      </c>
      <c r="H577" s="240">
        <f>RENNES!K130</f>
        <v>0</v>
      </c>
      <c r="I577" s="240">
        <f>RENNES!L130</f>
        <v>0</v>
      </c>
      <c r="J577" s="240">
        <f>RENNES!M130</f>
        <v>0</v>
      </c>
      <c r="K577" s="240">
        <f>RENNES!N130</f>
        <v>0</v>
      </c>
      <c r="L577" s="240">
        <f>RENNES!O130</f>
        <v>0</v>
      </c>
      <c r="M577" s="240">
        <f>RENNES!P130</f>
        <v>0</v>
      </c>
      <c r="N577" s="240">
        <f>RENNES!Q130</f>
        <v>0</v>
      </c>
      <c r="O577" s="240">
        <f>RENNES!R130</f>
        <v>0</v>
      </c>
      <c r="P577" s="240">
        <f>RENNES!S130</f>
        <v>0</v>
      </c>
      <c r="Q577" s="240">
        <f>RENNES!T130</f>
        <v>0</v>
      </c>
      <c r="R577" s="240">
        <f>RENNES!U130</f>
        <v>0</v>
      </c>
      <c r="S577" s="242">
        <f>SUM(E577:Q577)</f>
        <v>0</v>
      </c>
    </row>
    <row r="578" spans="1:256" x14ac:dyDescent="0.2">
      <c r="A578" s="159">
        <v>615196</v>
      </c>
      <c r="B578" s="160" t="s">
        <v>120</v>
      </c>
      <c r="C578" s="148" t="s">
        <v>80</v>
      </c>
      <c r="D578" s="148" t="s">
        <v>182</v>
      </c>
      <c r="E578" s="240">
        <f>RENNES!H131</f>
        <v>0</v>
      </c>
      <c r="F578" s="240">
        <f>RENNES!I131</f>
        <v>348.64</v>
      </c>
      <c r="G578" s="240">
        <f>RENNES!J131</f>
        <v>348.62</v>
      </c>
      <c r="H578" s="240">
        <f>RENNES!K131</f>
        <v>348.62</v>
      </c>
      <c r="I578" s="240">
        <f>RENNES!L131</f>
        <v>348.61</v>
      </c>
      <c r="J578" s="240">
        <f>RENNES!M131</f>
        <v>348.61</v>
      </c>
      <c r="K578" s="240">
        <f>RENNES!N131</f>
        <v>348.61</v>
      </c>
      <c r="L578" s="240">
        <f>RENNES!O131</f>
        <v>348.61</v>
      </c>
      <c r="M578" s="240">
        <f>RENNES!P131</f>
        <v>348.61</v>
      </c>
      <c r="N578" s="240">
        <f>RENNES!Q131</f>
        <v>348.61</v>
      </c>
      <c r="O578" s="240">
        <f>RENNES!R131</f>
        <v>348.61</v>
      </c>
      <c r="P578" s="240">
        <f>RENNES!S131</f>
        <v>348.61</v>
      </c>
      <c r="Q578" s="240">
        <f>RENNES!T131</f>
        <v>348.62</v>
      </c>
      <c r="R578" s="240">
        <f>RENNES!U131</f>
        <v>0</v>
      </c>
      <c r="S578" s="242">
        <f>SUM(E578:Q578)</f>
        <v>4183.380000000001</v>
      </c>
    </row>
    <row r="579" spans="1:256" s="175" customFormat="1" x14ac:dyDescent="0.2">
      <c r="A579" s="270"/>
      <c r="B579" s="235"/>
      <c r="C579" s="148"/>
      <c r="D579" s="148"/>
      <c r="E579" s="240"/>
      <c r="F579" s="240"/>
      <c r="G579" s="240"/>
      <c r="H579" s="240"/>
      <c r="I579" s="240"/>
      <c r="J579" s="240"/>
      <c r="K579" s="240"/>
      <c r="L579" s="240"/>
      <c r="M579" s="240"/>
      <c r="N579" s="240"/>
      <c r="O579" s="240"/>
      <c r="P579" s="240"/>
      <c r="Q579" s="240"/>
      <c r="R579" s="240"/>
      <c r="S579" s="245"/>
      <c r="T579" s="184"/>
      <c r="U579" s="332"/>
      <c r="W579" s="184"/>
      <c r="X579" s="184"/>
      <c r="Y579" s="184"/>
      <c r="Z579" s="184"/>
      <c r="AA579" s="184"/>
      <c r="AB579" s="184"/>
      <c r="AC579" s="184"/>
      <c r="AD579" s="184"/>
      <c r="AE579" s="184"/>
      <c r="AF579" s="184"/>
      <c r="AG579" s="184"/>
      <c r="AH579" s="184"/>
      <c r="AI579" s="184"/>
      <c r="AJ579" s="184"/>
      <c r="AK579" s="184"/>
      <c r="AL579" s="184"/>
      <c r="AM579" s="184"/>
      <c r="AN579" s="184"/>
      <c r="AO579" s="184"/>
      <c r="AP579" s="184"/>
      <c r="AQ579" s="184"/>
      <c r="AR579" s="184"/>
      <c r="AS579" s="184"/>
      <c r="AT579" s="184"/>
      <c r="AU579" s="184"/>
      <c r="AV579" s="184"/>
      <c r="AW579" s="184"/>
      <c r="AX579" s="184"/>
      <c r="AY579" s="184"/>
      <c r="AZ579" s="184"/>
      <c r="BA579" s="184"/>
      <c r="BB579" s="184"/>
      <c r="BC579" s="184"/>
      <c r="BD579" s="184"/>
      <c r="BE579" s="184"/>
      <c r="BF579" s="184"/>
      <c r="BG579" s="184"/>
      <c r="BH579" s="184"/>
      <c r="BI579" s="184"/>
      <c r="BJ579" s="184"/>
      <c r="BK579" s="184"/>
      <c r="BL579" s="184"/>
      <c r="BM579" s="184"/>
      <c r="BN579" s="184"/>
      <c r="BO579" s="184"/>
      <c r="BP579" s="184"/>
      <c r="BQ579" s="184"/>
      <c r="BR579" s="184"/>
      <c r="BS579" s="184"/>
      <c r="BT579" s="184"/>
      <c r="BU579" s="184"/>
      <c r="BV579" s="184"/>
      <c r="BW579" s="184"/>
      <c r="BX579" s="184"/>
      <c r="BY579" s="184"/>
      <c r="BZ579" s="184"/>
      <c r="CA579" s="184"/>
      <c r="CB579" s="184"/>
      <c r="CC579" s="184"/>
      <c r="CD579" s="184"/>
      <c r="CE579" s="184"/>
      <c r="CF579" s="184"/>
      <c r="CG579" s="184"/>
      <c r="CH579" s="184"/>
      <c r="CI579" s="184"/>
      <c r="CJ579" s="184"/>
      <c r="CK579" s="184"/>
      <c r="CL579" s="184"/>
      <c r="CM579" s="184"/>
      <c r="CN579" s="184"/>
      <c r="CO579" s="184"/>
      <c r="CP579" s="184"/>
      <c r="CQ579" s="184"/>
      <c r="CR579" s="184"/>
      <c r="CS579" s="184"/>
      <c r="CT579" s="184"/>
      <c r="CU579" s="184"/>
      <c r="CV579" s="184"/>
      <c r="CW579" s="184"/>
      <c r="CX579" s="184"/>
      <c r="CY579" s="184"/>
      <c r="CZ579" s="184"/>
      <c r="DA579" s="184"/>
      <c r="DB579" s="184"/>
      <c r="DC579" s="184"/>
      <c r="DD579" s="184"/>
      <c r="DE579" s="184"/>
      <c r="DF579" s="184"/>
      <c r="DG579" s="184"/>
      <c r="DH579" s="184"/>
      <c r="DI579" s="184"/>
      <c r="DJ579" s="184"/>
      <c r="DK579" s="184"/>
      <c r="DL579" s="184"/>
      <c r="DM579" s="184"/>
      <c r="DN579" s="184"/>
      <c r="DO579" s="184"/>
      <c r="DP579" s="184"/>
      <c r="DQ579" s="184"/>
      <c r="DR579" s="184"/>
      <c r="DS579" s="184"/>
      <c r="DT579" s="184"/>
      <c r="DU579" s="184"/>
      <c r="DV579" s="184"/>
      <c r="DW579" s="184"/>
      <c r="DX579" s="184"/>
      <c r="DY579" s="184"/>
      <c r="DZ579" s="184"/>
      <c r="EA579" s="184"/>
      <c r="EB579" s="184"/>
      <c r="EC579" s="184"/>
      <c r="ED579" s="184"/>
      <c r="EE579" s="184"/>
      <c r="EF579" s="184"/>
      <c r="EG579" s="184"/>
      <c r="EH579" s="184"/>
      <c r="EI579" s="184"/>
      <c r="EJ579" s="184"/>
      <c r="EK579" s="184"/>
      <c r="EL579" s="184"/>
      <c r="EM579" s="184"/>
      <c r="EN579" s="184"/>
      <c r="EO579" s="184"/>
      <c r="EP579" s="184"/>
      <c r="EQ579" s="184"/>
      <c r="ER579" s="184"/>
      <c r="ES579" s="184"/>
      <c r="ET579" s="184"/>
      <c r="EU579" s="184"/>
      <c r="EV579" s="184"/>
      <c r="EW579" s="184"/>
      <c r="EX579" s="184"/>
      <c r="EY579" s="184"/>
      <c r="EZ579" s="184"/>
      <c r="FA579" s="184"/>
      <c r="FB579" s="184"/>
      <c r="FC579" s="184"/>
      <c r="FD579" s="184"/>
      <c r="FE579" s="184"/>
      <c r="FF579" s="184"/>
      <c r="FG579" s="184"/>
      <c r="FH579" s="184"/>
      <c r="FI579" s="184"/>
      <c r="FJ579" s="184"/>
      <c r="FK579" s="184"/>
      <c r="FL579" s="184"/>
      <c r="FM579" s="184"/>
      <c r="FN579" s="184"/>
      <c r="FO579" s="184"/>
      <c r="FP579" s="184"/>
      <c r="FQ579" s="184"/>
      <c r="FR579" s="184"/>
      <c r="FS579" s="184"/>
      <c r="FT579" s="184"/>
      <c r="FU579" s="184"/>
      <c r="FV579" s="184"/>
      <c r="FW579" s="184"/>
      <c r="FX579" s="184"/>
      <c r="FY579" s="184"/>
      <c r="FZ579" s="184"/>
      <c r="GA579" s="184"/>
      <c r="GB579" s="184"/>
      <c r="GC579" s="184"/>
      <c r="GD579" s="184"/>
      <c r="GE579" s="184"/>
      <c r="GF579" s="184"/>
      <c r="GG579" s="184"/>
      <c r="GH579" s="184"/>
      <c r="GI579" s="184"/>
      <c r="GJ579" s="184"/>
      <c r="GK579" s="184"/>
      <c r="GL579" s="184"/>
      <c r="GM579" s="184"/>
      <c r="GN579" s="184"/>
      <c r="GO579" s="184"/>
      <c r="GP579" s="184"/>
      <c r="GQ579" s="184"/>
      <c r="GR579" s="184"/>
      <c r="GS579" s="184"/>
      <c r="GT579" s="184"/>
      <c r="GU579" s="184"/>
      <c r="GV579" s="184"/>
      <c r="GW579" s="184"/>
      <c r="GX579" s="184"/>
      <c r="GY579" s="184"/>
      <c r="GZ579" s="184"/>
      <c r="HA579" s="184"/>
      <c r="HB579" s="184"/>
      <c r="HC579" s="184"/>
      <c r="HD579" s="184"/>
      <c r="HE579" s="184"/>
      <c r="HF579" s="184"/>
      <c r="HG579" s="184"/>
      <c r="HH579" s="184"/>
      <c r="HI579" s="184"/>
      <c r="HJ579" s="184"/>
      <c r="HK579" s="184"/>
      <c r="HL579" s="184"/>
      <c r="HM579" s="184"/>
      <c r="HN579" s="184"/>
      <c r="HO579" s="184"/>
      <c r="HP579" s="184"/>
      <c r="HQ579" s="184"/>
      <c r="HR579" s="184"/>
      <c r="HS579" s="184"/>
      <c r="HT579" s="184"/>
      <c r="HU579" s="184"/>
      <c r="HV579" s="184"/>
      <c r="HW579" s="184"/>
      <c r="HX579" s="184"/>
      <c r="HY579" s="184"/>
      <c r="HZ579" s="184"/>
      <c r="IA579" s="184"/>
      <c r="IB579" s="184"/>
      <c r="IC579" s="184"/>
      <c r="ID579" s="184"/>
      <c r="IE579" s="184"/>
      <c r="IF579" s="184"/>
      <c r="IG579" s="184"/>
      <c r="IH579" s="184"/>
      <c r="II579" s="184"/>
      <c r="IJ579" s="184"/>
      <c r="IK579" s="184"/>
      <c r="IL579" s="184"/>
      <c r="IM579" s="184"/>
      <c r="IN579" s="184"/>
      <c r="IO579" s="184"/>
      <c r="IP579" s="184"/>
      <c r="IQ579" s="184"/>
      <c r="IR579" s="184"/>
      <c r="IS579" s="184"/>
      <c r="IT579" s="184"/>
      <c r="IU579" s="184"/>
      <c r="IV579" s="184"/>
    </row>
    <row r="580" spans="1:256" x14ac:dyDescent="0.2">
      <c r="A580" s="159">
        <v>615196</v>
      </c>
      <c r="B580" s="160" t="s">
        <v>120</v>
      </c>
      <c r="C580" s="148" t="s">
        <v>156</v>
      </c>
      <c r="D580" s="148" t="s">
        <v>183</v>
      </c>
      <c r="E580" s="240">
        <f>+BEAUVAIS!H132</f>
        <v>0</v>
      </c>
      <c r="F580" s="240">
        <f>+BEAUVAIS!I132</f>
        <v>0</v>
      </c>
      <c r="G580" s="240">
        <f>+BEAUVAIS!J132</f>
        <v>0</v>
      </c>
      <c r="H580" s="240">
        <f>+BEAUVAIS!K132</f>
        <v>0</v>
      </c>
      <c r="I580" s="240">
        <f>+BEAUVAIS!L132</f>
        <v>0</v>
      </c>
      <c r="J580" s="240">
        <f>+BEAUVAIS!M132</f>
        <v>0</v>
      </c>
      <c r="K580" s="240">
        <f>+BEAUVAIS!N132</f>
        <v>0</v>
      </c>
      <c r="L580" s="240">
        <f>+BEAUVAIS!O132</f>
        <v>0</v>
      </c>
      <c r="M580" s="240">
        <f>+BEAUVAIS!P132</f>
        <v>0</v>
      </c>
      <c r="N580" s="240">
        <f>+BEAUVAIS!Q132</f>
        <v>0</v>
      </c>
      <c r="O580" s="240">
        <f>+BEAUVAIS!R132</f>
        <v>39.72</v>
      </c>
      <c r="P580" s="240">
        <f>+BEAUVAIS!S132</f>
        <v>0</v>
      </c>
      <c r="Q580" s="240">
        <f>+BEAUVAIS!T132</f>
        <v>174.33</v>
      </c>
      <c r="R580" s="240">
        <f>+BEAUVAIS!U132</f>
        <v>0</v>
      </c>
      <c r="S580" s="242">
        <f>SUM(E580:Q580)</f>
        <v>214.05</v>
      </c>
    </row>
    <row r="581" spans="1:256" x14ac:dyDescent="0.2">
      <c r="A581" s="159">
        <v>615196</v>
      </c>
      <c r="B581" s="160" t="s">
        <v>120</v>
      </c>
      <c r="C581" s="148" t="s">
        <v>156</v>
      </c>
      <c r="D581" s="148" t="s">
        <v>182</v>
      </c>
      <c r="E581" s="240">
        <f>BEAUVAIS!H131</f>
        <v>0</v>
      </c>
      <c r="F581" s="240">
        <f>BEAUVAIS!I131</f>
        <v>457.54</v>
      </c>
      <c r="G581" s="240">
        <f>BEAUVAIS!J131</f>
        <v>457.54</v>
      </c>
      <c r="H581" s="240">
        <f>BEAUVAIS!K131</f>
        <v>457.54</v>
      </c>
      <c r="I581" s="240">
        <f>BEAUVAIS!L131</f>
        <v>457.54</v>
      </c>
      <c r="J581" s="240">
        <f>BEAUVAIS!M131</f>
        <v>457.54</v>
      </c>
      <c r="K581" s="240">
        <f>BEAUVAIS!N131</f>
        <v>457.54</v>
      </c>
      <c r="L581" s="240">
        <f>BEAUVAIS!O131</f>
        <v>457.54</v>
      </c>
      <c r="M581" s="240">
        <f>BEAUVAIS!P131</f>
        <v>457.54</v>
      </c>
      <c r="N581" s="240">
        <f>BEAUVAIS!Q131</f>
        <v>457.54</v>
      </c>
      <c r="O581" s="240">
        <f>BEAUVAIS!R131</f>
        <v>457.54</v>
      </c>
      <c r="P581" s="240">
        <f>BEAUVAIS!S131</f>
        <v>457.54</v>
      </c>
      <c r="Q581" s="240">
        <f>BEAUVAIS!T131</f>
        <v>457.51</v>
      </c>
      <c r="R581" s="240">
        <f>BEAUVAIS!U131</f>
        <v>0</v>
      </c>
      <c r="S581" s="242">
        <f>SUM(E581:Q581)</f>
        <v>5490.4500000000007</v>
      </c>
    </row>
    <row r="582" spans="1:256" s="175" customFormat="1" x14ac:dyDescent="0.2">
      <c r="A582" s="270"/>
      <c r="B582" s="235"/>
      <c r="C582" s="148"/>
      <c r="D582" s="148"/>
      <c r="E582" s="240"/>
      <c r="F582" s="240"/>
      <c r="G582" s="240"/>
      <c r="H582" s="240"/>
      <c r="I582" s="240"/>
      <c r="J582" s="240"/>
      <c r="K582" s="240"/>
      <c r="L582" s="240"/>
      <c r="M582" s="240"/>
      <c r="N582" s="240"/>
      <c r="O582" s="240"/>
      <c r="P582" s="240"/>
      <c r="Q582" s="240"/>
      <c r="R582" s="240"/>
      <c r="S582" s="245"/>
      <c r="T582" s="184"/>
      <c r="U582" s="332"/>
      <c r="W582" s="184"/>
      <c r="X582" s="184"/>
      <c r="Y582" s="184"/>
      <c r="Z582" s="184"/>
      <c r="AA582" s="184"/>
      <c r="AB582" s="184"/>
      <c r="AC582" s="184"/>
      <c r="AD582" s="184"/>
      <c r="AE582" s="184"/>
      <c r="AF582" s="184"/>
      <c r="AG582" s="184"/>
      <c r="AH582" s="184"/>
      <c r="AI582" s="184"/>
      <c r="AJ582" s="184"/>
      <c r="AK582" s="184"/>
      <c r="AL582" s="184"/>
      <c r="AM582" s="184"/>
      <c r="AN582" s="184"/>
      <c r="AO582" s="184"/>
      <c r="AP582" s="184"/>
      <c r="AQ582" s="184"/>
      <c r="AR582" s="184"/>
      <c r="AS582" s="184"/>
      <c r="AT582" s="184"/>
      <c r="AU582" s="184"/>
      <c r="AV582" s="184"/>
      <c r="AW582" s="184"/>
      <c r="AX582" s="184"/>
      <c r="AY582" s="184"/>
      <c r="AZ582" s="184"/>
      <c r="BA582" s="184"/>
      <c r="BB582" s="184"/>
      <c r="BC582" s="184"/>
      <c r="BD582" s="184"/>
      <c r="BE582" s="184"/>
      <c r="BF582" s="184"/>
      <c r="BG582" s="184"/>
      <c r="BH582" s="184"/>
      <c r="BI582" s="184"/>
      <c r="BJ582" s="184"/>
      <c r="BK582" s="184"/>
      <c r="BL582" s="184"/>
      <c r="BM582" s="184"/>
      <c r="BN582" s="184"/>
      <c r="BO582" s="184"/>
      <c r="BP582" s="184"/>
      <c r="BQ582" s="184"/>
      <c r="BR582" s="184"/>
      <c r="BS582" s="184"/>
      <c r="BT582" s="184"/>
      <c r="BU582" s="184"/>
      <c r="BV582" s="184"/>
      <c r="BW582" s="184"/>
      <c r="BX582" s="184"/>
      <c r="BY582" s="184"/>
      <c r="BZ582" s="184"/>
      <c r="CA582" s="184"/>
      <c r="CB582" s="184"/>
      <c r="CC582" s="184"/>
      <c r="CD582" s="184"/>
      <c r="CE582" s="184"/>
      <c r="CF582" s="184"/>
      <c r="CG582" s="184"/>
      <c r="CH582" s="184"/>
      <c r="CI582" s="184"/>
      <c r="CJ582" s="184"/>
      <c r="CK582" s="184"/>
      <c r="CL582" s="184"/>
      <c r="CM582" s="184"/>
      <c r="CN582" s="184"/>
      <c r="CO582" s="184"/>
      <c r="CP582" s="184"/>
      <c r="CQ582" s="184"/>
      <c r="CR582" s="184"/>
      <c r="CS582" s="184"/>
      <c r="CT582" s="184"/>
      <c r="CU582" s="184"/>
      <c r="CV582" s="184"/>
      <c r="CW582" s="184"/>
      <c r="CX582" s="184"/>
      <c r="CY582" s="184"/>
      <c r="CZ582" s="184"/>
      <c r="DA582" s="184"/>
      <c r="DB582" s="184"/>
      <c r="DC582" s="184"/>
      <c r="DD582" s="184"/>
      <c r="DE582" s="184"/>
      <c r="DF582" s="184"/>
      <c r="DG582" s="184"/>
      <c r="DH582" s="184"/>
      <c r="DI582" s="184"/>
      <c r="DJ582" s="184"/>
      <c r="DK582" s="184"/>
      <c r="DL582" s="184"/>
      <c r="DM582" s="184"/>
      <c r="DN582" s="184"/>
      <c r="DO582" s="184"/>
      <c r="DP582" s="184"/>
      <c r="DQ582" s="184"/>
      <c r="DR582" s="184"/>
      <c r="DS582" s="184"/>
      <c r="DT582" s="184"/>
      <c r="DU582" s="184"/>
      <c r="DV582" s="184"/>
      <c r="DW582" s="184"/>
      <c r="DX582" s="184"/>
      <c r="DY582" s="184"/>
      <c r="DZ582" s="184"/>
      <c r="EA582" s="184"/>
      <c r="EB582" s="184"/>
      <c r="EC582" s="184"/>
      <c r="ED582" s="184"/>
      <c r="EE582" s="184"/>
      <c r="EF582" s="184"/>
      <c r="EG582" s="184"/>
      <c r="EH582" s="184"/>
      <c r="EI582" s="184"/>
      <c r="EJ582" s="184"/>
      <c r="EK582" s="184"/>
      <c r="EL582" s="184"/>
      <c r="EM582" s="184"/>
      <c r="EN582" s="184"/>
      <c r="EO582" s="184"/>
      <c r="EP582" s="184"/>
      <c r="EQ582" s="184"/>
      <c r="ER582" s="184"/>
      <c r="ES582" s="184"/>
      <c r="ET582" s="184"/>
      <c r="EU582" s="184"/>
      <c r="EV582" s="184"/>
      <c r="EW582" s="184"/>
      <c r="EX582" s="184"/>
      <c r="EY582" s="184"/>
      <c r="EZ582" s="184"/>
      <c r="FA582" s="184"/>
      <c r="FB582" s="184"/>
      <c r="FC582" s="184"/>
      <c r="FD582" s="184"/>
      <c r="FE582" s="184"/>
      <c r="FF582" s="184"/>
      <c r="FG582" s="184"/>
      <c r="FH582" s="184"/>
      <c r="FI582" s="184"/>
      <c r="FJ582" s="184"/>
      <c r="FK582" s="184"/>
      <c r="FL582" s="184"/>
      <c r="FM582" s="184"/>
      <c r="FN582" s="184"/>
      <c r="FO582" s="184"/>
      <c r="FP582" s="184"/>
      <c r="FQ582" s="184"/>
      <c r="FR582" s="184"/>
      <c r="FS582" s="184"/>
      <c r="FT582" s="184"/>
      <c r="FU582" s="184"/>
      <c r="FV582" s="184"/>
      <c r="FW582" s="184"/>
      <c r="FX582" s="184"/>
      <c r="FY582" s="184"/>
      <c r="FZ582" s="184"/>
      <c r="GA582" s="184"/>
      <c r="GB582" s="184"/>
      <c r="GC582" s="184"/>
      <c r="GD582" s="184"/>
      <c r="GE582" s="184"/>
      <c r="GF582" s="184"/>
      <c r="GG582" s="184"/>
      <c r="GH582" s="184"/>
      <c r="GI582" s="184"/>
      <c r="GJ582" s="184"/>
      <c r="GK582" s="184"/>
      <c r="GL582" s="184"/>
      <c r="GM582" s="184"/>
      <c r="GN582" s="184"/>
      <c r="GO582" s="184"/>
      <c r="GP582" s="184"/>
      <c r="GQ582" s="184"/>
      <c r="GR582" s="184"/>
      <c r="GS582" s="184"/>
      <c r="GT582" s="184"/>
      <c r="GU582" s="184"/>
      <c r="GV582" s="184"/>
      <c r="GW582" s="184"/>
      <c r="GX582" s="184"/>
      <c r="GY582" s="184"/>
      <c r="GZ582" s="184"/>
      <c r="HA582" s="184"/>
      <c r="HB582" s="184"/>
      <c r="HC582" s="184"/>
      <c r="HD582" s="184"/>
      <c r="HE582" s="184"/>
      <c r="HF582" s="184"/>
      <c r="HG582" s="184"/>
      <c r="HH582" s="184"/>
      <c r="HI582" s="184"/>
      <c r="HJ582" s="184"/>
      <c r="HK582" s="184"/>
      <c r="HL582" s="184"/>
      <c r="HM582" s="184"/>
      <c r="HN582" s="184"/>
      <c r="HO582" s="184"/>
      <c r="HP582" s="184"/>
      <c r="HQ582" s="184"/>
      <c r="HR582" s="184"/>
      <c r="HS582" s="184"/>
      <c r="HT582" s="184"/>
      <c r="HU582" s="184"/>
      <c r="HV582" s="184"/>
      <c r="HW582" s="184"/>
      <c r="HX582" s="184"/>
      <c r="HY582" s="184"/>
      <c r="HZ582" s="184"/>
      <c r="IA582" s="184"/>
      <c r="IB582" s="184"/>
      <c r="IC582" s="184"/>
      <c r="ID582" s="184"/>
      <c r="IE582" s="184"/>
      <c r="IF582" s="184"/>
      <c r="IG582" s="184"/>
      <c r="IH582" s="184"/>
      <c r="II582" s="184"/>
      <c r="IJ582" s="184"/>
      <c r="IK582" s="184"/>
      <c r="IL582" s="184"/>
      <c r="IM582" s="184"/>
      <c r="IN582" s="184"/>
      <c r="IO582" s="184"/>
      <c r="IP582" s="184"/>
      <c r="IQ582" s="184"/>
      <c r="IR582" s="184"/>
      <c r="IS582" s="184"/>
      <c r="IT582" s="184"/>
      <c r="IU582" s="184"/>
      <c r="IV582" s="184"/>
    </row>
    <row r="583" spans="1:256" x14ac:dyDescent="0.2">
      <c r="A583" s="159">
        <v>615196</v>
      </c>
      <c r="B583" s="160" t="s">
        <v>120</v>
      </c>
      <c r="C583" s="148" t="s">
        <v>172</v>
      </c>
      <c r="D583" s="148" t="s">
        <v>192</v>
      </c>
      <c r="E583" s="240">
        <f>TOULOUSE!H75</f>
        <v>0</v>
      </c>
      <c r="F583" s="240">
        <f>TOULOUSE!I75</f>
        <v>0</v>
      </c>
      <c r="G583" s="240">
        <f>TOULOUSE!J75</f>
        <v>0</v>
      </c>
      <c r="H583" s="240">
        <f>TOULOUSE!K75</f>
        <v>0</v>
      </c>
      <c r="I583" s="240">
        <f>TOULOUSE!L75</f>
        <v>0</v>
      </c>
      <c r="J583" s="240">
        <f>TOULOUSE!M75</f>
        <v>0</v>
      </c>
      <c r="K583" s="240">
        <f>TOULOUSE!N75</f>
        <v>0</v>
      </c>
      <c r="L583" s="240">
        <f>TOULOUSE!O75</f>
        <v>0</v>
      </c>
      <c r="M583" s="240">
        <f>TOULOUSE!P75</f>
        <v>0</v>
      </c>
      <c r="N583" s="240">
        <f>TOULOUSE!Q75</f>
        <v>0</v>
      </c>
      <c r="O583" s="240">
        <f>TOULOUSE!R75</f>
        <v>0</v>
      </c>
      <c r="P583" s="240">
        <f>TOULOUSE!S75</f>
        <v>0</v>
      </c>
      <c r="Q583" s="240">
        <f>TOULOUSE!T75</f>
        <v>0</v>
      </c>
      <c r="R583" s="240">
        <f>TOULOUSE!U75</f>
        <v>0</v>
      </c>
      <c r="S583" s="242">
        <f>SUM(E583:Q583)</f>
        <v>0</v>
      </c>
    </row>
    <row r="584" spans="1:256" s="175" customFormat="1" x14ac:dyDescent="0.2">
      <c r="A584" s="270"/>
      <c r="B584" s="235"/>
      <c r="C584" s="148"/>
      <c r="D584" s="148"/>
      <c r="E584" s="240"/>
      <c r="F584" s="240"/>
      <c r="G584" s="240"/>
      <c r="H584" s="240"/>
      <c r="I584" s="240"/>
      <c r="J584" s="240"/>
      <c r="K584" s="240"/>
      <c r="L584" s="240"/>
      <c r="M584" s="240"/>
      <c r="N584" s="240"/>
      <c r="O584" s="240"/>
      <c r="P584" s="240"/>
      <c r="Q584" s="240"/>
      <c r="R584" s="240"/>
      <c r="S584" s="245"/>
      <c r="T584" s="184"/>
      <c r="U584" s="332"/>
      <c r="W584" s="184"/>
      <c r="X584" s="184"/>
      <c r="Y584" s="184"/>
      <c r="Z584" s="184"/>
      <c r="AA584" s="184"/>
      <c r="AB584" s="184"/>
      <c r="AC584" s="184"/>
      <c r="AD584" s="184"/>
      <c r="AE584" s="184"/>
      <c r="AF584" s="184"/>
      <c r="AG584" s="184"/>
      <c r="AH584" s="184"/>
      <c r="AI584" s="184"/>
      <c r="AJ584" s="184"/>
      <c r="AK584" s="184"/>
      <c r="AL584" s="184"/>
      <c r="AM584" s="184"/>
      <c r="AN584" s="184"/>
      <c r="AO584" s="184"/>
      <c r="AP584" s="184"/>
      <c r="AQ584" s="184"/>
      <c r="AR584" s="184"/>
      <c r="AS584" s="184"/>
      <c r="AT584" s="184"/>
      <c r="AU584" s="184"/>
      <c r="AV584" s="184"/>
      <c r="AW584" s="184"/>
      <c r="AX584" s="184"/>
      <c r="AY584" s="184"/>
      <c r="AZ584" s="184"/>
      <c r="BA584" s="184"/>
      <c r="BB584" s="184"/>
      <c r="BC584" s="184"/>
      <c r="BD584" s="184"/>
      <c r="BE584" s="184"/>
      <c r="BF584" s="184"/>
      <c r="BG584" s="184"/>
      <c r="BH584" s="184"/>
      <c r="BI584" s="184"/>
      <c r="BJ584" s="184"/>
      <c r="BK584" s="184"/>
      <c r="BL584" s="184"/>
      <c r="BM584" s="184"/>
      <c r="BN584" s="184"/>
      <c r="BO584" s="184"/>
      <c r="BP584" s="184"/>
      <c r="BQ584" s="184"/>
      <c r="BR584" s="184"/>
      <c r="BS584" s="184"/>
      <c r="BT584" s="184"/>
      <c r="BU584" s="184"/>
      <c r="BV584" s="184"/>
      <c r="BW584" s="184"/>
      <c r="BX584" s="184"/>
      <c r="BY584" s="184"/>
      <c r="BZ584" s="184"/>
      <c r="CA584" s="184"/>
      <c r="CB584" s="184"/>
      <c r="CC584" s="184"/>
      <c r="CD584" s="184"/>
      <c r="CE584" s="184"/>
      <c r="CF584" s="184"/>
      <c r="CG584" s="184"/>
      <c r="CH584" s="184"/>
      <c r="CI584" s="184"/>
      <c r="CJ584" s="184"/>
      <c r="CK584" s="184"/>
      <c r="CL584" s="184"/>
      <c r="CM584" s="184"/>
      <c r="CN584" s="184"/>
      <c r="CO584" s="184"/>
      <c r="CP584" s="184"/>
      <c r="CQ584" s="184"/>
      <c r="CR584" s="184"/>
      <c r="CS584" s="184"/>
      <c r="CT584" s="184"/>
      <c r="CU584" s="184"/>
      <c r="CV584" s="184"/>
      <c r="CW584" s="184"/>
      <c r="CX584" s="184"/>
      <c r="CY584" s="184"/>
      <c r="CZ584" s="184"/>
      <c r="DA584" s="184"/>
      <c r="DB584" s="184"/>
      <c r="DC584" s="184"/>
      <c r="DD584" s="184"/>
      <c r="DE584" s="184"/>
      <c r="DF584" s="184"/>
      <c r="DG584" s="184"/>
      <c r="DH584" s="184"/>
      <c r="DI584" s="184"/>
      <c r="DJ584" s="184"/>
      <c r="DK584" s="184"/>
      <c r="DL584" s="184"/>
      <c r="DM584" s="184"/>
      <c r="DN584" s="184"/>
      <c r="DO584" s="184"/>
      <c r="DP584" s="184"/>
      <c r="DQ584" s="184"/>
      <c r="DR584" s="184"/>
      <c r="DS584" s="184"/>
      <c r="DT584" s="184"/>
      <c r="DU584" s="184"/>
      <c r="DV584" s="184"/>
      <c r="DW584" s="184"/>
      <c r="DX584" s="184"/>
      <c r="DY584" s="184"/>
      <c r="DZ584" s="184"/>
      <c r="EA584" s="184"/>
      <c r="EB584" s="184"/>
      <c r="EC584" s="184"/>
      <c r="ED584" s="184"/>
      <c r="EE584" s="184"/>
      <c r="EF584" s="184"/>
      <c r="EG584" s="184"/>
      <c r="EH584" s="184"/>
      <c r="EI584" s="184"/>
      <c r="EJ584" s="184"/>
      <c r="EK584" s="184"/>
      <c r="EL584" s="184"/>
      <c r="EM584" s="184"/>
      <c r="EN584" s="184"/>
      <c r="EO584" s="184"/>
      <c r="EP584" s="184"/>
      <c r="EQ584" s="184"/>
      <c r="ER584" s="184"/>
      <c r="ES584" s="184"/>
      <c r="ET584" s="184"/>
      <c r="EU584" s="184"/>
      <c r="EV584" s="184"/>
      <c r="EW584" s="184"/>
      <c r="EX584" s="184"/>
      <c r="EY584" s="184"/>
      <c r="EZ584" s="184"/>
      <c r="FA584" s="184"/>
      <c r="FB584" s="184"/>
      <c r="FC584" s="184"/>
      <c r="FD584" s="184"/>
      <c r="FE584" s="184"/>
      <c r="FF584" s="184"/>
      <c r="FG584" s="184"/>
      <c r="FH584" s="184"/>
      <c r="FI584" s="184"/>
      <c r="FJ584" s="184"/>
      <c r="FK584" s="184"/>
      <c r="FL584" s="184"/>
      <c r="FM584" s="184"/>
      <c r="FN584" s="184"/>
      <c r="FO584" s="184"/>
      <c r="FP584" s="184"/>
      <c r="FQ584" s="184"/>
      <c r="FR584" s="184"/>
      <c r="FS584" s="184"/>
      <c r="FT584" s="184"/>
      <c r="FU584" s="184"/>
      <c r="FV584" s="184"/>
      <c r="FW584" s="184"/>
      <c r="FX584" s="184"/>
      <c r="FY584" s="184"/>
      <c r="FZ584" s="184"/>
      <c r="GA584" s="184"/>
      <c r="GB584" s="184"/>
      <c r="GC584" s="184"/>
      <c r="GD584" s="184"/>
      <c r="GE584" s="184"/>
      <c r="GF584" s="184"/>
      <c r="GG584" s="184"/>
      <c r="GH584" s="184"/>
      <c r="GI584" s="184"/>
      <c r="GJ584" s="184"/>
      <c r="GK584" s="184"/>
      <c r="GL584" s="184"/>
      <c r="GM584" s="184"/>
      <c r="GN584" s="184"/>
      <c r="GO584" s="184"/>
      <c r="GP584" s="184"/>
      <c r="GQ584" s="184"/>
      <c r="GR584" s="184"/>
      <c r="GS584" s="184"/>
      <c r="GT584" s="184"/>
      <c r="GU584" s="184"/>
      <c r="GV584" s="184"/>
      <c r="GW584" s="184"/>
      <c r="GX584" s="184"/>
      <c r="GY584" s="184"/>
      <c r="GZ584" s="184"/>
      <c r="HA584" s="184"/>
      <c r="HB584" s="184"/>
      <c r="HC584" s="184"/>
      <c r="HD584" s="184"/>
      <c r="HE584" s="184"/>
      <c r="HF584" s="184"/>
      <c r="HG584" s="184"/>
      <c r="HH584" s="184"/>
      <c r="HI584" s="184"/>
      <c r="HJ584" s="184"/>
      <c r="HK584" s="184"/>
      <c r="HL584" s="184"/>
      <c r="HM584" s="184"/>
      <c r="HN584" s="184"/>
      <c r="HO584" s="184"/>
      <c r="HP584" s="184"/>
      <c r="HQ584" s="184"/>
      <c r="HR584" s="184"/>
      <c r="HS584" s="184"/>
      <c r="HT584" s="184"/>
      <c r="HU584" s="184"/>
      <c r="HV584" s="184"/>
      <c r="HW584" s="184"/>
      <c r="HX584" s="184"/>
      <c r="HY584" s="184"/>
      <c r="HZ584" s="184"/>
      <c r="IA584" s="184"/>
      <c r="IB584" s="184"/>
      <c r="IC584" s="184"/>
      <c r="ID584" s="184"/>
      <c r="IE584" s="184"/>
      <c r="IF584" s="184"/>
      <c r="IG584" s="184"/>
      <c r="IH584" s="184"/>
      <c r="II584" s="184"/>
      <c r="IJ584" s="184"/>
      <c r="IK584" s="184"/>
      <c r="IL584" s="184"/>
      <c r="IM584" s="184"/>
      <c r="IN584" s="184"/>
      <c r="IO584" s="184"/>
      <c r="IP584" s="184"/>
      <c r="IQ584" s="184"/>
      <c r="IR584" s="184"/>
      <c r="IS584" s="184"/>
      <c r="IT584" s="184"/>
      <c r="IU584" s="184"/>
      <c r="IV584" s="184"/>
    </row>
    <row r="585" spans="1:256" x14ac:dyDescent="0.2">
      <c r="A585" s="159">
        <v>615196</v>
      </c>
      <c r="B585" s="160" t="s">
        <v>120</v>
      </c>
      <c r="C585" s="148" t="s">
        <v>79</v>
      </c>
      <c r="D585" s="148" t="s">
        <v>183</v>
      </c>
      <c r="E585" s="240">
        <f>SIEGE!H57</f>
        <v>0</v>
      </c>
      <c r="F585" s="240">
        <f>SIEGE!I57</f>
        <v>0</v>
      </c>
      <c r="G585" s="240">
        <f>SIEGE!J57</f>
        <v>0</v>
      </c>
      <c r="H585" s="240">
        <f>SIEGE!K57</f>
        <v>0</v>
      </c>
      <c r="I585" s="240">
        <f>SIEGE!L57</f>
        <v>0</v>
      </c>
      <c r="J585" s="240">
        <f>SIEGE!M57</f>
        <v>0</v>
      </c>
      <c r="K585" s="240">
        <f>SIEGE!N57</f>
        <v>0</v>
      </c>
      <c r="L585" s="240">
        <f>SIEGE!O57</f>
        <v>0</v>
      </c>
      <c r="M585" s="240">
        <f>SIEGE!P57</f>
        <v>0</v>
      </c>
      <c r="N585" s="240">
        <f>SIEGE!Q57</f>
        <v>0</v>
      </c>
      <c r="O585" s="240">
        <f>SIEGE!R57</f>
        <v>0</v>
      </c>
      <c r="P585" s="240">
        <f>SIEGE!S57</f>
        <v>0</v>
      </c>
      <c r="Q585" s="240">
        <f>SIEGE!T57</f>
        <v>0</v>
      </c>
      <c r="R585" s="240">
        <f>SIEGE!U57</f>
        <v>0</v>
      </c>
      <c r="S585" s="242">
        <f>SUM(E585:Q585)</f>
        <v>0</v>
      </c>
    </row>
    <row r="586" spans="1:256" x14ac:dyDescent="0.2">
      <c r="A586" s="159">
        <v>615196</v>
      </c>
      <c r="B586" s="160" t="s">
        <v>120</v>
      </c>
      <c r="C586" s="148" t="s">
        <v>79</v>
      </c>
      <c r="D586" s="148" t="s">
        <v>192</v>
      </c>
      <c r="E586" s="240">
        <f>SIEGE!H59</f>
        <v>0</v>
      </c>
      <c r="F586" s="240">
        <f>SIEGE!I59</f>
        <v>0</v>
      </c>
      <c r="G586" s="240">
        <f>SIEGE!J59</f>
        <v>0</v>
      </c>
      <c r="H586" s="240">
        <f>SIEGE!K59</f>
        <v>0</v>
      </c>
      <c r="I586" s="240">
        <f>SIEGE!L59</f>
        <v>0</v>
      </c>
      <c r="J586" s="240">
        <f>SIEGE!M59</f>
        <v>0</v>
      </c>
      <c r="K586" s="240">
        <f>SIEGE!N59</f>
        <v>0</v>
      </c>
      <c r="L586" s="240">
        <f>SIEGE!O59</f>
        <v>0</v>
      </c>
      <c r="M586" s="240">
        <f>SIEGE!P59</f>
        <v>0</v>
      </c>
      <c r="N586" s="240">
        <f>SIEGE!Q59</f>
        <v>0</v>
      </c>
      <c r="O586" s="240">
        <f>SIEGE!R59</f>
        <v>0</v>
      </c>
      <c r="P586" s="240">
        <f>SIEGE!S59</f>
        <v>0</v>
      </c>
      <c r="Q586" s="240">
        <f>SIEGE!T59</f>
        <v>0</v>
      </c>
      <c r="R586" s="240">
        <f>SIEGE!U59</f>
        <v>0</v>
      </c>
      <c r="S586" s="242">
        <f>SUM(E586:Q586)</f>
        <v>0</v>
      </c>
    </row>
    <row r="587" spans="1:256" x14ac:dyDescent="0.2">
      <c r="A587" s="159">
        <v>615196</v>
      </c>
      <c r="B587" s="160" t="s">
        <v>120</v>
      </c>
      <c r="C587" s="148" t="s">
        <v>79</v>
      </c>
      <c r="D587" s="148" t="s">
        <v>182</v>
      </c>
      <c r="E587" s="240">
        <f>SUM(SIEGE!H58:H58)</f>
        <v>0</v>
      </c>
      <c r="F587" s="240">
        <f>SUM(SIEGE!I58:I58)</f>
        <v>235.8</v>
      </c>
      <c r="G587" s="240">
        <f>SUM(SIEGE!J58:J58)</f>
        <v>235.8</v>
      </c>
      <c r="H587" s="240">
        <f>SUM(SIEGE!K58:K58)</f>
        <v>235.8</v>
      </c>
      <c r="I587" s="240">
        <f>SUM(SIEGE!L58:L58)</f>
        <v>235.8</v>
      </c>
      <c r="J587" s="240">
        <f>SUM(SIEGE!M58:M58)</f>
        <v>235.8</v>
      </c>
      <c r="K587" s="240">
        <f>SUM(SIEGE!N58:N58)</f>
        <v>235.8</v>
      </c>
      <c r="L587" s="240">
        <f>SUM(SIEGE!O58:O58)</f>
        <v>235.8</v>
      </c>
      <c r="M587" s="240">
        <f>SUM(SIEGE!P58:P58)</f>
        <v>235.8</v>
      </c>
      <c r="N587" s="240">
        <f>SUM(SIEGE!Q58:Q58)</f>
        <v>235.8</v>
      </c>
      <c r="O587" s="240">
        <f>SUM(SIEGE!R58:R58)</f>
        <v>235.8</v>
      </c>
      <c r="P587" s="240">
        <f>SUM(SIEGE!S58:S58)</f>
        <v>235.8</v>
      </c>
      <c r="Q587" s="240">
        <f>SUM(SIEGE!T58:T58)</f>
        <v>235.76</v>
      </c>
      <c r="R587" s="240">
        <f>SUM(SIEGE!U58:U58)</f>
        <v>0</v>
      </c>
      <c r="S587" s="242">
        <f>SUM(E587:Q587)</f>
        <v>2829.5600000000004</v>
      </c>
    </row>
    <row r="588" spans="1:256" x14ac:dyDescent="0.2">
      <c r="A588" s="159"/>
      <c r="B588" s="160"/>
      <c r="C588" s="148"/>
      <c r="D588" s="148"/>
      <c r="E588" s="240"/>
      <c r="F588" s="240"/>
      <c r="G588" s="240"/>
      <c r="H588" s="240"/>
      <c r="I588" s="240"/>
      <c r="J588" s="240"/>
      <c r="K588" s="240"/>
      <c r="L588" s="240"/>
      <c r="M588" s="240"/>
      <c r="N588" s="240"/>
      <c r="O588" s="240"/>
      <c r="P588" s="240"/>
      <c r="Q588" s="240"/>
      <c r="R588" s="240"/>
      <c r="S588" s="242">
        <f>SUM(E588:Q588)</f>
        <v>0</v>
      </c>
    </row>
    <row r="589" spans="1:256" x14ac:dyDescent="0.2">
      <c r="A589" s="159">
        <v>615196</v>
      </c>
      <c r="B589" s="160" t="s">
        <v>120</v>
      </c>
      <c r="C589" s="148" t="s">
        <v>367</v>
      </c>
      <c r="D589" s="148">
        <v>999999</v>
      </c>
      <c r="E589" s="240"/>
      <c r="F589" s="240">
        <v>823.85</v>
      </c>
      <c r="G589" s="240">
        <f>-823.85+1647.7</f>
        <v>823.85</v>
      </c>
      <c r="H589" s="240">
        <f>-1647.7+1117.6</f>
        <v>-530.10000000000014</v>
      </c>
      <c r="I589" s="240">
        <f>-1117.6+1803.16</f>
        <v>685.56000000000017</v>
      </c>
      <c r="J589" s="240">
        <f>-1803.16+1970.85</f>
        <v>167.68999999999983</v>
      </c>
      <c r="K589" s="240">
        <f>-1970.85+2016.66</f>
        <v>45.810000000000173</v>
      </c>
      <c r="L589" s="240">
        <f>-2016.66+2399.42</f>
        <v>382.76</v>
      </c>
      <c r="M589" s="240">
        <f>-2399.42+2618.88</f>
        <v>219.46000000000004</v>
      </c>
      <c r="N589" s="240">
        <f>-2618.88+1357.02</f>
        <v>-1261.8600000000001</v>
      </c>
      <c r="O589" s="240">
        <f>-1357.02+1135.35</f>
        <v>-221.67000000000007</v>
      </c>
      <c r="P589" s="240">
        <f>-1135.35-0.07</f>
        <v>-1135.4199999999998</v>
      </c>
      <c r="Q589" s="240"/>
      <c r="R589" s="240"/>
      <c r="S589" s="242">
        <f>SUM(E589:Q589)</f>
        <v>-6.9999999999936335E-2</v>
      </c>
    </row>
    <row r="590" spans="1:256" s="185" customFormat="1" ht="24" customHeight="1" x14ac:dyDescent="0.2">
      <c r="A590" s="267"/>
      <c r="B590" s="268"/>
      <c r="C590" s="267" t="s">
        <v>66</v>
      </c>
      <c r="D590" s="267"/>
      <c r="E590" s="269">
        <f t="shared" ref="E590:S590" si="49">SUM(E557:E589)</f>
        <v>0</v>
      </c>
      <c r="F590" s="269">
        <f t="shared" si="49"/>
        <v>3842.09</v>
      </c>
      <c r="G590" s="269">
        <f t="shared" si="49"/>
        <v>4091.04</v>
      </c>
      <c r="H590" s="269">
        <f t="shared" si="49"/>
        <v>3170.2699999999995</v>
      </c>
      <c r="I590" s="269">
        <f t="shared" si="49"/>
        <v>3703.8</v>
      </c>
      <c r="J590" s="269">
        <f t="shared" si="49"/>
        <v>4086.9799999999996</v>
      </c>
      <c r="K590" s="269">
        <f t="shared" si="49"/>
        <v>3615.42</v>
      </c>
      <c r="L590" s="269">
        <f t="shared" si="49"/>
        <v>3668.12</v>
      </c>
      <c r="M590" s="269">
        <f t="shared" si="49"/>
        <v>4101.41</v>
      </c>
      <c r="N590" s="269">
        <f t="shared" si="49"/>
        <v>3786.2400000000002</v>
      </c>
      <c r="O590" s="269">
        <f t="shared" si="49"/>
        <v>3752.59</v>
      </c>
      <c r="P590" s="269">
        <f t="shared" si="49"/>
        <v>2822.4400000000005</v>
      </c>
      <c r="Q590" s="269">
        <f t="shared" si="49"/>
        <v>4221.95</v>
      </c>
      <c r="R590" s="269">
        <f>SUM(R557:R589)</f>
        <v>0</v>
      </c>
      <c r="S590" s="269">
        <f t="shared" si="49"/>
        <v>44862.35</v>
      </c>
      <c r="T590" s="212">
        <v>40306.800000000003</v>
      </c>
      <c r="U590" s="334">
        <f>T590-S590</f>
        <v>-4555.5499999999956</v>
      </c>
      <c r="V590" s="185" t="s">
        <v>853</v>
      </c>
      <c r="W590" s="569"/>
      <c r="X590" s="569">
        <f>U590-CENTRALISATION!V591</f>
        <v>0</v>
      </c>
    </row>
    <row r="591" spans="1:256" ht="12" customHeight="1" x14ac:dyDescent="0.2">
      <c r="A591" s="159">
        <v>615200</v>
      </c>
      <c r="B591" s="160" t="s">
        <v>121</v>
      </c>
      <c r="C591" s="148" t="s">
        <v>76</v>
      </c>
      <c r="D591" s="148" t="s">
        <v>179</v>
      </c>
      <c r="E591" s="240">
        <f>SUM(FLEURY!H150:H153)</f>
        <v>0</v>
      </c>
      <c r="F591" s="240">
        <f>SUM(FLEURY!I150:I153)</f>
        <v>6561.53</v>
      </c>
      <c r="G591" s="240">
        <f>SUM(FLEURY!J150:J153)</f>
        <v>6561.53</v>
      </c>
      <c r="H591" s="240">
        <f>SUM(FLEURY!K150:K153)</f>
        <v>6561.53</v>
      </c>
      <c r="I591" s="240">
        <f>SUM(FLEURY!L150:L153)</f>
        <v>6561.53</v>
      </c>
      <c r="J591" s="240">
        <f>SUM(FLEURY!M150:M153)</f>
        <v>6554.8600000000006</v>
      </c>
      <c r="K591" s="240">
        <f>SUM(FLEURY!N150:N153)</f>
        <v>6561.53</v>
      </c>
      <c r="L591" s="240">
        <f>SUM(FLEURY!O150:O153)</f>
        <v>6561.53</v>
      </c>
      <c r="M591" s="240">
        <f>SUM(FLEURY!P150:P153)</f>
        <v>6561.53</v>
      </c>
      <c r="N591" s="240">
        <f>SUM(FLEURY!Q150:Q153)</f>
        <v>6561.53</v>
      </c>
      <c r="O591" s="240">
        <f>SUM(FLEURY!R150:R153)</f>
        <v>6566.95</v>
      </c>
      <c r="P591" s="240">
        <f>SUM(FLEURY!S150:S153)</f>
        <v>6588.9400000000005</v>
      </c>
      <c r="Q591" s="240">
        <f>SUM(FLEURY!T150:T153)</f>
        <v>751.77</v>
      </c>
      <c r="R591" s="240">
        <f>SUM(FLEURY!U150:U153)</f>
        <v>0</v>
      </c>
      <c r="S591" s="242">
        <f>SUM(E591:Q591)</f>
        <v>72954.759999999995</v>
      </c>
      <c r="T591" s="273"/>
    </row>
    <row r="592" spans="1:256" x14ac:dyDescent="0.2">
      <c r="A592" s="159">
        <v>615200</v>
      </c>
      <c r="B592" s="160" t="s">
        <v>121</v>
      </c>
      <c r="C592" s="148" t="s">
        <v>76</v>
      </c>
      <c r="D592" s="148" t="s">
        <v>192</v>
      </c>
      <c r="E592" s="240"/>
      <c r="F592" s="240"/>
      <c r="G592" s="240"/>
      <c r="H592" s="240"/>
      <c r="I592" s="240"/>
      <c r="J592" s="240"/>
      <c r="K592" s="240"/>
      <c r="L592" s="240"/>
      <c r="M592" s="240"/>
      <c r="N592" s="240"/>
      <c r="O592" s="240"/>
      <c r="P592" s="240"/>
      <c r="Q592" s="240"/>
      <c r="R592" s="240"/>
      <c r="S592" s="242">
        <f>SUM(E592:Q592)</f>
        <v>0</v>
      </c>
    </row>
    <row r="593" spans="1:19" x14ac:dyDescent="0.2">
      <c r="A593" s="270"/>
      <c r="B593" s="235"/>
      <c r="C593" s="148"/>
      <c r="D593" s="148"/>
      <c r="E593" s="240"/>
      <c r="F593" s="240"/>
      <c r="G593" s="240"/>
      <c r="H593" s="240"/>
      <c r="I593" s="240"/>
      <c r="J593" s="240"/>
      <c r="K593" s="240"/>
      <c r="L593" s="240"/>
      <c r="M593" s="240"/>
      <c r="N593" s="240"/>
      <c r="O593" s="240"/>
      <c r="P593" s="240"/>
      <c r="Q593" s="240"/>
      <c r="R593" s="240"/>
      <c r="S593" s="242"/>
    </row>
    <row r="594" spans="1:19" x14ac:dyDescent="0.2">
      <c r="A594" s="159">
        <v>615200</v>
      </c>
      <c r="B594" s="160" t="s">
        <v>121</v>
      </c>
      <c r="C594" s="148" t="s">
        <v>72</v>
      </c>
      <c r="D594" s="148" t="s">
        <v>192</v>
      </c>
      <c r="E594" s="240">
        <f>+AIX!H140</f>
        <v>0</v>
      </c>
      <c r="F594" s="240">
        <f>+AIX!I140</f>
        <v>506.44</v>
      </c>
      <c r="G594" s="240">
        <f>+AIX!J140</f>
        <v>0</v>
      </c>
      <c r="H594" s="240">
        <f>+AIX!K140</f>
        <v>0</v>
      </c>
      <c r="I594" s="240">
        <f>+AIX!L140</f>
        <v>0</v>
      </c>
      <c r="J594" s="240">
        <f>+AIX!M140</f>
        <v>0</v>
      </c>
      <c r="K594" s="240">
        <f>+AIX!N140</f>
        <v>0</v>
      </c>
      <c r="L594" s="240">
        <f>+AIX!O140</f>
        <v>0</v>
      </c>
      <c r="M594" s="240">
        <f>+AIX!P140</f>
        <v>-506.44</v>
      </c>
      <c r="N594" s="240">
        <f>+AIX!Q140</f>
        <v>0</v>
      </c>
      <c r="O594" s="240">
        <f>+AIX!R140</f>
        <v>0</v>
      </c>
      <c r="P594" s="240">
        <f>+AIX!S140</f>
        <v>0</v>
      </c>
      <c r="Q594" s="240">
        <f>+AIX!T140</f>
        <v>0</v>
      </c>
      <c r="R594" s="240">
        <f>+AIX!U140</f>
        <v>0</v>
      </c>
      <c r="S594" s="242">
        <f t="shared" ref="S594:S618" si="50">SUM(E594:Q594)</f>
        <v>0</v>
      </c>
    </row>
    <row r="595" spans="1:19" x14ac:dyDescent="0.2">
      <c r="A595" s="159">
        <v>615200</v>
      </c>
      <c r="B595" s="160" t="s">
        <v>121</v>
      </c>
      <c r="C595" s="148" t="s">
        <v>72</v>
      </c>
      <c r="D595" s="148" t="s">
        <v>179</v>
      </c>
      <c r="E595" s="240">
        <f>AIX!H141</f>
        <v>0</v>
      </c>
      <c r="F595" s="240">
        <f>AIX!I141</f>
        <v>3177.41</v>
      </c>
      <c r="G595" s="240">
        <f>AIX!J141</f>
        <v>3177.41</v>
      </c>
      <c r="H595" s="240">
        <f>AIX!K141</f>
        <v>3177.41</v>
      </c>
      <c r="I595" s="240">
        <f>AIX!L141</f>
        <v>3177.41</v>
      </c>
      <c r="J595" s="240">
        <f>AIX!M141</f>
        <v>3177.41</v>
      </c>
      <c r="K595" s="240">
        <f>AIX!N141</f>
        <v>3177.41</v>
      </c>
      <c r="L595" s="240">
        <f>AIX!O141</f>
        <v>3177.41</v>
      </c>
      <c r="M595" s="240">
        <f>AIX!P141</f>
        <v>3177.41</v>
      </c>
      <c r="N595" s="240">
        <f>AIX!Q141</f>
        <v>3177.41</v>
      </c>
      <c r="O595" s="240">
        <f>AIX!R141</f>
        <v>3177.41</v>
      </c>
      <c r="P595" s="240">
        <f>AIX!S141</f>
        <v>3177.41</v>
      </c>
      <c r="Q595" s="240">
        <f>AIX!T141</f>
        <v>0</v>
      </c>
      <c r="R595" s="240">
        <f>AIX!U141</f>
        <v>0</v>
      </c>
      <c r="S595" s="242">
        <f t="shared" si="50"/>
        <v>34951.509999999995</v>
      </c>
    </row>
    <row r="596" spans="1:19" x14ac:dyDescent="0.2">
      <c r="A596" s="270"/>
      <c r="B596" s="235"/>
      <c r="C596" s="148"/>
      <c r="D596" s="148"/>
      <c r="E596" s="240"/>
      <c r="F596" s="240"/>
      <c r="G596" s="240"/>
      <c r="H596" s="240"/>
      <c r="I596" s="240"/>
      <c r="J596" s="240"/>
      <c r="K596" s="240"/>
      <c r="L596" s="240"/>
      <c r="M596" s="240"/>
      <c r="N596" s="240"/>
      <c r="O596" s="240"/>
      <c r="P596" s="240"/>
      <c r="Q596" s="240"/>
      <c r="R596" s="240"/>
      <c r="S596" s="242">
        <f t="shared" si="50"/>
        <v>0</v>
      </c>
    </row>
    <row r="597" spans="1:19" x14ac:dyDescent="0.2">
      <c r="A597" s="159">
        <v>615200</v>
      </c>
      <c r="B597" s="160" t="s">
        <v>121</v>
      </c>
      <c r="C597" s="148" t="s">
        <v>74</v>
      </c>
      <c r="D597" s="148" t="s">
        <v>192</v>
      </c>
      <c r="E597" s="240">
        <f>LYON!H136</f>
        <v>0</v>
      </c>
      <c r="F597" s="240">
        <f>LYON!I136</f>
        <v>0</v>
      </c>
      <c r="G597" s="240">
        <f>LYON!J136</f>
        <v>0</v>
      </c>
      <c r="H597" s="240">
        <f>LYON!K136</f>
        <v>0</v>
      </c>
      <c r="I597" s="240">
        <f>LYON!L136</f>
        <v>0</v>
      </c>
      <c r="J597" s="240">
        <f>LYON!M136</f>
        <v>0</v>
      </c>
      <c r="K597" s="240">
        <f>LYON!N136</f>
        <v>0</v>
      </c>
      <c r="L597" s="240">
        <f>LYON!O136</f>
        <v>0</v>
      </c>
      <c r="M597" s="240">
        <f>LYON!P136</f>
        <v>0</v>
      </c>
      <c r="N597" s="240">
        <f>LYON!Q136</f>
        <v>0</v>
      </c>
      <c r="O597" s="240">
        <f>LYON!R136</f>
        <v>0</v>
      </c>
      <c r="P597" s="240">
        <f>LYON!S136</f>
        <v>0</v>
      </c>
      <c r="Q597" s="240">
        <f>LYON!T136</f>
        <v>0</v>
      </c>
      <c r="R597" s="240">
        <f>LYON!U136</f>
        <v>0</v>
      </c>
      <c r="S597" s="242">
        <f t="shared" si="50"/>
        <v>0</v>
      </c>
    </row>
    <row r="598" spans="1:19" x14ac:dyDescent="0.2">
      <c r="A598" s="159">
        <v>615200</v>
      </c>
      <c r="B598" s="160" t="s">
        <v>121</v>
      </c>
      <c r="C598" s="148" t="s">
        <v>74</v>
      </c>
      <c r="D598" s="148" t="s">
        <v>179</v>
      </c>
      <c r="E598" s="240">
        <f>LYON!H137+LYON!H138</f>
        <v>-173.40000000000009</v>
      </c>
      <c r="F598" s="240">
        <f>LYON!I137+LYON!I138</f>
        <v>1176.7</v>
      </c>
      <c r="G598" s="240">
        <f>LYON!J137+LYON!J138</f>
        <v>3183.4</v>
      </c>
      <c r="H598" s="240">
        <f>LYON!K137+LYON!K138</f>
        <v>3010</v>
      </c>
      <c r="I598" s="240">
        <f>LYON!L137+LYON!L138</f>
        <v>35</v>
      </c>
      <c r="J598" s="240">
        <f>LYON!M137+LYON!M138</f>
        <v>1700</v>
      </c>
      <c r="K598" s="240">
        <f>LYON!N137+LYON!N138</f>
        <v>1700</v>
      </c>
      <c r="L598" s="240">
        <f>LYON!O137+LYON!O138</f>
        <v>1700</v>
      </c>
      <c r="M598" s="240">
        <f>LYON!P137+LYON!P138</f>
        <v>2124</v>
      </c>
      <c r="N598" s="240">
        <f>LYON!Q137+LYON!Q138</f>
        <v>1593.99</v>
      </c>
      <c r="O598" s="240">
        <f>LYON!R137+LYON!R138</f>
        <v>2124</v>
      </c>
      <c r="P598" s="240">
        <f>LYON!S137+LYON!S138</f>
        <v>2124</v>
      </c>
      <c r="Q598" s="240">
        <f>LYON!T137+LYON!T138</f>
        <v>0</v>
      </c>
      <c r="R598" s="240">
        <f>LYON!U137+LYON!U138</f>
        <v>0</v>
      </c>
      <c r="S598" s="242">
        <f t="shared" si="50"/>
        <v>20297.690000000002</v>
      </c>
    </row>
    <row r="599" spans="1:19" x14ac:dyDescent="0.2">
      <c r="A599" s="270"/>
      <c r="B599" s="235"/>
      <c r="C599" s="148"/>
      <c r="D599" s="148"/>
      <c r="E599" s="240"/>
      <c r="F599" s="240"/>
      <c r="G599" s="240"/>
      <c r="H599" s="240"/>
      <c r="I599" s="240"/>
      <c r="J599" s="240"/>
      <c r="K599" s="240"/>
      <c r="L599" s="240"/>
      <c r="M599" s="240"/>
      <c r="N599" s="240"/>
      <c r="O599" s="240"/>
      <c r="P599" s="240"/>
      <c r="Q599" s="240"/>
      <c r="R599" s="240"/>
      <c r="S599" s="242">
        <f t="shared" si="50"/>
        <v>0</v>
      </c>
    </row>
    <row r="600" spans="1:19" x14ac:dyDescent="0.2">
      <c r="A600" s="159">
        <v>615200</v>
      </c>
      <c r="B600" s="160" t="s">
        <v>121</v>
      </c>
      <c r="C600" s="148" t="s">
        <v>68</v>
      </c>
      <c r="D600" s="148" t="s">
        <v>192</v>
      </c>
      <c r="E600" s="240">
        <f>+BORDEAUX!H144</f>
        <v>0</v>
      </c>
      <c r="F600" s="240">
        <f>+BORDEAUX!I144</f>
        <v>0</v>
      </c>
      <c r="G600" s="240">
        <f>+BORDEAUX!J144</f>
        <v>0</v>
      </c>
      <c r="H600" s="240">
        <f>+BORDEAUX!K144</f>
        <v>0</v>
      </c>
      <c r="I600" s="240">
        <f>+BORDEAUX!L144</f>
        <v>0</v>
      </c>
      <c r="J600" s="240">
        <f>+BORDEAUX!M144</f>
        <v>0</v>
      </c>
      <c r="K600" s="240">
        <f>+BORDEAUX!N144</f>
        <v>0</v>
      </c>
      <c r="L600" s="240">
        <f>+BORDEAUX!O144</f>
        <v>0</v>
      </c>
      <c r="M600" s="240">
        <f>+BORDEAUX!P144</f>
        <v>0</v>
      </c>
      <c r="N600" s="240">
        <f>+BORDEAUX!Q144</f>
        <v>558</v>
      </c>
      <c r="O600" s="240">
        <f>+BORDEAUX!R144</f>
        <v>0</v>
      </c>
      <c r="P600" s="240">
        <f>+BORDEAUX!S144</f>
        <v>0</v>
      </c>
      <c r="Q600" s="240"/>
      <c r="R600" s="240"/>
      <c r="S600" s="242">
        <f t="shared" si="50"/>
        <v>558</v>
      </c>
    </row>
    <row r="601" spans="1:19" x14ac:dyDescent="0.2">
      <c r="A601" s="159">
        <v>615200</v>
      </c>
      <c r="B601" s="160" t="s">
        <v>121</v>
      </c>
      <c r="C601" s="148" t="s">
        <v>68</v>
      </c>
      <c r="D601" s="148" t="s">
        <v>179</v>
      </c>
      <c r="E601" s="240">
        <f>SUM(BORDEAUX!H143:H143)</f>
        <v>0</v>
      </c>
      <c r="F601" s="240">
        <f>SUM(BORDEAUX!I143:I143)</f>
        <v>3442</v>
      </c>
      <c r="G601" s="240">
        <f>SUM(BORDEAUX!J143:J143)</f>
        <v>3442</v>
      </c>
      <c r="H601" s="240">
        <f>SUM(BORDEAUX!K143:K143)</f>
        <v>3442</v>
      </c>
      <c r="I601" s="240">
        <f>SUM(BORDEAUX!L143:L143)</f>
        <v>3442</v>
      </c>
      <c r="J601" s="240">
        <f>SUM(BORDEAUX!M143:M143)</f>
        <v>3442</v>
      </c>
      <c r="K601" s="240">
        <f>SUM(BORDEAUX!N143:N143)</f>
        <v>3442</v>
      </c>
      <c r="L601" s="240">
        <f>SUM(BORDEAUX!O143:O143)</f>
        <v>3442</v>
      </c>
      <c r="M601" s="240">
        <f>SUM(BORDEAUX!P143:P143)</f>
        <v>3442</v>
      </c>
      <c r="N601" s="240">
        <f>SUM(BORDEAUX!Q143:Q143)</f>
        <v>3442</v>
      </c>
      <c r="O601" s="240">
        <f>SUM(BORDEAUX!R143:R143)</f>
        <v>3442</v>
      </c>
      <c r="P601" s="240">
        <f>SUM(BORDEAUX!S143:S143)</f>
        <v>3442</v>
      </c>
      <c r="Q601" s="240">
        <f>SUM(BORDEAUX!T143:T143)</f>
        <v>3442</v>
      </c>
      <c r="R601" s="240">
        <f>SUM(BORDEAUX!U143:U143)</f>
        <v>0</v>
      </c>
      <c r="S601" s="242">
        <f t="shared" si="50"/>
        <v>41304</v>
      </c>
    </row>
    <row r="602" spans="1:19" x14ac:dyDescent="0.2">
      <c r="A602" s="270"/>
      <c r="B602" s="235"/>
      <c r="C602" s="148"/>
      <c r="D602" s="148"/>
      <c r="E602" s="240"/>
      <c r="F602" s="240"/>
      <c r="G602" s="240"/>
      <c r="H602" s="240"/>
      <c r="I602" s="240"/>
      <c r="J602" s="240"/>
      <c r="K602" s="240"/>
      <c r="L602" s="240"/>
      <c r="M602" s="240"/>
      <c r="N602" s="240"/>
      <c r="O602" s="240"/>
      <c r="P602" s="240"/>
      <c r="Q602" s="240"/>
      <c r="R602" s="240"/>
      <c r="S602" s="242">
        <f t="shared" si="50"/>
        <v>0</v>
      </c>
    </row>
    <row r="603" spans="1:19" x14ac:dyDescent="0.2">
      <c r="A603" s="159">
        <v>615200</v>
      </c>
      <c r="B603" s="160" t="s">
        <v>121</v>
      </c>
      <c r="C603" s="148" t="s">
        <v>63</v>
      </c>
      <c r="D603" s="148" t="s">
        <v>179</v>
      </c>
      <c r="E603" s="240">
        <f>NANCY!H85</f>
        <v>0</v>
      </c>
      <c r="F603" s="240">
        <f>NANCY!I85</f>
        <v>0</v>
      </c>
      <c r="G603" s="240">
        <f>NANCY!J85</f>
        <v>0</v>
      </c>
      <c r="H603" s="240">
        <f>NANCY!K85</f>
        <v>0</v>
      </c>
      <c r="I603" s="240">
        <f>NANCY!L85</f>
        <v>0</v>
      </c>
      <c r="J603" s="240">
        <f>NANCY!M85</f>
        <v>0</v>
      </c>
      <c r="K603" s="240">
        <f>NANCY!N85</f>
        <v>0</v>
      </c>
      <c r="L603" s="240">
        <f>NANCY!O85</f>
        <v>0</v>
      </c>
      <c r="M603" s="240">
        <f>NANCY!P85</f>
        <v>0</v>
      </c>
      <c r="N603" s="240">
        <f>NANCY!Q85</f>
        <v>0</v>
      </c>
      <c r="O603" s="240">
        <f>NANCY!R85</f>
        <v>0</v>
      </c>
      <c r="P603" s="240">
        <f>NANCY!S85</f>
        <v>0</v>
      </c>
      <c r="Q603" s="240">
        <f>NANCY!T85</f>
        <v>0</v>
      </c>
      <c r="R603" s="240">
        <f>NANCY!U85</f>
        <v>0</v>
      </c>
      <c r="S603" s="242">
        <f t="shared" si="50"/>
        <v>0</v>
      </c>
    </row>
    <row r="604" spans="1:19" x14ac:dyDescent="0.2">
      <c r="A604" s="270"/>
      <c r="B604" s="235"/>
      <c r="C604" s="148"/>
      <c r="D604" s="148"/>
      <c r="E604" s="240"/>
      <c r="F604" s="240"/>
      <c r="G604" s="240"/>
      <c r="H604" s="240"/>
      <c r="I604" s="240"/>
      <c r="J604" s="240"/>
      <c r="K604" s="240"/>
      <c r="L604" s="240"/>
      <c r="M604" s="240"/>
      <c r="N604" s="240"/>
      <c r="O604" s="240"/>
      <c r="P604" s="240"/>
      <c r="Q604" s="240"/>
      <c r="R604" s="240"/>
      <c r="S604" s="242">
        <f t="shared" si="50"/>
        <v>0</v>
      </c>
    </row>
    <row r="605" spans="1:19" x14ac:dyDescent="0.2">
      <c r="A605" s="159">
        <v>615200</v>
      </c>
      <c r="B605" s="160" t="s">
        <v>121</v>
      </c>
      <c r="C605" s="148" t="s">
        <v>81</v>
      </c>
      <c r="D605" s="148" t="s">
        <v>192</v>
      </c>
      <c r="E605" s="240">
        <f>RENNES!H135</f>
        <v>0</v>
      </c>
      <c r="F605" s="240">
        <f>RENNES!I135</f>
        <v>0</v>
      </c>
      <c r="G605" s="240">
        <f>RENNES!J135</f>
        <v>0</v>
      </c>
      <c r="H605" s="240">
        <f>RENNES!K135</f>
        <v>0</v>
      </c>
      <c r="I605" s="240">
        <f>RENNES!L135</f>
        <v>0</v>
      </c>
      <c r="J605" s="240">
        <f>RENNES!M135</f>
        <v>0</v>
      </c>
      <c r="K605" s="240">
        <f>RENNES!N135</f>
        <v>0</v>
      </c>
      <c r="L605" s="240">
        <f>RENNES!O135</f>
        <v>0</v>
      </c>
      <c r="M605" s="240">
        <f>RENNES!P135</f>
        <v>0</v>
      </c>
      <c r="N605" s="240">
        <f>RENNES!Q135</f>
        <v>0</v>
      </c>
      <c r="O605" s="240">
        <f>RENNES!R135</f>
        <v>0</v>
      </c>
      <c r="P605" s="240">
        <f>RENNES!S135</f>
        <v>0</v>
      </c>
      <c r="Q605" s="240">
        <f>RENNES!T135</f>
        <v>590</v>
      </c>
      <c r="R605" s="240">
        <f>RENNES!U135</f>
        <v>0</v>
      </c>
      <c r="S605" s="242">
        <f t="shared" si="50"/>
        <v>590</v>
      </c>
    </row>
    <row r="606" spans="1:19" x14ac:dyDescent="0.2">
      <c r="A606" s="159">
        <v>615200</v>
      </c>
      <c r="B606" s="160" t="s">
        <v>121</v>
      </c>
      <c r="C606" s="148" t="s">
        <v>81</v>
      </c>
      <c r="D606" s="148" t="s">
        <v>179</v>
      </c>
      <c r="E606" s="240">
        <f>+SUM(RENNES!H136:H137)</f>
        <v>0</v>
      </c>
      <c r="F606" s="240">
        <f>+SUM(RENNES!I136:I137)</f>
        <v>1367.07</v>
      </c>
      <c r="G606" s="240">
        <f>+SUM(RENNES!J136:J137)</f>
        <v>1367.07</v>
      </c>
      <c r="H606" s="240">
        <f>+SUM(RENNES!K136:K137)</f>
        <v>1367.07</v>
      </c>
      <c r="I606" s="240">
        <f>+SUM(RENNES!L136:L137)</f>
        <v>1367.07</v>
      </c>
      <c r="J606" s="240">
        <f>+SUM(RENNES!M136:M137)</f>
        <v>1367.07</v>
      </c>
      <c r="K606" s="240">
        <f>+SUM(RENNES!N136:N137)</f>
        <v>1367.07</v>
      </c>
      <c r="L606" s="240">
        <f>+SUM(RENNES!O136:O137)</f>
        <v>1367.07</v>
      </c>
      <c r="M606" s="240">
        <f>+SUM(RENNES!P136:P137)</f>
        <v>1367.07</v>
      </c>
      <c r="N606" s="240">
        <f>+SUM(RENNES!Q136:Q137)</f>
        <v>1367.07</v>
      </c>
      <c r="O606" s="240">
        <f>+SUM(RENNES!R136:R137)</f>
        <v>1367.07</v>
      </c>
      <c r="P606" s="240">
        <f>+SUM(RENNES!S136:S137)</f>
        <v>1367.07</v>
      </c>
      <c r="Q606" s="240">
        <f>+SUM(RENNES!T136:T137)</f>
        <v>275.05</v>
      </c>
      <c r="R606" s="240">
        <f>+SUM(RENNES!U136:U137)</f>
        <v>0</v>
      </c>
      <c r="S606" s="242">
        <f t="shared" si="50"/>
        <v>15312.819999999998</v>
      </c>
    </row>
    <row r="607" spans="1:19" x14ac:dyDescent="0.2">
      <c r="A607" s="270"/>
      <c r="B607" s="235"/>
      <c r="C607" s="148"/>
      <c r="D607" s="148"/>
      <c r="E607" s="240"/>
      <c r="F607" s="240"/>
      <c r="G607" s="240"/>
      <c r="H607" s="240"/>
      <c r="I607" s="240"/>
      <c r="J607" s="240"/>
      <c r="K607" s="240"/>
      <c r="L607" s="240"/>
      <c r="M607" s="240"/>
      <c r="N607" s="240"/>
      <c r="O607" s="240"/>
      <c r="P607" s="240"/>
      <c r="Q607" s="240"/>
      <c r="R607" s="240"/>
      <c r="S607" s="242">
        <f t="shared" si="50"/>
        <v>0</v>
      </c>
    </row>
    <row r="608" spans="1:19" x14ac:dyDescent="0.2">
      <c r="A608" s="159">
        <v>615200</v>
      </c>
      <c r="B608" s="160" t="s">
        <v>121</v>
      </c>
      <c r="C608" s="148" t="s">
        <v>155</v>
      </c>
      <c r="D608" s="148" t="s">
        <v>179</v>
      </c>
      <c r="E608" s="240">
        <f>SUM(BEAUVAIS!H136:H138)</f>
        <v>-390</v>
      </c>
      <c r="F608" s="240">
        <f>SUM(BEAUVAIS!I136:I138)</f>
        <v>2300.2600000000002</v>
      </c>
      <c r="G608" s="240">
        <f>SUM(BEAUVAIS!J136:J138)</f>
        <v>2300.2600000000002</v>
      </c>
      <c r="H608" s="240">
        <f>SUM(BEAUVAIS!K136:K138)</f>
        <v>2430.2600000000002</v>
      </c>
      <c r="I608" s="240">
        <f>SUM(BEAUVAIS!L136:L138)</f>
        <v>2300.2600000000002</v>
      </c>
      <c r="J608" s="240">
        <f>SUM(BEAUVAIS!M136:M138)</f>
        <v>2300.2600000000002</v>
      </c>
      <c r="K608" s="240">
        <f>SUM(BEAUVAIS!N136:N138)</f>
        <v>2430.2600000000002</v>
      </c>
      <c r="L608" s="240">
        <f>SUM(BEAUVAIS!O136:O138)</f>
        <v>2300.2600000000002</v>
      </c>
      <c r="M608" s="240">
        <f>SUM(BEAUVAIS!P136:P138)</f>
        <v>2306.02</v>
      </c>
      <c r="N608" s="240">
        <f>SUM(BEAUVAIS!Q136:Q138)</f>
        <v>2436.02</v>
      </c>
      <c r="O608" s="240">
        <f>SUM(BEAUVAIS!R136:R138)</f>
        <v>2115</v>
      </c>
      <c r="P608" s="240">
        <f>SUM(BEAUVAIS!S136:S138)</f>
        <v>2115</v>
      </c>
      <c r="Q608" s="240">
        <f>SUM(BEAUVAIS!T136:T138)</f>
        <v>0</v>
      </c>
      <c r="R608" s="240">
        <f>SUM(BEAUVAIS!U136:U138)</f>
        <v>0</v>
      </c>
      <c r="S608" s="242">
        <f t="shared" si="50"/>
        <v>24943.86</v>
      </c>
    </row>
    <row r="609" spans="1:24" x14ac:dyDescent="0.2">
      <c r="A609" s="159">
        <v>615200</v>
      </c>
      <c r="B609" s="160" t="s">
        <v>121</v>
      </c>
      <c r="C609" s="148" t="s">
        <v>155</v>
      </c>
      <c r="D609" s="148" t="s">
        <v>192</v>
      </c>
      <c r="E609" s="240">
        <f>BEAUVAIS!H139</f>
        <v>0</v>
      </c>
      <c r="F609" s="240">
        <f>BEAUVAIS!I139</f>
        <v>0</v>
      </c>
      <c r="G609" s="240">
        <f>BEAUVAIS!J139</f>
        <v>0</v>
      </c>
      <c r="H609" s="240">
        <f>BEAUVAIS!K139</f>
        <v>0</v>
      </c>
      <c r="I609" s="240">
        <f>BEAUVAIS!L139</f>
        <v>0</v>
      </c>
      <c r="J609" s="240">
        <f>BEAUVAIS!M139</f>
        <v>0</v>
      </c>
      <c r="K609" s="240">
        <f>BEAUVAIS!N139</f>
        <v>0</v>
      </c>
      <c r="L609" s="240">
        <f>BEAUVAIS!O139</f>
        <v>0</v>
      </c>
      <c r="M609" s="240">
        <f>BEAUVAIS!P139</f>
        <v>0</v>
      </c>
      <c r="N609" s="240">
        <f>BEAUVAIS!Q139</f>
        <v>0</v>
      </c>
      <c r="O609" s="240">
        <f>BEAUVAIS!R139</f>
        <v>0</v>
      </c>
      <c r="P609" s="240">
        <f>BEAUVAIS!S139</f>
        <v>0</v>
      </c>
      <c r="Q609" s="240">
        <f>BEAUVAIS!T139</f>
        <v>175</v>
      </c>
      <c r="R609" s="240">
        <f>BEAUVAIS!U139</f>
        <v>0</v>
      </c>
      <c r="S609" s="242">
        <f t="shared" si="50"/>
        <v>175</v>
      </c>
    </row>
    <row r="610" spans="1:24" x14ac:dyDescent="0.2">
      <c r="A610" s="270"/>
      <c r="B610" s="235"/>
      <c r="C610" s="148"/>
      <c r="D610" s="148"/>
      <c r="E610" s="240"/>
      <c r="F610" s="240"/>
      <c r="G610" s="240"/>
      <c r="H610" s="240"/>
      <c r="I610" s="240"/>
      <c r="J610" s="240"/>
      <c r="K610" s="240"/>
      <c r="L610" s="240"/>
      <c r="M610" s="240"/>
      <c r="N610" s="240"/>
      <c r="O610" s="240"/>
      <c r="P610" s="240"/>
      <c r="Q610" s="240"/>
      <c r="R610" s="240"/>
      <c r="S610" s="242">
        <f t="shared" si="50"/>
        <v>0</v>
      </c>
    </row>
    <row r="611" spans="1:24" x14ac:dyDescent="0.2">
      <c r="A611" s="159">
        <v>615200</v>
      </c>
      <c r="B611" s="160" t="s">
        <v>121</v>
      </c>
      <c r="C611" s="148" t="s">
        <v>79</v>
      </c>
      <c r="D611" s="148" t="s">
        <v>179</v>
      </c>
      <c r="E611" s="240">
        <f>SIEGE!H63+SIEGE!H64</f>
        <v>0</v>
      </c>
      <c r="F611" s="240">
        <f>SIEGE!I63+SIEGE!I64</f>
        <v>5473.08</v>
      </c>
      <c r="G611" s="240">
        <f>SIEGE!J63+SIEGE!J64</f>
        <v>5347.08</v>
      </c>
      <c r="H611" s="240">
        <f>SIEGE!K63+SIEGE!K64</f>
        <v>5347.07</v>
      </c>
      <c r="I611" s="240">
        <f>SIEGE!L63+SIEGE!L64</f>
        <v>5473.07</v>
      </c>
      <c r="J611" s="240">
        <f>SIEGE!M63+SIEGE!M64</f>
        <v>5220.3600000000006</v>
      </c>
      <c r="K611" s="240">
        <f>SIEGE!N63+SIEGE!N64</f>
        <v>5359.01</v>
      </c>
      <c r="L611" s="240">
        <f>SIEGE!O63+SIEGE!O64</f>
        <v>5298.23</v>
      </c>
      <c r="M611" s="240">
        <f>SIEGE!P63+SIEGE!P64</f>
        <v>5220.3600000000006</v>
      </c>
      <c r="N611" s="240">
        <f>SIEGE!Q63+SIEGE!Q64</f>
        <v>5220.3600000000006</v>
      </c>
      <c r="O611" s="240">
        <f>SIEGE!R63+SIEGE!R64</f>
        <v>5346.35</v>
      </c>
      <c r="P611" s="240">
        <f>SIEGE!S63+SIEGE!S64</f>
        <v>5220.3600000000006</v>
      </c>
      <c r="Q611" s="240">
        <f>SIEGE!T63+SIEGE!T64</f>
        <v>219.01</v>
      </c>
      <c r="R611" s="240">
        <f>SIEGE!U63+SIEGE!U64</f>
        <v>0</v>
      </c>
      <c r="S611" s="242">
        <f t="shared" si="50"/>
        <v>58744.34</v>
      </c>
    </row>
    <row r="612" spans="1:24" x14ac:dyDescent="0.2">
      <c r="A612" s="159">
        <v>615200</v>
      </c>
      <c r="B612" s="160" t="s">
        <v>121</v>
      </c>
      <c r="C612" s="148" t="s">
        <v>79</v>
      </c>
      <c r="D612" s="148" t="s">
        <v>192</v>
      </c>
      <c r="E612" s="240">
        <f>SIEGE!H65</f>
        <v>0</v>
      </c>
      <c r="F612" s="240">
        <f>SIEGE!I65</f>
        <v>0</v>
      </c>
      <c r="G612" s="240">
        <f>SIEGE!J65</f>
        <v>0</v>
      </c>
      <c r="H612" s="240">
        <f>SIEGE!K65</f>
        <v>0</v>
      </c>
      <c r="I612" s="240">
        <f>SIEGE!L65</f>
        <v>0</v>
      </c>
      <c r="J612" s="240">
        <f>SIEGE!M65</f>
        <v>0</v>
      </c>
      <c r="K612" s="240">
        <f>SIEGE!N65</f>
        <v>0</v>
      </c>
      <c r="L612" s="240">
        <f>SIEGE!O65</f>
        <v>0</v>
      </c>
      <c r="M612" s="240">
        <f>SIEGE!P65</f>
        <v>560</v>
      </c>
      <c r="N612" s="240">
        <f>SIEGE!Q65</f>
        <v>0</v>
      </c>
      <c r="O612" s="240">
        <f>SIEGE!R65</f>
        <v>0</v>
      </c>
      <c r="P612" s="240">
        <f>SIEGE!S65</f>
        <v>0</v>
      </c>
      <c r="Q612" s="240">
        <f>SIEGE!T65</f>
        <v>0</v>
      </c>
      <c r="R612" s="240">
        <f>SIEGE!U65</f>
        <v>0</v>
      </c>
      <c r="S612" s="242">
        <f t="shared" si="50"/>
        <v>560</v>
      </c>
    </row>
    <row r="613" spans="1:24" x14ac:dyDescent="0.2">
      <c r="A613" s="159"/>
      <c r="B613" s="160"/>
      <c r="C613" s="148"/>
      <c r="D613" s="148"/>
      <c r="E613" s="240"/>
      <c r="F613" s="240"/>
      <c r="G613" s="240"/>
      <c r="H613" s="240"/>
      <c r="I613" s="240"/>
      <c r="J613" s="240"/>
      <c r="K613" s="240"/>
      <c r="L613" s="240"/>
      <c r="M613" s="240"/>
      <c r="N613" s="240"/>
      <c r="O613" s="240"/>
      <c r="P613" s="240"/>
      <c r="Q613" s="240"/>
      <c r="R613" s="240"/>
      <c r="S613" s="242">
        <f t="shared" si="50"/>
        <v>0</v>
      </c>
    </row>
    <row r="614" spans="1:24" x14ac:dyDescent="0.2">
      <c r="A614" s="159">
        <v>615200</v>
      </c>
      <c r="B614" s="160" t="s">
        <v>121</v>
      </c>
      <c r="C614" s="148" t="s">
        <v>309</v>
      </c>
      <c r="D614" s="148" t="s">
        <v>192</v>
      </c>
      <c r="E614" s="240">
        <f>TOULOUSE!H78</f>
        <v>0</v>
      </c>
      <c r="F614" s="240">
        <f>TOULOUSE!I78</f>
        <v>0</v>
      </c>
      <c r="G614" s="240">
        <f>TOULOUSE!J78</f>
        <v>0</v>
      </c>
      <c r="H614" s="240">
        <f>TOULOUSE!K78</f>
        <v>0</v>
      </c>
      <c r="I614" s="240">
        <f>TOULOUSE!L78</f>
        <v>0</v>
      </c>
      <c r="J614" s="240">
        <f>TOULOUSE!M78</f>
        <v>0</v>
      </c>
      <c r="K614" s="240">
        <f>TOULOUSE!N78</f>
        <v>0</v>
      </c>
      <c r="L614" s="240">
        <f>TOULOUSE!O78</f>
        <v>0</v>
      </c>
      <c r="M614" s="240">
        <f>TOULOUSE!P78</f>
        <v>0</v>
      </c>
      <c r="N614" s="240">
        <f>TOULOUSE!Q78</f>
        <v>0</v>
      </c>
      <c r="O614" s="240">
        <f>TOULOUSE!R78</f>
        <v>0</v>
      </c>
      <c r="P614" s="240">
        <f>TOULOUSE!S78</f>
        <v>345</v>
      </c>
      <c r="Q614" s="240">
        <f>TOULOUSE!T78</f>
        <v>180</v>
      </c>
      <c r="R614" s="240">
        <f>TOULOUSE!U78</f>
        <v>0</v>
      </c>
      <c r="S614" s="242">
        <f t="shared" si="50"/>
        <v>525</v>
      </c>
    </row>
    <row r="615" spans="1:24" x14ac:dyDescent="0.2">
      <c r="A615" s="159">
        <v>615200</v>
      </c>
      <c r="B615" s="160" t="s">
        <v>121</v>
      </c>
      <c r="C615" s="148" t="s">
        <v>309</v>
      </c>
      <c r="D615" s="148" t="s">
        <v>179</v>
      </c>
      <c r="E615" s="240">
        <f>TOULOUSE!H79</f>
        <v>0</v>
      </c>
      <c r="F615" s="240">
        <f>TOULOUSE!I79</f>
        <v>0</v>
      </c>
      <c r="G615" s="240">
        <f>TOULOUSE!J79</f>
        <v>760.66</v>
      </c>
      <c r="H615" s="240">
        <f>TOULOUSE!K79</f>
        <v>760.66</v>
      </c>
      <c r="I615" s="240">
        <f>TOULOUSE!L79</f>
        <v>760.66</v>
      </c>
      <c r="J615" s="240">
        <f>TOULOUSE!M79</f>
        <v>760.66</v>
      </c>
      <c r="K615" s="240">
        <f>TOULOUSE!N79</f>
        <v>760.66</v>
      </c>
      <c r="L615" s="240">
        <f>TOULOUSE!O79</f>
        <v>760.66</v>
      </c>
      <c r="M615" s="240">
        <f>TOULOUSE!P79</f>
        <v>760.66</v>
      </c>
      <c r="N615" s="240">
        <f>TOULOUSE!Q79</f>
        <v>760.66</v>
      </c>
      <c r="O615" s="240">
        <f>TOULOUSE!R79</f>
        <v>760.66</v>
      </c>
      <c r="P615" s="240">
        <f>TOULOUSE!S79</f>
        <v>760.66</v>
      </c>
      <c r="Q615" s="240">
        <f>TOULOUSE!T79</f>
        <v>760.66</v>
      </c>
      <c r="R615" s="240">
        <f>TOULOUSE!U79</f>
        <v>0</v>
      </c>
      <c r="S615" s="242">
        <f t="shared" si="50"/>
        <v>8367.26</v>
      </c>
    </row>
    <row r="616" spans="1:24" x14ac:dyDescent="0.2">
      <c r="A616" s="159"/>
      <c r="B616" s="160"/>
      <c r="C616" s="148"/>
      <c r="D616" s="148"/>
      <c r="E616" s="240"/>
      <c r="F616" s="240"/>
      <c r="G616" s="240"/>
      <c r="H616" s="240"/>
      <c r="I616" s="240"/>
      <c r="J616" s="240"/>
      <c r="K616" s="240"/>
      <c r="L616" s="240"/>
      <c r="M616" s="240"/>
      <c r="N616" s="240"/>
      <c r="O616" s="240"/>
      <c r="P616" s="240"/>
      <c r="Q616" s="240"/>
      <c r="R616" s="240"/>
      <c r="S616" s="242">
        <f t="shared" si="50"/>
        <v>0</v>
      </c>
    </row>
    <row r="617" spans="1:24" x14ac:dyDescent="0.2">
      <c r="A617" s="159">
        <v>615200</v>
      </c>
      <c r="B617" s="160" t="s">
        <v>121</v>
      </c>
      <c r="C617" s="148" t="s">
        <v>368</v>
      </c>
      <c r="D617" s="148">
        <v>999999</v>
      </c>
      <c r="E617" s="240"/>
      <c r="F617" s="240">
        <v>279.33999999999997</v>
      </c>
      <c r="G617" s="240">
        <f>-279.34+1830.4</f>
        <v>1551.0600000000002</v>
      </c>
      <c r="H617" s="240">
        <f>-1830.4+1154.67</f>
        <v>-675.73</v>
      </c>
      <c r="I617" s="240">
        <f>-1154.67-1246.4</f>
        <v>-2401.0700000000002</v>
      </c>
      <c r="J617" s="240">
        <f>1246.4+2909.88</f>
        <v>4156.2800000000007</v>
      </c>
      <c r="K617" s="240">
        <f>-2909.88+2270.95</f>
        <v>-638.93000000000029</v>
      </c>
      <c r="L617" s="240">
        <f>-2270.95+3447.02</f>
        <v>1176.0700000000002</v>
      </c>
      <c r="M617" s="240">
        <f>-3447.02+4386.88</f>
        <v>939.86000000000013</v>
      </c>
      <c r="N617" s="240">
        <f>-4386.88+503.96</f>
        <v>-3882.92</v>
      </c>
      <c r="O617" s="240">
        <f>-503.96+934.66</f>
        <v>430.7</v>
      </c>
      <c r="P617" s="240">
        <f>-934.66+1.58</f>
        <v>-933.07999999999993</v>
      </c>
      <c r="Q617" s="240"/>
      <c r="R617" s="240"/>
      <c r="S617" s="242">
        <f t="shared" si="50"/>
        <v>1.5800000000010641</v>
      </c>
    </row>
    <row r="618" spans="1:24" x14ac:dyDescent="0.2">
      <c r="A618" s="159">
        <v>615200</v>
      </c>
      <c r="B618" s="160" t="s">
        <v>121</v>
      </c>
      <c r="C618" s="148" t="s">
        <v>381</v>
      </c>
      <c r="D618" s="148">
        <v>999999</v>
      </c>
      <c r="E618" s="240"/>
      <c r="F618" s="240">
        <v>-595.46</v>
      </c>
      <c r="G618" s="240">
        <f>595.46-352.41</f>
        <v>243.05</v>
      </c>
      <c r="H618" s="240">
        <f>352.41+35.11</f>
        <v>387.52000000000004</v>
      </c>
      <c r="I618" s="240">
        <f>-35.11+350.1</f>
        <v>314.99</v>
      </c>
      <c r="J618" s="240">
        <f>-350.1+578.76</f>
        <v>228.65999999999997</v>
      </c>
      <c r="K618" s="240">
        <f>-578.76+1383.15</f>
        <v>804.3900000000001</v>
      </c>
      <c r="L618" s="240">
        <f>-1383.15+1600.43</f>
        <v>217.27999999999997</v>
      </c>
      <c r="M618" s="240">
        <f>-1600.43+1439.86</f>
        <v>-160.57000000000016</v>
      </c>
      <c r="N618" s="240">
        <f>-1439.86-0.37</f>
        <v>-1440.2299999999998</v>
      </c>
      <c r="O618" s="240">
        <f>0.37+495.41</f>
        <v>495.78000000000003</v>
      </c>
      <c r="P618" s="240">
        <f>-495.41+0.18</f>
        <v>-495.23</v>
      </c>
      <c r="Q618" s="240"/>
      <c r="R618" s="240"/>
      <c r="S618" s="242">
        <f t="shared" si="50"/>
        <v>0.18000000000012051</v>
      </c>
    </row>
    <row r="619" spans="1:24" s="185" customFormat="1" ht="24" customHeight="1" x14ac:dyDescent="0.2">
      <c r="A619" s="267"/>
      <c r="B619" s="268"/>
      <c r="C619" s="267" t="s">
        <v>66</v>
      </c>
      <c r="D619" s="267"/>
      <c r="E619" s="269">
        <f>SUM(E591:E618)</f>
        <v>-563.40000000000009</v>
      </c>
      <c r="F619" s="269">
        <f t="shared" ref="F619:Q619" si="51">SUM(F591:F618)</f>
        <v>23688.37</v>
      </c>
      <c r="G619" s="269">
        <f t="shared" si="51"/>
        <v>27933.52</v>
      </c>
      <c r="H619" s="269">
        <f t="shared" si="51"/>
        <v>25807.789999999997</v>
      </c>
      <c r="I619" s="269">
        <f t="shared" si="51"/>
        <v>21030.92</v>
      </c>
      <c r="J619" s="269">
        <f t="shared" si="51"/>
        <v>28907.56</v>
      </c>
      <c r="K619" s="269">
        <f t="shared" si="51"/>
        <v>24963.399999999998</v>
      </c>
      <c r="L619" s="269">
        <f t="shared" si="51"/>
        <v>26000.509999999995</v>
      </c>
      <c r="M619" s="269">
        <f t="shared" si="51"/>
        <v>25791.9</v>
      </c>
      <c r="N619" s="269">
        <f t="shared" si="51"/>
        <v>19793.890000000003</v>
      </c>
      <c r="O619" s="269">
        <f t="shared" si="51"/>
        <v>25825.919999999998</v>
      </c>
      <c r="P619" s="269">
        <f t="shared" si="51"/>
        <v>23712.13</v>
      </c>
      <c r="Q619" s="269">
        <f t="shared" si="51"/>
        <v>6393.4900000000007</v>
      </c>
      <c r="R619" s="269">
        <f>SUM(R591:R618)</f>
        <v>0</v>
      </c>
      <c r="S619" s="269">
        <f>SUM(S591:S618)</f>
        <v>279286</v>
      </c>
      <c r="T619" s="212">
        <v>273096.15999999997</v>
      </c>
      <c r="U619" s="334">
        <f>T619-S619</f>
        <v>-6189.8400000000256</v>
      </c>
      <c r="V619" s="185" t="s">
        <v>853</v>
      </c>
      <c r="W619" s="569"/>
      <c r="X619" s="569">
        <f>U619-CENTRALISATION!V620</f>
        <v>-0.17999999999301508</v>
      </c>
    </row>
    <row r="620" spans="1:24" x14ac:dyDescent="0.2">
      <c r="A620" s="159">
        <v>615205</v>
      </c>
      <c r="B620" s="160" t="s">
        <v>122</v>
      </c>
      <c r="C620" s="148" t="s">
        <v>78</v>
      </c>
      <c r="D620" s="148" t="s">
        <v>179</v>
      </c>
      <c r="E620" s="240">
        <f>FLEURY!H161+FLEURY!H160</f>
        <v>0</v>
      </c>
      <c r="F620" s="240">
        <f>FLEURY!I161+FLEURY!I160</f>
        <v>710.92</v>
      </c>
      <c r="G620" s="240">
        <f>FLEURY!J161+FLEURY!J160</f>
        <v>710.92</v>
      </c>
      <c r="H620" s="240">
        <f>FLEURY!K161+FLEURY!K160</f>
        <v>710.92</v>
      </c>
      <c r="I620" s="240">
        <f>FLEURY!L161+FLEURY!L160</f>
        <v>710.92</v>
      </c>
      <c r="J620" s="240">
        <f>FLEURY!M161+FLEURY!M160</f>
        <v>710.92</v>
      </c>
      <c r="K620" s="240">
        <f>FLEURY!N161+FLEURY!N160</f>
        <v>710.86</v>
      </c>
      <c r="L620" s="240">
        <f>FLEURY!O161+FLEURY!O160</f>
        <v>716.62</v>
      </c>
      <c r="M620" s="240">
        <f>FLEURY!P161+FLEURY!P160</f>
        <v>716.62</v>
      </c>
      <c r="N620" s="240">
        <f>FLEURY!Q161+FLEURY!Q160</f>
        <v>716.62</v>
      </c>
      <c r="O620" s="240">
        <f>FLEURY!R161+FLEURY!R160</f>
        <v>716.62</v>
      </c>
      <c r="P620" s="240">
        <f>FLEURY!S161+FLEURY!S160</f>
        <v>716.62</v>
      </c>
      <c r="Q620" s="240">
        <f>FLEURY!T161+FLEURY!T160</f>
        <v>716.52</v>
      </c>
      <c r="R620" s="240">
        <f>FLEURY!U161+FLEURY!U160</f>
        <v>0</v>
      </c>
      <c r="S620" s="242">
        <f t="shared" ref="S620:S628" si="52">SUM(E620:Q620)</f>
        <v>8565.08</v>
      </c>
    </row>
    <row r="621" spans="1:24" x14ac:dyDescent="0.2">
      <c r="A621" s="159">
        <v>615205</v>
      </c>
      <c r="B621" s="160" t="s">
        <v>122</v>
      </c>
      <c r="C621" s="148" t="s">
        <v>78</v>
      </c>
      <c r="D621" s="148" t="s">
        <v>192</v>
      </c>
      <c r="E621" s="240">
        <f>FLEURY!H157</f>
        <v>0</v>
      </c>
      <c r="F621" s="240">
        <f>FLEURY!I157</f>
        <v>0</v>
      </c>
      <c r="G621" s="240">
        <f>FLEURY!J157</f>
        <v>0</v>
      </c>
      <c r="H621" s="240">
        <f>FLEURY!K157</f>
        <v>0</v>
      </c>
      <c r="I621" s="240">
        <f>FLEURY!L157</f>
        <v>0</v>
      </c>
      <c r="J621" s="240">
        <f>FLEURY!M157</f>
        <v>0</v>
      </c>
      <c r="K621" s="240">
        <f>FLEURY!N157</f>
        <v>0</v>
      </c>
      <c r="L621" s="240">
        <f>FLEURY!O157</f>
        <v>0</v>
      </c>
      <c r="M621" s="240">
        <f>FLEURY!P157</f>
        <v>0</v>
      </c>
      <c r="N621" s="240">
        <f>FLEURY!Q157</f>
        <v>0</v>
      </c>
      <c r="O621" s="240">
        <f>FLEURY!R157</f>
        <v>0</v>
      </c>
      <c r="P621" s="240">
        <f>FLEURY!S157</f>
        <v>0</v>
      </c>
      <c r="Q621" s="240">
        <f>FLEURY!T157</f>
        <v>0</v>
      </c>
      <c r="R621" s="240">
        <f>FLEURY!U157</f>
        <v>0</v>
      </c>
      <c r="S621" s="242">
        <f t="shared" si="52"/>
        <v>0</v>
      </c>
    </row>
    <row r="622" spans="1:24" x14ac:dyDescent="0.2">
      <c r="A622" s="159">
        <v>615205</v>
      </c>
      <c r="B622" s="160" t="s">
        <v>122</v>
      </c>
      <c r="C622" s="148" t="s">
        <v>76</v>
      </c>
      <c r="D622" s="148" t="s">
        <v>179</v>
      </c>
      <c r="E622" s="240">
        <f>FLEURY!H158+FLEURY!H157</f>
        <v>0</v>
      </c>
      <c r="F622" s="240">
        <f>FLEURY!I158+FLEURY!I159</f>
        <v>1658.8</v>
      </c>
      <c r="G622" s="240">
        <f>FLEURY!J158+FLEURY!J159</f>
        <v>1658.8</v>
      </c>
      <c r="H622" s="240">
        <f>FLEURY!K158+FLEURY!K159</f>
        <v>1658.8</v>
      </c>
      <c r="I622" s="240">
        <f>FLEURY!L158+FLEURY!L159</f>
        <v>1658.8</v>
      </c>
      <c r="J622" s="240">
        <f>FLEURY!M158+FLEURY!M159</f>
        <v>1658.8</v>
      </c>
      <c r="K622" s="240">
        <f>FLEURY!N158+FLEURY!N159</f>
        <v>1658.72</v>
      </c>
      <c r="L622" s="240">
        <f>FLEURY!O158+FLEURY!O159</f>
        <v>1672.08</v>
      </c>
      <c r="M622" s="240">
        <f>FLEURY!P158+FLEURY!P159</f>
        <v>1672.08</v>
      </c>
      <c r="N622" s="240">
        <f>FLEURY!Q158+FLEURY!Q159</f>
        <v>1672.08</v>
      </c>
      <c r="O622" s="240">
        <f>FLEURY!R158+FLEURY!R159</f>
        <v>1672.08</v>
      </c>
      <c r="P622" s="240">
        <f>FLEURY!S158+FLEURY!S159</f>
        <v>1672.08</v>
      </c>
      <c r="Q622" s="240">
        <f>FLEURY!T158+FLEURY!T159</f>
        <v>1672.08</v>
      </c>
      <c r="R622" s="240">
        <f>FLEURY!U158+FLEURY!U159</f>
        <v>0</v>
      </c>
      <c r="S622" s="242">
        <f t="shared" si="52"/>
        <v>19985.200000000004</v>
      </c>
    </row>
    <row r="623" spans="1:24" x14ac:dyDescent="0.2">
      <c r="A623" s="159"/>
      <c r="B623" s="160"/>
      <c r="C623" s="148"/>
      <c r="D623" s="148"/>
      <c r="E623" s="240"/>
      <c r="F623" s="240"/>
      <c r="G623" s="240"/>
      <c r="H623" s="240"/>
      <c r="I623" s="240"/>
      <c r="J623" s="240"/>
      <c r="K623" s="240"/>
      <c r="L623" s="240"/>
      <c r="M623" s="240"/>
      <c r="N623" s="240"/>
      <c r="O623" s="240"/>
      <c r="P623" s="240"/>
      <c r="Q623" s="240"/>
      <c r="R623" s="240"/>
      <c r="S623" s="242">
        <f t="shared" si="52"/>
        <v>0</v>
      </c>
    </row>
    <row r="624" spans="1:24" x14ac:dyDescent="0.2">
      <c r="A624" s="159">
        <v>615205</v>
      </c>
      <c r="B624" s="160" t="s">
        <v>122</v>
      </c>
      <c r="C624" s="148" t="s">
        <v>72</v>
      </c>
      <c r="D624" s="148" t="s">
        <v>192</v>
      </c>
      <c r="E624" s="240"/>
      <c r="F624" s="240">
        <f>SUM(AIX!I145)</f>
        <v>0</v>
      </c>
      <c r="G624" s="240">
        <f>SUM(AIX!J145)</f>
        <v>0</v>
      </c>
      <c r="H624" s="240">
        <f>SUM(AIX!K145)</f>
        <v>0</v>
      </c>
      <c r="I624" s="240">
        <f>SUM(AIX!L145)</f>
        <v>0</v>
      </c>
      <c r="J624" s="240">
        <f>SUM(AIX!M145)</f>
        <v>0</v>
      </c>
      <c r="K624" s="240">
        <f>SUM(AIX!N145)</f>
        <v>0</v>
      </c>
      <c r="L624" s="240">
        <f>SUM(AIX!O145)</f>
        <v>0</v>
      </c>
      <c r="M624" s="240">
        <f>SUM(AIX!P145)</f>
        <v>0</v>
      </c>
      <c r="N624" s="240">
        <f>SUM(AIX!Q145)</f>
        <v>0</v>
      </c>
      <c r="O624" s="240">
        <f>SUM(AIX!R145)</f>
        <v>0</v>
      </c>
      <c r="P624" s="240">
        <f>SUM(AIX!S145)</f>
        <v>0</v>
      </c>
      <c r="Q624" s="240">
        <f>SUM(AIX!T145)</f>
        <v>0</v>
      </c>
      <c r="R624" s="240">
        <f>SUM(AIX!U145)</f>
        <v>0</v>
      </c>
      <c r="S624" s="242">
        <f t="shared" si="52"/>
        <v>0</v>
      </c>
    </row>
    <row r="625" spans="1:24" x14ac:dyDescent="0.2">
      <c r="A625" s="159">
        <v>615205</v>
      </c>
      <c r="B625" s="160" t="s">
        <v>122</v>
      </c>
      <c r="C625" s="148" t="s">
        <v>72</v>
      </c>
      <c r="D625" s="148" t="s">
        <v>179</v>
      </c>
      <c r="E625" s="240"/>
      <c r="F625" s="240">
        <f>SUM(AIX!I146)</f>
        <v>0</v>
      </c>
      <c r="G625" s="240">
        <f>SUM(AIX!J146)</f>
        <v>0</v>
      </c>
      <c r="H625" s="240">
        <f>SUM(AIX!K146)</f>
        <v>0</v>
      </c>
      <c r="I625" s="240">
        <f>SUM(AIX!L146)</f>
        <v>0</v>
      </c>
      <c r="J625" s="240">
        <f>SUM(AIX!M146)</f>
        <v>0</v>
      </c>
      <c r="K625" s="240">
        <f>SUM(AIX!N146)</f>
        <v>0</v>
      </c>
      <c r="L625" s="240">
        <f>SUM(AIX!O146)</f>
        <v>0</v>
      </c>
      <c r="M625" s="240">
        <f>SUM(AIX!P146)</f>
        <v>0</v>
      </c>
      <c r="N625" s="240">
        <f>SUM(AIX!Q146)</f>
        <v>0</v>
      </c>
      <c r="O625" s="240">
        <f>SUM(AIX!R146)</f>
        <v>0</v>
      </c>
      <c r="P625" s="240">
        <f>SUM(AIX!S146)</f>
        <v>0</v>
      </c>
      <c r="Q625" s="240">
        <f>SUM(AIX!T146)</f>
        <v>0</v>
      </c>
      <c r="R625" s="240">
        <f>SUM(AIX!U146)</f>
        <v>0</v>
      </c>
      <c r="S625" s="242">
        <f t="shared" si="52"/>
        <v>0</v>
      </c>
    </row>
    <row r="626" spans="1:24" x14ac:dyDescent="0.2">
      <c r="A626" s="159"/>
      <c r="B626" s="160"/>
      <c r="C626" s="148"/>
      <c r="D626" s="148"/>
      <c r="E626" s="240"/>
      <c r="F626" s="240"/>
      <c r="G626" s="240"/>
      <c r="H626" s="240"/>
      <c r="I626" s="240"/>
      <c r="J626" s="240"/>
      <c r="K626" s="240"/>
      <c r="L626" s="240"/>
      <c r="M626" s="240"/>
      <c r="N626" s="240"/>
      <c r="O626" s="240"/>
      <c r="P626" s="240"/>
      <c r="Q626" s="240"/>
      <c r="R626" s="240"/>
      <c r="S626" s="242">
        <f t="shared" si="52"/>
        <v>0</v>
      </c>
    </row>
    <row r="627" spans="1:24" x14ac:dyDescent="0.2">
      <c r="A627" s="159">
        <v>615205</v>
      </c>
      <c r="B627" s="160" t="s">
        <v>122</v>
      </c>
      <c r="C627" s="148" t="s">
        <v>68</v>
      </c>
      <c r="D627" s="148" t="s">
        <v>179</v>
      </c>
      <c r="E627" s="240">
        <f>FLEURY!H158+FLEURY!H157</f>
        <v>0</v>
      </c>
      <c r="F627" s="240">
        <f>+BORDEAUX!I148</f>
        <v>315</v>
      </c>
      <c r="G627" s="240">
        <f>+BORDEAUX!J148</f>
        <v>315</v>
      </c>
      <c r="H627" s="240">
        <f>+BORDEAUX!K148</f>
        <v>315</v>
      </c>
      <c r="I627" s="240">
        <f>+BORDEAUX!L148</f>
        <v>315</v>
      </c>
      <c r="J627" s="240">
        <f>+BORDEAUX!M148</f>
        <v>315</v>
      </c>
      <c r="K627" s="240">
        <f>+BORDEAUX!N148</f>
        <v>315</v>
      </c>
      <c r="L627" s="240">
        <f>+BORDEAUX!O148</f>
        <v>315</v>
      </c>
      <c r="M627" s="240">
        <f>+BORDEAUX!P148</f>
        <v>315</v>
      </c>
      <c r="N627" s="240">
        <f>+BORDEAUX!Q148</f>
        <v>322.64</v>
      </c>
      <c r="O627" s="240">
        <f>+BORDEAUX!R148</f>
        <v>322.64</v>
      </c>
      <c r="P627" s="240">
        <f>+BORDEAUX!S148</f>
        <v>322.64</v>
      </c>
      <c r="Q627" s="240">
        <f>+BORDEAUX!T148</f>
        <v>322.64</v>
      </c>
      <c r="R627" s="240">
        <f>+BORDEAUX!U148</f>
        <v>0</v>
      </c>
      <c r="S627" s="242">
        <f t="shared" si="52"/>
        <v>3810.5599999999995</v>
      </c>
    </row>
    <row r="628" spans="1:24" x14ac:dyDescent="0.2">
      <c r="A628" s="159">
        <v>615205</v>
      </c>
      <c r="B628" s="160" t="s">
        <v>122</v>
      </c>
      <c r="C628" s="148" t="s">
        <v>68</v>
      </c>
      <c r="D628" s="148" t="s">
        <v>192</v>
      </c>
      <c r="E628" s="240">
        <f>FLEURY!H159+FLEURY!H158</f>
        <v>0</v>
      </c>
      <c r="F628" s="240">
        <f>+BORDEAUX!I149</f>
        <v>0</v>
      </c>
      <c r="G628" s="240">
        <f>+BORDEAUX!J149</f>
        <v>0</v>
      </c>
      <c r="H628" s="240">
        <f>+BORDEAUX!K149</f>
        <v>0</v>
      </c>
      <c r="I628" s="240">
        <f>+BORDEAUX!L149</f>
        <v>0</v>
      </c>
      <c r="J628" s="240">
        <f>+BORDEAUX!M149</f>
        <v>0</v>
      </c>
      <c r="K628" s="240">
        <f>+BORDEAUX!N149</f>
        <v>0</v>
      </c>
      <c r="L628" s="240">
        <f>+BORDEAUX!O149</f>
        <v>0</v>
      </c>
      <c r="M628" s="240">
        <f>+BORDEAUX!P149</f>
        <v>0</v>
      </c>
      <c r="N628" s="240">
        <f>+BORDEAUX!Q149</f>
        <v>515.66</v>
      </c>
      <c r="O628" s="240">
        <f>+BORDEAUX!R149</f>
        <v>0</v>
      </c>
      <c r="P628" s="240">
        <f>+BORDEAUX!S149</f>
        <v>0</v>
      </c>
      <c r="Q628" s="240">
        <f>+BORDEAUX!T149</f>
        <v>0</v>
      </c>
      <c r="R628" s="240">
        <f>+BORDEAUX!U149</f>
        <v>0</v>
      </c>
      <c r="S628" s="242">
        <f t="shared" si="52"/>
        <v>515.66</v>
      </c>
    </row>
    <row r="629" spans="1:24" x14ac:dyDescent="0.2">
      <c r="A629" s="270"/>
      <c r="B629" s="235"/>
      <c r="C629" s="148"/>
      <c r="D629" s="148"/>
      <c r="E629" s="240"/>
      <c r="F629" s="240"/>
      <c r="G629" s="240"/>
      <c r="H629" s="240"/>
      <c r="I629" s="240"/>
      <c r="J629" s="240"/>
      <c r="K629" s="240"/>
      <c r="L629" s="240"/>
      <c r="M629" s="240"/>
      <c r="N629" s="240"/>
      <c r="O629" s="240"/>
      <c r="P629" s="240"/>
      <c r="Q629" s="240"/>
      <c r="R629" s="240"/>
      <c r="S629" s="242"/>
    </row>
    <row r="630" spans="1:24" x14ac:dyDescent="0.2">
      <c r="A630" s="159">
        <v>615205</v>
      </c>
      <c r="B630" s="160" t="s">
        <v>122</v>
      </c>
      <c r="C630" s="148" t="s">
        <v>156</v>
      </c>
      <c r="D630" s="148" t="s">
        <v>192</v>
      </c>
      <c r="E630" s="240"/>
      <c r="F630" s="240"/>
      <c r="G630" s="240">
        <f>+BEAUVAIS!J144</f>
        <v>0</v>
      </c>
      <c r="H630" s="240"/>
      <c r="I630" s="240"/>
      <c r="J630" s="240"/>
      <c r="K630" s="240"/>
      <c r="L630" s="240"/>
      <c r="M630" s="240"/>
      <c r="N630" s="240"/>
      <c r="O630" s="240"/>
      <c r="P630" s="240"/>
      <c r="Q630" s="240"/>
      <c r="R630" s="240"/>
      <c r="S630" s="242">
        <f>SUM(E630:Q630)</f>
        <v>0</v>
      </c>
    </row>
    <row r="631" spans="1:24" x14ac:dyDescent="0.2">
      <c r="A631" s="159">
        <v>615205</v>
      </c>
      <c r="B631" s="160" t="s">
        <v>122</v>
      </c>
      <c r="C631" s="148" t="s">
        <v>156</v>
      </c>
      <c r="D631" s="148" t="s">
        <v>179</v>
      </c>
      <c r="E631" s="240">
        <f>BEAUVAIS!H145</f>
        <v>0</v>
      </c>
      <c r="F631" s="240">
        <f>BEAUVAIS!I145</f>
        <v>0</v>
      </c>
      <c r="G631" s="240">
        <f>BEAUVAIS!J145</f>
        <v>0</v>
      </c>
      <c r="H631" s="240">
        <f>BEAUVAIS!K145</f>
        <v>0</v>
      </c>
      <c r="I631" s="240">
        <f>BEAUVAIS!L145</f>
        <v>0</v>
      </c>
      <c r="J631" s="240">
        <f>BEAUVAIS!M145</f>
        <v>0</v>
      </c>
      <c r="K631" s="240">
        <f>BEAUVAIS!N145</f>
        <v>0</v>
      </c>
      <c r="L631" s="240">
        <f>BEAUVAIS!O145</f>
        <v>0</v>
      </c>
      <c r="M631" s="240">
        <f>BEAUVAIS!P145</f>
        <v>0</v>
      </c>
      <c r="N631" s="240">
        <f>BEAUVAIS!Q145</f>
        <v>0</v>
      </c>
      <c r="O631" s="240">
        <f>BEAUVAIS!R145</f>
        <v>0</v>
      </c>
      <c r="P631" s="240">
        <f>BEAUVAIS!S145</f>
        <v>0</v>
      </c>
      <c r="Q631" s="240">
        <f>BEAUVAIS!T145</f>
        <v>0</v>
      </c>
      <c r="R631" s="240">
        <f>BEAUVAIS!U145</f>
        <v>0</v>
      </c>
      <c r="S631" s="242">
        <f>SUM(E631:Q631)</f>
        <v>0</v>
      </c>
    </row>
    <row r="632" spans="1:24" s="185" customFormat="1" ht="24" customHeight="1" x14ac:dyDescent="0.2">
      <c r="A632" s="267"/>
      <c r="B632" s="268"/>
      <c r="C632" s="267" t="s">
        <v>66</v>
      </c>
      <c r="D632" s="267"/>
      <c r="E632" s="269">
        <f t="shared" ref="E632:Q632" si="53">SUM(E620:E630)</f>
        <v>0</v>
      </c>
      <c r="F632" s="269">
        <f t="shared" si="53"/>
        <v>2684.72</v>
      </c>
      <c r="G632" s="269">
        <f t="shared" si="53"/>
        <v>2684.72</v>
      </c>
      <c r="H632" s="269">
        <f t="shared" si="53"/>
        <v>2684.72</v>
      </c>
      <c r="I632" s="269">
        <f t="shared" si="53"/>
        <v>2684.72</v>
      </c>
      <c r="J632" s="269">
        <f t="shared" si="53"/>
        <v>2684.72</v>
      </c>
      <c r="K632" s="269">
        <f t="shared" si="53"/>
        <v>2684.58</v>
      </c>
      <c r="L632" s="269">
        <f t="shared" si="53"/>
        <v>2703.7</v>
      </c>
      <c r="M632" s="269">
        <f t="shared" si="53"/>
        <v>2703.7</v>
      </c>
      <c r="N632" s="269">
        <f t="shared" si="53"/>
        <v>3226.9999999999995</v>
      </c>
      <c r="O632" s="269">
        <f t="shared" si="53"/>
        <v>2711.3399999999997</v>
      </c>
      <c r="P632" s="269">
        <f t="shared" si="53"/>
        <v>2711.3399999999997</v>
      </c>
      <c r="Q632" s="269">
        <f t="shared" si="53"/>
        <v>2711.24</v>
      </c>
      <c r="R632" s="269">
        <f>SUM(R620:R630)</f>
        <v>0</v>
      </c>
      <c r="S632" s="269">
        <f>SUM(S620:S631)</f>
        <v>32876.500000000007</v>
      </c>
      <c r="T632" s="212">
        <v>30165.26</v>
      </c>
      <c r="U632" s="334">
        <f>T632-S632</f>
        <v>-2711.2400000000089</v>
      </c>
      <c r="V632" s="185" t="s">
        <v>853</v>
      </c>
      <c r="X632" s="569">
        <f>U632-CENTRALISATION!V633</f>
        <v>0</v>
      </c>
    </row>
    <row r="633" spans="1:24" x14ac:dyDescent="0.2">
      <c r="A633" s="159">
        <v>615210</v>
      </c>
      <c r="B633" s="160" t="s">
        <v>138</v>
      </c>
      <c r="C633" s="148" t="s">
        <v>78</v>
      </c>
      <c r="D633" s="148" t="s">
        <v>192</v>
      </c>
      <c r="E633" s="240">
        <f>FLEURY!H165</f>
        <v>0</v>
      </c>
      <c r="F633" s="240">
        <f>FLEURY!I165</f>
        <v>0</v>
      </c>
      <c r="G633" s="240">
        <f>FLEURY!J165</f>
        <v>0</v>
      </c>
      <c r="H633" s="240">
        <f>FLEURY!K165</f>
        <v>0</v>
      </c>
      <c r="I633" s="240">
        <f>FLEURY!L165</f>
        <v>0</v>
      </c>
      <c r="J633" s="240">
        <f>FLEURY!M165</f>
        <v>0</v>
      </c>
      <c r="K633" s="240">
        <f>FLEURY!N165</f>
        <v>0</v>
      </c>
      <c r="L633" s="240">
        <f>FLEURY!O165</f>
        <v>0</v>
      </c>
      <c r="M633" s="240">
        <f>FLEURY!P165</f>
        <v>0</v>
      </c>
      <c r="N633" s="240">
        <f>FLEURY!Q165</f>
        <v>0</v>
      </c>
      <c r="O633" s="240">
        <f>FLEURY!R165</f>
        <v>0</v>
      </c>
      <c r="P633" s="240">
        <f>FLEURY!S165</f>
        <v>0</v>
      </c>
      <c r="Q633" s="240">
        <f>FLEURY!T165</f>
        <v>0</v>
      </c>
      <c r="R633" s="240">
        <f>FLEURY!U165</f>
        <v>0</v>
      </c>
      <c r="S633" s="242">
        <f>SUM(E633:Q633)</f>
        <v>0</v>
      </c>
    </row>
    <row r="634" spans="1:24" x14ac:dyDescent="0.2">
      <c r="A634" s="159">
        <v>615210</v>
      </c>
      <c r="B634" s="160" t="s">
        <v>138</v>
      </c>
      <c r="C634" s="148" t="s">
        <v>78</v>
      </c>
      <c r="D634" s="148" t="s">
        <v>189</v>
      </c>
      <c r="E634" s="240">
        <f>+SUM(FLEURY!H144:H144)</f>
        <v>0</v>
      </c>
      <c r="F634" s="240">
        <f>+SUM(FLEURY!I144:I144)</f>
        <v>0</v>
      </c>
      <c r="G634" s="240">
        <f>+SUM(FLEURY!J144:J144)</f>
        <v>0</v>
      </c>
      <c r="H634" s="240">
        <f>+SUM(FLEURY!K144:K144)</f>
        <v>0</v>
      </c>
      <c r="I634" s="240">
        <f>+SUM(FLEURY!L144:L144)</f>
        <v>0</v>
      </c>
      <c r="J634" s="240">
        <f>+SUM(FLEURY!M144:M144)</f>
        <v>0</v>
      </c>
      <c r="K634" s="240">
        <f>+SUM(FLEURY!N144:N144)</f>
        <v>0</v>
      </c>
      <c r="L634" s="240">
        <f>+SUM(FLEURY!O144:O144)</f>
        <v>0</v>
      </c>
      <c r="M634" s="240">
        <f>+SUM(FLEURY!P144:P144)</f>
        <v>0</v>
      </c>
      <c r="N634" s="240">
        <f>+SUM(FLEURY!Q144:Q144)</f>
        <v>0</v>
      </c>
      <c r="O634" s="240">
        <f>+SUM(FLEURY!R144:R144)</f>
        <v>0</v>
      </c>
      <c r="P634" s="240">
        <f>+SUM(FLEURY!S144:S144)</f>
        <v>0</v>
      </c>
      <c r="Q634" s="240">
        <f>+SUM(FLEURY!T144:T144)</f>
        <v>0</v>
      </c>
      <c r="R634" s="240">
        <f>+SUM(FLEURY!U144:U144)</f>
        <v>0</v>
      </c>
      <c r="S634" s="242">
        <f>SUM(E634:Q634)</f>
        <v>0</v>
      </c>
    </row>
    <row r="635" spans="1:24" x14ac:dyDescent="0.2">
      <c r="A635" s="159">
        <v>615210</v>
      </c>
      <c r="B635" s="160" t="s">
        <v>138</v>
      </c>
      <c r="C635" s="148" t="s">
        <v>137</v>
      </c>
      <c r="D635" s="148" t="s">
        <v>192</v>
      </c>
      <c r="E635" s="240">
        <f>+FLEURY!H145</f>
        <v>0</v>
      </c>
      <c r="F635" s="240">
        <f>+FLEURY!I145</f>
        <v>0</v>
      </c>
      <c r="G635" s="240">
        <f>+FLEURY!J145</f>
        <v>0</v>
      </c>
      <c r="H635" s="240">
        <f>+FLEURY!K145</f>
        <v>0</v>
      </c>
      <c r="I635" s="240">
        <f>+FLEURY!L145</f>
        <v>0</v>
      </c>
      <c r="J635" s="240">
        <f>+FLEURY!M145</f>
        <v>0</v>
      </c>
      <c r="K635" s="240">
        <f>+FLEURY!N145</f>
        <v>0</v>
      </c>
      <c r="L635" s="240">
        <f>+FLEURY!O145</f>
        <v>0</v>
      </c>
      <c r="M635" s="240">
        <f>+FLEURY!P145</f>
        <v>0</v>
      </c>
      <c r="N635" s="240">
        <f>+FLEURY!Q145</f>
        <v>0</v>
      </c>
      <c r="O635" s="240">
        <f>+FLEURY!R145</f>
        <v>0</v>
      </c>
      <c r="P635" s="240">
        <f>+FLEURY!S145</f>
        <v>0</v>
      </c>
      <c r="Q635" s="240">
        <f>+FLEURY!T145</f>
        <v>0</v>
      </c>
      <c r="R635" s="240">
        <f>+FLEURY!U145</f>
        <v>0</v>
      </c>
      <c r="S635" s="242">
        <f>SUM(E635:Q635)</f>
        <v>0</v>
      </c>
    </row>
    <row r="636" spans="1:24" x14ac:dyDescent="0.2">
      <c r="A636" s="159">
        <v>615210</v>
      </c>
      <c r="B636" s="160" t="s">
        <v>138</v>
      </c>
      <c r="C636" s="148" t="s">
        <v>137</v>
      </c>
      <c r="D636" s="148" t="s">
        <v>189</v>
      </c>
      <c r="E636" s="240">
        <f>+SUM(FLEURY!H168:H169)</f>
        <v>1000</v>
      </c>
      <c r="F636" s="240">
        <f>+SUM(FLEURY!I168:I169)</f>
        <v>84</v>
      </c>
      <c r="G636" s="240">
        <f>+SUM(FLEURY!J168:J169)</f>
        <v>84</v>
      </c>
      <c r="H636" s="240">
        <f>+SUM(FLEURY!K168:K169)</f>
        <v>84</v>
      </c>
      <c r="I636" s="240">
        <f>+SUM(FLEURY!L168:L169)</f>
        <v>84</v>
      </c>
      <c r="J636" s="240">
        <f>+SUM(FLEURY!M168:M169)</f>
        <v>84</v>
      </c>
      <c r="K636" s="240">
        <f>+SUM(FLEURY!N168:N169)</f>
        <v>354</v>
      </c>
      <c r="L636" s="240">
        <f>+SUM(FLEURY!O168:O169)</f>
        <v>84</v>
      </c>
      <c r="M636" s="240">
        <f>+SUM(FLEURY!P168:P169)</f>
        <v>84</v>
      </c>
      <c r="N636" s="240">
        <f>+SUM(FLEURY!Q168:Q169)</f>
        <v>84</v>
      </c>
      <c r="O636" s="240">
        <f>+SUM(FLEURY!R168:R169)</f>
        <v>84</v>
      </c>
      <c r="P636" s="240">
        <f>+SUM(FLEURY!S168:S169)</f>
        <v>84</v>
      </c>
      <c r="Q636" s="240">
        <f>+SUM(FLEURY!T168:T169)</f>
        <v>84</v>
      </c>
      <c r="R636" s="240">
        <f>+SUM(FLEURY!U168:U169)</f>
        <v>0</v>
      </c>
      <c r="S636" s="242">
        <f>SUM(E636:Q636)</f>
        <v>2278</v>
      </c>
    </row>
    <row r="637" spans="1:24" x14ac:dyDescent="0.2">
      <c r="A637" s="159">
        <v>615210</v>
      </c>
      <c r="B637" s="160" t="s">
        <v>138</v>
      </c>
      <c r="C637" s="148" t="s">
        <v>137</v>
      </c>
      <c r="D637" s="148" t="s">
        <v>628</v>
      </c>
      <c r="E637" s="240">
        <f>FLEURY!H167</f>
        <v>0</v>
      </c>
      <c r="F637" s="240">
        <f>FLEURY!I167</f>
        <v>-538</v>
      </c>
      <c r="G637" s="240">
        <f>FLEURY!J167</f>
        <v>0</v>
      </c>
      <c r="H637" s="240">
        <f>FLEURY!K167</f>
        <v>255</v>
      </c>
      <c r="I637" s="240">
        <f>FLEURY!L167</f>
        <v>0</v>
      </c>
      <c r="J637" s="240">
        <f>FLEURY!M167</f>
        <v>0</v>
      </c>
      <c r="K637" s="240">
        <f>FLEURY!N167</f>
        <v>0</v>
      </c>
      <c r="L637" s="240">
        <f>FLEURY!O167</f>
        <v>0</v>
      </c>
      <c r="M637" s="240">
        <f>FLEURY!P167</f>
        <v>309</v>
      </c>
      <c r="N637" s="240">
        <f>FLEURY!Q167</f>
        <v>0</v>
      </c>
      <c r="O637" s="240">
        <f>FLEURY!R167</f>
        <v>0</v>
      </c>
      <c r="P637" s="240">
        <f>FLEURY!S167</f>
        <v>610.29999999999995</v>
      </c>
      <c r="Q637" s="240">
        <f>FLEURY!T167</f>
        <v>0</v>
      </c>
      <c r="R637" s="240">
        <f>FLEURY!U167</f>
        <v>0</v>
      </c>
      <c r="S637" s="242">
        <f>SUM(E637:Q637)</f>
        <v>636.29999999999995</v>
      </c>
    </row>
    <row r="638" spans="1:24" s="175" customFormat="1" x14ac:dyDescent="0.2">
      <c r="A638" s="270"/>
      <c r="B638" s="235"/>
      <c r="C638" s="148"/>
      <c r="D638" s="148"/>
      <c r="E638" s="240"/>
      <c r="F638" s="240"/>
      <c r="G638" s="240"/>
      <c r="H638" s="240"/>
      <c r="I638" s="240"/>
      <c r="J638" s="240"/>
      <c r="K638" s="240"/>
      <c r="L638" s="240"/>
      <c r="M638" s="240"/>
      <c r="N638" s="240"/>
      <c r="O638" s="240"/>
      <c r="P638" s="240"/>
      <c r="Q638" s="240"/>
      <c r="R638" s="240"/>
      <c r="S638" s="242"/>
      <c r="U638" s="332"/>
    </row>
    <row r="639" spans="1:24" x14ac:dyDescent="0.2">
      <c r="A639" s="159">
        <v>615210</v>
      </c>
      <c r="B639" s="160" t="s">
        <v>138</v>
      </c>
      <c r="C639" s="148" t="s">
        <v>396</v>
      </c>
      <c r="D639" s="148" t="s">
        <v>189</v>
      </c>
      <c r="E639" s="240">
        <f>+AIX!H150</f>
        <v>0</v>
      </c>
      <c r="F639" s="240">
        <f>+AIX!I150</f>
        <v>0</v>
      </c>
      <c r="G639" s="240">
        <f>+AIX!J150</f>
        <v>0</v>
      </c>
      <c r="H639" s="240">
        <f>+AIX!K150</f>
        <v>0</v>
      </c>
      <c r="I639" s="240">
        <f>+AIX!L150</f>
        <v>0</v>
      </c>
      <c r="J639" s="240">
        <f>+AIX!M150</f>
        <v>0</v>
      </c>
      <c r="K639" s="240">
        <f>+AIX!N150</f>
        <v>0</v>
      </c>
      <c r="L639" s="240">
        <f>+AIX!O150</f>
        <v>0</v>
      </c>
      <c r="M639" s="240">
        <f>+AIX!P150</f>
        <v>0</v>
      </c>
      <c r="N639" s="240">
        <f>+AIX!Q150</f>
        <v>0</v>
      </c>
      <c r="O639" s="240">
        <f>+AIX!R150</f>
        <v>0</v>
      </c>
      <c r="P639" s="240">
        <f>+AIX!S150</f>
        <v>0</v>
      </c>
      <c r="Q639" s="240">
        <f>+AIX!T150</f>
        <v>0</v>
      </c>
      <c r="R639" s="240">
        <f>+AIX!U150</f>
        <v>0</v>
      </c>
      <c r="S639" s="242">
        <f t="shared" ref="S639:S659" si="54">SUM(E639:Q639)</f>
        <v>0</v>
      </c>
    </row>
    <row r="640" spans="1:24" x14ac:dyDescent="0.2">
      <c r="A640" s="159">
        <v>615210</v>
      </c>
      <c r="B640" s="160" t="s">
        <v>138</v>
      </c>
      <c r="C640" s="148" t="s">
        <v>396</v>
      </c>
      <c r="D640" s="148" t="s">
        <v>628</v>
      </c>
      <c r="E640" s="240">
        <f>+AIX!H151</f>
        <v>0</v>
      </c>
      <c r="F640" s="240">
        <f>+AIX!I151</f>
        <v>0</v>
      </c>
      <c r="G640" s="240">
        <f>+AIX!J151</f>
        <v>0</v>
      </c>
      <c r="H640" s="240">
        <f>+AIX!K151</f>
        <v>0</v>
      </c>
      <c r="I640" s="240">
        <f>+AIX!L151</f>
        <v>368</v>
      </c>
      <c r="J640" s="240">
        <f>+AIX!M151</f>
        <v>0</v>
      </c>
      <c r="K640" s="240">
        <f>+AIX!N151</f>
        <v>0</v>
      </c>
      <c r="L640" s="240">
        <f>+AIX!O151</f>
        <v>0</v>
      </c>
      <c r="M640" s="240">
        <f>+AIX!P151</f>
        <v>377</v>
      </c>
      <c r="N640" s="240">
        <f>+AIX!Q151</f>
        <v>0</v>
      </c>
      <c r="O640" s="240">
        <f>+AIX!R151</f>
        <v>0</v>
      </c>
      <c r="P640" s="240">
        <f>+AIX!S151</f>
        <v>377</v>
      </c>
      <c r="Q640" s="240">
        <f>+AIX!T151</f>
        <v>0</v>
      </c>
      <c r="R640" s="240">
        <f>+AIX!U151</f>
        <v>0</v>
      </c>
      <c r="S640" s="242">
        <f>SUM(E640:Q640)</f>
        <v>1122</v>
      </c>
    </row>
    <row r="641" spans="1:21" x14ac:dyDescent="0.2">
      <c r="A641" s="159">
        <v>615210</v>
      </c>
      <c r="B641" s="160" t="s">
        <v>138</v>
      </c>
      <c r="C641" s="148" t="s">
        <v>71</v>
      </c>
      <c r="D641" s="148" t="s">
        <v>192</v>
      </c>
      <c r="E641" s="240">
        <f>+AIX!H152</f>
        <v>0</v>
      </c>
      <c r="F641" s="240">
        <f>+AIX!I152</f>
        <v>0</v>
      </c>
      <c r="G641" s="240">
        <f>+AIX!J152</f>
        <v>0</v>
      </c>
      <c r="H641" s="240">
        <f>+AIX!K152</f>
        <v>0</v>
      </c>
      <c r="I641" s="240">
        <f>+AIX!L152</f>
        <v>0</v>
      </c>
      <c r="J641" s="240">
        <f>+AIX!M152</f>
        <v>0</v>
      </c>
      <c r="K641" s="240">
        <f>+AIX!N152</f>
        <v>0</v>
      </c>
      <c r="L641" s="240">
        <f>+AIX!O152</f>
        <v>0</v>
      </c>
      <c r="M641" s="240">
        <f>+AIX!P152</f>
        <v>0</v>
      </c>
      <c r="N641" s="240">
        <f>+AIX!Q152</f>
        <v>0</v>
      </c>
      <c r="O641" s="240">
        <f>+AIX!R152</f>
        <v>0</v>
      </c>
      <c r="P641" s="240">
        <f>+AIX!S152</f>
        <v>0</v>
      </c>
      <c r="Q641" s="240">
        <f>+AIX!T152</f>
        <v>0</v>
      </c>
      <c r="R641" s="240">
        <f>+AIX!U152</f>
        <v>0</v>
      </c>
      <c r="S641" s="242">
        <f t="shared" si="54"/>
        <v>0</v>
      </c>
    </row>
    <row r="642" spans="1:21" s="175" customFormat="1" x14ac:dyDescent="0.2">
      <c r="A642" s="270"/>
      <c r="B642" s="235"/>
      <c r="C642" s="148"/>
      <c r="D642" s="148"/>
      <c r="E642" s="240"/>
      <c r="F642" s="240"/>
      <c r="G642" s="240"/>
      <c r="H642" s="240"/>
      <c r="I642" s="240"/>
      <c r="J642" s="240"/>
      <c r="K642" s="240"/>
      <c r="L642" s="240"/>
      <c r="M642" s="240"/>
      <c r="N642" s="240"/>
      <c r="O642" s="240"/>
      <c r="P642" s="240"/>
      <c r="Q642" s="240"/>
      <c r="R642" s="240"/>
      <c r="S642" s="242">
        <f t="shared" si="54"/>
        <v>0</v>
      </c>
      <c r="U642" s="332"/>
    </row>
    <row r="643" spans="1:21" x14ac:dyDescent="0.2">
      <c r="A643" s="159">
        <v>615210</v>
      </c>
      <c r="B643" s="160" t="s">
        <v>138</v>
      </c>
      <c r="C643" s="148" t="s">
        <v>73</v>
      </c>
      <c r="D643" s="148" t="s">
        <v>192</v>
      </c>
      <c r="E643" s="240">
        <f>LYON!H142</f>
        <v>0</v>
      </c>
      <c r="F643" s="240">
        <f>LYON!I142</f>
        <v>0</v>
      </c>
      <c r="G643" s="240">
        <f>LYON!J142</f>
        <v>0</v>
      </c>
      <c r="H643" s="240">
        <f>LYON!K142</f>
        <v>295</v>
      </c>
      <c r="I643" s="240">
        <f>LYON!L142</f>
        <v>0</v>
      </c>
      <c r="J643" s="240">
        <f>LYON!M142</f>
        <v>268</v>
      </c>
      <c r="K643" s="240">
        <f>LYON!N142</f>
        <v>-295</v>
      </c>
      <c r="L643" s="240">
        <f>LYON!O142</f>
        <v>0</v>
      </c>
      <c r="M643" s="240">
        <f>LYON!P142</f>
        <v>0</v>
      </c>
      <c r="N643" s="240">
        <f>LYON!Q142</f>
        <v>0</v>
      </c>
      <c r="O643" s="240">
        <f>LYON!R142</f>
        <v>0</v>
      </c>
      <c r="P643" s="240">
        <f>LYON!S142</f>
        <v>1218</v>
      </c>
      <c r="Q643" s="240">
        <f>LYON!T142</f>
        <v>0</v>
      </c>
      <c r="R643" s="240">
        <f>LYON!U142</f>
        <v>0</v>
      </c>
      <c r="S643" s="242">
        <f>SUM(E643:Q643)</f>
        <v>1486</v>
      </c>
    </row>
    <row r="644" spans="1:21" x14ac:dyDescent="0.2">
      <c r="A644" s="159">
        <v>615210</v>
      </c>
      <c r="B644" s="160" t="s">
        <v>138</v>
      </c>
      <c r="C644" s="148" t="s">
        <v>147</v>
      </c>
      <c r="D644" s="148"/>
      <c r="E644" s="240">
        <f>LYON!H143</f>
        <v>0</v>
      </c>
      <c r="F644" s="240">
        <f>LYON!I143</f>
        <v>0</v>
      </c>
      <c r="G644" s="240">
        <f>LYON!J143</f>
        <v>0</v>
      </c>
      <c r="H644" s="240">
        <f>LYON!K143</f>
        <v>0</v>
      </c>
      <c r="I644" s="240">
        <f>LYON!L143</f>
        <v>0</v>
      </c>
      <c r="J644" s="240">
        <f>LYON!M143</f>
        <v>0</v>
      </c>
      <c r="K644" s="240">
        <f>LYON!N143</f>
        <v>0</v>
      </c>
      <c r="L644" s="240">
        <f>LYON!O143</f>
        <v>0</v>
      </c>
      <c r="M644" s="240">
        <f>LYON!P143</f>
        <v>1008</v>
      </c>
      <c r="N644" s="240">
        <f>LYON!Q143</f>
        <v>0</v>
      </c>
      <c r="O644" s="240">
        <f>LYON!R143</f>
        <v>0</v>
      </c>
      <c r="P644" s="240">
        <f>LYON!S143</f>
        <v>0</v>
      </c>
      <c r="Q644" s="240">
        <f>LYON!T143</f>
        <v>0</v>
      </c>
      <c r="R644" s="240">
        <f>LYON!U143</f>
        <v>0</v>
      </c>
      <c r="S644" s="242">
        <f t="shared" si="54"/>
        <v>1008</v>
      </c>
    </row>
    <row r="645" spans="1:21" s="175" customFormat="1" x14ac:dyDescent="0.2">
      <c r="A645" s="270"/>
      <c r="B645" s="235"/>
      <c r="C645" s="148"/>
      <c r="D645" s="148"/>
      <c r="E645" s="240"/>
      <c r="F645" s="240"/>
      <c r="G645" s="240"/>
      <c r="H645" s="240"/>
      <c r="I645" s="240"/>
      <c r="J645" s="240"/>
      <c r="K645" s="240"/>
      <c r="L645" s="240"/>
      <c r="M645" s="240"/>
      <c r="N645" s="240"/>
      <c r="O645" s="240"/>
      <c r="P645" s="240"/>
      <c r="Q645" s="240"/>
      <c r="R645" s="240"/>
      <c r="S645" s="242">
        <f t="shared" si="54"/>
        <v>0</v>
      </c>
      <c r="U645" s="332"/>
    </row>
    <row r="646" spans="1:21" x14ac:dyDescent="0.2">
      <c r="A646" s="159">
        <v>615210</v>
      </c>
      <c r="B646" s="160" t="s">
        <v>138</v>
      </c>
      <c r="C646" s="148" t="s">
        <v>658</v>
      </c>
      <c r="D646" s="148" t="s">
        <v>189</v>
      </c>
      <c r="E646" s="240">
        <f>BORDEAUX!H153</f>
        <v>0</v>
      </c>
      <c r="F646" s="240">
        <f>BORDEAUX!I153</f>
        <v>42</v>
      </c>
      <c r="G646" s="240">
        <f>BORDEAUX!J153</f>
        <v>42</v>
      </c>
      <c r="H646" s="240">
        <f>BORDEAUX!K153</f>
        <v>42</v>
      </c>
      <c r="I646" s="240">
        <f>BORDEAUX!L153</f>
        <v>42</v>
      </c>
      <c r="J646" s="240">
        <f>BORDEAUX!M153</f>
        <v>42</v>
      </c>
      <c r="K646" s="240">
        <f>BORDEAUX!N153</f>
        <v>42</v>
      </c>
      <c r="L646" s="240">
        <f>BORDEAUX!O153</f>
        <v>42</v>
      </c>
      <c r="M646" s="240">
        <f>BORDEAUX!P153</f>
        <v>42</v>
      </c>
      <c r="N646" s="240">
        <f>BORDEAUX!Q153</f>
        <v>42</v>
      </c>
      <c r="O646" s="240">
        <f>BORDEAUX!R153</f>
        <v>42</v>
      </c>
      <c r="P646" s="240">
        <f>BORDEAUX!S153</f>
        <v>42</v>
      </c>
      <c r="Q646" s="240">
        <f>BORDEAUX!T153</f>
        <v>42</v>
      </c>
      <c r="R646" s="240">
        <f>BORDEAUX!U153</f>
        <v>0</v>
      </c>
      <c r="S646" s="242">
        <f>SUM(E646:Q646)</f>
        <v>504</v>
      </c>
    </row>
    <row r="647" spans="1:21" x14ac:dyDescent="0.2">
      <c r="A647" s="159">
        <v>615210</v>
      </c>
      <c r="B647" s="160" t="s">
        <v>138</v>
      </c>
      <c r="C647" s="148" t="s">
        <v>658</v>
      </c>
      <c r="D647" s="148" t="s">
        <v>628</v>
      </c>
      <c r="E647" s="240">
        <f>BORDEAUX!H154</f>
        <v>0</v>
      </c>
      <c r="F647" s="240">
        <f>BORDEAUX!I154</f>
        <v>0</v>
      </c>
      <c r="G647" s="240">
        <f>BORDEAUX!J154</f>
        <v>0</v>
      </c>
      <c r="H647" s="240">
        <f>BORDEAUX!K154</f>
        <v>0</v>
      </c>
      <c r="I647" s="240">
        <f>BORDEAUX!L154</f>
        <v>0</v>
      </c>
      <c r="J647" s="240">
        <f>BORDEAUX!M154</f>
        <v>0</v>
      </c>
      <c r="K647" s="240">
        <f>BORDEAUX!N154</f>
        <v>0</v>
      </c>
      <c r="L647" s="240">
        <f>BORDEAUX!O154</f>
        <v>0</v>
      </c>
      <c r="M647" s="240">
        <f>BORDEAUX!P154</f>
        <v>0</v>
      </c>
      <c r="N647" s="240">
        <f>BORDEAUX!Q154</f>
        <v>0</v>
      </c>
      <c r="O647" s="240">
        <f>BORDEAUX!R154</f>
        <v>0</v>
      </c>
      <c r="P647" s="240">
        <f>BORDEAUX!S154</f>
        <v>0</v>
      </c>
      <c r="Q647" s="240">
        <f>BORDEAUX!T154</f>
        <v>0</v>
      </c>
      <c r="R647" s="240">
        <f>BORDEAUX!U154</f>
        <v>0</v>
      </c>
      <c r="S647" s="242">
        <f t="shared" si="54"/>
        <v>0</v>
      </c>
    </row>
    <row r="648" spans="1:21" x14ac:dyDescent="0.2">
      <c r="A648" s="159">
        <v>615210</v>
      </c>
      <c r="B648" s="160" t="s">
        <v>138</v>
      </c>
      <c r="C648" s="148" t="s">
        <v>67</v>
      </c>
      <c r="D648" s="148" t="s">
        <v>192</v>
      </c>
      <c r="E648" s="240">
        <f>BORDEAUX!H155</f>
        <v>0</v>
      </c>
      <c r="F648" s="240">
        <f>BORDEAUX!I155</f>
        <v>0</v>
      </c>
      <c r="G648" s="240">
        <f>BORDEAUX!J155</f>
        <v>0</v>
      </c>
      <c r="H648" s="240">
        <f>BORDEAUX!K155</f>
        <v>0</v>
      </c>
      <c r="I648" s="240">
        <f>BORDEAUX!L155</f>
        <v>0</v>
      </c>
      <c r="J648" s="240">
        <f>BORDEAUX!M155</f>
        <v>0</v>
      </c>
      <c r="K648" s="240">
        <f>BORDEAUX!N155</f>
        <v>0</v>
      </c>
      <c r="L648" s="240">
        <f>BORDEAUX!O155</f>
        <v>0</v>
      </c>
      <c r="M648" s="240">
        <f>BORDEAUX!P155</f>
        <v>0</v>
      </c>
      <c r="N648" s="240">
        <f>BORDEAUX!Q155</f>
        <v>0</v>
      </c>
      <c r="O648" s="240">
        <f>BORDEAUX!R155</f>
        <v>0</v>
      </c>
      <c r="P648" s="240">
        <f>BORDEAUX!S155</f>
        <v>0</v>
      </c>
      <c r="Q648" s="240">
        <f>BORDEAUX!T155</f>
        <v>0</v>
      </c>
      <c r="R648" s="240">
        <f>BORDEAUX!U155</f>
        <v>0</v>
      </c>
      <c r="S648" s="242">
        <f t="shared" si="54"/>
        <v>0</v>
      </c>
    </row>
    <row r="649" spans="1:21" x14ac:dyDescent="0.2">
      <c r="A649" s="159"/>
      <c r="B649" s="160"/>
      <c r="C649" s="148"/>
      <c r="D649" s="148"/>
      <c r="E649" s="240"/>
      <c r="F649" s="240"/>
      <c r="G649" s="240"/>
      <c r="H649" s="240"/>
      <c r="I649" s="240"/>
      <c r="J649" s="240"/>
      <c r="K649" s="240"/>
      <c r="L649" s="240"/>
      <c r="M649" s="240"/>
      <c r="N649" s="240"/>
      <c r="O649" s="240"/>
      <c r="P649" s="240"/>
      <c r="Q649" s="240"/>
      <c r="R649" s="240"/>
      <c r="S649" s="242">
        <f t="shared" si="54"/>
        <v>0</v>
      </c>
    </row>
    <row r="650" spans="1:21" x14ac:dyDescent="0.2">
      <c r="A650" s="159">
        <v>615210</v>
      </c>
      <c r="B650" s="160" t="s">
        <v>138</v>
      </c>
      <c r="C650" s="148" t="s">
        <v>442</v>
      </c>
      <c r="D650" s="148" t="s">
        <v>192</v>
      </c>
      <c r="E650" s="240">
        <f>TOULOUSE!H61</f>
        <v>0</v>
      </c>
      <c r="F650" s="240">
        <f>TOULOUSE!I61</f>
        <v>0</v>
      </c>
      <c r="G650" s="240">
        <f>TOULOUSE!J61</f>
        <v>0</v>
      </c>
      <c r="H650" s="240">
        <f>TOULOUSE!K61</f>
        <v>0</v>
      </c>
      <c r="I650" s="240">
        <f>TOULOUSE!L61</f>
        <v>0</v>
      </c>
      <c r="J650" s="240">
        <f>TOULOUSE!M61</f>
        <v>0</v>
      </c>
      <c r="K650" s="240">
        <f>TOULOUSE!N61</f>
        <v>0</v>
      </c>
      <c r="L650" s="240">
        <f>TOULOUSE!O61</f>
        <v>0</v>
      </c>
      <c r="M650" s="240">
        <f>TOULOUSE!P61</f>
        <v>0</v>
      </c>
      <c r="N650" s="240">
        <f>TOULOUSE!Q61</f>
        <v>0</v>
      </c>
      <c r="O650" s="240">
        <f>TOULOUSE!R61</f>
        <v>0</v>
      </c>
      <c r="P650" s="240">
        <f>TOULOUSE!S61</f>
        <v>0</v>
      </c>
      <c r="Q650" s="240">
        <f>TOULOUSE!T61</f>
        <v>0</v>
      </c>
      <c r="R650" s="240">
        <f>TOULOUSE!U61</f>
        <v>0</v>
      </c>
      <c r="S650" s="242">
        <f t="shared" si="54"/>
        <v>0</v>
      </c>
    </row>
    <row r="651" spans="1:21" s="175" customFormat="1" x14ac:dyDescent="0.2">
      <c r="A651" s="270"/>
      <c r="B651" s="235"/>
      <c r="C651" s="148"/>
      <c r="D651" s="148"/>
      <c r="E651" s="240"/>
      <c r="F651" s="240"/>
      <c r="G651" s="240"/>
      <c r="H651" s="240"/>
      <c r="I651" s="240"/>
      <c r="J651" s="240"/>
      <c r="K651" s="240"/>
      <c r="L651" s="240"/>
      <c r="M651" s="240"/>
      <c r="N651" s="240"/>
      <c r="O651" s="240"/>
      <c r="P651" s="240"/>
      <c r="Q651" s="240"/>
      <c r="R651" s="240"/>
      <c r="S651" s="242">
        <f t="shared" si="54"/>
        <v>0</v>
      </c>
      <c r="U651" s="332"/>
    </row>
    <row r="652" spans="1:21" x14ac:dyDescent="0.2">
      <c r="A652" s="159">
        <v>615210</v>
      </c>
      <c r="B652" s="160" t="s">
        <v>138</v>
      </c>
      <c r="C652" s="148" t="s">
        <v>62</v>
      </c>
      <c r="D652" s="148" t="s">
        <v>192</v>
      </c>
      <c r="E652" s="240">
        <f>NANCY!H66</f>
        <v>0</v>
      </c>
      <c r="F652" s="240">
        <f>NANCY!I66</f>
        <v>0</v>
      </c>
      <c r="G652" s="240">
        <f>NANCY!J66</f>
        <v>0</v>
      </c>
      <c r="H652" s="240">
        <f>NANCY!K66</f>
        <v>0</v>
      </c>
      <c r="I652" s="240">
        <f>NANCY!L66</f>
        <v>0</v>
      </c>
      <c r="J652" s="240">
        <f>NANCY!M66</f>
        <v>0</v>
      </c>
      <c r="K652" s="240">
        <f>NANCY!N90</f>
        <v>0</v>
      </c>
      <c r="L652" s="240">
        <f>NANCY!O66</f>
        <v>0</v>
      </c>
      <c r="M652" s="240">
        <f>NANCY!P66</f>
        <v>0</v>
      </c>
      <c r="N652" s="240">
        <f>NANCY!Q66</f>
        <v>0</v>
      </c>
      <c r="O652" s="240">
        <f>NANCY!R66</f>
        <v>0</v>
      </c>
      <c r="P652" s="240">
        <f>NANCY!S66</f>
        <v>0</v>
      </c>
      <c r="Q652" s="240">
        <f>NANCY!T66</f>
        <v>0</v>
      </c>
      <c r="R652" s="240">
        <f>NANCY!U66</f>
        <v>0</v>
      </c>
      <c r="S652" s="242">
        <f t="shared" si="54"/>
        <v>0</v>
      </c>
    </row>
    <row r="653" spans="1:21" x14ac:dyDescent="0.2">
      <c r="A653" s="159">
        <v>615210</v>
      </c>
      <c r="B653" s="160" t="s">
        <v>138</v>
      </c>
      <c r="C653" s="148" t="s">
        <v>62</v>
      </c>
      <c r="D653" s="148" t="s">
        <v>189</v>
      </c>
      <c r="E653" s="240">
        <f>NANCY!H67</f>
        <v>0</v>
      </c>
      <c r="F653" s="240">
        <f>NANCY!I67</f>
        <v>0</v>
      </c>
      <c r="G653" s="240">
        <f>NANCY!J67</f>
        <v>0</v>
      </c>
      <c r="H653" s="240">
        <f>NANCY!K67</f>
        <v>0</v>
      </c>
      <c r="I653" s="240">
        <f>NANCY!L67</f>
        <v>0</v>
      </c>
      <c r="J653" s="240">
        <f>NANCY!M67</f>
        <v>0</v>
      </c>
      <c r="K653" s="240">
        <f>NANCY!N67</f>
        <v>0</v>
      </c>
      <c r="L653" s="240">
        <f>NANCY!O67</f>
        <v>0</v>
      </c>
      <c r="M653" s="240">
        <f>NANCY!P67</f>
        <v>0</v>
      </c>
      <c r="N653" s="240">
        <f>NANCY!Q67</f>
        <v>0</v>
      </c>
      <c r="O653" s="240">
        <f>NANCY!R67</f>
        <v>0</v>
      </c>
      <c r="P653" s="240">
        <f>NANCY!S67</f>
        <v>0</v>
      </c>
      <c r="Q653" s="240">
        <f>NANCY!T67</f>
        <v>0</v>
      </c>
      <c r="R653" s="240">
        <f>NANCY!U67</f>
        <v>0</v>
      </c>
      <c r="S653" s="242">
        <f t="shared" si="54"/>
        <v>0</v>
      </c>
    </row>
    <row r="654" spans="1:21" x14ac:dyDescent="0.2">
      <c r="A654" s="159"/>
      <c r="B654" s="160"/>
      <c r="C654" s="148"/>
      <c r="D654" s="148"/>
      <c r="E654" s="240"/>
      <c r="F654" s="240"/>
      <c r="G654" s="240"/>
      <c r="H654" s="240"/>
      <c r="I654" s="240"/>
      <c r="J654" s="240"/>
      <c r="K654" s="240"/>
      <c r="L654" s="240"/>
      <c r="M654" s="240"/>
      <c r="N654" s="240"/>
      <c r="O654" s="240"/>
      <c r="P654" s="240"/>
      <c r="Q654" s="240"/>
      <c r="R654" s="240"/>
      <c r="S654" s="242"/>
    </row>
    <row r="655" spans="1:21" x14ac:dyDescent="0.2">
      <c r="A655" s="159">
        <v>615210</v>
      </c>
      <c r="B655" s="160" t="s">
        <v>138</v>
      </c>
      <c r="C655" s="148" t="s">
        <v>708</v>
      </c>
      <c r="D655" s="148" t="s">
        <v>189</v>
      </c>
      <c r="E655" s="240">
        <f>+RENNES!H141</f>
        <v>0</v>
      </c>
      <c r="F655" s="240">
        <f>+RENNES!I141</f>
        <v>0</v>
      </c>
      <c r="G655" s="240">
        <f>+RENNES!J141</f>
        <v>0</v>
      </c>
      <c r="H655" s="240">
        <f>+RENNES!K141</f>
        <v>0</v>
      </c>
      <c r="I655" s="240">
        <f>+RENNES!L141</f>
        <v>0</v>
      </c>
      <c r="J655" s="240">
        <f>+RENNES!M141</f>
        <v>0</v>
      </c>
      <c r="K655" s="240">
        <f>+RENNES!N141</f>
        <v>0</v>
      </c>
      <c r="L655" s="240">
        <f>+RENNES!O141</f>
        <v>0</v>
      </c>
      <c r="M655" s="240">
        <f>+RENNES!P141</f>
        <v>0</v>
      </c>
      <c r="N655" s="240">
        <f>+RENNES!Q141</f>
        <v>0</v>
      </c>
      <c r="O655" s="240">
        <f>+RENNES!R141</f>
        <v>0</v>
      </c>
      <c r="P655" s="240">
        <f>+RENNES!S141</f>
        <v>0</v>
      </c>
      <c r="Q655" s="240">
        <f>+RENNES!T141</f>
        <v>0</v>
      </c>
      <c r="R655" s="240">
        <f>+RENNES!U141</f>
        <v>0</v>
      </c>
      <c r="S655" s="242">
        <f>SUM(E655:Q655)</f>
        <v>0</v>
      </c>
    </row>
    <row r="656" spans="1:21" x14ac:dyDescent="0.2">
      <c r="A656" s="159">
        <v>615210</v>
      </c>
      <c r="B656" s="160" t="s">
        <v>138</v>
      </c>
      <c r="C656" s="148" t="s">
        <v>80</v>
      </c>
      <c r="D656" s="148" t="s">
        <v>192</v>
      </c>
      <c r="E656" s="240">
        <f>+RENNES!H142</f>
        <v>0</v>
      </c>
      <c r="F656" s="240">
        <f>+RENNES!I142</f>
        <v>0</v>
      </c>
      <c r="G656" s="240">
        <f>+RENNES!J142</f>
        <v>0</v>
      </c>
      <c r="H656" s="240">
        <f>+RENNES!K142</f>
        <v>0</v>
      </c>
      <c r="I656" s="240">
        <f>+RENNES!L142</f>
        <v>0</v>
      </c>
      <c r="J656" s="240">
        <f>+RENNES!M142</f>
        <v>0</v>
      </c>
      <c r="K656" s="240">
        <f>+RENNES!N142</f>
        <v>0</v>
      </c>
      <c r="L656" s="240">
        <f>+RENNES!O142</f>
        <v>595</v>
      </c>
      <c r="M656" s="240">
        <f>+RENNES!P142</f>
        <v>0</v>
      </c>
      <c r="N656" s="240">
        <f>+RENNES!Q142</f>
        <v>0</v>
      </c>
      <c r="O656" s="240">
        <f>+RENNES!R142</f>
        <v>0</v>
      </c>
      <c r="P656" s="240">
        <f>+RENNES!S142</f>
        <v>0</v>
      </c>
      <c r="Q656" s="240">
        <f>+RENNES!T142</f>
        <v>0</v>
      </c>
      <c r="R656" s="240">
        <f>+RENNES!U142</f>
        <v>0</v>
      </c>
      <c r="S656" s="242">
        <f>SUM(E656:Q656)</f>
        <v>595</v>
      </c>
    </row>
    <row r="657" spans="1:24" s="175" customFormat="1" x14ac:dyDescent="0.2">
      <c r="A657" s="270"/>
      <c r="B657" s="235"/>
      <c r="C657" s="148"/>
      <c r="D657" s="148"/>
      <c r="E657" s="240"/>
      <c r="F657" s="240"/>
      <c r="G657" s="240"/>
      <c r="H657" s="240"/>
      <c r="I657" s="240"/>
      <c r="J657" s="240"/>
      <c r="K657" s="240"/>
      <c r="L657" s="240"/>
      <c r="M657" s="240"/>
      <c r="N657" s="240"/>
      <c r="O657" s="240"/>
      <c r="P657" s="240"/>
      <c r="Q657" s="240"/>
      <c r="R657" s="240"/>
      <c r="S657" s="242">
        <f t="shared" si="54"/>
        <v>0</v>
      </c>
      <c r="U657" s="332"/>
    </row>
    <row r="658" spans="1:24" x14ac:dyDescent="0.2">
      <c r="A658" s="159">
        <v>615210</v>
      </c>
      <c r="B658" s="160" t="s">
        <v>138</v>
      </c>
      <c r="C658" s="148" t="s">
        <v>156</v>
      </c>
      <c r="D658" s="148" t="s">
        <v>192</v>
      </c>
      <c r="E658" s="240">
        <f>BEAUVAIS!H149</f>
        <v>0</v>
      </c>
      <c r="F658" s="240">
        <f>BEAUVAIS!I149</f>
        <v>0</v>
      </c>
      <c r="G658" s="240">
        <f>BEAUVAIS!J149</f>
        <v>0</v>
      </c>
      <c r="H658" s="240">
        <f>BEAUVAIS!K149</f>
        <v>0</v>
      </c>
      <c r="I658" s="240">
        <f>BEAUVAIS!L149</f>
        <v>0</v>
      </c>
      <c r="J658" s="240">
        <f>BEAUVAIS!M149</f>
        <v>232</v>
      </c>
      <c r="K658" s="240">
        <f>BEAUVAIS!N149</f>
        <v>0</v>
      </c>
      <c r="L658" s="240">
        <f>BEAUVAIS!O149</f>
        <v>0</v>
      </c>
      <c r="M658" s="240">
        <f>BEAUVAIS!P149</f>
        <v>0</v>
      </c>
      <c r="N658" s="240">
        <f>BEAUVAIS!Q149</f>
        <v>0</v>
      </c>
      <c r="O658" s="240">
        <f>BEAUVAIS!R149</f>
        <v>0</v>
      </c>
      <c r="P658" s="240">
        <f>BEAUVAIS!S149</f>
        <v>0</v>
      </c>
      <c r="Q658" s="240">
        <f>BEAUVAIS!T149</f>
        <v>0</v>
      </c>
      <c r="R658" s="240">
        <f>BEAUVAIS!U149</f>
        <v>0</v>
      </c>
      <c r="S658" s="242">
        <f t="shared" si="54"/>
        <v>232</v>
      </c>
    </row>
    <row r="659" spans="1:24" x14ac:dyDescent="0.2">
      <c r="A659" s="159">
        <v>615210</v>
      </c>
      <c r="B659" s="160" t="s">
        <v>138</v>
      </c>
      <c r="C659" s="148" t="s">
        <v>395</v>
      </c>
      <c r="D659" s="148" t="s">
        <v>192</v>
      </c>
      <c r="E659" s="240">
        <f>BEAUVAIS!H128</f>
        <v>0</v>
      </c>
      <c r="F659" s="240">
        <f>BEAUVAIS!I150</f>
        <v>0</v>
      </c>
      <c r="G659" s="240">
        <f>BEAUVAIS!J150</f>
        <v>0</v>
      </c>
      <c r="H659" s="240">
        <f>BEAUVAIS!K150</f>
        <v>0</v>
      </c>
      <c r="I659" s="240">
        <f>BEAUVAIS!L150</f>
        <v>0</v>
      </c>
      <c r="J659" s="240">
        <f>BEAUVAIS!M150</f>
        <v>0</v>
      </c>
      <c r="K659" s="240">
        <f>BEAUVAIS!N150</f>
        <v>0</v>
      </c>
      <c r="L659" s="240">
        <f>BEAUVAIS!O150</f>
        <v>0</v>
      </c>
      <c r="M659" s="240">
        <f>BEAUVAIS!P150</f>
        <v>0</v>
      </c>
      <c r="N659" s="240">
        <f>BEAUVAIS!Q150</f>
        <v>0</v>
      </c>
      <c r="O659" s="240">
        <f>BEAUVAIS!R150</f>
        <v>0</v>
      </c>
      <c r="P659" s="240">
        <f>BEAUVAIS!S150</f>
        <v>0</v>
      </c>
      <c r="Q659" s="240">
        <f>BEAUVAIS!T150</f>
        <v>0</v>
      </c>
      <c r="R659" s="240">
        <f>BEAUVAIS!U150</f>
        <v>0</v>
      </c>
      <c r="S659" s="242">
        <f t="shared" si="54"/>
        <v>0</v>
      </c>
    </row>
    <row r="660" spans="1:24" s="185" customFormat="1" ht="24" customHeight="1" x14ac:dyDescent="0.2">
      <c r="A660" s="267"/>
      <c r="B660" s="268"/>
      <c r="C660" s="267" t="s">
        <v>66</v>
      </c>
      <c r="D660" s="267"/>
      <c r="E660" s="269">
        <f>SUM(E633:E659)</f>
        <v>1000</v>
      </c>
      <c r="F660" s="269">
        <f t="shared" ref="F660:S660" si="55">SUM(F633:F659)</f>
        <v>-412</v>
      </c>
      <c r="G660" s="269">
        <f t="shared" si="55"/>
        <v>126</v>
      </c>
      <c r="H660" s="269">
        <f t="shared" si="55"/>
        <v>676</v>
      </c>
      <c r="I660" s="269">
        <f t="shared" si="55"/>
        <v>494</v>
      </c>
      <c r="J660" s="269">
        <f t="shared" si="55"/>
        <v>626</v>
      </c>
      <c r="K660" s="269">
        <f t="shared" si="55"/>
        <v>101</v>
      </c>
      <c r="L660" s="269">
        <f t="shared" si="55"/>
        <v>721</v>
      </c>
      <c r="M660" s="269">
        <f t="shared" si="55"/>
        <v>1820</v>
      </c>
      <c r="N660" s="269">
        <f t="shared" si="55"/>
        <v>126</v>
      </c>
      <c r="O660" s="269">
        <f t="shared" si="55"/>
        <v>126</v>
      </c>
      <c r="P660" s="269">
        <f t="shared" si="55"/>
        <v>2331.3000000000002</v>
      </c>
      <c r="Q660" s="269">
        <f t="shared" si="55"/>
        <v>126</v>
      </c>
      <c r="R660" s="269">
        <f>SUM(R633:R659)</f>
        <v>0</v>
      </c>
      <c r="S660" s="269">
        <f t="shared" si="55"/>
        <v>7861.3</v>
      </c>
      <c r="T660" s="212">
        <v>5408</v>
      </c>
      <c r="U660" s="334">
        <f>T660-S660</f>
        <v>-2453.3000000000002</v>
      </c>
      <c r="V660" s="185" t="s">
        <v>853</v>
      </c>
      <c r="X660" s="569">
        <f>U660-CENTRALISATION!V661</f>
        <v>0</v>
      </c>
    </row>
    <row r="661" spans="1:24" x14ac:dyDescent="0.2">
      <c r="A661" s="159">
        <v>615215</v>
      </c>
      <c r="B661" s="160" t="s">
        <v>711</v>
      </c>
      <c r="C661" s="148" t="s">
        <v>78</v>
      </c>
      <c r="D661" s="148" t="s">
        <v>726</v>
      </c>
      <c r="E661" s="240">
        <f>+FLEURY!H181</f>
        <v>0</v>
      </c>
      <c r="F661" s="240">
        <f>+FLEURY!I181</f>
        <v>0</v>
      </c>
      <c r="G661" s="240">
        <f>+FLEURY!J181</f>
        <v>0</v>
      </c>
      <c r="H661" s="240">
        <f>+FLEURY!K181</f>
        <v>169.78</v>
      </c>
      <c r="I661" s="240">
        <f>+FLEURY!L181</f>
        <v>0</v>
      </c>
      <c r="J661" s="240">
        <f>+FLEURY!M181</f>
        <v>84.89</v>
      </c>
      <c r="K661" s="240">
        <f>+FLEURY!N181</f>
        <v>84.89</v>
      </c>
      <c r="L661" s="240">
        <f>+FLEURY!O181</f>
        <v>0</v>
      </c>
      <c r="M661" s="240">
        <f>+FLEURY!P181</f>
        <v>0</v>
      </c>
      <c r="N661" s="240">
        <f>+FLEURY!Q181</f>
        <v>169.78</v>
      </c>
      <c r="O661" s="240">
        <f>+FLEURY!R181</f>
        <v>84.89</v>
      </c>
      <c r="P661" s="240">
        <f>+FLEURY!S181</f>
        <v>84.89</v>
      </c>
      <c r="Q661" s="240">
        <f>+FLEURY!T181</f>
        <v>0</v>
      </c>
      <c r="R661" s="240">
        <f>+FLEURY!U181</f>
        <v>0</v>
      </c>
      <c r="S661" s="242">
        <f>SUM(E661:Q661)</f>
        <v>679.12</v>
      </c>
      <c r="X661" s="184" t="s">
        <v>10</v>
      </c>
    </row>
    <row r="662" spans="1:24" x14ac:dyDescent="0.2">
      <c r="A662" s="159">
        <v>615215</v>
      </c>
      <c r="B662" s="160" t="s">
        <v>711</v>
      </c>
      <c r="C662" s="148" t="s">
        <v>78</v>
      </c>
      <c r="D662" s="148" t="s">
        <v>700</v>
      </c>
      <c r="E662" s="240">
        <f>+FLEURY!H182+FLEURY!H183</f>
        <v>238.45</v>
      </c>
      <c r="F662" s="240">
        <f>+FLEURY!I182+FLEURY!I183</f>
        <v>249.69</v>
      </c>
      <c r="G662" s="240">
        <f>+FLEURY!J182+FLEURY!J183</f>
        <v>166.46</v>
      </c>
      <c r="H662" s="240">
        <f>+FLEURY!K182+FLEURY!K183</f>
        <v>249.69</v>
      </c>
      <c r="I662" s="240">
        <f>+FLEURY!L182+FLEURY!L183</f>
        <v>332.92</v>
      </c>
      <c r="J662" s="240">
        <f>+FLEURY!M182+FLEURY!M183</f>
        <v>249.69</v>
      </c>
      <c r="K662" s="240">
        <f>+FLEURY!N182+FLEURY!N183</f>
        <v>332.92</v>
      </c>
      <c r="L662" s="240">
        <f>+FLEURY!O182+FLEURY!O183</f>
        <v>249.69</v>
      </c>
      <c r="M662" s="240">
        <f>+FLEURY!P182+FLEURY!P183</f>
        <v>249.69</v>
      </c>
      <c r="N662" s="240">
        <f>+FLEURY!Q182+FLEURY!Q183</f>
        <v>414.49</v>
      </c>
      <c r="O662" s="240">
        <f>+FLEURY!R182+FLEURY!R183</f>
        <v>399.69</v>
      </c>
      <c r="P662" s="240">
        <f>+FLEURY!S182+FLEURY!S183</f>
        <v>249.69</v>
      </c>
      <c r="Q662" s="240">
        <f>+FLEURY!T182+FLEURY!T183</f>
        <v>0</v>
      </c>
      <c r="R662" s="240">
        <f>+FLEURY!U182+FLEURY!U183</f>
        <v>0</v>
      </c>
      <c r="S662" s="242">
        <f>SUM(E662:Q662)</f>
        <v>3383.0700000000006</v>
      </c>
      <c r="X662" s="184" t="s">
        <v>10</v>
      </c>
    </row>
    <row r="663" spans="1:24" x14ac:dyDescent="0.2">
      <c r="A663" s="159">
        <v>615215</v>
      </c>
      <c r="B663" s="160" t="s">
        <v>711</v>
      </c>
      <c r="C663" s="148" t="s">
        <v>78</v>
      </c>
      <c r="D663" s="148"/>
      <c r="E663" s="240">
        <f>SUM(FLEURY!H174:'FLEURY'!H180)</f>
        <v>-1800.8</v>
      </c>
      <c r="F663" s="240">
        <f>SUM(FLEURY!I174:'FLEURY'!I180)</f>
        <v>2233.15</v>
      </c>
      <c r="G663" s="240">
        <f>SUM(FLEURY!J174:'FLEURY'!J180)</f>
        <v>1732</v>
      </c>
      <c r="H663" s="240">
        <f>SUM(FLEURY!K174:'FLEURY'!K180)</f>
        <v>2322.2799999999997</v>
      </c>
      <c r="I663" s="240">
        <f>SUM(FLEURY!L174:'FLEURY'!L180)</f>
        <v>1844.74</v>
      </c>
      <c r="J663" s="240">
        <f>SUM(FLEURY!M174:'FLEURY'!M180)</f>
        <v>2154.6</v>
      </c>
      <c r="K663" s="240">
        <f>SUM(FLEURY!N174:'FLEURY'!N180)</f>
        <v>2736.4</v>
      </c>
      <c r="L663" s="240">
        <f>SUM(FLEURY!O174:'FLEURY'!O180)</f>
        <v>2173.4</v>
      </c>
      <c r="M663" s="240">
        <f>SUM(FLEURY!P174:'FLEURY'!P180)</f>
        <v>2511.9300000000003</v>
      </c>
      <c r="N663" s="240">
        <f>SUM(FLEURY!Q174:'FLEURY'!Q180)</f>
        <v>3006.42</v>
      </c>
      <c r="O663" s="240">
        <f>SUM(FLEURY!R174:'FLEURY'!R180)</f>
        <v>1405.35</v>
      </c>
      <c r="P663" s="240">
        <f>SUM(FLEURY!S174:'FLEURY'!S180)</f>
        <v>1208</v>
      </c>
      <c r="Q663" s="240">
        <f>SUM(FLEURY!T176:'FLEURY'!T180)</f>
        <v>0</v>
      </c>
      <c r="R663" s="240">
        <f>SUM(FLEURY!U176:'FLEURY'!U180)</f>
        <v>0</v>
      </c>
      <c r="S663" s="242">
        <f t="shared" ref="S663:S706" si="56">SUM(E663:Q663)</f>
        <v>21527.469999999998</v>
      </c>
      <c r="X663" s="184" t="s">
        <v>10</v>
      </c>
    </row>
    <row r="664" spans="1:24" x14ac:dyDescent="0.2">
      <c r="A664" s="159">
        <v>615215</v>
      </c>
      <c r="B664" s="160" t="s">
        <v>711</v>
      </c>
      <c r="C664" s="148" t="s">
        <v>701</v>
      </c>
      <c r="D664" s="148"/>
      <c r="E664" s="240">
        <f>+SUM(FLEURY!H184:H185)</f>
        <v>-200</v>
      </c>
      <c r="F664" s="240">
        <f>+SUM(FLEURY!I184:I185)</f>
        <v>0</v>
      </c>
      <c r="G664" s="240">
        <f>+SUM(FLEURY!J184:J185)</f>
        <v>0</v>
      </c>
      <c r="H664" s="240">
        <f>+SUM(FLEURY!K184:K185)</f>
        <v>0</v>
      </c>
      <c r="I664" s="240">
        <f>+SUM(FLEURY!L184:L185)</f>
        <v>100</v>
      </c>
      <c r="J664" s="240">
        <f>+SUM(FLEURY!M184:M185)</f>
        <v>0</v>
      </c>
      <c r="K664" s="240">
        <f>+SUM(FLEURY!N184:N185)</f>
        <v>100</v>
      </c>
      <c r="L664" s="240">
        <f>+SUM(FLEURY!O184:O185)</f>
        <v>100</v>
      </c>
      <c r="M664" s="240">
        <f>+SUM(FLEURY!P184:P185)</f>
        <v>100</v>
      </c>
      <c r="N664" s="240">
        <f>+SUM(FLEURY!Q184:Q185)</f>
        <v>100</v>
      </c>
      <c r="O664" s="240">
        <f>+SUM(FLEURY!R184:R185)</f>
        <v>550</v>
      </c>
      <c r="P664" s="240">
        <f>+SUM(FLEURY!S184:S185)</f>
        <v>100</v>
      </c>
      <c r="Q664" s="240">
        <f>+SUM(FLEURY!T184:T185)</f>
        <v>0</v>
      </c>
      <c r="R664" s="240">
        <f>+SUM(FLEURY!U184:U185)</f>
        <v>0</v>
      </c>
      <c r="S664" s="242">
        <f t="shared" si="56"/>
        <v>950</v>
      </c>
    </row>
    <row r="665" spans="1:24" x14ac:dyDescent="0.2">
      <c r="A665" s="159">
        <v>615215</v>
      </c>
      <c r="B665" s="160" t="s">
        <v>711</v>
      </c>
      <c r="C665" s="148" t="s">
        <v>137</v>
      </c>
      <c r="D665" s="148"/>
      <c r="E665" s="240">
        <f>+FLEURY!H186</f>
        <v>-345.05000000000018</v>
      </c>
      <c r="F665" s="240">
        <f>+FLEURY!I186</f>
        <v>4017</v>
      </c>
      <c r="G665" s="240">
        <f>+FLEURY!J186</f>
        <v>3708</v>
      </c>
      <c r="H665" s="240">
        <f>+FLEURY!K186</f>
        <v>4120</v>
      </c>
      <c r="I665" s="240">
        <f>+FLEURY!L186</f>
        <v>4686.5</v>
      </c>
      <c r="J665" s="240">
        <f>+FLEURY!M186</f>
        <v>4223</v>
      </c>
      <c r="K665" s="240">
        <f>+FLEURY!N186</f>
        <v>4017</v>
      </c>
      <c r="L665" s="240">
        <f>+FLEURY!O186</f>
        <v>4017</v>
      </c>
      <c r="M665" s="240">
        <f>+FLEURY!P186</f>
        <v>4429</v>
      </c>
      <c r="N665" s="240">
        <f>+FLEURY!Q186</f>
        <v>4273.9399999999996</v>
      </c>
      <c r="O665" s="240">
        <f>+FLEURY!R186</f>
        <v>4532</v>
      </c>
      <c r="P665" s="240">
        <f>+FLEURY!S186</f>
        <v>4500</v>
      </c>
      <c r="Q665" s="240">
        <f>+FLEURY!T186</f>
        <v>0</v>
      </c>
      <c r="R665" s="240">
        <f>+FLEURY!U186</f>
        <v>0</v>
      </c>
      <c r="S665" s="242">
        <f t="shared" si="56"/>
        <v>46178.39</v>
      </c>
      <c r="T665" s="273"/>
    </row>
    <row r="666" spans="1:24" x14ac:dyDescent="0.2">
      <c r="A666" s="159"/>
      <c r="B666" s="160"/>
      <c r="C666" s="148"/>
      <c r="D666" s="148"/>
      <c r="E666" s="240"/>
      <c r="F666" s="240"/>
      <c r="G666" s="240"/>
      <c r="H666" s="240"/>
      <c r="I666" s="240"/>
      <c r="J666" s="240"/>
      <c r="K666" s="240"/>
      <c r="L666" s="240"/>
      <c r="M666" s="240"/>
      <c r="N666" s="240"/>
      <c r="O666" s="240"/>
      <c r="P666" s="240"/>
      <c r="Q666" s="240"/>
      <c r="R666" s="240"/>
      <c r="S666" s="242"/>
    </row>
    <row r="667" spans="1:24" x14ac:dyDescent="0.2">
      <c r="A667" s="159">
        <v>615215</v>
      </c>
      <c r="B667" s="160" t="s">
        <v>711</v>
      </c>
      <c r="C667" s="148" t="s">
        <v>71</v>
      </c>
      <c r="D667" s="148" t="s">
        <v>726</v>
      </c>
      <c r="E667" s="240">
        <f>+AIX!H163</f>
        <v>-840</v>
      </c>
      <c r="F667" s="240">
        <f>+AIX!I163</f>
        <v>0</v>
      </c>
      <c r="G667" s="240">
        <f>+AIX!J163</f>
        <v>0</v>
      </c>
      <c r="H667" s="240">
        <f>+AIX!K163</f>
        <v>0</v>
      </c>
      <c r="I667" s="240">
        <f>+AIX!L163</f>
        <v>0</v>
      </c>
      <c r="J667" s="240">
        <f>+AIX!M163</f>
        <v>0</v>
      </c>
      <c r="K667" s="240">
        <f>+AIX!N163</f>
        <v>0</v>
      </c>
      <c r="L667" s="240">
        <f>+AIX!O163</f>
        <v>0</v>
      </c>
      <c r="M667" s="240">
        <f>+AIX!P163</f>
        <v>0</v>
      </c>
      <c r="N667" s="240">
        <f>+AIX!Q163</f>
        <v>0</v>
      </c>
      <c r="O667" s="240">
        <f>+AIX!R163</f>
        <v>0</v>
      </c>
      <c r="P667" s="240">
        <f>+AIX!S163</f>
        <v>0</v>
      </c>
      <c r="Q667" s="240">
        <f>+AIX!T163</f>
        <v>0</v>
      </c>
      <c r="R667" s="240">
        <f>+AIX!U163</f>
        <v>0</v>
      </c>
      <c r="S667" s="242">
        <f>SUM(E667:Q667)</f>
        <v>-840</v>
      </c>
    </row>
    <row r="668" spans="1:24" x14ac:dyDescent="0.2">
      <c r="A668" s="159">
        <v>615215</v>
      </c>
      <c r="B668" s="160" t="s">
        <v>711</v>
      </c>
      <c r="C668" s="148" t="s">
        <v>71</v>
      </c>
      <c r="D668" s="148" t="s">
        <v>700</v>
      </c>
      <c r="E668" s="240">
        <f>+AIX!H162</f>
        <v>-285.3</v>
      </c>
      <c r="F668" s="240">
        <f>+AIX!I162</f>
        <v>190.2</v>
      </c>
      <c r="G668" s="240">
        <f>+AIX!J162</f>
        <v>190.2</v>
      </c>
      <c r="H668" s="240">
        <f>+AIX!K162</f>
        <v>190.2</v>
      </c>
      <c r="I668" s="240">
        <f>+AIX!L162</f>
        <v>285.3</v>
      </c>
      <c r="J668" s="240">
        <f>+AIX!M162</f>
        <v>285.29999999999995</v>
      </c>
      <c r="K668" s="240">
        <f>+AIX!N162</f>
        <v>190.2</v>
      </c>
      <c r="L668" s="240">
        <f>+AIX!O162</f>
        <v>285.3</v>
      </c>
      <c r="M668" s="240">
        <f>+AIX!P162</f>
        <v>190.2</v>
      </c>
      <c r="N668" s="240">
        <f>+AIX!Q162</f>
        <v>190.2</v>
      </c>
      <c r="O668" s="240">
        <f>+AIX!R162</f>
        <v>285.3</v>
      </c>
      <c r="P668" s="240">
        <f>+AIX!S162</f>
        <v>190.2</v>
      </c>
      <c r="Q668" s="240">
        <f>+AIX!T162</f>
        <v>0</v>
      </c>
      <c r="R668" s="240">
        <f>+AIX!U162</f>
        <v>0</v>
      </c>
      <c r="S668" s="242">
        <f t="shared" si="56"/>
        <v>2187.2999999999997</v>
      </c>
    </row>
    <row r="669" spans="1:24" x14ac:dyDescent="0.2">
      <c r="A669" s="159">
        <v>615215</v>
      </c>
      <c r="B669" s="160" t="s">
        <v>711</v>
      </c>
      <c r="C669" s="148" t="s">
        <v>71</v>
      </c>
      <c r="D669" s="148"/>
      <c r="E669" s="240">
        <f>+SUM(AIX!H156:'AIX'!H161)</f>
        <v>-204.47000000000014</v>
      </c>
      <c r="F669" s="240">
        <f>+SUM(AIX!I156:'AIX'!I161)</f>
        <v>1706.8</v>
      </c>
      <c r="G669" s="240">
        <f>+SUM(AIX!J156:'AIX'!J161)</f>
        <v>1760.67</v>
      </c>
      <c r="H669" s="240">
        <f>+SUM(AIX!K156:'AIX'!K161)</f>
        <v>1984.0600000000002</v>
      </c>
      <c r="I669" s="240">
        <f>+SUM(AIX!L156:'AIX'!L161)</f>
        <v>1326.22</v>
      </c>
      <c r="J669" s="240">
        <f>+SUM(AIX!M156:'AIX'!M161)</f>
        <v>2378.92</v>
      </c>
      <c r="K669" s="240">
        <f>+SUM(AIX!N156:'AIX'!N161)</f>
        <v>1638.04</v>
      </c>
      <c r="L669" s="240">
        <f>+SUM(AIX!O156:'AIX'!O161)</f>
        <v>1894.49</v>
      </c>
      <c r="M669" s="240">
        <f>+SUM(AIX!P156:'AIX'!P161)</f>
        <v>2064.6499999999996</v>
      </c>
      <c r="N669" s="240">
        <f>+SUM(AIX!Q156:'AIX'!Q161)</f>
        <v>1315.13</v>
      </c>
      <c r="O669" s="240">
        <f>+SUM(AIX!R156:'AIX'!R161)</f>
        <v>1692.8600000000001</v>
      </c>
      <c r="P669" s="240">
        <f>+SUM(AIX!S156:'AIX'!S161)</f>
        <v>1796.37</v>
      </c>
      <c r="Q669" s="240">
        <f>+SUM(AIX!T156:'AIX'!T161)</f>
        <v>0</v>
      </c>
      <c r="R669" s="240">
        <f>+SUM(AIX!U156:'AIX'!U161)</f>
        <v>0</v>
      </c>
      <c r="S669" s="242">
        <f t="shared" si="56"/>
        <v>19353.740000000002</v>
      </c>
    </row>
    <row r="670" spans="1:24" x14ac:dyDescent="0.2">
      <c r="A670" s="159">
        <v>615215</v>
      </c>
      <c r="B670" s="160" t="s">
        <v>711</v>
      </c>
      <c r="C670" s="148" t="s">
        <v>702</v>
      </c>
      <c r="D670" s="148"/>
      <c r="E670" s="240">
        <f>+SUM(AIX!H164:'AIX'!H165)</f>
        <v>-126.17</v>
      </c>
      <c r="F670" s="240">
        <f>+SUM(AIX!I164:'AIX'!I165)</f>
        <v>112.47</v>
      </c>
      <c r="G670" s="240">
        <f>+SUM(AIX!J164:'AIX'!J165)</f>
        <v>0</v>
      </c>
      <c r="H670" s="240">
        <f>+SUM(AIX!K164:'AIX'!K165)</f>
        <v>0</v>
      </c>
      <c r="I670" s="240">
        <f>+SUM(AIX!L164:'AIX'!L165)</f>
        <v>165.8</v>
      </c>
      <c r="J670" s="240">
        <f>+SUM(AIX!M164:'AIX'!M165)</f>
        <v>0</v>
      </c>
      <c r="K670" s="240">
        <f>+SUM(AIX!N164:'AIX'!N165)</f>
        <v>230</v>
      </c>
      <c r="L670" s="240">
        <f>+SUM(AIX!O164:'AIX'!O165)</f>
        <v>95.1</v>
      </c>
      <c r="M670" s="240">
        <f>+SUM(AIX!P164:'AIX'!P165)</f>
        <v>230</v>
      </c>
      <c r="N670" s="240">
        <f>+SUM(AIX!Q164:'AIX'!Q165)</f>
        <v>95.1</v>
      </c>
      <c r="O670" s="240">
        <f>+SUM(AIX!R164:'AIX'!R165)</f>
        <v>230</v>
      </c>
      <c r="P670" s="240">
        <f>+SUM(AIX!S164:'AIX'!S165)</f>
        <v>0</v>
      </c>
      <c r="Q670" s="240">
        <f>+SUM(AIX!T164:'AIX'!T165)</f>
        <v>0</v>
      </c>
      <c r="R670" s="240">
        <f>+SUM(AIX!U164:'AIX'!U165)</f>
        <v>0</v>
      </c>
      <c r="S670" s="242">
        <f t="shared" si="56"/>
        <v>1032.3000000000002</v>
      </c>
    </row>
    <row r="671" spans="1:24" x14ac:dyDescent="0.2">
      <c r="A671" s="159">
        <v>615215</v>
      </c>
      <c r="B671" s="160" t="s">
        <v>711</v>
      </c>
      <c r="C671" s="148" t="s">
        <v>396</v>
      </c>
      <c r="D671" s="148"/>
      <c r="E671" s="240">
        <f>AIX!H166</f>
        <v>-5200</v>
      </c>
      <c r="F671" s="240">
        <f>AIX!I166</f>
        <v>5240.3</v>
      </c>
      <c r="G671" s="240">
        <f>AIX!J166</f>
        <v>5230.5</v>
      </c>
      <c r="H671" s="240">
        <f>AIX!K166</f>
        <v>5610.9</v>
      </c>
      <c r="I671" s="240">
        <f>AIX!L166</f>
        <v>5230.5</v>
      </c>
      <c r="J671" s="240">
        <f>AIX!M166</f>
        <v>5991.3</v>
      </c>
      <c r="K671" s="240">
        <f>AIX!N166</f>
        <v>6181.5</v>
      </c>
      <c r="L671" s="240">
        <f>AIX!O166</f>
        <v>5801.0999999999995</v>
      </c>
      <c r="M671" s="240">
        <f>AIX!P166</f>
        <v>7477.6</v>
      </c>
      <c r="N671" s="240">
        <f>AIX!Q166</f>
        <v>5896.2000000000007</v>
      </c>
      <c r="O671" s="240">
        <f>AIX!R166</f>
        <v>5896.2</v>
      </c>
      <c r="P671" s="240">
        <f>AIX!S166</f>
        <v>5896.2000000000007</v>
      </c>
      <c r="Q671" s="240">
        <f>AIX!T166</f>
        <v>0</v>
      </c>
      <c r="R671" s="240">
        <f>AIX!U166</f>
        <v>0</v>
      </c>
      <c r="S671" s="242">
        <f t="shared" si="56"/>
        <v>59252.299999999988</v>
      </c>
      <c r="T671" s="273"/>
    </row>
    <row r="672" spans="1:24" x14ac:dyDescent="0.2">
      <c r="A672" s="159"/>
      <c r="B672" s="160"/>
      <c r="C672" s="148"/>
      <c r="D672" s="148"/>
      <c r="E672" s="240"/>
      <c r="F672" s="240"/>
      <c r="G672" s="240"/>
      <c r="H672" s="240"/>
      <c r="I672" s="240"/>
      <c r="J672" s="240"/>
      <c r="K672" s="240"/>
      <c r="L672" s="240"/>
      <c r="M672" s="240"/>
      <c r="N672" s="240"/>
      <c r="O672" s="240"/>
      <c r="P672" s="240"/>
      <c r="Q672" s="240"/>
      <c r="R672" s="240"/>
      <c r="S672" s="242"/>
    </row>
    <row r="673" spans="1:20" x14ac:dyDescent="0.2">
      <c r="A673" s="159">
        <v>615215</v>
      </c>
      <c r="B673" s="160" t="s">
        <v>711</v>
      </c>
      <c r="C673" s="148" t="s">
        <v>73</v>
      </c>
      <c r="D673" s="148" t="s">
        <v>700</v>
      </c>
      <c r="E673" s="240">
        <f>+LYON!H147</f>
        <v>-178.72</v>
      </c>
      <c r="F673" s="240">
        <f>+LYON!I147</f>
        <v>0</v>
      </c>
      <c r="G673" s="240">
        <f>+LYON!J147</f>
        <v>0</v>
      </c>
      <c r="H673" s="240">
        <f>+LYON!K147</f>
        <v>0</v>
      </c>
      <c r="I673" s="240">
        <f>+LYON!L147</f>
        <v>0</v>
      </c>
      <c r="J673" s="240">
        <f>+LYON!M147</f>
        <v>0</v>
      </c>
      <c r="K673" s="240">
        <f>+LYON!N147</f>
        <v>0</v>
      </c>
      <c r="L673" s="240">
        <f>+LYON!O147</f>
        <v>0</v>
      </c>
      <c r="M673" s="240">
        <f>+LYON!P147</f>
        <v>271.92</v>
      </c>
      <c r="N673" s="240">
        <f>+LYON!Q147</f>
        <v>0</v>
      </c>
      <c r="O673" s="240">
        <f>+LYON!R147</f>
        <v>0</v>
      </c>
      <c r="P673" s="240">
        <f>+LYON!S147</f>
        <v>0</v>
      </c>
      <c r="Q673" s="240">
        <f>+LYON!T147</f>
        <v>0</v>
      </c>
      <c r="R673" s="240">
        <f>+LYON!U147</f>
        <v>0</v>
      </c>
      <c r="S673" s="242">
        <f>SUM(E673:Q673)</f>
        <v>93.200000000000017</v>
      </c>
    </row>
    <row r="674" spans="1:20" x14ac:dyDescent="0.2">
      <c r="A674" s="159">
        <v>615215</v>
      </c>
      <c r="B674" s="160" t="s">
        <v>711</v>
      </c>
      <c r="C674" s="148" t="s">
        <v>73</v>
      </c>
      <c r="D674" s="148"/>
      <c r="E674" s="240">
        <f>+SUM(LYON!H148:'LYON'!H149)</f>
        <v>-579.65000000000009</v>
      </c>
      <c r="F674" s="240">
        <f>+SUM(LYON!I148:'LYON'!I149)</f>
        <v>1804.72</v>
      </c>
      <c r="G674" s="240">
        <f>+SUM(LYON!J148:'LYON'!J149)</f>
        <v>791.73</v>
      </c>
      <c r="H674" s="240">
        <f>+SUM(LYON!K148:'LYON'!K149)</f>
        <v>818.87</v>
      </c>
      <c r="I674" s="240">
        <f>+SUM(LYON!L148:'LYON'!L149)</f>
        <v>1631.63</v>
      </c>
      <c r="J674" s="240">
        <f>+SUM(LYON!M148:'LYON'!M149)</f>
        <v>688.27</v>
      </c>
      <c r="K674" s="240">
        <f>+SUM(LYON!N148:'LYON'!N149)</f>
        <v>991.51</v>
      </c>
      <c r="L674" s="240">
        <f>+SUM(LYON!O148:'LYON'!O149)</f>
        <v>975.04</v>
      </c>
      <c r="M674" s="240">
        <f>+SUM(LYON!P148:'LYON'!P149)</f>
        <v>3575.6600000000003</v>
      </c>
      <c r="N674" s="240">
        <f>+SUM(LYON!Q148:'LYON'!Q149)</f>
        <v>792.44</v>
      </c>
      <c r="O674" s="240">
        <f>+SUM(LYON!R148:'LYON'!R149)</f>
        <v>699.02</v>
      </c>
      <c r="P674" s="240">
        <f>+SUM(LYON!S148:'LYON'!S149)</f>
        <v>1137.4099999999999</v>
      </c>
      <c r="Q674" s="240">
        <f>+SUM(LYON!T148:'LYON'!T149)</f>
        <v>0</v>
      </c>
      <c r="R674" s="240">
        <f>+SUM(LYON!U148:'LYON'!U149)</f>
        <v>0</v>
      </c>
      <c r="S674" s="242">
        <f>SUM(E674:Q674)</f>
        <v>13326.650000000001</v>
      </c>
    </row>
    <row r="675" spans="1:20" x14ac:dyDescent="0.2">
      <c r="A675" s="159">
        <v>615215</v>
      </c>
      <c r="B675" s="160" t="s">
        <v>711</v>
      </c>
      <c r="C675" s="148" t="s">
        <v>703</v>
      </c>
      <c r="D675" s="148"/>
      <c r="E675" s="240"/>
      <c r="F675" s="240"/>
      <c r="G675" s="240"/>
      <c r="H675" s="240"/>
      <c r="I675" s="240"/>
      <c r="J675" s="240"/>
      <c r="K675" s="240"/>
      <c r="L675" s="240"/>
      <c r="M675" s="240"/>
      <c r="N675" s="240"/>
      <c r="O675" s="240"/>
      <c r="P675" s="240"/>
      <c r="Q675" s="240"/>
      <c r="R675" s="240"/>
      <c r="S675" s="242">
        <f t="shared" si="56"/>
        <v>0</v>
      </c>
    </row>
    <row r="676" spans="1:20" x14ac:dyDescent="0.2">
      <c r="A676" s="159">
        <v>615215</v>
      </c>
      <c r="B676" s="160" t="s">
        <v>711</v>
      </c>
      <c r="C676" s="148" t="s">
        <v>147</v>
      </c>
      <c r="D676" s="148"/>
      <c r="E676" s="240">
        <f>+LYON!H150</f>
        <v>-1258.6400000000003</v>
      </c>
      <c r="F676" s="240">
        <f>+LYON!I150</f>
        <v>4260.08</v>
      </c>
      <c r="G676" s="240">
        <f>+LYON!J150</f>
        <v>3897.52</v>
      </c>
      <c r="H676" s="240">
        <f>+LYON!K150</f>
        <v>4441.3599999999997</v>
      </c>
      <c r="I676" s="240">
        <f>+LYON!L150</f>
        <v>5166.4799999999996</v>
      </c>
      <c r="J676" s="240">
        <f>+LYON!M150</f>
        <v>5166.4799999999996</v>
      </c>
      <c r="K676" s="240">
        <f>+LYON!N150</f>
        <v>4350.72</v>
      </c>
      <c r="L676" s="240">
        <f>+LYON!O150</f>
        <v>4260.08</v>
      </c>
      <c r="M676" s="240">
        <f>+LYON!P150</f>
        <v>6254.16</v>
      </c>
      <c r="N676" s="240">
        <f>+LYON!Q150</f>
        <v>4532</v>
      </c>
      <c r="O676" s="240">
        <f>+LYON!R150</f>
        <v>4169.4399999999996</v>
      </c>
      <c r="P676" s="240">
        <f>+LYON!S150</f>
        <v>4803.92</v>
      </c>
      <c r="Q676" s="240">
        <f>+LYON!T150</f>
        <v>0</v>
      </c>
      <c r="R676" s="240">
        <f>+LYON!U150</f>
        <v>0</v>
      </c>
      <c r="S676" s="242">
        <f t="shared" si="56"/>
        <v>50043.600000000006</v>
      </c>
      <c r="T676" s="273"/>
    </row>
    <row r="677" spans="1:20" x14ac:dyDescent="0.2">
      <c r="A677" s="159"/>
      <c r="B677" s="160"/>
      <c r="C677" s="148"/>
      <c r="D677" s="148"/>
      <c r="E677" s="240"/>
      <c r="F677" s="240"/>
      <c r="G677" s="240"/>
      <c r="H677" s="240"/>
      <c r="I677" s="240"/>
      <c r="J677" s="240"/>
      <c r="K677" s="240"/>
      <c r="L677" s="240"/>
      <c r="M677" s="240"/>
      <c r="N677" s="240"/>
      <c r="O677" s="240"/>
      <c r="P677" s="240"/>
      <c r="Q677" s="240"/>
      <c r="R677" s="240"/>
      <c r="S677" s="242"/>
    </row>
    <row r="678" spans="1:20" x14ac:dyDescent="0.2">
      <c r="A678" s="159">
        <v>615215</v>
      </c>
      <c r="B678" s="160" t="s">
        <v>711</v>
      </c>
      <c r="C678" s="148" t="s">
        <v>67</v>
      </c>
      <c r="D678" s="148" t="s">
        <v>700</v>
      </c>
      <c r="E678" s="240">
        <f>+BORDEAUX!H165</f>
        <v>0</v>
      </c>
      <c r="F678" s="240">
        <f>+BORDEAUX!I165</f>
        <v>0</v>
      </c>
      <c r="G678" s="240">
        <f>+BORDEAUX!J165</f>
        <v>0</v>
      </c>
      <c r="H678" s="240">
        <f>+BORDEAUX!K165</f>
        <v>0</v>
      </c>
      <c r="I678" s="240">
        <f>+BORDEAUX!L165</f>
        <v>0</v>
      </c>
      <c r="J678" s="240">
        <f>+BORDEAUX!M165</f>
        <v>0</v>
      </c>
      <c r="K678" s="240">
        <f>+BORDEAUX!N165</f>
        <v>0</v>
      </c>
      <c r="L678" s="240">
        <f>+BORDEAUX!O165</f>
        <v>0</v>
      </c>
      <c r="M678" s="240">
        <f>+BORDEAUX!P165</f>
        <v>0</v>
      </c>
      <c r="N678" s="240">
        <f>+BORDEAUX!Q165</f>
        <v>0</v>
      </c>
      <c r="O678" s="240">
        <f>+BORDEAUX!R165</f>
        <v>0</v>
      </c>
      <c r="P678" s="240">
        <f>+BORDEAUX!S165</f>
        <v>0</v>
      </c>
      <c r="Q678" s="240">
        <f>+BORDEAUX!T165</f>
        <v>0</v>
      </c>
      <c r="R678" s="240">
        <f>+BORDEAUX!U165</f>
        <v>0</v>
      </c>
      <c r="S678" s="242">
        <f t="shared" si="56"/>
        <v>0</v>
      </c>
    </row>
    <row r="679" spans="1:20" x14ac:dyDescent="0.2">
      <c r="A679" s="159">
        <v>615215</v>
      </c>
      <c r="B679" s="160" t="s">
        <v>711</v>
      </c>
      <c r="C679" s="148" t="s">
        <v>67</v>
      </c>
      <c r="D679" s="148"/>
      <c r="E679" s="240">
        <f>+SUM(BORDEAUX!H159:'BORDEAUX'!H164)</f>
        <v>-1432.95</v>
      </c>
      <c r="F679" s="240">
        <f>+SUM(BORDEAUX!I159:'BORDEAUX'!I164)</f>
        <v>2095.0100000000002</v>
      </c>
      <c r="G679" s="240">
        <f>+SUM(BORDEAUX!J159:'BORDEAUX'!J164)</f>
        <v>647.14</v>
      </c>
      <c r="H679" s="240">
        <f>+SUM(BORDEAUX!K159:'BORDEAUX'!K164)</f>
        <v>1936.1</v>
      </c>
      <c r="I679" s="240">
        <f>+SUM(BORDEAUX!L159:'BORDEAUX'!L164)</f>
        <v>753.93</v>
      </c>
      <c r="J679" s="240">
        <f>+SUM(BORDEAUX!M159:'BORDEAUX'!M164)</f>
        <v>1878.54</v>
      </c>
      <c r="K679" s="240">
        <f>+SUM(BORDEAUX!N159:'BORDEAUX'!N164)</f>
        <v>862.11999999999989</v>
      </c>
      <c r="L679" s="240">
        <f>+SUM(BORDEAUX!O159:'BORDEAUX'!O164)</f>
        <v>1391.9099999999999</v>
      </c>
      <c r="M679" s="240">
        <f>+SUM(BORDEAUX!P159:'BORDEAUX'!P164)</f>
        <v>1433.48</v>
      </c>
      <c r="N679" s="240">
        <f>+SUM(BORDEAUX!Q159:'BORDEAUX'!Q164)</f>
        <v>1538.83</v>
      </c>
      <c r="O679" s="240">
        <f>+SUM(BORDEAUX!R159:'BORDEAUX'!R164)</f>
        <v>1347.1999999999998</v>
      </c>
      <c r="P679" s="240">
        <f>+SUM(BORDEAUX!S159:'BORDEAUX'!S164)</f>
        <v>728.79</v>
      </c>
      <c r="Q679" s="240">
        <f>+SUM(BORDEAUX!T159:'BORDEAUX'!T164)</f>
        <v>0</v>
      </c>
      <c r="R679" s="240">
        <f>+SUM(BORDEAUX!U159:'BORDEAUX'!U164)</f>
        <v>0</v>
      </c>
      <c r="S679" s="242">
        <f t="shared" si="56"/>
        <v>13180.100000000002</v>
      </c>
    </row>
    <row r="680" spans="1:20" x14ac:dyDescent="0.2">
      <c r="A680" s="159">
        <v>615215</v>
      </c>
      <c r="B680" s="160" t="s">
        <v>711</v>
      </c>
      <c r="C680" s="148" t="s">
        <v>704</v>
      </c>
      <c r="D680" s="148"/>
      <c r="E680" s="240"/>
      <c r="F680" s="240"/>
      <c r="G680" s="240"/>
      <c r="H680" s="240"/>
      <c r="I680" s="240"/>
      <c r="J680" s="240"/>
      <c r="K680" s="240"/>
      <c r="L680" s="240"/>
      <c r="M680" s="240"/>
      <c r="N680" s="240"/>
      <c r="O680" s="240"/>
      <c r="P680" s="240"/>
      <c r="Q680" s="240"/>
      <c r="R680" s="240"/>
      <c r="S680" s="242">
        <f t="shared" si="56"/>
        <v>0</v>
      </c>
    </row>
    <row r="681" spans="1:20" x14ac:dyDescent="0.2">
      <c r="A681" s="159">
        <v>615215</v>
      </c>
      <c r="B681" s="160" t="s">
        <v>711</v>
      </c>
      <c r="C681" s="148" t="s">
        <v>658</v>
      </c>
      <c r="D681" s="148"/>
      <c r="E681" s="240">
        <f>+BORDEAUX!H166</f>
        <v>-837.53000000000009</v>
      </c>
      <c r="F681" s="240">
        <f>+BORDEAUX!I166</f>
        <v>2761.0800000000004</v>
      </c>
      <c r="G681" s="240">
        <f>+BORDEAUX!J166</f>
        <v>2761.08</v>
      </c>
      <c r="H681" s="240">
        <f>+BORDEAUX!K166</f>
        <v>2859.69</v>
      </c>
      <c r="I681" s="240">
        <f>+BORDEAUX!L166</f>
        <v>2859.69</v>
      </c>
      <c r="J681" s="240">
        <f>+BORDEAUX!M166</f>
        <v>3056.91</v>
      </c>
      <c r="K681" s="240">
        <f>+BORDEAUX!N166</f>
        <v>2465.25</v>
      </c>
      <c r="L681" s="240">
        <f>+BORDEAUX!O166</f>
        <v>3352.74</v>
      </c>
      <c r="M681" s="240">
        <f>+BORDEAUX!P166</f>
        <v>4240.2300000000005</v>
      </c>
      <c r="N681" s="240">
        <f>+BORDEAUX!Q166</f>
        <v>3155.52</v>
      </c>
      <c r="O681" s="240">
        <f>+BORDEAUX!R166</f>
        <v>3451.35</v>
      </c>
      <c r="P681" s="240">
        <f>+BORDEAUX!S166</f>
        <v>3352.74</v>
      </c>
      <c r="Q681" s="240">
        <f>+BORDEAUX!T166</f>
        <v>0</v>
      </c>
      <c r="R681" s="240">
        <f>+BORDEAUX!U166</f>
        <v>0</v>
      </c>
      <c r="S681" s="242">
        <f t="shared" si="56"/>
        <v>33478.75</v>
      </c>
      <c r="T681" s="273"/>
    </row>
    <row r="682" spans="1:20" x14ac:dyDescent="0.2">
      <c r="A682" s="159"/>
      <c r="B682" s="160"/>
      <c r="C682" s="148"/>
      <c r="D682" s="148"/>
      <c r="E682" s="240"/>
      <c r="F682" s="240"/>
      <c r="G682" s="240"/>
      <c r="H682" s="240"/>
      <c r="I682" s="240"/>
      <c r="J682" s="240"/>
      <c r="K682" s="240"/>
      <c r="L682" s="240"/>
      <c r="M682" s="240"/>
      <c r="N682" s="240"/>
      <c r="O682" s="240"/>
      <c r="P682" s="240"/>
      <c r="Q682" s="240"/>
      <c r="R682" s="240"/>
      <c r="S682" s="242"/>
    </row>
    <row r="683" spans="1:20" x14ac:dyDescent="0.2">
      <c r="A683" s="159">
        <v>615215</v>
      </c>
      <c r="B683" s="160" t="s">
        <v>711</v>
      </c>
      <c r="C683" s="148" t="s">
        <v>62</v>
      </c>
      <c r="D683" s="148" t="s">
        <v>700</v>
      </c>
      <c r="E683" s="240">
        <f>+NANCY!H95</f>
        <v>0</v>
      </c>
      <c r="F683" s="240">
        <f>+NANCY!I95</f>
        <v>66.95</v>
      </c>
      <c r="G683" s="240">
        <f>+NANCY!J95</f>
        <v>66.95</v>
      </c>
      <c r="H683" s="240">
        <f>+NANCY!K95</f>
        <v>133.9</v>
      </c>
      <c r="I683" s="240">
        <f>+NANCY!L95</f>
        <v>133.9</v>
      </c>
      <c r="J683" s="240">
        <f>+NANCY!M95</f>
        <v>133.9</v>
      </c>
      <c r="K683" s="240">
        <f>+NANCY!N95</f>
        <v>133.9</v>
      </c>
      <c r="L683" s="240">
        <f>+NANCY!O95</f>
        <v>66.95</v>
      </c>
      <c r="M683" s="240">
        <f>+NANCY!P95</f>
        <v>66.95</v>
      </c>
      <c r="N683" s="240">
        <f>+NANCY!Q95</f>
        <v>66.95</v>
      </c>
      <c r="O683" s="240">
        <f>+NANCY!R95</f>
        <v>133.9</v>
      </c>
      <c r="P683" s="240">
        <f>+NANCY!S95</f>
        <v>66.95</v>
      </c>
      <c r="Q683" s="240">
        <f>+NANCY!T95</f>
        <v>0</v>
      </c>
      <c r="R683" s="240">
        <f>+NANCY!U95</f>
        <v>0</v>
      </c>
      <c r="S683" s="242">
        <f>SUM(E683:Q683)</f>
        <v>1071.2</v>
      </c>
    </row>
    <row r="684" spans="1:20" x14ac:dyDescent="0.2">
      <c r="A684" s="159">
        <v>615215</v>
      </c>
      <c r="B684" s="160" t="s">
        <v>711</v>
      </c>
      <c r="C684" s="148" t="s">
        <v>62</v>
      </c>
      <c r="D684" s="148"/>
      <c r="E684" s="240">
        <f>SUM(NANCY!H96:H103)</f>
        <v>-1168.2000000000003</v>
      </c>
      <c r="F684" s="240">
        <f>SUM(NANCY!I96:I103)</f>
        <v>617.99</v>
      </c>
      <c r="G684" s="240">
        <f>SUM(NANCY!J96:J103)</f>
        <v>73.58</v>
      </c>
      <c r="H684" s="240">
        <f>SUM(NANCY!K96:K103)</f>
        <v>766.17</v>
      </c>
      <c r="I684" s="240">
        <f>SUM(NANCY!L96:L103)</f>
        <v>101.47999999999999</v>
      </c>
      <c r="J684" s="240">
        <f>SUM(NANCY!M96:M103)</f>
        <v>305.37</v>
      </c>
      <c r="K684" s="240">
        <f>SUM(NANCY!N96:N103)</f>
        <v>186.89999999999998</v>
      </c>
      <c r="L684" s="240">
        <f>SUM(NANCY!O96:O103)</f>
        <v>175.5</v>
      </c>
      <c r="M684" s="240">
        <f>SUM(NANCY!P96:P103)</f>
        <v>197.03000000000003</v>
      </c>
      <c r="N684" s="240">
        <f>SUM(NANCY!Q96:Q103)</f>
        <v>259.43</v>
      </c>
      <c r="O684" s="240">
        <f>SUM(NANCY!R96:R103)</f>
        <v>1071.9100000000001</v>
      </c>
      <c r="P684" s="240">
        <f>SUM(NANCY!S96:S103)</f>
        <v>137.99</v>
      </c>
      <c r="Q684" s="240">
        <f>SUM(NANCY!T96:T103)</f>
        <v>0</v>
      </c>
      <c r="R684" s="240">
        <f>SUM(NANCY!U96:U103)</f>
        <v>0</v>
      </c>
      <c r="S684" s="242">
        <f t="shared" si="56"/>
        <v>2725.1499999999996</v>
      </c>
    </row>
    <row r="685" spans="1:20" x14ac:dyDescent="0.2">
      <c r="A685" s="159">
        <v>615215</v>
      </c>
      <c r="B685" s="160" t="s">
        <v>711</v>
      </c>
      <c r="C685" s="148" t="s">
        <v>705</v>
      </c>
      <c r="D685" s="148"/>
      <c r="E685" s="240">
        <f>+NANCY!H93</f>
        <v>-50</v>
      </c>
      <c r="F685" s="240">
        <f>+NANCY!I93</f>
        <v>0</v>
      </c>
      <c r="G685" s="240">
        <f>+NANCY!J93</f>
        <v>0</v>
      </c>
      <c r="H685" s="240">
        <f>+NANCY!K93</f>
        <v>102.1</v>
      </c>
      <c r="I685" s="240">
        <f>+NANCY!L93</f>
        <v>0</v>
      </c>
      <c r="J685" s="240">
        <f>+NANCY!M93</f>
        <v>102.1</v>
      </c>
      <c r="K685" s="240">
        <f>+NANCY!N93</f>
        <v>0</v>
      </c>
      <c r="L685" s="240">
        <f>+NANCY!O93</f>
        <v>0</v>
      </c>
      <c r="M685" s="240">
        <f>+NANCY!P93</f>
        <v>102.1</v>
      </c>
      <c r="N685" s="240">
        <f>+NANCY!Q93</f>
        <v>102.1</v>
      </c>
      <c r="O685" s="240">
        <f>+NANCY!R93</f>
        <v>102.1</v>
      </c>
      <c r="P685" s="240">
        <f>+NANCY!S93</f>
        <v>102.1</v>
      </c>
      <c r="Q685" s="240">
        <f>+NANCY!T93</f>
        <v>0</v>
      </c>
      <c r="R685" s="240">
        <f>+NANCY!U93</f>
        <v>0</v>
      </c>
      <c r="S685" s="242">
        <f t="shared" si="56"/>
        <v>562.6</v>
      </c>
    </row>
    <row r="686" spans="1:20" x14ac:dyDescent="0.2">
      <c r="A686" s="159">
        <v>615215</v>
      </c>
      <c r="B686" s="160" t="s">
        <v>711</v>
      </c>
      <c r="C686" s="148" t="s">
        <v>706</v>
      </c>
      <c r="D686" s="148"/>
      <c r="E686" s="240">
        <f>+NANCY!H94</f>
        <v>-192.34999999999991</v>
      </c>
      <c r="F686" s="240">
        <f>+NANCY!I94</f>
        <v>1740.7</v>
      </c>
      <c r="G686" s="240">
        <f>+NANCY!J94</f>
        <v>1673.75</v>
      </c>
      <c r="H686" s="240">
        <f>+NANCY!K94</f>
        <v>1740.7</v>
      </c>
      <c r="I686" s="240">
        <f>+NANCY!L94</f>
        <v>1874.6</v>
      </c>
      <c r="J686" s="240">
        <f>+NANCY!M94</f>
        <v>1941.55</v>
      </c>
      <c r="K686" s="240">
        <f>+NANCY!N94</f>
        <v>1807.65</v>
      </c>
      <c r="L686" s="240">
        <f>+NANCY!O94</f>
        <v>1874.6</v>
      </c>
      <c r="M686" s="240">
        <f>+NANCY!P94</f>
        <v>2477.15</v>
      </c>
      <c r="N686" s="240">
        <f>+NANCY!Q94</f>
        <v>2008.5</v>
      </c>
      <c r="O686" s="240">
        <f>+NANCY!R94</f>
        <v>2544.1</v>
      </c>
      <c r="P686" s="240">
        <f>+NANCY!S94</f>
        <v>2410.1999999999998</v>
      </c>
      <c r="Q686" s="240">
        <f>+NANCY!T94</f>
        <v>0</v>
      </c>
      <c r="R686" s="240">
        <f>+NANCY!U94</f>
        <v>0</v>
      </c>
      <c r="S686" s="242">
        <f t="shared" si="56"/>
        <v>21901.149999999998</v>
      </c>
    </row>
    <row r="687" spans="1:20" x14ac:dyDescent="0.2">
      <c r="A687" s="159"/>
      <c r="B687" s="160"/>
      <c r="C687" s="148"/>
      <c r="D687" s="148"/>
      <c r="E687" s="240"/>
      <c r="F687" s="240"/>
      <c r="G687" s="240"/>
      <c r="H687" s="240"/>
      <c r="I687" s="240"/>
      <c r="J687" s="240"/>
      <c r="K687" s="240"/>
      <c r="L687" s="240"/>
      <c r="M687" s="240"/>
      <c r="N687" s="240"/>
      <c r="O687" s="240"/>
      <c r="P687" s="240"/>
      <c r="Q687" s="240"/>
      <c r="R687" s="240"/>
      <c r="S687" s="242"/>
    </row>
    <row r="688" spans="1:20" x14ac:dyDescent="0.2">
      <c r="A688" s="159">
        <v>615215</v>
      </c>
      <c r="B688" s="160" t="s">
        <v>711</v>
      </c>
      <c r="C688" s="148" t="s">
        <v>80</v>
      </c>
      <c r="D688" s="148" t="s">
        <v>726</v>
      </c>
      <c r="E688" s="240">
        <f>+RENNES!H150</f>
        <v>0</v>
      </c>
      <c r="F688" s="240">
        <f>+RENNES!I150</f>
        <v>0</v>
      </c>
      <c r="G688" s="240">
        <f>+RENNES!J150</f>
        <v>0</v>
      </c>
      <c r="H688" s="240">
        <f>+RENNES!K150</f>
        <v>0</v>
      </c>
      <c r="I688" s="240">
        <f>+RENNES!L150</f>
        <v>0</v>
      </c>
      <c r="J688" s="240">
        <f>+RENNES!M150</f>
        <v>0</v>
      </c>
      <c r="K688" s="240">
        <f>+RENNES!N150</f>
        <v>0</v>
      </c>
      <c r="L688" s="240">
        <f>+RENNES!O150</f>
        <v>0</v>
      </c>
      <c r="M688" s="240">
        <f>+RENNES!P150</f>
        <v>0</v>
      </c>
      <c r="N688" s="240">
        <f>+RENNES!Q150</f>
        <v>700.22</v>
      </c>
      <c r="O688" s="240">
        <f>+RENNES!R150</f>
        <v>45.68</v>
      </c>
      <c r="P688" s="240">
        <f>+RENNES!S150</f>
        <v>72.12</v>
      </c>
      <c r="Q688" s="240">
        <f>+RENNES!T150</f>
        <v>0</v>
      </c>
      <c r="R688" s="240">
        <f>+RENNES!U150</f>
        <v>0</v>
      </c>
      <c r="S688" s="242">
        <f>SUM(E688:Q688)</f>
        <v>818.02</v>
      </c>
    </row>
    <row r="689" spans="1:19" x14ac:dyDescent="0.2">
      <c r="A689" s="159">
        <v>615215</v>
      </c>
      <c r="B689" s="160" t="s">
        <v>711</v>
      </c>
      <c r="C689" s="148" t="s">
        <v>80</v>
      </c>
      <c r="D689" s="148" t="s">
        <v>700</v>
      </c>
      <c r="E689" s="240">
        <f>+RENNES!H149</f>
        <v>0</v>
      </c>
      <c r="F689" s="240">
        <f>+RENNES!I149</f>
        <v>0</v>
      </c>
      <c r="G689" s="240">
        <f>+RENNES!J149</f>
        <v>0</v>
      </c>
      <c r="H689" s="240">
        <f>+RENNES!K149</f>
        <v>0</v>
      </c>
      <c r="I689" s="240">
        <f>+RENNES!L149</f>
        <v>0</v>
      </c>
      <c r="J689" s="240">
        <f>+RENNES!M149</f>
        <v>0</v>
      </c>
      <c r="K689" s="240">
        <f>+RENNES!N149</f>
        <v>0</v>
      </c>
      <c r="L689" s="240">
        <f>+RENNES!O149</f>
        <v>0</v>
      </c>
      <c r="M689" s="240">
        <f>+RENNES!P149</f>
        <v>179.5</v>
      </c>
      <c r="N689" s="240">
        <f>+RENNES!Q149</f>
        <v>0</v>
      </c>
      <c r="O689" s="240">
        <f>+RENNES!R149</f>
        <v>0</v>
      </c>
      <c r="P689" s="240">
        <f>+RENNES!S149</f>
        <v>0</v>
      </c>
      <c r="Q689" s="240">
        <f>+RENNES!T149</f>
        <v>0</v>
      </c>
      <c r="R689" s="240">
        <f>+RENNES!U149</f>
        <v>0</v>
      </c>
      <c r="S689" s="242">
        <f>SUM(E689:Q689)</f>
        <v>179.5</v>
      </c>
    </row>
    <row r="690" spans="1:19" x14ac:dyDescent="0.2">
      <c r="A690" s="159">
        <v>615215</v>
      </c>
      <c r="B690" s="160" t="s">
        <v>711</v>
      </c>
      <c r="C690" s="148" t="s">
        <v>80</v>
      </c>
      <c r="D690" s="148"/>
      <c r="E690" s="240">
        <f>+SUM(RENNES!H146:H148)</f>
        <v>-461.37000000000012</v>
      </c>
      <c r="F690" s="240">
        <f>+SUM(RENNES!I146:I148)</f>
        <v>1661.2399999999998</v>
      </c>
      <c r="G690" s="240">
        <f>+SUM(RENNES!J146:J148)</f>
        <v>896.16000000000008</v>
      </c>
      <c r="H690" s="240">
        <f>+SUM(RENNES!K146:K148)</f>
        <v>1968.4599999999996</v>
      </c>
      <c r="I690" s="240">
        <f>+SUM(RENNES!L146:L148)</f>
        <v>1160.1599999999999</v>
      </c>
      <c r="J690" s="240">
        <f>+SUM(RENNES!M146:M148)</f>
        <v>926.88</v>
      </c>
      <c r="K690" s="240">
        <f>+SUM(RENNES!N146:N148)</f>
        <v>1239.98</v>
      </c>
      <c r="L690" s="240">
        <f>+SUM(RENNES!O146:O148)</f>
        <v>1674.22</v>
      </c>
      <c r="M690" s="240">
        <f>+SUM(RENNES!P146:P148)</f>
        <v>1303.1599999999999</v>
      </c>
      <c r="N690" s="240">
        <f>+SUM(RENNES!Q146:Q148)</f>
        <v>1261.58</v>
      </c>
      <c r="O690" s="240">
        <f>+SUM(RENNES!R146:R148)</f>
        <v>1130.2400000000002</v>
      </c>
      <c r="P690" s="240">
        <f>+SUM(RENNES!S146:S148)</f>
        <v>1186.4000000000001</v>
      </c>
      <c r="Q690" s="240">
        <f>+SUM(RENNES!T146:T148)</f>
        <v>0</v>
      </c>
      <c r="R690" s="240">
        <f>+SUM(RENNES!U146:U148)</f>
        <v>0</v>
      </c>
      <c r="S690" s="242">
        <f>SUM(E690:Q690)</f>
        <v>13947.109999999999</v>
      </c>
    </row>
    <row r="691" spans="1:19" x14ac:dyDescent="0.2">
      <c r="A691" s="159">
        <v>615215</v>
      </c>
      <c r="B691" s="160" t="s">
        <v>711</v>
      </c>
      <c r="C691" s="148" t="s">
        <v>707</v>
      </c>
      <c r="D691" s="148"/>
      <c r="E691" s="240"/>
      <c r="F691" s="240"/>
      <c r="G691" s="240"/>
      <c r="H691" s="240"/>
      <c r="I691" s="240"/>
      <c r="J691" s="240"/>
      <c r="K691" s="240"/>
      <c r="L691" s="240"/>
      <c r="M691" s="240"/>
      <c r="N691" s="240"/>
      <c r="O691" s="240"/>
      <c r="P691" s="240"/>
      <c r="Q691" s="240"/>
      <c r="R691" s="240"/>
      <c r="S691" s="242">
        <f t="shared" si="56"/>
        <v>0</v>
      </c>
    </row>
    <row r="692" spans="1:19" x14ac:dyDescent="0.2">
      <c r="A692" s="159">
        <v>615215</v>
      </c>
      <c r="B692" s="160" t="s">
        <v>711</v>
      </c>
      <c r="C692" s="148" t="s">
        <v>708</v>
      </c>
      <c r="D692" s="148"/>
      <c r="E692" s="240">
        <f>+RENNES!H151</f>
        <v>-460</v>
      </c>
      <c r="F692" s="240">
        <f>+RENNES!I151</f>
        <v>2337</v>
      </c>
      <c r="G692" s="240">
        <f>+RENNES!J151</f>
        <v>2123</v>
      </c>
      <c r="H692" s="240">
        <f>+RENNES!K151</f>
        <v>2491.9999999999995</v>
      </c>
      <c r="I692" s="240">
        <f>+RENNES!L151</f>
        <v>2906.5</v>
      </c>
      <c r="J692" s="240">
        <f>+RENNES!M151</f>
        <v>2815.5</v>
      </c>
      <c r="K692" s="240">
        <f>+RENNES!N151</f>
        <v>2291.5</v>
      </c>
      <c r="L692" s="240">
        <f>+RENNES!O151</f>
        <v>2583</v>
      </c>
      <c r="M692" s="240">
        <f>+RENNES!P151</f>
        <v>3505.5</v>
      </c>
      <c r="N692" s="240">
        <f>+RENNES!Q151</f>
        <v>2583</v>
      </c>
      <c r="O692" s="240">
        <f>+RENNES!R151</f>
        <v>2829</v>
      </c>
      <c r="P692" s="240">
        <f>+RENNES!S151</f>
        <v>2829</v>
      </c>
      <c r="Q692" s="240">
        <f>+RENNES!T151</f>
        <v>0</v>
      </c>
      <c r="R692" s="240">
        <f>+RENNES!U151</f>
        <v>0</v>
      </c>
      <c r="S692" s="242">
        <f t="shared" si="56"/>
        <v>28835</v>
      </c>
    </row>
    <row r="693" spans="1:19" x14ac:dyDescent="0.2">
      <c r="A693" s="159"/>
      <c r="B693" s="160"/>
      <c r="C693" s="148"/>
      <c r="D693" s="148"/>
      <c r="E693" s="240"/>
      <c r="F693" s="240"/>
      <c r="G693" s="240"/>
      <c r="H693" s="240"/>
      <c r="I693" s="240"/>
      <c r="J693" s="240"/>
      <c r="K693" s="240"/>
      <c r="L693" s="240"/>
      <c r="M693" s="240"/>
      <c r="N693" s="240"/>
      <c r="O693" s="240"/>
      <c r="P693" s="240"/>
      <c r="Q693" s="240"/>
      <c r="R693" s="240"/>
      <c r="S693" s="242"/>
    </row>
    <row r="694" spans="1:19" x14ac:dyDescent="0.2">
      <c r="A694" s="159">
        <v>615215</v>
      </c>
      <c r="B694" s="160" t="s">
        <v>711</v>
      </c>
      <c r="C694" s="148" t="s">
        <v>156</v>
      </c>
      <c r="D694" s="148"/>
      <c r="E694" s="240">
        <f>+SUM(BEAUVAIS!H154:'BEAUVAIS'!H156)</f>
        <v>-1570.44</v>
      </c>
      <c r="F694" s="240">
        <f>+SUM(BEAUVAIS!I154:'BEAUVAIS'!I156)</f>
        <v>1181.6799999999998</v>
      </c>
      <c r="G694" s="240">
        <f>+SUM(BEAUVAIS!J154:'BEAUVAIS'!J156)</f>
        <v>1410.5</v>
      </c>
      <c r="H694" s="240">
        <f>+SUM(BEAUVAIS!K154:'BEAUVAIS'!K156)</f>
        <v>932</v>
      </c>
      <c r="I694" s="240">
        <f>+SUM(BEAUVAIS!L154:'BEAUVAIS'!L156)</f>
        <v>680.6</v>
      </c>
      <c r="J694" s="240">
        <f>+SUM(BEAUVAIS!M154:'BEAUVAIS'!M156)</f>
        <v>852</v>
      </c>
      <c r="K694" s="240">
        <f>+SUM(BEAUVAIS!N154:'BEAUVAIS'!N156)</f>
        <v>126</v>
      </c>
      <c r="L694" s="240">
        <f>+SUM(BEAUVAIS!O154:'BEAUVAIS'!O156)</f>
        <v>1350</v>
      </c>
      <c r="M694" s="240">
        <f>+SUM(BEAUVAIS!P154:'BEAUVAIS'!P156)</f>
        <v>1402</v>
      </c>
      <c r="N694" s="240">
        <f>+SUM(BEAUVAIS!Q154:'BEAUVAIS'!Q156)</f>
        <v>1199</v>
      </c>
      <c r="O694" s="240">
        <f>+SUM(BEAUVAIS!R154:'BEAUVAIS'!R156)</f>
        <v>1003.2</v>
      </c>
      <c r="P694" s="240">
        <f>+SUM(BEAUVAIS!S154:'BEAUVAIS'!S156)</f>
        <v>1119</v>
      </c>
      <c r="Q694" s="240">
        <f>+SUM(BEAUVAIS!T154:'BEAUVAIS'!T156)</f>
        <v>0</v>
      </c>
      <c r="R694" s="240">
        <f>+SUM(BEAUVAIS!U154:'BEAUVAIS'!U156)</f>
        <v>0</v>
      </c>
      <c r="S694" s="242">
        <f t="shared" si="56"/>
        <v>9685.5400000000009</v>
      </c>
    </row>
    <row r="695" spans="1:19" x14ac:dyDescent="0.2">
      <c r="A695" s="159">
        <v>615215</v>
      </c>
      <c r="B695" s="160" t="s">
        <v>711</v>
      </c>
      <c r="C695" s="148" t="s">
        <v>156</v>
      </c>
      <c r="D695" s="148" t="s">
        <v>700</v>
      </c>
      <c r="E695" s="240"/>
      <c r="F695" s="240"/>
      <c r="G695" s="240"/>
      <c r="H695" s="240"/>
      <c r="I695" s="240"/>
      <c r="J695" s="240"/>
      <c r="K695" s="240"/>
      <c r="L695" s="240"/>
      <c r="M695" s="240"/>
      <c r="N695" s="240"/>
      <c r="O695" s="240"/>
      <c r="P695" s="240"/>
      <c r="Q695" s="240"/>
      <c r="R695" s="240"/>
      <c r="S695" s="242">
        <f>SUM(E695:Q695)</f>
        <v>0</v>
      </c>
    </row>
    <row r="696" spans="1:19" x14ac:dyDescent="0.2">
      <c r="A696" s="159">
        <v>615215</v>
      </c>
      <c r="B696" s="160" t="s">
        <v>711</v>
      </c>
      <c r="C696" s="148" t="s">
        <v>156</v>
      </c>
      <c r="D696" s="148" t="s">
        <v>824</v>
      </c>
      <c r="E696" s="240">
        <f>+BEAUVAIS!H157</f>
        <v>0</v>
      </c>
      <c r="F696" s="240">
        <f>+BEAUVAIS!I157</f>
        <v>0</v>
      </c>
      <c r="G696" s="240">
        <f>+BEAUVAIS!J157</f>
        <v>0</v>
      </c>
      <c r="H696" s="240">
        <f>+BEAUVAIS!K157</f>
        <v>0</v>
      </c>
      <c r="I696" s="240">
        <f>+BEAUVAIS!L157</f>
        <v>0</v>
      </c>
      <c r="J696" s="240">
        <f>+BEAUVAIS!M157</f>
        <v>0</v>
      </c>
      <c r="K696" s="240">
        <f>+BEAUVAIS!N157</f>
        <v>0</v>
      </c>
      <c r="L696" s="240">
        <f>+BEAUVAIS!O157</f>
        <v>0</v>
      </c>
      <c r="M696" s="240">
        <f>+BEAUVAIS!P157</f>
        <v>0</v>
      </c>
      <c r="N696" s="240">
        <f>+BEAUVAIS!Q157</f>
        <v>0</v>
      </c>
      <c r="O696" s="240">
        <f>+BEAUVAIS!R157</f>
        <v>152.6</v>
      </c>
      <c r="P696" s="240">
        <f>+BEAUVAIS!S157</f>
        <v>0</v>
      </c>
      <c r="Q696" s="240">
        <f>+BEAUVAIS!T157</f>
        <v>0</v>
      </c>
      <c r="R696" s="240">
        <f>+BEAUVAIS!U157</f>
        <v>0</v>
      </c>
      <c r="S696" s="242">
        <f t="shared" si="56"/>
        <v>152.6</v>
      </c>
    </row>
    <row r="697" spans="1:19" x14ac:dyDescent="0.2">
      <c r="A697" s="159">
        <v>615215</v>
      </c>
      <c r="B697" s="160" t="s">
        <v>711</v>
      </c>
      <c r="C697" s="148" t="s">
        <v>709</v>
      </c>
      <c r="D697" s="148"/>
      <c r="E697" s="240">
        <f>+BEAUVAIS!H158+BEAUVAIS!H159</f>
        <v>-1200</v>
      </c>
      <c r="F697" s="240">
        <f>+BEAUVAIS!I158+BEAUVAIS!I159</f>
        <v>0</v>
      </c>
      <c r="G697" s="240">
        <f>+BEAUVAIS!J158+BEAUVAIS!J159</f>
        <v>0</v>
      </c>
      <c r="H697" s="240">
        <f>+BEAUVAIS!K158+BEAUVAIS!K159</f>
        <v>0</v>
      </c>
      <c r="I697" s="240">
        <f>+BEAUVAIS!L158+BEAUVAIS!L159</f>
        <v>0</v>
      </c>
      <c r="J697" s="240">
        <f>+BEAUVAIS!M158+BEAUVAIS!M159</f>
        <v>0</v>
      </c>
      <c r="K697" s="240">
        <f>+BEAUVAIS!N158+BEAUVAIS!N159</f>
        <v>0</v>
      </c>
      <c r="L697" s="240">
        <f>+BEAUVAIS!O158+BEAUVAIS!O159</f>
        <v>0</v>
      </c>
      <c r="M697" s="240">
        <f>+BEAUVAIS!P158+BEAUVAIS!P159</f>
        <v>0</v>
      </c>
      <c r="N697" s="240">
        <f>+BEAUVAIS!Q158+BEAUVAIS!Q159</f>
        <v>0</v>
      </c>
      <c r="O697" s="240">
        <f>+BEAUVAIS!R158+BEAUVAIS!R159</f>
        <v>0</v>
      </c>
      <c r="P697" s="240">
        <f>+BEAUVAIS!S158+BEAUVAIS!S159</f>
        <v>950</v>
      </c>
      <c r="Q697" s="240">
        <f>+BEAUVAIS!T158+BEAUVAIS!T159</f>
        <v>0</v>
      </c>
      <c r="R697" s="240">
        <f>+BEAUVAIS!U158+BEAUVAIS!U159</f>
        <v>0</v>
      </c>
      <c r="S697" s="242">
        <f t="shared" si="56"/>
        <v>-250</v>
      </c>
    </row>
    <row r="698" spans="1:19" x14ac:dyDescent="0.2">
      <c r="A698" s="159">
        <v>615215</v>
      </c>
      <c r="B698" s="160" t="s">
        <v>711</v>
      </c>
      <c r="C698" s="148" t="s">
        <v>395</v>
      </c>
      <c r="D698" s="148"/>
      <c r="E698" s="240">
        <f>+BEAUVAIS!H160</f>
        <v>-94</v>
      </c>
      <c r="F698" s="240">
        <f>+BEAUVAIS!I160</f>
        <v>3724</v>
      </c>
      <c r="G698" s="240">
        <f>+BEAUVAIS!J160</f>
        <v>3758</v>
      </c>
      <c r="H698" s="240">
        <f>+BEAUVAIS!K160</f>
        <v>3800</v>
      </c>
      <c r="I698" s="240">
        <f>+BEAUVAIS!L160</f>
        <v>4004</v>
      </c>
      <c r="J698" s="240">
        <f>+BEAUVAIS!M160</f>
        <v>3876</v>
      </c>
      <c r="K698" s="240">
        <f>+BEAUVAIS!N160</f>
        <v>4354</v>
      </c>
      <c r="L698" s="240">
        <f>+BEAUVAIS!O160</f>
        <v>4372</v>
      </c>
      <c r="M698" s="240">
        <f>+BEAUVAIS!P160</f>
        <v>4630</v>
      </c>
      <c r="N698" s="240">
        <f>+BEAUVAIS!Q160</f>
        <v>4228</v>
      </c>
      <c r="O698" s="240">
        <f>+BEAUVAIS!R160</f>
        <v>4028</v>
      </c>
      <c r="P698" s="240">
        <f>+BEAUVAIS!S160</f>
        <v>3952</v>
      </c>
      <c r="Q698" s="240">
        <f>+BEAUVAIS!T160</f>
        <v>0</v>
      </c>
      <c r="R698" s="240">
        <f>+BEAUVAIS!U160</f>
        <v>0</v>
      </c>
      <c r="S698" s="242">
        <f t="shared" si="56"/>
        <v>44632</v>
      </c>
    </row>
    <row r="699" spans="1:19" x14ac:dyDescent="0.2">
      <c r="A699" s="159"/>
      <c r="B699" s="160"/>
      <c r="C699" s="148"/>
      <c r="D699" s="148"/>
      <c r="E699" s="240"/>
      <c r="F699" s="240"/>
      <c r="G699" s="240"/>
      <c r="H699" s="240"/>
      <c r="I699" s="240"/>
      <c r="J699" s="240"/>
      <c r="K699" s="240"/>
      <c r="L699" s="240"/>
      <c r="M699" s="240"/>
      <c r="N699" s="240"/>
      <c r="O699" s="240"/>
      <c r="P699" s="240"/>
      <c r="Q699" s="240"/>
      <c r="R699" s="240"/>
      <c r="S699" s="242"/>
    </row>
    <row r="700" spans="1:19" x14ac:dyDescent="0.2">
      <c r="A700" s="159">
        <v>615215</v>
      </c>
      <c r="B700" s="160" t="s">
        <v>711</v>
      </c>
      <c r="C700" s="148" t="s">
        <v>79</v>
      </c>
      <c r="D700" s="148"/>
      <c r="E700" s="240">
        <f>+SIEGE!H69</f>
        <v>0</v>
      </c>
      <c r="F700" s="240">
        <f>+SIEGE!I69</f>
        <v>0</v>
      </c>
      <c r="G700" s="240">
        <f>+SIEGE!J69</f>
        <v>0</v>
      </c>
      <c r="H700" s="240">
        <f>+SIEGE!K69</f>
        <v>0</v>
      </c>
      <c r="I700" s="240">
        <f>+SIEGE!L69</f>
        <v>0</v>
      </c>
      <c r="J700" s="240">
        <f>+SIEGE!M69</f>
        <v>0</v>
      </c>
      <c r="K700" s="240">
        <f>+SIEGE!N69</f>
        <v>0</v>
      </c>
      <c r="L700" s="240">
        <f>+SIEGE!O69</f>
        <v>0</v>
      </c>
      <c r="M700" s="240">
        <f>+SIEGE!P69</f>
        <v>0</v>
      </c>
      <c r="N700" s="240">
        <f>+SIEGE!Q69</f>
        <v>0</v>
      </c>
      <c r="O700" s="240">
        <f>+SIEGE!R69</f>
        <v>0</v>
      </c>
      <c r="P700" s="240">
        <f>+SIEGE!S69</f>
        <v>0</v>
      </c>
      <c r="Q700" s="240">
        <f>+SIEGE!T69</f>
        <v>0</v>
      </c>
      <c r="R700" s="240">
        <f>+SIEGE!U69</f>
        <v>0</v>
      </c>
      <c r="S700" s="242">
        <f t="shared" si="56"/>
        <v>0</v>
      </c>
    </row>
    <row r="701" spans="1:19" x14ac:dyDescent="0.2">
      <c r="A701" s="159"/>
      <c r="B701" s="160"/>
      <c r="C701" s="148"/>
      <c r="D701" s="148"/>
      <c r="E701" s="240"/>
      <c r="F701" s="240"/>
      <c r="G701" s="240"/>
      <c r="H701" s="240"/>
      <c r="I701" s="240"/>
      <c r="J701" s="240"/>
      <c r="K701" s="240"/>
      <c r="L701" s="240"/>
      <c r="M701" s="240"/>
      <c r="N701" s="240"/>
      <c r="O701" s="240"/>
      <c r="P701" s="240"/>
      <c r="Q701" s="240"/>
      <c r="R701" s="240"/>
      <c r="S701" s="242"/>
    </row>
    <row r="702" spans="1:19" x14ac:dyDescent="0.2">
      <c r="A702" s="159">
        <v>615215</v>
      </c>
      <c r="B702" s="160" t="s">
        <v>711</v>
      </c>
      <c r="C702" s="148" t="s">
        <v>172</v>
      </c>
      <c r="D702" s="148"/>
      <c r="E702" s="240">
        <f>+TOULOUSE!H87+TOULOUSE!H88</f>
        <v>-300</v>
      </c>
      <c r="F702" s="240">
        <f>+TOULOUSE!I87+TOULOUSE!I88</f>
        <v>395</v>
      </c>
      <c r="G702" s="240">
        <f>+TOULOUSE!J87+TOULOUSE!J88</f>
        <v>395</v>
      </c>
      <c r="H702" s="240">
        <f>+TOULOUSE!K87+TOULOUSE!K88</f>
        <v>395</v>
      </c>
      <c r="I702" s="240">
        <f>+TOULOUSE!L87+TOULOUSE!L88</f>
        <v>395</v>
      </c>
      <c r="J702" s="240">
        <f>+TOULOUSE!M87+TOULOUSE!M88</f>
        <v>894.48</v>
      </c>
      <c r="K702" s="240">
        <f>+TOULOUSE!N87+TOULOUSE!N88</f>
        <v>395</v>
      </c>
      <c r="L702" s="240">
        <f>+TOULOUSE!O87+TOULOUSE!O88</f>
        <v>627.51</v>
      </c>
      <c r="M702" s="240">
        <f>+TOULOUSE!P87+TOULOUSE!P88</f>
        <v>747.48</v>
      </c>
      <c r="N702" s="240">
        <f>+TOULOUSE!Q87+TOULOUSE!Q88</f>
        <v>395</v>
      </c>
      <c r="O702" s="240">
        <f>+TOULOUSE!R87+TOULOUSE!R88</f>
        <v>395</v>
      </c>
      <c r="P702" s="240">
        <f>+TOULOUSE!S87+TOULOUSE!S88</f>
        <v>395</v>
      </c>
      <c r="Q702" s="240">
        <f>+TOULOUSE!T87+TOULOUSE!T88</f>
        <v>0</v>
      </c>
      <c r="R702" s="240">
        <f>+TOULOUSE!U87+TOULOUSE!U88</f>
        <v>0</v>
      </c>
      <c r="S702" s="242">
        <f>SUM(E702:Q702)</f>
        <v>5129.4699999999993</v>
      </c>
    </row>
    <row r="703" spans="1:19" x14ac:dyDescent="0.2">
      <c r="A703" s="159">
        <v>615215</v>
      </c>
      <c r="B703" s="160" t="s">
        <v>711</v>
      </c>
      <c r="C703" s="148" t="s">
        <v>710</v>
      </c>
      <c r="D703" s="148"/>
      <c r="E703" s="240">
        <f>+TOULOUSE!H89</f>
        <v>-250</v>
      </c>
      <c r="F703" s="240">
        <f>+TOULOUSE!I89</f>
        <v>100</v>
      </c>
      <c r="G703" s="240">
        <f>+TOULOUSE!J89</f>
        <v>100</v>
      </c>
      <c r="H703" s="240">
        <f>+TOULOUSE!K89</f>
        <v>0</v>
      </c>
      <c r="I703" s="240">
        <f>+TOULOUSE!L89</f>
        <v>0</v>
      </c>
      <c r="J703" s="240">
        <f>+TOULOUSE!M89</f>
        <v>0</v>
      </c>
      <c r="K703" s="240">
        <f>+TOULOUSE!N89</f>
        <v>100</v>
      </c>
      <c r="L703" s="240">
        <f>+TOULOUSE!O89</f>
        <v>50</v>
      </c>
      <c r="M703" s="240">
        <f>+TOULOUSE!P89</f>
        <v>50</v>
      </c>
      <c r="N703" s="240">
        <f>+TOULOUSE!Q89</f>
        <v>50</v>
      </c>
      <c r="O703" s="240">
        <f>+TOULOUSE!R89</f>
        <v>50</v>
      </c>
      <c r="P703" s="240">
        <f>+TOULOUSE!S89</f>
        <v>50</v>
      </c>
      <c r="Q703" s="240">
        <f>+TOULOUSE!T89</f>
        <v>0</v>
      </c>
      <c r="R703" s="240">
        <f>+TOULOUSE!U89</f>
        <v>0</v>
      </c>
      <c r="S703" s="242">
        <f t="shared" si="56"/>
        <v>300</v>
      </c>
    </row>
    <row r="704" spans="1:19" x14ac:dyDescent="0.2">
      <c r="A704" s="159">
        <v>615215</v>
      </c>
      <c r="B704" s="160" t="s">
        <v>711</v>
      </c>
      <c r="C704" s="148" t="s">
        <v>442</v>
      </c>
      <c r="D704" s="148"/>
      <c r="E704" s="240">
        <f>+TOULOUSE!H90</f>
        <v>-186.96000000000004</v>
      </c>
      <c r="F704" s="240">
        <f>+TOULOUSE!I90</f>
        <v>1579.28</v>
      </c>
      <c r="G704" s="240">
        <f>+TOULOUSE!J90</f>
        <v>1329.92</v>
      </c>
      <c r="H704" s="240">
        <f>+TOULOUSE!K90</f>
        <v>1496.16</v>
      </c>
      <c r="I704" s="240">
        <f>+TOULOUSE!L90</f>
        <v>1329.92</v>
      </c>
      <c r="J704" s="240">
        <f>+TOULOUSE!M90</f>
        <v>1662.4</v>
      </c>
      <c r="K704" s="240">
        <f>+TOULOUSE!N90</f>
        <v>1863.04</v>
      </c>
      <c r="L704" s="240">
        <f>+TOULOUSE!O90</f>
        <v>1496.16</v>
      </c>
      <c r="M704" s="240">
        <f>+TOULOUSE!P90</f>
        <v>1662.4</v>
      </c>
      <c r="N704" s="240">
        <f>+TOULOUSE!Q90</f>
        <v>1662.4</v>
      </c>
      <c r="O704" s="240">
        <f>+TOULOUSE!R90</f>
        <v>1911.76</v>
      </c>
      <c r="P704" s="240">
        <f>+TOULOUSE!S90</f>
        <v>2278.6400000000003</v>
      </c>
      <c r="Q704" s="240">
        <f>+TOULOUSE!T90</f>
        <v>0</v>
      </c>
      <c r="R704" s="240">
        <f>+TOULOUSE!U90</f>
        <v>0</v>
      </c>
      <c r="S704" s="242">
        <f t="shared" si="56"/>
        <v>18085.12</v>
      </c>
    </row>
    <row r="705" spans="1:24" x14ac:dyDescent="0.2">
      <c r="A705" s="159"/>
      <c r="B705" s="160"/>
      <c r="C705" s="148"/>
      <c r="D705" s="148"/>
      <c r="E705" s="240"/>
      <c r="F705" s="240"/>
      <c r="G705" s="240"/>
      <c r="H705" s="240"/>
      <c r="I705" s="240"/>
      <c r="J705" s="240"/>
      <c r="K705" s="240"/>
      <c r="L705" s="240"/>
      <c r="M705" s="240"/>
      <c r="N705" s="240"/>
      <c r="O705" s="240"/>
      <c r="P705" s="240"/>
      <c r="Q705" s="240"/>
      <c r="R705" s="240"/>
      <c r="S705" s="242"/>
    </row>
    <row r="706" spans="1:24" x14ac:dyDescent="0.2">
      <c r="A706" s="159">
        <v>615215</v>
      </c>
      <c r="B706" s="160" t="s">
        <v>711</v>
      </c>
      <c r="C706" s="592" t="s">
        <v>367</v>
      </c>
      <c r="D706" s="148"/>
      <c r="E706" s="240"/>
      <c r="F706" s="590">
        <v>45.66</v>
      </c>
      <c r="G706" s="590">
        <f>-45.66-5739.06</f>
        <v>-5784.72</v>
      </c>
      <c r="H706" s="240">
        <v>5739.06</v>
      </c>
      <c r="I706" s="240">
        <v>-5256.37</v>
      </c>
      <c r="J706" s="240">
        <f>5256.37+11363.38</f>
        <v>16619.75</v>
      </c>
      <c r="K706" s="240">
        <f>-11363.38+10084.69</f>
        <v>-1278.6899999999987</v>
      </c>
      <c r="L706" s="240">
        <f>-10084.69+14753.31</f>
        <v>4668.619999999999</v>
      </c>
      <c r="M706" s="240">
        <f>-14753.31+9046.2</f>
        <v>-5707.1099999999988</v>
      </c>
      <c r="N706" s="240">
        <f>-9046.2+7657.49</f>
        <v>-1388.7100000000009</v>
      </c>
      <c r="O706" s="240">
        <f>-7657.49+8030.67</f>
        <v>373.18000000000029</v>
      </c>
      <c r="P706" s="240">
        <f>-8030.67-0.85</f>
        <v>-8031.52</v>
      </c>
      <c r="Q706" s="240"/>
      <c r="R706" s="240"/>
      <c r="S706" s="242">
        <f t="shared" si="56"/>
        <v>-0.84999999999854481</v>
      </c>
    </row>
    <row r="707" spans="1:24" s="185" customFormat="1" ht="24" customHeight="1" x14ac:dyDescent="0.2">
      <c r="A707" s="267"/>
      <c r="B707" s="268"/>
      <c r="C707" s="267" t="s">
        <v>66</v>
      </c>
      <c r="D707" s="267"/>
      <c r="E707" s="269">
        <f t="shared" ref="E707:S707" si="57">SUM(E661:E706)</f>
        <v>-18984.150000000001</v>
      </c>
      <c r="F707" s="269">
        <f t="shared" si="57"/>
        <v>38120.000000000007</v>
      </c>
      <c r="G707" s="269">
        <f t="shared" si="57"/>
        <v>26927.439999999995</v>
      </c>
      <c r="H707" s="269">
        <f t="shared" si="57"/>
        <v>44268.479999999996</v>
      </c>
      <c r="I707" s="269">
        <f t="shared" si="57"/>
        <v>31713.499999999996</v>
      </c>
      <c r="J707" s="269">
        <f t="shared" si="57"/>
        <v>56287.83</v>
      </c>
      <c r="K707" s="269">
        <f t="shared" si="57"/>
        <v>35399.83</v>
      </c>
      <c r="L707" s="269">
        <f t="shared" si="57"/>
        <v>43534.410000000018</v>
      </c>
      <c r="M707" s="269">
        <f t="shared" si="57"/>
        <v>43644.679999999993</v>
      </c>
      <c r="N707" s="269">
        <f t="shared" si="57"/>
        <v>38607.520000000004</v>
      </c>
      <c r="O707" s="269">
        <f t="shared" si="57"/>
        <v>40513.97</v>
      </c>
      <c r="P707" s="269">
        <f t="shared" si="57"/>
        <v>31566.09</v>
      </c>
      <c r="Q707" s="269">
        <f t="shared" si="57"/>
        <v>0</v>
      </c>
      <c r="R707" s="269">
        <f>SUM(R661:R706)</f>
        <v>0</v>
      </c>
      <c r="S707" s="269">
        <f t="shared" si="57"/>
        <v>411599.6</v>
      </c>
      <c r="T707" s="212">
        <v>411280.31</v>
      </c>
      <c r="U707" s="334">
        <f>T707-S707</f>
        <v>-319.28999999997905</v>
      </c>
      <c r="V707" s="185" t="s">
        <v>853</v>
      </c>
      <c r="X707" s="569">
        <f>U707-CENTRALISATION!V708</f>
        <v>138.64000000001397</v>
      </c>
    </row>
    <row r="708" spans="1:24" x14ac:dyDescent="0.2">
      <c r="A708" s="159">
        <v>615220</v>
      </c>
      <c r="B708" s="160" t="s">
        <v>123</v>
      </c>
      <c r="C708" s="148" t="s">
        <v>77</v>
      </c>
      <c r="D708" s="148" t="s">
        <v>179</v>
      </c>
      <c r="E708" s="240">
        <f>SUM(FLEURY!H193:H194)</f>
        <v>0</v>
      </c>
      <c r="F708" s="240">
        <f>SUM(FLEURY!I193:I194)</f>
        <v>740.44</v>
      </c>
      <c r="G708" s="240">
        <f>SUM(FLEURY!J193:J194)</f>
        <v>740.44</v>
      </c>
      <c r="H708" s="240">
        <f>SUM(FLEURY!K193:K194)</f>
        <v>740.44</v>
      </c>
      <c r="I708" s="240">
        <f>SUM(FLEURY!L193:L194)</f>
        <v>740.44</v>
      </c>
      <c r="J708" s="240">
        <f>SUM(FLEURY!M193:M194)</f>
        <v>740.44</v>
      </c>
      <c r="K708" s="240">
        <f>SUM(FLEURY!N193:N194)</f>
        <v>740.44</v>
      </c>
      <c r="L708" s="240">
        <f>SUM(FLEURY!O193:O194)</f>
        <v>740.44</v>
      </c>
      <c r="M708" s="240">
        <f>SUM(FLEURY!P193:P194)</f>
        <v>740.44</v>
      </c>
      <c r="N708" s="240">
        <f>SUM(FLEURY!Q193:Q194)</f>
        <v>740.44</v>
      </c>
      <c r="O708" s="240">
        <f>SUM(FLEURY!R193:R194)</f>
        <v>740.44</v>
      </c>
      <c r="P708" s="240">
        <f>SUM(FLEURY!S193:S194)</f>
        <v>740.44</v>
      </c>
      <c r="Q708" s="240">
        <f>SUM(FLEURY!T193:T194)</f>
        <v>740.44</v>
      </c>
      <c r="R708" s="240">
        <f>SUM(FLEURY!U193:U194)</f>
        <v>0</v>
      </c>
      <c r="S708" s="245">
        <f t="shared" ref="S708:S759" si="58">SUM(E708:Q708)</f>
        <v>8885.2800000000025</v>
      </c>
      <c r="V708" s="185"/>
    </row>
    <row r="709" spans="1:24" x14ac:dyDescent="0.2">
      <c r="A709" s="159">
        <v>615220</v>
      </c>
      <c r="B709" s="160" t="s">
        <v>123</v>
      </c>
      <c r="C709" s="148" t="s">
        <v>77</v>
      </c>
      <c r="D709" s="148" t="s">
        <v>192</v>
      </c>
      <c r="E709" s="240">
        <f>+SUM(FLEURY!H190:H191)</f>
        <v>0</v>
      </c>
      <c r="F709" s="240">
        <f>+SUM(FLEURY!I190:I191)</f>
        <v>0</v>
      </c>
      <c r="G709" s="240">
        <f>+SUM(FLEURY!J190:J191)</f>
        <v>0</v>
      </c>
      <c r="H709" s="240">
        <f>+SUM(FLEURY!K190:K191)</f>
        <v>0</v>
      </c>
      <c r="I709" s="240">
        <f>+SUM(FLEURY!L190:L191)</f>
        <v>0</v>
      </c>
      <c r="J709" s="240">
        <f>+SUM(FLEURY!M190:M191)</f>
        <v>0</v>
      </c>
      <c r="K709" s="240">
        <f>+SUM(FLEURY!N190:N191)</f>
        <v>0</v>
      </c>
      <c r="L709" s="240">
        <f>+SUM(FLEURY!O190:O191)</f>
        <v>0</v>
      </c>
      <c r="M709" s="240">
        <f>+SUM(FLEURY!P190:P191)</f>
        <v>0</v>
      </c>
      <c r="N709" s="240">
        <f>+SUM(FLEURY!Q190:Q191)</f>
        <v>0</v>
      </c>
      <c r="O709" s="240">
        <f>+SUM(FLEURY!R190:R191)</f>
        <v>0</v>
      </c>
      <c r="P709" s="240">
        <f>+SUM(FLEURY!S190:S191)</f>
        <v>0</v>
      </c>
      <c r="Q709" s="240">
        <f>+SUM(FLEURY!T190:T191)</f>
        <v>0</v>
      </c>
      <c r="R709" s="240">
        <f>+SUM(FLEURY!U190:U191)</f>
        <v>0</v>
      </c>
      <c r="S709" s="245">
        <f t="shared" si="58"/>
        <v>0</v>
      </c>
    </row>
    <row r="710" spans="1:24" x14ac:dyDescent="0.2">
      <c r="A710" s="159">
        <v>615220</v>
      </c>
      <c r="B710" s="160" t="s">
        <v>123</v>
      </c>
      <c r="C710" s="148" t="s">
        <v>145</v>
      </c>
      <c r="D710" s="148" t="s">
        <v>179</v>
      </c>
      <c r="E710" s="240">
        <f>+SUM(FLEURY!H196:H199)</f>
        <v>-96.84</v>
      </c>
      <c r="F710" s="240">
        <f>+SUM(FLEURY!I196:I199)</f>
        <v>428.4</v>
      </c>
      <c r="G710" s="240">
        <f>+SUM(FLEURY!J196:J199)</f>
        <v>428.4</v>
      </c>
      <c r="H710" s="240">
        <f>+SUM(FLEURY!K196:K199)</f>
        <v>428.4</v>
      </c>
      <c r="I710" s="240">
        <f>+SUM(FLEURY!L196:L199)</f>
        <v>428.4</v>
      </c>
      <c r="J710" s="240">
        <f>+SUM(FLEURY!M196:M199)</f>
        <v>428.4</v>
      </c>
      <c r="K710" s="240">
        <f>+SUM(FLEURY!N196:N199)</f>
        <v>428.4</v>
      </c>
      <c r="L710" s="240">
        <f>+SUM(FLEURY!O196:O199)</f>
        <v>428.4</v>
      </c>
      <c r="M710" s="240">
        <f>+SUM(FLEURY!P196:P199)</f>
        <v>428.4</v>
      </c>
      <c r="N710" s="240">
        <f>+SUM(FLEURY!Q196:Q199)</f>
        <v>428.4</v>
      </c>
      <c r="O710" s="240">
        <f>+SUM(FLEURY!R196:R199)</f>
        <v>428.4</v>
      </c>
      <c r="P710" s="240">
        <f>+SUM(FLEURY!S196:S199)</f>
        <v>428.4</v>
      </c>
      <c r="Q710" s="240">
        <f>+SUM(FLEURY!T196:T199)</f>
        <v>428.4</v>
      </c>
      <c r="R710" s="240">
        <f>+SUM(FLEURY!U196:U199)</f>
        <v>0</v>
      </c>
      <c r="S710" s="245">
        <f t="shared" si="58"/>
        <v>5043.9599999999991</v>
      </c>
      <c r="T710" s="186"/>
    </row>
    <row r="711" spans="1:24" x14ac:dyDescent="0.2">
      <c r="A711" s="159">
        <v>615220</v>
      </c>
      <c r="B711" s="160" t="s">
        <v>123</v>
      </c>
      <c r="C711" s="148" t="s">
        <v>145</v>
      </c>
      <c r="D711" s="148">
        <v>999999</v>
      </c>
      <c r="E711" s="240">
        <f>+FLEURY!H200</f>
        <v>0</v>
      </c>
      <c r="F711" s="240">
        <f>+FLEURY!I200</f>
        <v>0</v>
      </c>
      <c r="G711" s="240">
        <f>+FLEURY!J200</f>
        <v>0</v>
      </c>
      <c r="H711" s="240">
        <f>+FLEURY!K200</f>
        <v>0</v>
      </c>
      <c r="I711" s="240">
        <f>+FLEURY!L200</f>
        <v>0</v>
      </c>
      <c r="J711" s="240">
        <f>+FLEURY!M200</f>
        <v>0</v>
      </c>
      <c r="K711" s="240">
        <f>+FLEURY!N200</f>
        <v>0</v>
      </c>
      <c r="L711" s="240">
        <f>+FLEURY!O200</f>
        <v>0</v>
      </c>
      <c r="M711" s="240">
        <f>+FLEURY!P200</f>
        <v>0</v>
      </c>
      <c r="N711" s="240">
        <f>+FLEURY!Q200</f>
        <v>0</v>
      </c>
      <c r="O711" s="240">
        <f>+FLEURY!R200</f>
        <v>0</v>
      </c>
      <c r="P711" s="240">
        <f>+FLEURY!S200</f>
        <v>0</v>
      </c>
      <c r="Q711" s="240">
        <f>+FLEURY!T200</f>
        <v>0</v>
      </c>
      <c r="R711" s="240">
        <f>+FLEURY!U200</f>
        <v>0</v>
      </c>
      <c r="S711" s="245">
        <f t="shared" si="58"/>
        <v>0</v>
      </c>
      <c r="T711" s="186"/>
    </row>
    <row r="712" spans="1:24" x14ac:dyDescent="0.2">
      <c r="A712" s="159">
        <v>615220</v>
      </c>
      <c r="B712" s="160" t="s">
        <v>123</v>
      </c>
      <c r="C712" s="148" t="s">
        <v>145</v>
      </c>
      <c r="D712" s="148" t="s">
        <v>192</v>
      </c>
      <c r="E712" s="240">
        <f>+FLEURY!H202</f>
        <v>0</v>
      </c>
      <c r="F712" s="240">
        <f>+FLEURY!I202</f>
        <v>0</v>
      </c>
      <c r="G712" s="240">
        <f>+FLEURY!J202</f>
        <v>0</v>
      </c>
      <c r="H712" s="240">
        <f>+FLEURY!K202</f>
        <v>0</v>
      </c>
      <c r="I712" s="240">
        <f>+FLEURY!L202</f>
        <v>0</v>
      </c>
      <c r="J712" s="240">
        <f>+FLEURY!M202</f>
        <v>0</v>
      </c>
      <c r="K712" s="240">
        <f>+FLEURY!N202</f>
        <v>0</v>
      </c>
      <c r="L712" s="240">
        <f>+FLEURY!O202</f>
        <v>0</v>
      </c>
      <c r="M712" s="240">
        <f>+FLEURY!P202</f>
        <v>0</v>
      </c>
      <c r="N712" s="240">
        <f>+FLEURY!Q202</f>
        <v>0</v>
      </c>
      <c r="O712" s="240">
        <f>+FLEURY!R202</f>
        <v>0</v>
      </c>
      <c r="P712" s="240">
        <f>+FLEURY!S202</f>
        <v>0</v>
      </c>
      <c r="Q712" s="240">
        <f>+FLEURY!T202</f>
        <v>0</v>
      </c>
      <c r="R712" s="240">
        <f>+FLEURY!U202</f>
        <v>0</v>
      </c>
      <c r="S712" s="245">
        <f t="shared" si="58"/>
        <v>0</v>
      </c>
      <c r="T712" s="186"/>
    </row>
    <row r="713" spans="1:24" x14ac:dyDescent="0.2">
      <c r="A713" s="159">
        <v>615220</v>
      </c>
      <c r="B713" s="160" t="s">
        <v>123</v>
      </c>
      <c r="C713" s="148" t="s">
        <v>76</v>
      </c>
      <c r="D713" s="148" t="s">
        <v>179</v>
      </c>
      <c r="E713" s="240">
        <f>SUM(FLEURY!H204:H208)</f>
        <v>0</v>
      </c>
      <c r="F713" s="240">
        <f>SUM(FLEURY!I204:I208)</f>
        <v>519.03</v>
      </c>
      <c r="G713" s="240">
        <f>SUM(FLEURY!J204:J208)</f>
        <v>519.03</v>
      </c>
      <c r="H713" s="240">
        <f>SUM(FLEURY!K204:K208)</f>
        <v>519.03</v>
      </c>
      <c r="I713" s="240">
        <f>SUM(FLEURY!L204:L208)</f>
        <v>519.03</v>
      </c>
      <c r="J713" s="240">
        <f>SUM(FLEURY!M204:M208)</f>
        <v>518.94000000000005</v>
      </c>
      <c r="K713" s="240">
        <f>SUM(FLEURY!N204:N208)</f>
        <v>519.75</v>
      </c>
      <c r="L713" s="240">
        <f>SUM(FLEURY!O204:O208)</f>
        <v>519.75</v>
      </c>
      <c r="M713" s="240">
        <f>SUM(FLEURY!P204:P208)</f>
        <v>519.75</v>
      </c>
      <c r="N713" s="240">
        <f>SUM(FLEURY!Q204:Q208)</f>
        <v>519.75</v>
      </c>
      <c r="O713" s="240">
        <f>SUM(FLEURY!R204:R208)</f>
        <v>519.75</v>
      </c>
      <c r="P713" s="240">
        <f>SUM(FLEURY!S204:S208)</f>
        <v>519.75</v>
      </c>
      <c r="Q713" s="240">
        <f>SUM(FLEURY!T204:T208)</f>
        <v>519.75</v>
      </c>
      <c r="R713" s="240">
        <f>SUM(FLEURY!U204:U208)</f>
        <v>0</v>
      </c>
      <c r="S713" s="245">
        <f t="shared" si="58"/>
        <v>6233.3099999999995</v>
      </c>
      <c r="T713" s="186"/>
    </row>
    <row r="714" spans="1:24" x14ac:dyDescent="0.2">
      <c r="A714" s="270"/>
      <c r="B714" s="235"/>
      <c r="C714" s="148"/>
      <c r="D714" s="148"/>
      <c r="E714" s="240"/>
      <c r="F714" s="240"/>
      <c r="G714" s="240"/>
      <c r="H714" s="240"/>
      <c r="I714" s="240"/>
      <c r="J714" s="240"/>
      <c r="K714" s="240"/>
      <c r="L714" s="240"/>
      <c r="M714" s="240"/>
      <c r="N714" s="240"/>
      <c r="O714" s="240"/>
      <c r="P714" s="240"/>
      <c r="Q714" s="240"/>
      <c r="R714" s="240"/>
      <c r="S714" s="245">
        <f t="shared" si="58"/>
        <v>0</v>
      </c>
    </row>
    <row r="715" spans="1:24" x14ac:dyDescent="0.2">
      <c r="A715" s="159">
        <v>615220</v>
      </c>
      <c r="B715" s="160" t="s">
        <v>123</v>
      </c>
      <c r="C715" s="148" t="s">
        <v>70</v>
      </c>
      <c r="D715" s="148" t="s">
        <v>179</v>
      </c>
      <c r="E715" s="240">
        <f>+AIX!H171</f>
        <v>0</v>
      </c>
      <c r="F715" s="240">
        <f>+AIX!I171</f>
        <v>476</v>
      </c>
      <c r="G715" s="240">
        <f>+AIX!J171</f>
        <v>476</v>
      </c>
      <c r="H715" s="240">
        <f>+AIX!K171</f>
        <v>476</v>
      </c>
      <c r="I715" s="240">
        <f>+AIX!L171</f>
        <v>476</v>
      </c>
      <c r="J715" s="240">
        <f>+AIX!M171</f>
        <v>476</v>
      </c>
      <c r="K715" s="240">
        <f>+AIX!N171</f>
        <v>476</v>
      </c>
      <c r="L715" s="240">
        <f>+AIX!O171</f>
        <v>476</v>
      </c>
      <c r="M715" s="240">
        <f>+AIX!P171</f>
        <v>476</v>
      </c>
      <c r="N715" s="240">
        <f>+AIX!Q171</f>
        <v>476</v>
      </c>
      <c r="O715" s="240">
        <f>+AIX!R171</f>
        <v>476</v>
      </c>
      <c r="P715" s="240">
        <f>+AIX!S171</f>
        <v>476</v>
      </c>
      <c r="Q715" s="240">
        <f>+AIX!T171</f>
        <v>476</v>
      </c>
      <c r="R715" s="240">
        <f>+AIX!U171</f>
        <v>0</v>
      </c>
      <c r="S715" s="245">
        <f t="shared" si="58"/>
        <v>5712</v>
      </c>
      <c r="T715" s="186"/>
    </row>
    <row r="716" spans="1:24" x14ac:dyDescent="0.2">
      <c r="A716" s="159">
        <v>615220</v>
      </c>
      <c r="B716" s="160" t="s">
        <v>123</v>
      </c>
      <c r="C716" s="148" t="s">
        <v>108</v>
      </c>
      <c r="D716" s="148" t="s">
        <v>192</v>
      </c>
      <c r="E716" s="240">
        <f>AIX!H179</f>
        <v>0</v>
      </c>
      <c r="F716" s="240">
        <f>AIX!I179</f>
        <v>0</v>
      </c>
      <c r="G716" s="240">
        <f>AIX!J179</f>
        <v>0</v>
      </c>
      <c r="H716" s="240">
        <f>AIX!K179</f>
        <v>0</v>
      </c>
      <c r="I716" s="240">
        <f>AIX!L179</f>
        <v>0</v>
      </c>
      <c r="J716" s="240">
        <f>AIX!M179</f>
        <v>0</v>
      </c>
      <c r="K716" s="240">
        <f>AIX!N179</f>
        <v>0</v>
      </c>
      <c r="L716" s="240">
        <f>AIX!O179</f>
        <v>0</v>
      </c>
      <c r="M716" s="240">
        <f>AIX!P179</f>
        <v>0</v>
      </c>
      <c r="N716" s="240">
        <f>AIX!Q179</f>
        <v>0</v>
      </c>
      <c r="O716" s="240">
        <f>AIX!R179</f>
        <v>0</v>
      </c>
      <c r="P716" s="240">
        <f>AIX!S179</f>
        <v>0</v>
      </c>
      <c r="Q716" s="240">
        <f>AIX!T179</f>
        <v>0</v>
      </c>
      <c r="R716" s="240">
        <f>AIX!U179</f>
        <v>0</v>
      </c>
      <c r="S716" s="245">
        <f t="shared" si="58"/>
        <v>0</v>
      </c>
      <c r="T716" s="273"/>
    </row>
    <row r="717" spans="1:24" x14ac:dyDescent="0.2">
      <c r="A717" s="159">
        <v>615220</v>
      </c>
      <c r="B717" s="160" t="s">
        <v>123</v>
      </c>
      <c r="C717" s="148" t="s">
        <v>108</v>
      </c>
      <c r="D717" s="148" t="s">
        <v>179</v>
      </c>
      <c r="E717" s="240">
        <f>SUM(AIX!H173:H177)</f>
        <v>-43.08</v>
      </c>
      <c r="F717" s="240">
        <f>SUM(AIX!I173:I177)</f>
        <v>295.45</v>
      </c>
      <c r="G717" s="240">
        <f>SUM(AIX!J173:J177)</f>
        <v>295.45</v>
      </c>
      <c r="H717" s="240">
        <f>SUM(AIX!K173:K177)</f>
        <v>295.45</v>
      </c>
      <c r="I717" s="240">
        <f>SUM(AIX!L173:L177)</f>
        <v>295.45</v>
      </c>
      <c r="J717" s="240">
        <f>SUM(AIX!M173:M177)</f>
        <v>295.45</v>
      </c>
      <c r="K717" s="240">
        <f>SUM(AIX!N173:N177)</f>
        <v>295.45</v>
      </c>
      <c r="L717" s="240">
        <f>SUM(AIX!O173:O177)</f>
        <v>295.45</v>
      </c>
      <c r="M717" s="240">
        <f>SUM(AIX!P173:P177)</f>
        <v>295.45</v>
      </c>
      <c r="N717" s="240">
        <f>SUM(AIX!Q173:Q177)</f>
        <v>295.45</v>
      </c>
      <c r="O717" s="240">
        <f>SUM(AIX!R173:R177)</f>
        <v>295.45</v>
      </c>
      <c r="P717" s="240">
        <f>SUM(AIX!S173:S177)</f>
        <v>295.45</v>
      </c>
      <c r="Q717" s="240">
        <f>SUM(AIX!T173:T177)</f>
        <v>295.42</v>
      </c>
      <c r="R717" s="240">
        <f>SUM(AIX!U173:U177)</f>
        <v>0</v>
      </c>
      <c r="S717" s="245">
        <f t="shared" si="58"/>
        <v>3502.2899999999995</v>
      </c>
      <c r="T717" s="273"/>
    </row>
    <row r="718" spans="1:24" x14ac:dyDescent="0.2">
      <c r="A718" s="159">
        <v>615220</v>
      </c>
      <c r="B718" s="160" t="s">
        <v>123</v>
      </c>
      <c r="C718" s="148" t="s">
        <v>72</v>
      </c>
      <c r="D718" s="148" t="s">
        <v>179</v>
      </c>
      <c r="E718" s="240">
        <f>SUM(AIX!H181:H182)</f>
        <v>0</v>
      </c>
      <c r="F718" s="240">
        <f>SUM(AIX!I181:I182)</f>
        <v>64.430000000000007</v>
      </c>
      <c r="G718" s="240">
        <f>SUM(AIX!J181:J182)</f>
        <v>64.430000000000007</v>
      </c>
      <c r="H718" s="240">
        <f>SUM(AIX!K181:K182)</f>
        <v>64.430000000000007</v>
      </c>
      <c r="I718" s="240">
        <f>SUM(AIX!L181:L182)</f>
        <v>64.430000000000007</v>
      </c>
      <c r="J718" s="240">
        <f>SUM(AIX!M181:M182)</f>
        <v>64.430000000000007</v>
      </c>
      <c r="K718" s="240">
        <f>SUM(AIX!N181:N182)</f>
        <v>64.430000000000007</v>
      </c>
      <c r="L718" s="240">
        <f>SUM(AIX!O181:O182)</f>
        <v>64.430000000000007</v>
      </c>
      <c r="M718" s="240">
        <f>SUM(AIX!P181:P182)</f>
        <v>64.430000000000007</v>
      </c>
      <c r="N718" s="240">
        <f>SUM(AIX!Q181:Q182)</f>
        <v>64.430000000000007</v>
      </c>
      <c r="O718" s="240">
        <f>SUM(AIX!R181:R182)</f>
        <v>64.430000000000007</v>
      </c>
      <c r="P718" s="240">
        <f>SUM(AIX!S181:S182)</f>
        <v>64.430000000000007</v>
      </c>
      <c r="Q718" s="240">
        <f>SUM(AIX!T181:T182)</f>
        <v>64.33</v>
      </c>
      <c r="R718" s="240">
        <f>SUM(AIX!U181:U182)</f>
        <v>0</v>
      </c>
      <c r="S718" s="245">
        <f t="shared" si="58"/>
        <v>773.06000000000029</v>
      </c>
      <c r="T718" s="273"/>
    </row>
    <row r="719" spans="1:24" x14ac:dyDescent="0.2">
      <c r="A719" s="270"/>
      <c r="B719" s="235"/>
      <c r="C719" s="148"/>
      <c r="D719" s="148"/>
      <c r="E719" s="240"/>
      <c r="F719" s="240"/>
      <c r="G719" s="240"/>
      <c r="H719" s="240"/>
      <c r="I719" s="240"/>
      <c r="J719" s="240"/>
      <c r="K719" s="240"/>
      <c r="L719" s="240"/>
      <c r="M719" s="240"/>
      <c r="N719" s="240"/>
      <c r="O719" s="240"/>
      <c r="P719" s="240"/>
      <c r="Q719" s="240"/>
      <c r="R719" s="240"/>
      <c r="S719" s="245">
        <f t="shared" si="58"/>
        <v>0</v>
      </c>
    </row>
    <row r="720" spans="1:24" x14ac:dyDescent="0.2">
      <c r="A720" s="159">
        <v>615220</v>
      </c>
      <c r="B720" s="160" t="s">
        <v>123</v>
      </c>
      <c r="C720" s="148" t="s">
        <v>75</v>
      </c>
      <c r="D720" s="148" t="s">
        <v>179</v>
      </c>
      <c r="E720" s="240">
        <f>SUM(LYON!H155:H155)</f>
        <v>0</v>
      </c>
      <c r="F720" s="240">
        <f>SUM(LYON!I155:I155)</f>
        <v>423.11</v>
      </c>
      <c r="G720" s="240">
        <f>SUM(LYON!J155:J155)</f>
        <v>423.11</v>
      </c>
      <c r="H720" s="240">
        <f>SUM(LYON!K155:K155)</f>
        <v>423.11</v>
      </c>
      <c r="I720" s="240">
        <f>SUM(LYON!L155:L155)</f>
        <v>423.11</v>
      </c>
      <c r="J720" s="240">
        <f>SUM(LYON!M155:M155)</f>
        <v>423.11</v>
      </c>
      <c r="K720" s="240">
        <f>SUM(LYON!N155:N155)</f>
        <v>423.11</v>
      </c>
      <c r="L720" s="240">
        <f>SUM(LYON!O155:O155)</f>
        <v>423.11</v>
      </c>
      <c r="M720" s="240">
        <f>SUM(LYON!P155:P155)</f>
        <v>423.11</v>
      </c>
      <c r="N720" s="240">
        <f>SUM(LYON!Q155:Q155)</f>
        <v>423.11</v>
      </c>
      <c r="O720" s="240">
        <f>SUM(LYON!R155:R155)</f>
        <v>423.11</v>
      </c>
      <c r="P720" s="240">
        <f>SUM(LYON!S155:S155)</f>
        <v>423.11</v>
      </c>
      <c r="Q720" s="240">
        <f>SUM(LYON!T155:T155)</f>
        <v>423.11</v>
      </c>
      <c r="R720" s="240">
        <f>SUM(LYON!U155:U155)</f>
        <v>0</v>
      </c>
      <c r="S720" s="245">
        <f t="shared" si="58"/>
        <v>5077.32</v>
      </c>
    </row>
    <row r="721" spans="1:20" x14ac:dyDescent="0.2">
      <c r="A721" s="159">
        <v>615220</v>
      </c>
      <c r="B721" s="160" t="s">
        <v>123</v>
      </c>
      <c r="C721" s="148" t="s">
        <v>75</v>
      </c>
      <c r="D721" s="148" t="s">
        <v>192</v>
      </c>
      <c r="E721" s="240">
        <f>+LYON!H156+LYON!H157</f>
        <v>0</v>
      </c>
      <c r="F721" s="240">
        <f>+LYON!I156+LYON!I157</f>
        <v>0</v>
      </c>
      <c r="G721" s="240">
        <f>+LYON!J156+LYON!J157</f>
        <v>0</v>
      </c>
      <c r="H721" s="240">
        <f>+LYON!K156+LYON!K157</f>
        <v>0</v>
      </c>
      <c r="I721" s="240">
        <f>+LYON!L156+LYON!L157</f>
        <v>0</v>
      </c>
      <c r="J721" s="240">
        <f>+LYON!M156+LYON!M157</f>
        <v>0</v>
      </c>
      <c r="K721" s="240">
        <f>+LYON!N156+LYON!N157</f>
        <v>0</v>
      </c>
      <c r="L721" s="240">
        <f>+LYON!O156+LYON!O157</f>
        <v>0</v>
      </c>
      <c r="M721" s="240">
        <f>+LYON!P156+LYON!P157</f>
        <v>0</v>
      </c>
      <c r="N721" s="240">
        <f>+LYON!Q156+LYON!Q157</f>
        <v>0</v>
      </c>
      <c r="O721" s="240">
        <f>+LYON!R156+LYON!R157</f>
        <v>0</v>
      </c>
      <c r="P721" s="240">
        <f>+LYON!S156+LYON!S157</f>
        <v>0</v>
      </c>
      <c r="Q721" s="240">
        <f>+LYON!T156+LYON!T157</f>
        <v>0</v>
      </c>
      <c r="R721" s="240">
        <f>+LYON!U156+LYON!U157</f>
        <v>0</v>
      </c>
      <c r="S721" s="245">
        <f t="shared" si="58"/>
        <v>0</v>
      </c>
      <c r="T721" s="273"/>
    </row>
    <row r="722" spans="1:20" x14ac:dyDescent="0.2">
      <c r="A722" s="159">
        <v>615220</v>
      </c>
      <c r="B722" s="160" t="s">
        <v>123</v>
      </c>
      <c r="C722" s="148" t="s">
        <v>163</v>
      </c>
      <c r="D722" s="148" t="s">
        <v>179</v>
      </c>
      <c r="E722" s="240">
        <f>SUM(LYON!H159:H162)</f>
        <v>-84</v>
      </c>
      <c r="F722" s="240">
        <f>SUM(LYON!I159:I162)</f>
        <v>243.36</v>
      </c>
      <c r="G722" s="240">
        <f>SUM(LYON!J159:J162)</f>
        <v>243.36</v>
      </c>
      <c r="H722" s="240">
        <f>SUM(LYON!K159:K162)</f>
        <v>243.36</v>
      </c>
      <c r="I722" s="240">
        <f>SUM(LYON!L159:L162)</f>
        <v>243.36</v>
      </c>
      <c r="J722" s="240">
        <f>SUM(LYON!M159:M162)</f>
        <v>243.36</v>
      </c>
      <c r="K722" s="240">
        <f>SUM(LYON!N159:N162)</f>
        <v>243.36</v>
      </c>
      <c r="L722" s="240">
        <f>SUM(LYON!O159:O162)</f>
        <v>194.36</v>
      </c>
      <c r="M722" s="240">
        <f>SUM(LYON!P159:P162)</f>
        <v>236.36</v>
      </c>
      <c r="N722" s="240">
        <f>SUM(LYON!Q159:Q162)</f>
        <v>236.36</v>
      </c>
      <c r="O722" s="240">
        <f>SUM(LYON!R159:R162)</f>
        <v>236.36</v>
      </c>
      <c r="P722" s="240">
        <f>SUM(LYON!S159:S162)</f>
        <v>236.36</v>
      </c>
      <c r="Q722" s="240">
        <f>SUM(LYON!T159:T162)</f>
        <v>236.22000000000003</v>
      </c>
      <c r="R722" s="240">
        <f>SUM(LYON!U159:U162)</f>
        <v>0</v>
      </c>
      <c r="S722" s="245">
        <f t="shared" si="58"/>
        <v>2752.1800000000012</v>
      </c>
      <c r="T722" s="273"/>
    </row>
    <row r="723" spans="1:20" x14ac:dyDescent="0.2">
      <c r="A723" s="159">
        <v>615220</v>
      </c>
      <c r="B723" s="160" t="s">
        <v>123</v>
      </c>
      <c r="C723" s="148" t="s">
        <v>163</v>
      </c>
      <c r="D723" s="148">
        <v>999999</v>
      </c>
      <c r="E723" s="240">
        <f>LYON!H163</f>
        <v>0</v>
      </c>
      <c r="F723" s="240">
        <f>LYON!I163</f>
        <v>0</v>
      </c>
      <c r="G723" s="240">
        <f>LYON!J163</f>
        <v>0</v>
      </c>
      <c r="H723" s="240">
        <f>LYON!K163</f>
        <v>0</v>
      </c>
      <c r="I723" s="240">
        <f>LYON!L163</f>
        <v>0</v>
      </c>
      <c r="J723" s="240">
        <f>LYON!M163</f>
        <v>0</v>
      </c>
      <c r="K723" s="240">
        <f>LYON!N163</f>
        <v>0</v>
      </c>
      <c r="L723" s="240">
        <f>LYON!O163</f>
        <v>0</v>
      </c>
      <c r="M723" s="240">
        <f>LYON!P163</f>
        <v>0</v>
      </c>
      <c r="N723" s="240">
        <f>LYON!Q163</f>
        <v>0</v>
      </c>
      <c r="O723" s="240">
        <f>LYON!R163</f>
        <v>0</v>
      </c>
      <c r="P723" s="240">
        <f>LYON!S163</f>
        <v>0</v>
      </c>
      <c r="Q723" s="240">
        <f>LYON!T163</f>
        <v>0</v>
      </c>
      <c r="R723" s="240">
        <f>LYON!U163</f>
        <v>0</v>
      </c>
      <c r="S723" s="245">
        <f t="shared" si="58"/>
        <v>0</v>
      </c>
      <c r="T723" s="273"/>
    </row>
    <row r="724" spans="1:20" x14ac:dyDescent="0.2">
      <c r="A724" s="159">
        <v>615220</v>
      </c>
      <c r="B724" s="160" t="s">
        <v>123</v>
      </c>
      <c r="C724" s="148" t="s">
        <v>74</v>
      </c>
      <c r="D724" s="148" t="s">
        <v>179</v>
      </c>
      <c r="E724" s="240">
        <f>SUM(LYON!H165:H167)</f>
        <v>0</v>
      </c>
      <c r="F724" s="240">
        <f>SUM(LYON!I165:I167)</f>
        <v>128.36000000000001</v>
      </c>
      <c r="G724" s="240">
        <f>SUM(LYON!J165:J167)</f>
        <v>128.36000000000001</v>
      </c>
      <c r="H724" s="240">
        <f>SUM(LYON!K165:K167)</f>
        <v>128.36000000000001</v>
      </c>
      <c r="I724" s="240">
        <f>SUM(LYON!L165:L167)</f>
        <v>128.36000000000001</v>
      </c>
      <c r="J724" s="240">
        <f>SUM(LYON!M165:M167)</f>
        <v>128.36000000000001</v>
      </c>
      <c r="K724" s="240">
        <f>SUM(LYON!N165:N167)</f>
        <v>128.36000000000001</v>
      </c>
      <c r="L724" s="240">
        <f>SUM(LYON!O165:O167)</f>
        <v>128.36000000000001</v>
      </c>
      <c r="M724" s="240">
        <f>SUM(LYON!P165:P167)</f>
        <v>128.36000000000001</v>
      </c>
      <c r="N724" s="240">
        <f>SUM(LYON!Q165:Q167)</f>
        <v>128.36000000000001</v>
      </c>
      <c r="O724" s="240">
        <f>SUM(LYON!R165:R167)</f>
        <v>128.36000000000001</v>
      </c>
      <c r="P724" s="240">
        <f>SUM(LYON!S165:S167)</f>
        <v>128.32</v>
      </c>
      <c r="Q724" s="240">
        <f>SUM(LYON!T165:T167)</f>
        <v>84.27000000000001</v>
      </c>
      <c r="R724" s="240">
        <f>SUM(LYON!U165:U167)</f>
        <v>0</v>
      </c>
      <c r="S724" s="245">
        <f t="shared" si="58"/>
        <v>1496.1900000000003</v>
      </c>
      <c r="T724" s="273"/>
    </row>
    <row r="725" spans="1:20" x14ac:dyDescent="0.2">
      <c r="A725" s="270"/>
      <c r="B725" s="235"/>
      <c r="C725" s="148"/>
      <c r="D725" s="148"/>
      <c r="E725" s="240"/>
      <c r="F725" s="240"/>
      <c r="G725" s="240"/>
      <c r="H725" s="240"/>
      <c r="I725" s="240"/>
      <c r="J725" s="240"/>
      <c r="K725" s="240"/>
      <c r="L725" s="240"/>
      <c r="M725" s="240"/>
      <c r="N725" s="240"/>
      <c r="O725" s="240"/>
      <c r="P725" s="240"/>
      <c r="Q725" s="240"/>
      <c r="R725" s="240"/>
      <c r="S725" s="245">
        <f t="shared" si="58"/>
        <v>0</v>
      </c>
    </row>
    <row r="726" spans="1:20" x14ac:dyDescent="0.2">
      <c r="A726" s="159">
        <v>615220</v>
      </c>
      <c r="B726" s="160" t="s">
        <v>123</v>
      </c>
      <c r="C726" s="148" t="s">
        <v>234</v>
      </c>
      <c r="D726" s="148" t="s">
        <v>179</v>
      </c>
      <c r="E726" s="240">
        <f>SUM(BORDEAUX!H170:H170)</f>
        <v>0</v>
      </c>
      <c r="F726" s="240">
        <f>SUM(BORDEAUX!I170:I170)</f>
        <v>218.17</v>
      </c>
      <c r="G726" s="240">
        <f>SUM(BORDEAUX!J170:J170)</f>
        <v>218.17</v>
      </c>
      <c r="H726" s="240">
        <f>SUM(BORDEAUX!K170:K170)</f>
        <v>218.17</v>
      </c>
      <c r="I726" s="240">
        <f>SUM(BORDEAUX!L170:L170)</f>
        <v>218.17</v>
      </c>
      <c r="J726" s="240">
        <f>SUM(BORDEAUX!M170:M170)</f>
        <v>218.17</v>
      </c>
      <c r="K726" s="240">
        <f>SUM(BORDEAUX!N170:N170)</f>
        <v>218.17</v>
      </c>
      <c r="L726" s="240">
        <f>SUM(BORDEAUX!O170:O170)</f>
        <v>218.17</v>
      </c>
      <c r="M726" s="240">
        <f>SUM(BORDEAUX!P170:P170)</f>
        <v>218.17</v>
      </c>
      <c r="N726" s="240">
        <f>SUM(BORDEAUX!Q170:Q170)</f>
        <v>218.17</v>
      </c>
      <c r="O726" s="240">
        <f>SUM(BORDEAUX!R170:R170)</f>
        <v>218.17</v>
      </c>
      <c r="P726" s="240">
        <f>SUM(BORDEAUX!S170:S170)</f>
        <v>218.17</v>
      </c>
      <c r="Q726" s="240">
        <f>SUM(BORDEAUX!T170:T170)</f>
        <v>218.17</v>
      </c>
      <c r="R726" s="240">
        <f>SUM(BORDEAUX!U170:U170)</f>
        <v>0</v>
      </c>
      <c r="S726" s="245">
        <f t="shared" si="58"/>
        <v>2618.0400000000004</v>
      </c>
    </row>
    <row r="727" spans="1:20" x14ac:dyDescent="0.2">
      <c r="A727" s="159">
        <v>615220</v>
      </c>
      <c r="B727" s="160" t="s">
        <v>123</v>
      </c>
      <c r="C727" s="148" t="s">
        <v>130</v>
      </c>
      <c r="D727" s="148" t="s">
        <v>179</v>
      </c>
      <c r="E727" s="240">
        <f>SUM(BORDEAUX!H171:H175)</f>
        <v>-37.799999999999997</v>
      </c>
      <c r="F727" s="240">
        <f>SUM(BORDEAUX!I171:I175)</f>
        <v>323.64</v>
      </c>
      <c r="G727" s="240">
        <f>SUM(BORDEAUX!J171:J175)</f>
        <v>323.64</v>
      </c>
      <c r="H727" s="240">
        <f>SUM(BORDEAUX!K171:K175)</f>
        <v>323.64</v>
      </c>
      <c r="I727" s="240">
        <f>SUM(BORDEAUX!L171:L175)</f>
        <v>323.64</v>
      </c>
      <c r="J727" s="240">
        <f>SUM(BORDEAUX!M171:M175)</f>
        <v>323.64</v>
      </c>
      <c r="K727" s="240">
        <f>SUM(BORDEAUX!N171:N175)</f>
        <v>323.64</v>
      </c>
      <c r="L727" s="240">
        <f>SUM(BORDEAUX!O171:O175)</f>
        <v>323.64</v>
      </c>
      <c r="M727" s="240">
        <f>SUM(BORDEAUX!P171:P175)</f>
        <v>323.64</v>
      </c>
      <c r="N727" s="240">
        <f>SUM(BORDEAUX!Q171:Q175)</f>
        <v>323.64</v>
      </c>
      <c r="O727" s="240">
        <f>SUM(BORDEAUX!R171:R175)</f>
        <v>323.64</v>
      </c>
      <c r="P727" s="240">
        <f>SUM(BORDEAUX!S171:S175)</f>
        <v>323.64</v>
      </c>
      <c r="Q727" s="240">
        <f>SUM(BORDEAUX!T171:T175)</f>
        <v>323.59000000000003</v>
      </c>
      <c r="R727" s="240">
        <f>SUM(BORDEAUX!U171:U175)</f>
        <v>0</v>
      </c>
      <c r="S727" s="245">
        <f>SUM(E727:Q727)</f>
        <v>3845.8299999999995</v>
      </c>
      <c r="T727" s="273"/>
    </row>
    <row r="728" spans="1:20" x14ac:dyDescent="0.2">
      <c r="A728" s="159">
        <v>615220</v>
      </c>
      <c r="B728" s="160" t="s">
        <v>123</v>
      </c>
      <c r="C728" s="148" t="s">
        <v>130</v>
      </c>
      <c r="D728" s="148" t="s">
        <v>192</v>
      </c>
      <c r="E728" s="240">
        <f>SUM(BORDEAUX!H176:H176)</f>
        <v>0</v>
      </c>
      <c r="F728" s="240">
        <f>SUM(BORDEAUX!I176:I176)</f>
        <v>0</v>
      </c>
      <c r="G728" s="240">
        <f>SUM(BORDEAUX!J176:J176)</f>
        <v>0</v>
      </c>
      <c r="H728" s="240">
        <f>SUM(BORDEAUX!K176:K176)</f>
        <v>0</v>
      </c>
      <c r="I728" s="240">
        <f>SUM(BORDEAUX!L176:L176)</f>
        <v>0</v>
      </c>
      <c r="J728" s="240">
        <f>SUM(BORDEAUX!M176:M176)</f>
        <v>0</v>
      </c>
      <c r="K728" s="240">
        <f>SUM(BORDEAUX!N176:N176)</f>
        <v>1998</v>
      </c>
      <c r="L728" s="240">
        <f>SUM(BORDEAUX!O176:O176)</f>
        <v>0</v>
      </c>
      <c r="M728" s="240">
        <f>SUM(BORDEAUX!P176:P176)</f>
        <v>0</v>
      </c>
      <c r="N728" s="240">
        <f>SUM(BORDEAUX!Q176:Q176)</f>
        <v>0</v>
      </c>
      <c r="O728" s="240">
        <f>SUM(BORDEAUX!R176:R176)</f>
        <v>0</v>
      </c>
      <c r="P728" s="240">
        <f>SUM(BORDEAUX!S176:S176)</f>
        <v>0</v>
      </c>
      <c r="Q728" s="240">
        <f>SUM(BORDEAUX!T176:T176)</f>
        <v>0</v>
      </c>
      <c r="R728" s="240">
        <f>SUM(BORDEAUX!U176:U176)</f>
        <v>0</v>
      </c>
      <c r="S728" s="245">
        <f t="shared" si="58"/>
        <v>1998</v>
      </c>
      <c r="T728" s="273"/>
    </row>
    <row r="729" spans="1:20" x14ac:dyDescent="0.2">
      <c r="A729" s="159">
        <v>615220</v>
      </c>
      <c r="B729" s="160" t="s">
        <v>123</v>
      </c>
      <c r="C729" s="148" t="s">
        <v>68</v>
      </c>
      <c r="D729" s="148" t="s">
        <v>179</v>
      </c>
      <c r="E729" s="240">
        <f>SUM(BORDEAUX!H177:H177)</f>
        <v>0</v>
      </c>
      <c r="F729" s="240">
        <f>SUM(BORDEAUX!I177:I177)</f>
        <v>43.89</v>
      </c>
      <c r="G729" s="240">
        <f>SUM(BORDEAUX!J177:J177)</f>
        <v>43.89</v>
      </c>
      <c r="H729" s="240">
        <f>SUM(BORDEAUX!K177:K177)</f>
        <v>43.89</v>
      </c>
      <c r="I729" s="240">
        <f>SUM(BORDEAUX!L177:L177)</f>
        <v>43.89</v>
      </c>
      <c r="J729" s="240">
        <f>SUM(BORDEAUX!M177:M177)</f>
        <v>43.89</v>
      </c>
      <c r="K729" s="240">
        <f>SUM(BORDEAUX!N177:N177)</f>
        <v>43.89</v>
      </c>
      <c r="L729" s="240">
        <f>SUM(BORDEAUX!O177:O177)</f>
        <v>43.89</v>
      </c>
      <c r="M729" s="240">
        <f>SUM(BORDEAUX!P177:P177)</f>
        <v>43.89</v>
      </c>
      <c r="N729" s="240">
        <f>SUM(BORDEAUX!Q177:Q177)</f>
        <v>43.89</v>
      </c>
      <c r="O729" s="240">
        <f>SUM(BORDEAUX!R177:R177)</f>
        <v>43.89</v>
      </c>
      <c r="P729" s="240">
        <f>SUM(BORDEAUX!S177:S177)</f>
        <v>43.85</v>
      </c>
      <c r="Q729" s="240">
        <f>SUM(BORDEAUX!T177:T177)</f>
        <v>0</v>
      </c>
      <c r="R729" s="240">
        <f>SUM(BORDEAUX!U177:U177)</f>
        <v>0</v>
      </c>
      <c r="S729" s="245">
        <f t="shared" si="58"/>
        <v>482.74999999999994</v>
      </c>
      <c r="T729" s="273"/>
    </row>
    <row r="730" spans="1:20" x14ac:dyDescent="0.2">
      <c r="A730" s="270"/>
      <c r="B730" s="235"/>
      <c r="C730" s="148"/>
      <c r="D730" s="148"/>
      <c r="E730" s="240"/>
      <c r="F730" s="240"/>
      <c r="G730" s="240"/>
      <c r="H730" s="240"/>
      <c r="I730" s="240"/>
      <c r="J730" s="240"/>
      <c r="K730" s="240"/>
      <c r="L730" s="240"/>
      <c r="M730" s="240"/>
      <c r="N730" s="240"/>
      <c r="O730" s="240"/>
      <c r="P730" s="240"/>
      <c r="Q730" s="240"/>
      <c r="R730" s="240"/>
      <c r="S730" s="245">
        <f t="shared" si="58"/>
        <v>0</v>
      </c>
    </row>
    <row r="731" spans="1:20" x14ac:dyDescent="0.2">
      <c r="A731" s="159">
        <v>615220</v>
      </c>
      <c r="B731" s="160" t="s">
        <v>123</v>
      </c>
      <c r="C731" s="148" t="s">
        <v>194</v>
      </c>
      <c r="D731" s="148" t="s">
        <v>179</v>
      </c>
      <c r="E731" s="240">
        <f>+NANCY!H107</f>
        <v>0</v>
      </c>
      <c r="F731" s="240">
        <f>+NANCY!I107</f>
        <v>158.66999999999999</v>
      </c>
      <c r="G731" s="240">
        <f>+NANCY!J107</f>
        <v>158.66999999999999</v>
      </c>
      <c r="H731" s="240">
        <f>+NANCY!K107</f>
        <v>158.66999999999999</v>
      </c>
      <c r="I731" s="240">
        <f>+NANCY!L107</f>
        <v>158.66999999999999</v>
      </c>
      <c r="J731" s="240">
        <f>+NANCY!M107</f>
        <v>158.66999999999999</v>
      </c>
      <c r="K731" s="240">
        <f>+NANCY!N107</f>
        <v>158.66999999999999</v>
      </c>
      <c r="L731" s="240">
        <f>+NANCY!O107</f>
        <v>158.66999999999999</v>
      </c>
      <c r="M731" s="240">
        <f>+NANCY!P107</f>
        <v>158.66999999999999</v>
      </c>
      <c r="N731" s="240">
        <f>+NANCY!Q107</f>
        <v>158.66999999999999</v>
      </c>
      <c r="O731" s="240">
        <f>+NANCY!R107</f>
        <v>158.66999999999999</v>
      </c>
      <c r="P731" s="240">
        <f>+NANCY!S107</f>
        <v>158.66999999999999</v>
      </c>
      <c r="Q731" s="240">
        <f>+NANCY!T107</f>
        <v>158.66999999999999</v>
      </c>
      <c r="R731" s="240">
        <f>+NANCY!U107</f>
        <v>0</v>
      </c>
      <c r="S731" s="245">
        <f t="shared" si="58"/>
        <v>1904.0400000000002</v>
      </c>
    </row>
    <row r="732" spans="1:20" x14ac:dyDescent="0.2">
      <c r="A732" s="159">
        <v>615220</v>
      </c>
      <c r="B732" s="160" t="s">
        <v>123</v>
      </c>
      <c r="C732" s="148" t="s">
        <v>153</v>
      </c>
      <c r="D732" s="148" t="s">
        <v>179</v>
      </c>
      <c r="E732" s="240">
        <f>SUM(NANCY!H109:H113)</f>
        <v>-70.08</v>
      </c>
      <c r="F732" s="240">
        <f>SUM(NANCY!I109:I113)</f>
        <v>157.12</v>
      </c>
      <c r="G732" s="240">
        <f>SUM(NANCY!J109:J113)</f>
        <v>157.12</v>
      </c>
      <c r="H732" s="240">
        <f>SUM(NANCY!K109:K113)</f>
        <v>157.12</v>
      </c>
      <c r="I732" s="240">
        <f>SUM(NANCY!L109:L113)</f>
        <v>157.124</v>
      </c>
      <c r="J732" s="240">
        <f>SUM(NANCY!M109:M113)</f>
        <v>157.12</v>
      </c>
      <c r="K732" s="240">
        <f>SUM(NANCY!N109:N113)</f>
        <v>157.12</v>
      </c>
      <c r="L732" s="240">
        <f>SUM(NANCY!O109:O113)</f>
        <v>157.12</v>
      </c>
      <c r="M732" s="240">
        <f>SUM(NANCY!P109:P113)</f>
        <v>157.12</v>
      </c>
      <c r="N732" s="240">
        <f>SUM(NANCY!Q109:Q113)</f>
        <v>157.12</v>
      </c>
      <c r="O732" s="240">
        <f>SUM(NANCY!R109:R113)</f>
        <v>157.12</v>
      </c>
      <c r="P732" s="240">
        <f>SUM(NANCY!S109:S113)</f>
        <v>157.12</v>
      </c>
      <c r="Q732" s="240">
        <f>SUM(NANCY!T109:T113)</f>
        <v>157.05000000000001</v>
      </c>
      <c r="R732" s="240">
        <f>SUM(NANCY!U109:U113)</f>
        <v>0</v>
      </c>
      <c r="S732" s="245">
        <f t="shared" si="58"/>
        <v>1815.2939999999996</v>
      </c>
      <c r="T732" s="273"/>
    </row>
    <row r="733" spans="1:20" x14ac:dyDescent="0.2">
      <c r="A733" s="159">
        <v>615220</v>
      </c>
      <c r="B733" s="160" t="s">
        <v>123</v>
      </c>
      <c r="C733" s="148" t="s">
        <v>153</v>
      </c>
      <c r="D733" s="148" t="s">
        <v>192</v>
      </c>
      <c r="E733" s="240">
        <f>NANCY!H115</f>
        <v>0</v>
      </c>
      <c r="F733" s="240">
        <f>NANCY!I115</f>
        <v>0</v>
      </c>
      <c r="G733" s="240">
        <f>NANCY!J115</f>
        <v>0</v>
      </c>
      <c r="H733" s="240">
        <f>NANCY!K115</f>
        <v>0</v>
      </c>
      <c r="I733" s="240">
        <f>NANCY!L115</f>
        <v>0</v>
      </c>
      <c r="J733" s="240">
        <f>NANCY!M115</f>
        <v>0</v>
      </c>
      <c r="K733" s="240">
        <f>NANCY!N115</f>
        <v>0</v>
      </c>
      <c r="L733" s="240">
        <f>NANCY!O115</f>
        <v>679</v>
      </c>
      <c r="M733" s="240">
        <f>NANCY!P115</f>
        <v>0</v>
      </c>
      <c r="N733" s="240">
        <f>NANCY!Q115</f>
        <v>-679</v>
      </c>
      <c r="O733" s="240">
        <f>NANCY!R115</f>
        <v>0</v>
      </c>
      <c r="P733" s="240">
        <f>NANCY!S115</f>
        <v>0</v>
      </c>
      <c r="Q733" s="240">
        <f>NANCY!T115</f>
        <v>0</v>
      </c>
      <c r="R733" s="240">
        <f>NANCY!U115</f>
        <v>0</v>
      </c>
      <c r="S733" s="245">
        <f t="shared" si="58"/>
        <v>0</v>
      </c>
    </row>
    <row r="734" spans="1:20" x14ac:dyDescent="0.2">
      <c r="A734" s="159">
        <v>615220</v>
      </c>
      <c r="B734" s="160" t="s">
        <v>123</v>
      </c>
      <c r="C734" s="148" t="s">
        <v>63</v>
      </c>
      <c r="D734" s="148" t="s">
        <v>179</v>
      </c>
      <c r="E734" s="240">
        <f>+NANCY!H117</f>
        <v>0</v>
      </c>
      <c r="F734" s="240">
        <f>+NANCY!I117</f>
        <v>35.47</v>
      </c>
      <c r="G734" s="240">
        <f>+NANCY!J117</f>
        <v>35.47</v>
      </c>
      <c r="H734" s="240">
        <f>+NANCY!K117</f>
        <v>35.47</v>
      </c>
      <c r="I734" s="240">
        <f>+NANCY!L117</f>
        <v>35.47</v>
      </c>
      <c r="J734" s="240">
        <f>+NANCY!M117</f>
        <v>35.47</v>
      </c>
      <c r="K734" s="240">
        <f>+NANCY!N117</f>
        <v>35.47</v>
      </c>
      <c r="L734" s="240">
        <f>+NANCY!O117</f>
        <v>35.47</v>
      </c>
      <c r="M734" s="240">
        <f>+NANCY!P117</f>
        <v>35.47</v>
      </c>
      <c r="N734" s="240">
        <f>+NANCY!Q117</f>
        <v>35.47</v>
      </c>
      <c r="O734" s="240">
        <f>+NANCY!R117</f>
        <v>35.47</v>
      </c>
      <c r="P734" s="240">
        <f>+NANCY!S117</f>
        <v>35.47</v>
      </c>
      <c r="Q734" s="240">
        <f>+NANCY!T117</f>
        <v>35.47</v>
      </c>
      <c r="R734" s="240">
        <f>+NANCY!U117</f>
        <v>0</v>
      </c>
      <c r="S734" s="245">
        <f t="shared" si="58"/>
        <v>425.6400000000001</v>
      </c>
      <c r="T734" s="273"/>
    </row>
    <row r="735" spans="1:20" x14ac:dyDescent="0.2">
      <c r="A735" s="270"/>
      <c r="B735" s="235"/>
      <c r="C735" s="148"/>
      <c r="D735" s="148"/>
      <c r="E735" s="240"/>
      <c r="F735" s="240"/>
      <c r="G735" s="240"/>
      <c r="H735" s="240"/>
      <c r="I735" s="240"/>
      <c r="J735" s="240"/>
      <c r="K735" s="240"/>
      <c r="L735" s="240"/>
      <c r="M735" s="240"/>
      <c r="N735" s="240"/>
      <c r="O735" s="240"/>
      <c r="P735" s="240"/>
      <c r="Q735" s="240"/>
      <c r="R735" s="240"/>
      <c r="S735" s="245">
        <f t="shared" si="58"/>
        <v>0</v>
      </c>
    </row>
    <row r="736" spans="1:20" x14ac:dyDescent="0.2">
      <c r="A736" s="159">
        <v>615220</v>
      </c>
      <c r="B736" s="160" t="s">
        <v>123</v>
      </c>
      <c r="C736" s="148" t="s">
        <v>235</v>
      </c>
      <c r="D736" s="148" t="s">
        <v>179</v>
      </c>
      <c r="E736" s="240">
        <f>+RENNES!H156</f>
        <v>0</v>
      </c>
      <c r="F736" s="240">
        <f>+RENNES!I156</f>
        <v>251.22</v>
      </c>
      <c r="G736" s="240">
        <f>+RENNES!J156</f>
        <v>251.22</v>
      </c>
      <c r="H736" s="240">
        <f>+RENNES!K156</f>
        <v>251.22</v>
      </c>
      <c r="I736" s="240">
        <f>+RENNES!L156</f>
        <v>251.22</v>
      </c>
      <c r="J736" s="240">
        <f>+RENNES!M156</f>
        <v>251.22</v>
      </c>
      <c r="K736" s="240">
        <f>+RENNES!N156</f>
        <v>251.22</v>
      </c>
      <c r="L736" s="240">
        <f>+RENNES!O156</f>
        <v>251.22</v>
      </c>
      <c r="M736" s="240">
        <f>+RENNES!P156</f>
        <v>251.22</v>
      </c>
      <c r="N736" s="240">
        <f>+RENNES!Q156</f>
        <v>251.22</v>
      </c>
      <c r="O736" s="240">
        <f>+RENNES!R156</f>
        <v>251.22</v>
      </c>
      <c r="P736" s="240">
        <f>+RENNES!S156</f>
        <v>251.22</v>
      </c>
      <c r="Q736" s="240">
        <f>+RENNES!T156</f>
        <v>251.22</v>
      </c>
      <c r="R736" s="240">
        <f>+RENNES!U156</f>
        <v>0</v>
      </c>
      <c r="S736" s="245">
        <f t="shared" si="58"/>
        <v>3014.6399999999994</v>
      </c>
      <c r="T736" s="688"/>
    </row>
    <row r="737" spans="1:22" x14ac:dyDescent="0.2">
      <c r="A737" s="159">
        <v>615220</v>
      </c>
      <c r="B737" s="160" t="s">
        <v>123</v>
      </c>
      <c r="C737" s="148" t="s">
        <v>235</v>
      </c>
      <c r="D737" s="148">
        <v>9999999</v>
      </c>
      <c r="E737" s="240">
        <f>RENNES!H155</f>
        <v>0</v>
      </c>
      <c r="F737" s="240">
        <f>RENNES!I155</f>
        <v>0</v>
      </c>
      <c r="G737" s="240">
        <f>RENNES!J155</f>
        <v>0</v>
      </c>
      <c r="H737" s="240">
        <f>RENNES!K155</f>
        <v>0</v>
      </c>
      <c r="I737" s="240">
        <f>RENNES!L155</f>
        <v>0</v>
      </c>
      <c r="J737" s="240">
        <f>RENNES!M155</f>
        <v>0</v>
      </c>
      <c r="K737" s="240">
        <f>RENNES!N155</f>
        <v>0</v>
      </c>
      <c r="L737" s="240">
        <f>RENNES!O155</f>
        <v>0</v>
      </c>
      <c r="M737" s="240">
        <f>RENNES!P155</f>
        <v>0</v>
      </c>
      <c r="N737" s="240">
        <f>RENNES!Q155</f>
        <v>0</v>
      </c>
      <c r="O737" s="240">
        <f>RENNES!R155</f>
        <v>0</v>
      </c>
      <c r="P737" s="240">
        <f>RENNES!S155</f>
        <v>0</v>
      </c>
      <c r="Q737" s="240">
        <f>RENNES!T155</f>
        <v>0</v>
      </c>
      <c r="R737" s="240">
        <f>RENNES!U155</f>
        <v>0</v>
      </c>
      <c r="S737" s="245">
        <f t="shared" si="58"/>
        <v>0</v>
      </c>
      <c r="T737" s="688"/>
    </row>
    <row r="738" spans="1:22" x14ac:dyDescent="0.2">
      <c r="A738" s="159">
        <v>615220</v>
      </c>
      <c r="B738" s="160" t="s">
        <v>123</v>
      </c>
      <c r="C738" s="148" t="s">
        <v>143</v>
      </c>
      <c r="D738" s="148" t="s">
        <v>179</v>
      </c>
      <c r="E738" s="240">
        <f>SUM(RENNES!H158:H160)</f>
        <v>-37.799999999999997</v>
      </c>
      <c r="F738" s="240">
        <f>SUM(RENNES!I158:I160)</f>
        <v>295.45</v>
      </c>
      <c r="G738" s="240">
        <f>SUM(RENNES!J158:J160)</f>
        <v>295.45</v>
      </c>
      <c r="H738" s="240">
        <f>SUM(RENNES!K158:K160)</f>
        <v>295.45</v>
      </c>
      <c r="I738" s="240">
        <f>SUM(RENNES!L158:L160)</f>
        <v>295.45</v>
      </c>
      <c r="J738" s="240">
        <f>SUM(RENNES!M158:M160)</f>
        <v>295.45</v>
      </c>
      <c r="K738" s="240">
        <f>SUM(RENNES!N158:N160)</f>
        <v>295.45</v>
      </c>
      <c r="L738" s="240">
        <f>SUM(RENNES!O158:O160)</f>
        <v>295.45</v>
      </c>
      <c r="M738" s="240">
        <f>SUM(RENNES!P158:P160)</f>
        <v>295.45</v>
      </c>
      <c r="N738" s="240">
        <f>SUM(RENNES!Q158:Q160)</f>
        <v>295.45</v>
      </c>
      <c r="O738" s="240">
        <f>SUM(RENNES!R158:R160)</f>
        <v>295.45</v>
      </c>
      <c r="P738" s="240">
        <f>SUM(RENNES!S158:S160)</f>
        <v>295.45</v>
      </c>
      <c r="Q738" s="240">
        <f>SUM(RENNES!T158:T160)</f>
        <v>295.42</v>
      </c>
      <c r="R738" s="240">
        <f>SUM(RENNES!U158:U160)</f>
        <v>0</v>
      </c>
      <c r="S738" s="245">
        <f t="shared" si="58"/>
        <v>3507.5699999999997</v>
      </c>
    </row>
    <row r="739" spans="1:22" x14ac:dyDescent="0.2">
      <c r="A739" s="159">
        <v>615220</v>
      </c>
      <c r="B739" s="160" t="s">
        <v>123</v>
      </c>
      <c r="C739" s="148" t="s">
        <v>143</v>
      </c>
      <c r="D739" s="148">
        <v>9999999</v>
      </c>
      <c r="E739" s="240">
        <f>+RENNES!H162</f>
        <v>0</v>
      </c>
      <c r="F739" s="240">
        <f>+RENNES!I162</f>
        <v>0</v>
      </c>
      <c r="G739" s="240">
        <f>+RENNES!J162</f>
        <v>0</v>
      </c>
      <c r="H739" s="240">
        <f>+RENNES!K162</f>
        <v>0</v>
      </c>
      <c r="I739" s="240">
        <f>+RENNES!L162</f>
        <v>0</v>
      </c>
      <c r="J739" s="240">
        <f>+RENNES!M162</f>
        <v>0</v>
      </c>
      <c r="K739" s="240">
        <f>+RENNES!N162</f>
        <v>0</v>
      </c>
      <c r="L739" s="240">
        <f>+RENNES!O162</f>
        <v>0</v>
      </c>
      <c r="M739" s="240">
        <f>+RENNES!P162</f>
        <v>0</v>
      </c>
      <c r="N739" s="240">
        <f>+RENNES!Q162</f>
        <v>0</v>
      </c>
      <c r="O739" s="240">
        <f>+RENNES!R162</f>
        <v>0</v>
      </c>
      <c r="P739" s="240">
        <f>+RENNES!S162</f>
        <v>0</v>
      </c>
      <c r="Q739" s="240">
        <f>+RENNES!T162</f>
        <v>0</v>
      </c>
      <c r="R739" s="240">
        <f>+RENNES!U162</f>
        <v>0</v>
      </c>
      <c r="S739" s="245">
        <f t="shared" si="58"/>
        <v>0</v>
      </c>
      <c r="T739" s="273"/>
      <c r="V739" s="331"/>
    </row>
    <row r="740" spans="1:22" x14ac:dyDescent="0.2">
      <c r="A740" s="159">
        <v>615220</v>
      </c>
      <c r="B740" s="160" t="s">
        <v>123</v>
      </c>
      <c r="C740" s="148" t="s">
        <v>81</v>
      </c>
      <c r="D740" s="148" t="s">
        <v>179</v>
      </c>
      <c r="E740" s="240">
        <f>SUM(RENNES!H164:H166)</f>
        <v>-150</v>
      </c>
      <c r="F740" s="240">
        <f>SUM(RENNES!I164:I166)</f>
        <v>99.5</v>
      </c>
      <c r="G740" s="240">
        <f>SUM(RENNES!J164:J166)</f>
        <v>99.5</v>
      </c>
      <c r="H740" s="240">
        <f>SUM(RENNES!K164:K166)</f>
        <v>99.5</v>
      </c>
      <c r="I740" s="240">
        <f>SUM(RENNES!L164:L166)</f>
        <v>99.5</v>
      </c>
      <c r="J740" s="240">
        <f>SUM(RENNES!M164:M166)</f>
        <v>99.5</v>
      </c>
      <c r="K740" s="240">
        <f>SUM(RENNES!N164:N166)</f>
        <v>99.5</v>
      </c>
      <c r="L740" s="240">
        <f>SUM(RENNES!O164:O166)</f>
        <v>99.5</v>
      </c>
      <c r="M740" s="240">
        <f>SUM(RENNES!P164:P166)</f>
        <v>99.5</v>
      </c>
      <c r="N740" s="240">
        <f>SUM(RENNES!Q164:Q166)</f>
        <v>99.5</v>
      </c>
      <c r="O740" s="240">
        <f>SUM(RENNES!R164:R166)</f>
        <v>99.5</v>
      </c>
      <c r="P740" s="240">
        <f>SUM(RENNES!S164:S166)</f>
        <v>99.460000000000008</v>
      </c>
      <c r="Q740" s="240">
        <f>SUM(RENNES!T164:T166)</f>
        <v>55.61</v>
      </c>
      <c r="R740" s="240">
        <f>SUM(RENNES!U164:U166)</f>
        <v>0</v>
      </c>
      <c r="S740" s="245">
        <f t="shared" si="58"/>
        <v>1000.07</v>
      </c>
      <c r="T740" s="273"/>
    </row>
    <row r="741" spans="1:22" x14ac:dyDescent="0.2">
      <c r="A741" s="270"/>
      <c r="B741" s="235"/>
      <c r="C741" s="148"/>
      <c r="D741" s="148"/>
      <c r="E741" s="240"/>
      <c r="F741" s="240"/>
      <c r="G741" s="240"/>
      <c r="H741" s="240"/>
      <c r="I741" s="240"/>
      <c r="J741" s="240"/>
      <c r="K741" s="240"/>
      <c r="L741" s="240"/>
      <c r="M741" s="240"/>
      <c r="N741" s="240"/>
      <c r="O741" s="240"/>
      <c r="P741" s="240"/>
      <c r="Q741" s="240"/>
      <c r="R741" s="240"/>
      <c r="S741" s="245">
        <f t="shared" si="58"/>
        <v>0</v>
      </c>
    </row>
    <row r="742" spans="1:22" x14ac:dyDescent="0.2">
      <c r="A742" s="159">
        <v>615220</v>
      </c>
      <c r="B742" s="160" t="s">
        <v>123</v>
      </c>
      <c r="C742" s="148" t="s">
        <v>236</v>
      </c>
      <c r="D742" s="148" t="s">
        <v>192</v>
      </c>
      <c r="E742" s="240">
        <f>+BEAUVAIS!H165</f>
        <v>0</v>
      </c>
      <c r="F742" s="240">
        <f>+BEAUVAIS!I165</f>
        <v>0</v>
      </c>
      <c r="G742" s="240">
        <f>+BEAUVAIS!J165</f>
        <v>0</v>
      </c>
      <c r="H742" s="240">
        <f>+BEAUVAIS!K165</f>
        <v>0</v>
      </c>
      <c r="I742" s="240">
        <f>+BEAUVAIS!L165</f>
        <v>0</v>
      </c>
      <c r="J742" s="240">
        <f>+BEAUVAIS!M165</f>
        <v>0</v>
      </c>
      <c r="K742" s="240">
        <f>+BEAUVAIS!N165</f>
        <v>0</v>
      </c>
      <c r="L742" s="240">
        <f>+BEAUVAIS!O165</f>
        <v>0</v>
      </c>
      <c r="M742" s="240">
        <f>+BEAUVAIS!P165</f>
        <v>0</v>
      </c>
      <c r="N742" s="240">
        <f>+BEAUVAIS!Q165</f>
        <v>0</v>
      </c>
      <c r="O742" s="240">
        <f>+BEAUVAIS!R165</f>
        <v>0</v>
      </c>
      <c r="P742" s="240">
        <f>+BEAUVAIS!S165</f>
        <v>0</v>
      </c>
      <c r="Q742" s="240">
        <f>+BEAUVAIS!T165</f>
        <v>0</v>
      </c>
      <c r="R742" s="240">
        <f>+BEAUVAIS!U165</f>
        <v>0</v>
      </c>
      <c r="S742" s="245">
        <f t="shared" si="58"/>
        <v>0</v>
      </c>
    </row>
    <row r="743" spans="1:22" x14ac:dyDescent="0.2">
      <c r="A743" s="159">
        <v>615220</v>
      </c>
      <c r="B743" s="160" t="s">
        <v>123</v>
      </c>
      <c r="C743" s="148" t="s">
        <v>236</v>
      </c>
      <c r="D743" s="148" t="s">
        <v>179</v>
      </c>
      <c r="E743" s="240">
        <f>+SUM(BEAUVAIS!H167:H167)</f>
        <v>0</v>
      </c>
      <c r="F743" s="240">
        <f>+SUM(BEAUVAIS!I167:I167)</f>
        <v>442.94</v>
      </c>
      <c r="G743" s="240">
        <f>+SUM(BEAUVAIS!J167:J167)</f>
        <v>442.94</v>
      </c>
      <c r="H743" s="240">
        <f>+SUM(BEAUVAIS!K167:K167)</f>
        <v>442.94</v>
      </c>
      <c r="I743" s="240">
        <f>+SUM(BEAUVAIS!L167:L167)</f>
        <v>442.94</v>
      </c>
      <c r="J743" s="240">
        <f>+SUM(BEAUVAIS!M167:M167)</f>
        <v>442.94</v>
      </c>
      <c r="K743" s="240">
        <f>+SUM(BEAUVAIS!N167:N167)</f>
        <v>442.94</v>
      </c>
      <c r="L743" s="240">
        <f>+SUM(BEAUVAIS!O167:O167)</f>
        <v>442.94</v>
      </c>
      <c r="M743" s="240">
        <f>+SUM(BEAUVAIS!P167:P167)</f>
        <v>442.94</v>
      </c>
      <c r="N743" s="240">
        <f>+SUM(BEAUVAIS!Q167:Q167)</f>
        <v>442.94</v>
      </c>
      <c r="O743" s="240">
        <f>+SUM(BEAUVAIS!R167:R167)</f>
        <v>442.94</v>
      </c>
      <c r="P743" s="240">
        <f>+SUM(BEAUVAIS!S167:S167)</f>
        <v>442.94</v>
      </c>
      <c r="Q743" s="240">
        <f>+SUM(BEAUVAIS!T167:T167)</f>
        <v>442.94</v>
      </c>
      <c r="R743" s="240">
        <f>+SUM(BEAUVAIS!U167:U167)</f>
        <v>0</v>
      </c>
      <c r="S743" s="245">
        <f t="shared" si="58"/>
        <v>5315.2799999999988</v>
      </c>
    </row>
    <row r="744" spans="1:22" x14ac:dyDescent="0.2">
      <c r="A744" s="159">
        <v>615220</v>
      </c>
      <c r="B744" s="160" t="s">
        <v>123</v>
      </c>
      <c r="C744" s="148" t="s">
        <v>157</v>
      </c>
      <c r="D744" s="148" t="s">
        <v>179</v>
      </c>
      <c r="E744" s="240">
        <f>SUM(BEAUVAIS!H169:H172)</f>
        <v>-829.92000000000007</v>
      </c>
      <c r="F744" s="240">
        <f>SUM(BEAUVAIS!I169:I172)</f>
        <v>265.91000000000003</v>
      </c>
      <c r="G744" s="240">
        <f>SUM(BEAUVAIS!J169:J172)</f>
        <v>265.91000000000003</v>
      </c>
      <c r="H744" s="240">
        <f>SUM(BEAUVAIS!K169:K172)</f>
        <v>265.91000000000003</v>
      </c>
      <c r="I744" s="240">
        <f>SUM(BEAUVAIS!L169:L172)</f>
        <v>265.91000000000003</v>
      </c>
      <c r="J744" s="240">
        <f>SUM(BEAUVAIS!M169:M172)</f>
        <v>265.91000000000003</v>
      </c>
      <c r="K744" s="240">
        <f>SUM(BEAUVAIS!N169:N172)</f>
        <v>265.91000000000003</v>
      </c>
      <c r="L744" s="240">
        <f>SUM(BEAUVAIS!O169:O172)</f>
        <v>265.91000000000003</v>
      </c>
      <c r="M744" s="240">
        <f>SUM(BEAUVAIS!P169:P172)</f>
        <v>265.91000000000003</v>
      </c>
      <c r="N744" s="240">
        <f>SUM(BEAUVAIS!Q169:Q172)</f>
        <v>265.91000000000003</v>
      </c>
      <c r="O744" s="240">
        <f>SUM(BEAUVAIS!R169:R172)</f>
        <v>265.91000000000003</v>
      </c>
      <c r="P744" s="240">
        <f>SUM(BEAUVAIS!S169:S172)</f>
        <v>265.91000000000003</v>
      </c>
      <c r="Q744" s="240">
        <f>SUM(BEAUVAIS!T169:T172)</f>
        <v>265.85000000000002</v>
      </c>
      <c r="R744" s="240">
        <f>SUM(BEAUVAIS!U169:U172)</f>
        <v>0</v>
      </c>
      <c r="S744" s="245">
        <f t="shared" si="58"/>
        <v>2360.9400000000005</v>
      </c>
      <c r="T744" s="273"/>
    </row>
    <row r="745" spans="1:22" x14ac:dyDescent="0.2">
      <c r="A745" s="159">
        <v>615220</v>
      </c>
      <c r="B745" s="160" t="s">
        <v>123</v>
      </c>
      <c r="C745" s="148" t="s">
        <v>157</v>
      </c>
      <c r="D745" s="148" t="s">
        <v>192</v>
      </c>
      <c r="E745" s="240">
        <f>+BEAUVAIS!H173</f>
        <v>0</v>
      </c>
      <c r="F745" s="240">
        <f>+BEAUVAIS!I173</f>
        <v>0</v>
      </c>
      <c r="G745" s="240">
        <f>+BEAUVAIS!J173</f>
        <v>0</v>
      </c>
      <c r="H745" s="240">
        <f>+BEAUVAIS!K173</f>
        <v>0</v>
      </c>
      <c r="I745" s="240">
        <f>+BEAUVAIS!L173</f>
        <v>0</v>
      </c>
      <c r="J745" s="240">
        <f>+BEAUVAIS!M173</f>
        <v>0</v>
      </c>
      <c r="K745" s="240">
        <f>+BEAUVAIS!N173</f>
        <v>0</v>
      </c>
      <c r="L745" s="240">
        <f>+BEAUVAIS!O173</f>
        <v>0</v>
      </c>
      <c r="M745" s="240">
        <f>+BEAUVAIS!P173</f>
        <v>0</v>
      </c>
      <c r="N745" s="240">
        <f>+BEAUVAIS!Q173</f>
        <v>0</v>
      </c>
      <c r="O745" s="240">
        <f>+BEAUVAIS!R173</f>
        <v>0</v>
      </c>
      <c r="P745" s="240">
        <f>+BEAUVAIS!S173</f>
        <v>391.02</v>
      </c>
      <c r="Q745" s="240">
        <f>+BEAUVAIS!T173</f>
        <v>0</v>
      </c>
      <c r="R745" s="240">
        <f>+BEAUVAIS!U173</f>
        <v>0</v>
      </c>
      <c r="S745" s="245">
        <f t="shared" si="58"/>
        <v>391.02</v>
      </c>
      <c r="T745" s="273"/>
    </row>
    <row r="746" spans="1:22" x14ac:dyDescent="0.2">
      <c r="A746" s="159">
        <v>615220</v>
      </c>
      <c r="B746" s="160" t="s">
        <v>123</v>
      </c>
      <c r="C746" s="148" t="s">
        <v>155</v>
      </c>
      <c r="D746" s="148" t="s">
        <v>179</v>
      </c>
      <c r="E746" s="240">
        <f>+SUM(BEAUVAIS!H175:H177)</f>
        <v>0</v>
      </c>
      <c r="F746" s="240">
        <f>+SUM(BEAUVAIS!I175:I177)</f>
        <v>171.95</v>
      </c>
      <c r="G746" s="240">
        <f>+SUM(BEAUVAIS!J175:J177)</f>
        <v>171.95</v>
      </c>
      <c r="H746" s="240">
        <f>+SUM(BEAUVAIS!K175:K177)</f>
        <v>171.95</v>
      </c>
      <c r="I746" s="240">
        <f>+SUM(BEAUVAIS!L175:L177)</f>
        <v>171.95</v>
      </c>
      <c r="J746" s="240">
        <f>+SUM(BEAUVAIS!M175:M177)</f>
        <v>171.95</v>
      </c>
      <c r="K746" s="240">
        <f>+SUM(BEAUVAIS!N175:N177)</f>
        <v>171.95</v>
      </c>
      <c r="L746" s="240">
        <f>+SUM(BEAUVAIS!O175:O177)</f>
        <v>171.95</v>
      </c>
      <c r="M746" s="240">
        <f>+SUM(BEAUVAIS!P175:P177)</f>
        <v>171.95</v>
      </c>
      <c r="N746" s="240">
        <f>+SUM(BEAUVAIS!Q175:Q177)</f>
        <v>171.95</v>
      </c>
      <c r="O746" s="240">
        <f>+SUM(BEAUVAIS!R175:R177)</f>
        <v>171.95</v>
      </c>
      <c r="P746" s="240">
        <f>+SUM(BEAUVAIS!S175:S177)</f>
        <v>171.91</v>
      </c>
      <c r="Q746" s="240">
        <f>+SUM(BEAUVAIS!T175:T177)</f>
        <v>128.06</v>
      </c>
      <c r="R746" s="240">
        <f>+SUM(BEAUVAIS!U175:U177)</f>
        <v>0</v>
      </c>
      <c r="S746" s="245">
        <f t="shared" si="58"/>
        <v>2019.4700000000003</v>
      </c>
      <c r="T746" s="273"/>
    </row>
    <row r="747" spans="1:22" ht="17.25" customHeight="1" x14ac:dyDescent="0.2">
      <c r="A747" s="270"/>
      <c r="B747" s="235"/>
      <c r="C747" s="148"/>
      <c r="D747" s="148"/>
      <c r="E747" s="240"/>
      <c r="F747" s="240"/>
      <c r="G747" s="240"/>
      <c r="H747" s="240"/>
      <c r="I747" s="240"/>
      <c r="J747" s="240"/>
      <c r="K747" s="240"/>
      <c r="L747" s="240"/>
      <c r="M747" s="240"/>
      <c r="N747" s="240"/>
      <c r="O747" s="240"/>
      <c r="P747" s="240"/>
      <c r="Q747" s="240"/>
      <c r="R747" s="240"/>
      <c r="S747" s="245">
        <f t="shared" si="58"/>
        <v>0</v>
      </c>
    </row>
    <row r="748" spans="1:22" ht="13.9" customHeight="1" x14ac:dyDescent="0.2">
      <c r="A748" s="159">
        <v>615220</v>
      </c>
      <c r="B748" s="160" t="s">
        <v>123</v>
      </c>
      <c r="C748" s="148" t="s">
        <v>79</v>
      </c>
      <c r="D748" s="148" t="s">
        <v>179</v>
      </c>
      <c r="E748" s="240">
        <f>+SIEGE!H174</f>
        <v>-6</v>
      </c>
      <c r="F748" s="240">
        <f>+SIEGE!I174</f>
        <v>-236.37</v>
      </c>
      <c r="G748" s="240">
        <f>+SIEGE!J174</f>
        <v>899</v>
      </c>
      <c r="H748" s="240">
        <f>+SIEGE!K174</f>
        <v>-656.6299999999992</v>
      </c>
      <c r="I748" s="240">
        <f>+SIEGE!L174</f>
        <v>0</v>
      </c>
      <c r="J748" s="240">
        <f>+SIEGE!M174</f>
        <v>275.87</v>
      </c>
      <c r="K748" s="240">
        <f>+SIEGE!N174</f>
        <v>985.56</v>
      </c>
      <c r="L748" s="240">
        <f>+SIEGE!O174</f>
        <v>-1261.4299999999998</v>
      </c>
      <c r="M748" s="240">
        <f>+SIEGE!P174</f>
        <v>0</v>
      </c>
      <c r="N748" s="240">
        <f>+SIEGE!Q174</f>
        <v>602.54</v>
      </c>
      <c r="O748" s="240">
        <f>+SIEGE!R174</f>
        <v>-602.54</v>
      </c>
      <c r="P748" s="240">
        <f>+SIEGE!S174</f>
        <v>0</v>
      </c>
      <c r="Q748" s="240">
        <f>+SIEGE!T174</f>
        <v>0</v>
      </c>
      <c r="R748" s="240">
        <f>+SIEGE!U174</f>
        <v>0</v>
      </c>
      <c r="S748" s="245">
        <f>SUM(E748:Q748)</f>
        <v>9.0949470177292824E-13</v>
      </c>
      <c r="T748" s="273"/>
      <c r="V748" s="331"/>
    </row>
    <row r="749" spans="1:22" ht="13.9" customHeight="1" x14ac:dyDescent="0.2">
      <c r="A749" s="159">
        <v>615220</v>
      </c>
      <c r="B749" s="160" t="s">
        <v>123</v>
      </c>
      <c r="C749" s="148" t="s">
        <v>693</v>
      </c>
      <c r="D749" s="148" t="s">
        <v>179</v>
      </c>
      <c r="E749" s="240">
        <f>+SIEGE!H167</f>
        <v>-10206.49</v>
      </c>
      <c r="F749" s="240">
        <f>+SIEGE!I167</f>
        <v>43738.139999999992</v>
      </c>
      <c r="G749" s="240">
        <f>+SIEGE!J167</f>
        <v>44429.17</v>
      </c>
      <c r="H749" s="240">
        <f>+SIEGE!K167</f>
        <v>44902.04</v>
      </c>
      <c r="I749" s="240">
        <f>+SIEGE!L167</f>
        <v>45954.30999999999</v>
      </c>
      <c r="J749" s="240">
        <f>+SIEGE!M167</f>
        <v>43862.93</v>
      </c>
      <c r="K749" s="240">
        <f>+SIEGE!N167</f>
        <v>45370.039999999994</v>
      </c>
      <c r="L749" s="240">
        <f>+SIEGE!O167</f>
        <v>35705.070000000007</v>
      </c>
      <c r="M749" s="240">
        <f>+SIEGE!P167</f>
        <v>43223.359999999993</v>
      </c>
      <c r="N749" s="240">
        <f>+SIEGE!Q167</f>
        <v>39575.420000000013</v>
      </c>
      <c r="O749" s="240">
        <f>+SIEGE!R167</f>
        <v>47270.45</v>
      </c>
      <c r="P749" s="240">
        <f>+SIEGE!S167</f>
        <v>48001.81</v>
      </c>
      <c r="Q749" s="240">
        <f>+SIEGE!T167</f>
        <v>38950.499999999993</v>
      </c>
      <c r="R749" s="240">
        <f>+SIEGE!U167</f>
        <v>0</v>
      </c>
      <c r="S749" s="245">
        <f t="shared" si="58"/>
        <v>510776.75</v>
      </c>
      <c r="T749" s="273"/>
      <c r="V749" s="331"/>
    </row>
    <row r="750" spans="1:22" x14ac:dyDescent="0.2">
      <c r="A750" s="159">
        <v>615220</v>
      </c>
      <c r="B750" s="160" t="s">
        <v>123</v>
      </c>
      <c r="C750" s="148" t="s">
        <v>319</v>
      </c>
      <c r="D750" s="148" t="s">
        <v>179</v>
      </c>
      <c r="E750" s="240">
        <f>+SIEGE!H178</f>
        <v>0</v>
      </c>
      <c r="F750" s="240">
        <f>+SIEGE!I178</f>
        <v>2114</v>
      </c>
      <c r="G750" s="240">
        <f>+SIEGE!J178</f>
        <v>2114</v>
      </c>
      <c r="H750" s="240">
        <f>+SIEGE!K178</f>
        <v>2114</v>
      </c>
      <c r="I750" s="240">
        <f>+SIEGE!L178</f>
        <v>2114</v>
      </c>
      <c r="J750" s="240">
        <f>+SIEGE!M178</f>
        <v>2114</v>
      </c>
      <c r="K750" s="240">
        <f>+SIEGE!N178</f>
        <v>2114</v>
      </c>
      <c r="L750" s="240">
        <f>+SIEGE!O178</f>
        <v>2114</v>
      </c>
      <c r="M750" s="240">
        <f>+SIEGE!P178</f>
        <v>2114</v>
      </c>
      <c r="N750" s="240">
        <f>+SIEGE!Q178</f>
        <v>2114</v>
      </c>
      <c r="O750" s="240">
        <f>+SIEGE!R178</f>
        <v>2114</v>
      </c>
      <c r="P750" s="240">
        <f>+SIEGE!S178</f>
        <v>2114</v>
      </c>
      <c r="Q750" s="240">
        <f>+SIEGE!T178</f>
        <v>0</v>
      </c>
      <c r="R750" s="240">
        <f>+SIEGE!U178</f>
        <v>0</v>
      </c>
      <c r="S750" s="245">
        <f t="shared" si="58"/>
        <v>23254</v>
      </c>
      <c r="T750" s="273"/>
    </row>
    <row r="751" spans="1:22" x14ac:dyDescent="0.2">
      <c r="A751" s="270"/>
      <c r="B751" s="235"/>
      <c r="C751" s="148"/>
      <c r="D751" s="148"/>
      <c r="E751" s="240"/>
      <c r="F751" s="240"/>
      <c r="G751" s="240"/>
      <c r="H751" s="240"/>
      <c r="I751" s="240"/>
      <c r="J751" s="240"/>
      <c r="K751" s="240"/>
      <c r="L751" s="240"/>
      <c r="M751" s="240"/>
      <c r="N751" s="240"/>
      <c r="O751" s="240"/>
      <c r="P751" s="240"/>
      <c r="Q751" s="240"/>
      <c r="R751" s="240"/>
      <c r="S751" s="245">
        <f t="shared" si="58"/>
        <v>0</v>
      </c>
    </row>
    <row r="752" spans="1:22" x14ac:dyDescent="0.2">
      <c r="A752" s="159">
        <v>615220</v>
      </c>
      <c r="B752" s="160" t="s">
        <v>123</v>
      </c>
      <c r="C752" s="148" t="s">
        <v>237</v>
      </c>
      <c r="D752" s="148" t="s">
        <v>179</v>
      </c>
      <c r="E752" s="240">
        <f>+SUM(TOULOUSE!H94:H94)</f>
        <v>0</v>
      </c>
      <c r="F752" s="240">
        <f>+SUM(TOULOUSE!I94:I94)</f>
        <v>138.83000000000001</v>
      </c>
      <c r="G752" s="240">
        <f>+SUM(TOULOUSE!J94:J94)</f>
        <v>138.83000000000001</v>
      </c>
      <c r="H752" s="240">
        <f>+SUM(TOULOUSE!K94:K94)</f>
        <v>138.83000000000001</v>
      </c>
      <c r="I752" s="240">
        <f>+SUM(TOULOUSE!L94:L94)</f>
        <v>138.83000000000001</v>
      </c>
      <c r="J752" s="240">
        <f>+SUM(TOULOUSE!M94:M94)</f>
        <v>138.83000000000001</v>
      </c>
      <c r="K752" s="240">
        <f>+SUM(TOULOUSE!N94:N94)</f>
        <v>138.83000000000001</v>
      </c>
      <c r="L752" s="240">
        <f>+SUM(TOULOUSE!O94:O94)</f>
        <v>138.83000000000001</v>
      </c>
      <c r="M752" s="240">
        <f>+SUM(TOULOUSE!P94:P94)</f>
        <v>138.83000000000001</v>
      </c>
      <c r="N752" s="240">
        <f>+SUM(TOULOUSE!Q94:Q94)</f>
        <v>138.83000000000001</v>
      </c>
      <c r="O752" s="240">
        <f>+SUM(TOULOUSE!R94:R94)</f>
        <v>138.83000000000001</v>
      </c>
      <c r="P752" s="240">
        <f>+SUM(TOULOUSE!S94:S94)</f>
        <v>138.83000000000001</v>
      </c>
      <c r="Q752" s="240">
        <f>+SUM(TOULOUSE!T94:T94)</f>
        <v>138.83000000000001</v>
      </c>
      <c r="R752" s="240">
        <f>+SUM(TOULOUSE!U94:U94)</f>
        <v>0</v>
      </c>
      <c r="S752" s="245">
        <f t="shared" si="58"/>
        <v>1665.9599999999998</v>
      </c>
      <c r="T752" s="273"/>
    </row>
    <row r="753" spans="1:24" x14ac:dyDescent="0.2">
      <c r="A753" s="159">
        <v>615220</v>
      </c>
      <c r="B753" s="160" t="s">
        <v>123</v>
      </c>
      <c r="C753" s="148" t="s">
        <v>205</v>
      </c>
      <c r="D753" s="148" t="s">
        <v>179</v>
      </c>
      <c r="E753" s="240">
        <f>+SUM(TOULOUSE!H98:H101)</f>
        <v>-80.760000000000005</v>
      </c>
      <c r="F753" s="240">
        <f>+SUM(TOULOUSE!I98:I101)</f>
        <v>51.35</v>
      </c>
      <c r="G753" s="240">
        <f>+SUM(TOULOUSE!J98:J101)</f>
        <v>51.35</v>
      </c>
      <c r="H753" s="240">
        <f>+SUM(TOULOUSE!K98:K101)</f>
        <v>51.35</v>
      </c>
      <c r="I753" s="240">
        <f>+SUM(TOULOUSE!L98:L101)</f>
        <v>51.35</v>
      </c>
      <c r="J753" s="240">
        <f>+SUM(TOULOUSE!M98:M101)</f>
        <v>51.35</v>
      </c>
      <c r="K753" s="240">
        <f>+SUM(TOULOUSE!N98:N101)</f>
        <v>51.35</v>
      </c>
      <c r="L753" s="240">
        <f>+SUM(TOULOUSE!O98:O101)</f>
        <v>2.3500000000000014</v>
      </c>
      <c r="M753" s="240">
        <f>+SUM(TOULOUSE!P98:P101)</f>
        <v>44.35</v>
      </c>
      <c r="N753" s="240">
        <f>+SUM(TOULOUSE!Q98:Q101)</f>
        <v>44.35</v>
      </c>
      <c r="O753" s="240">
        <f>+SUM(TOULOUSE!R98:R101)</f>
        <v>44.35</v>
      </c>
      <c r="P753" s="240">
        <f>+SUM(TOULOUSE!S98:S101)</f>
        <v>44.35</v>
      </c>
      <c r="Q753" s="240">
        <f>+SUM(TOULOUSE!T98:T101)</f>
        <v>44.28</v>
      </c>
      <c r="R753" s="240">
        <f>+SUM(TOULOUSE!U98:U101)</f>
        <v>0</v>
      </c>
      <c r="S753" s="245">
        <f t="shared" si="58"/>
        <v>451.37</v>
      </c>
      <c r="T753" s="273"/>
    </row>
    <row r="754" spans="1:24" x14ac:dyDescent="0.2">
      <c r="A754" s="159">
        <v>615220</v>
      </c>
      <c r="B754" s="160" t="s">
        <v>123</v>
      </c>
      <c r="C754" s="148" t="s">
        <v>309</v>
      </c>
      <c r="D754" s="148" t="s">
        <v>179</v>
      </c>
      <c r="E754" s="240">
        <f>+SUM(TOULOUSE!H104:H104)</f>
        <v>0</v>
      </c>
      <c r="F754" s="240">
        <f>+SUM(TOULOUSE!I104:I104)</f>
        <v>35.47</v>
      </c>
      <c r="G754" s="240">
        <f>+SUM(TOULOUSE!J104:J104)</f>
        <v>35.47</v>
      </c>
      <c r="H754" s="240">
        <f>+SUM(TOULOUSE!K104:K104)</f>
        <v>35.47</v>
      </c>
      <c r="I754" s="240">
        <f>+SUM(TOULOUSE!L104:L104)</f>
        <v>35.47</v>
      </c>
      <c r="J754" s="240">
        <f>+SUM(TOULOUSE!M104:M104)</f>
        <v>35.47</v>
      </c>
      <c r="K754" s="240">
        <f>+SUM(TOULOUSE!N104:N104)</f>
        <v>35.47</v>
      </c>
      <c r="L754" s="240">
        <f>+SUM(TOULOUSE!O104:O104)</f>
        <v>35.47</v>
      </c>
      <c r="M754" s="240">
        <f>+SUM(TOULOUSE!P104:P104)</f>
        <v>35.47</v>
      </c>
      <c r="N754" s="240">
        <f>+SUM(TOULOUSE!Q104:Q104)</f>
        <v>35.47</v>
      </c>
      <c r="O754" s="240">
        <f>+SUM(TOULOUSE!R104:R104)</f>
        <v>35.47</v>
      </c>
      <c r="P754" s="240">
        <f>+SUM(TOULOUSE!S104:S104)</f>
        <v>35.47</v>
      </c>
      <c r="Q754" s="240">
        <f>+SUM(TOULOUSE!T104:T104)</f>
        <v>35.47</v>
      </c>
      <c r="R754" s="240">
        <f>+SUM(TOULOUSE!U104:U104)</f>
        <v>0</v>
      </c>
      <c r="S754" s="245">
        <f t="shared" si="58"/>
        <v>425.6400000000001</v>
      </c>
      <c r="T754" s="273"/>
    </row>
    <row r="755" spans="1:24" x14ac:dyDescent="0.2">
      <c r="A755" s="159"/>
      <c r="B755" s="160"/>
      <c r="C755" s="148"/>
      <c r="D755" s="148"/>
      <c r="E755" s="240"/>
      <c r="F755" s="240"/>
      <c r="G755" s="240"/>
      <c r="H755" s="240"/>
      <c r="I755" s="240"/>
      <c r="J755" s="240"/>
      <c r="K755" s="240"/>
      <c r="L755" s="240"/>
      <c r="M755" s="240"/>
      <c r="N755" s="240"/>
      <c r="O755" s="240"/>
      <c r="P755" s="240"/>
      <c r="Q755" s="240"/>
      <c r="R755" s="240"/>
      <c r="S755" s="245">
        <f t="shared" si="58"/>
        <v>0</v>
      </c>
    </row>
    <row r="756" spans="1:24" x14ac:dyDescent="0.2">
      <c r="A756" s="159">
        <v>615220</v>
      </c>
      <c r="B756" s="160" t="s">
        <v>123</v>
      </c>
      <c r="C756" s="148" t="s">
        <v>365</v>
      </c>
      <c r="D756" s="148"/>
      <c r="E756" s="240"/>
      <c r="F756" s="240">
        <v>282.62</v>
      </c>
      <c r="G756" s="240">
        <f>-282.62+1045.24</f>
        <v>762.62</v>
      </c>
      <c r="H756" s="240">
        <f>-1045.24+1175.86</f>
        <v>130.61999999999989</v>
      </c>
      <c r="I756" s="240">
        <f>-1175.86+2258.48</f>
        <v>1082.6200000000001</v>
      </c>
      <c r="J756" s="240">
        <f>-2258.48+3341.1</f>
        <v>1082.6199999999999</v>
      </c>
      <c r="K756" s="240">
        <f>-3341.1+5711.72</f>
        <v>2370.6200000000003</v>
      </c>
      <c r="L756" s="240">
        <f>-5711.72+6954.34</f>
        <v>1242.6199999999999</v>
      </c>
      <c r="M756" s="240">
        <f>-6954.34+5452.96</f>
        <v>-1501.38</v>
      </c>
      <c r="N756" s="240">
        <f>-5452.96+5638.58</f>
        <v>185.61999999999989</v>
      </c>
      <c r="O756" s="240">
        <f>-5638.58+6357.2</f>
        <v>718.61999999999989</v>
      </c>
      <c r="P756" s="240">
        <f>-6357.2+910.82</f>
        <v>-5446.38</v>
      </c>
      <c r="Q756" s="240"/>
      <c r="R756" s="240"/>
      <c r="S756" s="245">
        <f t="shared" si="58"/>
        <v>910.81999999999971</v>
      </c>
    </row>
    <row r="757" spans="1:24" x14ac:dyDescent="0.2">
      <c r="A757" s="159">
        <v>615220</v>
      </c>
      <c r="B757" s="160" t="s">
        <v>123</v>
      </c>
      <c r="C757" s="148" t="s">
        <v>366</v>
      </c>
      <c r="D757" s="148"/>
      <c r="E757" s="240"/>
      <c r="F757" s="240"/>
      <c r="G757" s="240"/>
      <c r="H757" s="240"/>
      <c r="I757" s="240"/>
      <c r="J757" s="240"/>
      <c r="K757" s="240"/>
      <c r="L757" s="240"/>
      <c r="M757" s="240"/>
      <c r="N757" s="240"/>
      <c r="O757" s="240"/>
      <c r="P757" s="240"/>
      <c r="Q757" s="240"/>
      <c r="R757" s="240"/>
      <c r="S757" s="245">
        <f t="shared" si="58"/>
        <v>0</v>
      </c>
    </row>
    <row r="758" spans="1:24" x14ac:dyDescent="0.2">
      <c r="A758" s="159">
        <v>615220</v>
      </c>
      <c r="B758" s="160" t="s">
        <v>123</v>
      </c>
      <c r="C758" s="148" t="s">
        <v>368</v>
      </c>
      <c r="D758" s="148"/>
      <c r="E758" s="240"/>
      <c r="F758" s="240">
        <v>125.9</v>
      </c>
      <c r="G758" s="240">
        <f>-125.9+251.8</f>
        <v>125.9</v>
      </c>
      <c r="H758" s="240">
        <f>-251.8+383.7</f>
        <v>131.89999999999998</v>
      </c>
      <c r="I758" s="240">
        <f>-383.7+509.6</f>
        <v>125.90000000000003</v>
      </c>
      <c r="J758" s="240">
        <f>-509.6+635.59</f>
        <v>125.99000000000001</v>
      </c>
      <c r="K758" s="240">
        <f>-635.59+916.77</f>
        <v>281.17999999999995</v>
      </c>
      <c r="L758" s="240">
        <f>-916.77+1041.95</f>
        <v>125.18000000000006</v>
      </c>
      <c r="M758" s="240">
        <f>-1041.95+1167.13</f>
        <v>125.18000000000006</v>
      </c>
      <c r="N758" s="240">
        <f>-1167.13+1196.31</f>
        <v>29.179999999999836</v>
      </c>
      <c r="O758" s="240">
        <f>-1196.31+1157.49</f>
        <v>-38.819999999999936</v>
      </c>
      <c r="P758" s="240">
        <f>-1157.49+1.83</f>
        <v>-1155.6600000000001</v>
      </c>
      <c r="Q758" s="240"/>
      <c r="R758" s="240"/>
      <c r="S758" s="245">
        <f t="shared" si="58"/>
        <v>1.8299999999999272</v>
      </c>
    </row>
    <row r="759" spans="1:24" x14ac:dyDescent="0.2">
      <c r="A759" s="159">
        <v>615220</v>
      </c>
      <c r="B759" s="160" t="s">
        <v>123</v>
      </c>
      <c r="C759" s="148" t="s">
        <v>381</v>
      </c>
      <c r="D759" s="148"/>
      <c r="E759" s="240"/>
      <c r="F759" s="240">
        <v>997.55</v>
      </c>
      <c r="G759" s="240">
        <f>-997.55+1893.13</f>
        <v>895.58000000000015</v>
      </c>
      <c r="H759" s="240">
        <f>-1893.13+1695.48</f>
        <v>-197.65000000000009</v>
      </c>
      <c r="I759" s="240">
        <f>-1695.48+992.22</f>
        <v>-703.26</v>
      </c>
      <c r="J759" s="240">
        <f>-992.22-1082.17</f>
        <v>-2074.3900000000003</v>
      </c>
      <c r="K759" s="240">
        <f>1082.17+986.49</f>
        <v>2068.66</v>
      </c>
      <c r="L759" s="240">
        <f>-986.49+7375.93</f>
        <v>6389.4400000000005</v>
      </c>
      <c r="M759" s="240">
        <f>-7375.93+3507.15</f>
        <v>-3868.78</v>
      </c>
      <c r="N759" s="240">
        <f>-3507.15+5067.04</f>
        <v>1559.8899999999999</v>
      </c>
      <c r="O759" s="240">
        <f>-5067.04+12607.54</f>
        <v>7540.5000000000009</v>
      </c>
      <c r="P759" s="240">
        <f>-12607.54-0.16</f>
        <v>-12607.7</v>
      </c>
      <c r="Q759" s="240"/>
      <c r="R759" s="240"/>
      <c r="S759" s="245">
        <f t="shared" si="58"/>
        <v>-0.15999999999985448</v>
      </c>
    </row>
    <row r="760" spans="1:24" s="185" customFormat="1" ht="24" customHeight="1" x14ac:dyDescent="0.2">
      <c r="A760" s="267"/>
      <c r="B760" s="268"/>
      <c r="C760" s="267" t="s">
        <v>66</v>
      </c>
      <c r="D760" s="267"/>
      <c r="E760" s="269">
        <f t="shared" ref="E760:S760" si="59">SUM(E708:E759)</f>
        <v>-11642.77</v>
      </c>
      <c r="F760" s="269">
        <f t="shared" si="59"/>
        <v>53030</v>
      </c>
      <c r="G760" s="269">
        <f t="shared" si="59"/>
        <v>55234.430000000008</v>
      </c>
      <c r="H760" s="269">
        <f t="shared" si="59"/>
        <v>52432.44</v>
      </c>
      <c r="I760" s="269">
        <f t="shared" si="59"/>
        <v>54581.733999999997</v>
      </c>
      <c r="J760" s="269">
        <f t="shared" si="59"/>
        <v>51395.090000000004</v>
      </c>
      <c r="K760" s="269">
        <f t="shared" si="59"/>
        <v>61196.94</v>
      </c>
      <c r="L760" s="269">
        <f t="shared" si="59"/>
        <v>50904.760000000017</v>
      </c>
      <c r="M760" s="269">
        <f t="shared" si="59"/>
        <v>46087.26</v>
      </c>
      <c r="N760" s="269">
        <f t="shared" si="59"/>
        <v>49382.530000000013</v>
      </c>
      <c r="O760" s="269">
        <f t="shared" si="59"/>
        <v>62997.090000000004</v>
      </c>
      <c r="P760" s="269">
        <f t="shared" si="59"/>
        <v>37291.81</v>
      </c>
      <c r="Q760" s="269">
        <f t="shared" si="59"/>
        <v>44769.069999999992</v>
      </c>
      <c r="R760" s="269">
        <f>SUM(R708:R759)</f>
        <v>0</v>
      </c>
      <c r="S760" s="269">
        <f t="shared" si="59"/>
        <v>607660.38399999985</v>
      </c>
      <c r="T760" s="212">
        <v>561185.22</v>
      </c>
      <c r="U760" s="334">
        <f>T760-S760</f>
        <v>-46475.163999999873</v>
      </c>
      <c r="V760" s="185" t="s">
        <v>853</v>
      </c>
      <c r="W760" s="569"/>
      <c r="X760" s="569">
        <f>U760-CENTRALISATION!V761</f>
        <v>0.16000000003259629</v>
      </c>
    </row>
    <row r="761" spans="1:24" ht="12.6" customHeight="1" x14ac:dyDescent="0.2">
      <c r="A761" s="159">
        <v>615230</v>
      </c>
      <c r="B761" s="160" t="s">
        <v>124</v>
      </c>
      <c r="C761" s="148" t="s">
        <v>76</v>
      </c>
      <c r="D761" s="148" t="s">
        <v>192</v>
      </c>
      <c r="E761" s="240">
        <f>SUM(FLEURY!H219:H221)</f>
        <v>0</v>
      </c>
      <c r="F761" s="240">
        <f>SUM(FLEURY!I219:I221)</f>
        <v>0</v>
      </c>
      <c r="G761" s="240">
        <f>SUM(FLEURY!J219:J221)</f>
        <v>0</v>
      </c>
      <c r="H761" s="240">
        <f>SUM(FLEURY!K219:K221)</f>
        <v>0</v>
      </c>
      <c r="I761" s="240">
        <f>SUM(FLEURY!L219:L221)</f>
        <v>0</v>
      </c>
      <c r="J761" s="240">
        <f>SUM(FLEURY!M219:M221)</f>
        <v>0</v>
      </c>
      <c r="K761" s="240">
        <f>SUM(FLEURY!N219:N221)</f>
        <v>0</v>
      </c>
      <c r="L761" s="240">
        <f>SUM(FLEURY!O219:O221)</f>
        <v>0</v>
      </c>
      <c r="M761" s="240">
        <f>SUM(FLEURY!P219:P221)</f>
        <v>0</v>
      </c>
      <c r="N761" s="240">
        <f>SUM(FLEURY!Q219:Q221)</f>
        <v>0</v>
      </c>
      <c r="O761" s="240">
        <f>SUM(FLEURY!R219:R221)</f>
        <v>0</v>
      </c>
      <c r="P761" s="240">
        <f>SUM(FLEURY!S219:S221)</f>
        <v>1860.6</v>
      </c>
      <c r="Q761" s="240">
        <f>SUM(FLEURY!T219:T221)</f>
        <v>322.88</v>
      </c>
      <c r="R761" s="240">
        <f>SUM(FLEURY!U219:U221)</f>
        <v>0</v>
      </c>
      <c r="S761" s="245">
        <f>SUM(E761:Q761)</f>
        <v>2183.48</v>
      </c>
      <c r="T761" s="273"/>
    </row>
    <row r="762" spans="1:24" x14ac:dyDescent="0.2">
      <c r="A762" s="159">
        <v>615230</v>
      </c>
      <c r="B762" s="160" t="s">
        <v>124</v>
      </c>
      <c r="C762" s="148" t="s">
        <v>76</v>
      </c>
      <c r="D762" s="148" t="s">
        <v>179</v>
      </c>
      <c r="E762" s="240">
        <f>+SUM(FLEURY!H212:H218)</f>
        <v>0</v>
      </c>
      <c r="F762" s="240">
        <f>+SUM(FLEURY!I212:I218)</f>
        <v>883.80000000000007</v>
      </c>
      <c r="G762" s="240">
        <f>+SUM(FLEURY!J212:J218)</f>
        <v>789.1</v>
      </c>
      <c r="H762" s="240">
        <f>+SUM(FLEURY!K212:K218)</f>
        <v>789.1</v>
      </c>
      <c r="I762" s="240">
        <f>+SUM(FLEURY!L212:L218)</f>
        <v>851.22</v>
      </c>
      <c r="J762" s="240">
        <f>+SUM(FLEURY!M212:M218)</f>
        <v>800.67000000000007</v>
      </c>
      <c r="K762" s="240">
        <f>+SUM(FLEURY!N212:N218)</f>
        <v>800.67000000000007</v>
      </c>
      <c r="L762" s="240">
        <f>+SUM(FLEURY!O212:O218)</f>
        <v>904.97000000000014</v>
      </c>
      <c r="M762" s="240">
        <f>+SUM(FLEURY!P212:P218)</f>
        <v>800.67000000000007</v>
      </c>
      <c r="N762" s="240">
        <f>+SUM(FLEURY!Q212:Q218)</f>
        <v>800.67000000000007</v>
      </c>
      <c r="O762" s="240">
        <f>+SUM(FLEURY!R212:R218)</f>
        <v>876.6400000000001</v>
      </c>
      <c r="P762" s="240">
        <f>+SUM(FLEURY!S212:S218)</f>
        <v>800.67000000000007</v>
      </c>
      <c r="Q762" s="240">
        <f>+SUM(FLEURY!T212:T218)</f>
        <v>800.67000000000007</v>
      </c>
      <c r="R762" s="240">
        <f>+SUM(FLEURY!U212:U218)</f>
        <v>0</v>
      </c>
      <c r="S762" s="245">
        <f>SUM(E762:Q762)</f>
        <v>9898.85</v>
      </c>
    </row>
    <row r="763" spans="1:24" x14ac:dyDescent="0.2">
      <c r="A763" s="270"/>
      <c r="B763" s="235"/>
      <c r="C763" s="148"/>
      <c r="D763" s="148"/>
      <c r="E763" s="240"/>
      <c r="F763" s="240"/>
      <c r="G763" s="240"/>
      <c r="H763" s="240"/>
      <c r="I763" s="240"/>
      <c r="J763" s="240"/>
      <c r="K763" s="240"/>
      <c r="L763" s="240"/>
      <c r="M763" s="240"/>
      <c r="N763" s="240"/>
      <c r="O763" s="240"/>
      <c r="P763" s="240"/>
      <c r="Q763" s="240"/>
      <c r="R763" s="240"/>
      <c r="S763" s="245"/>
    </row>
    <row r="764" spans="1:24" x14ac:dyDescent="0.2">
      <c r="A764" s="159">
        <v>615230</v>
      </c>
      <c r="B764" s="160" t="s">
        <v>124</v>
      </c>
      <c r="C764" s="148" t="s">
        <v>72</v>
      </c>
      <c r="D764" s="148" t="s">
        <v>192</v>
      </c>
      <c r="E764" s="240">
        <f>AIX!H191</f>
        <v>0</v>
      </c>
      <c r="F764" s="240">
        <f>AIX!I191</f>
        <v>0</v>
      </c>
      <c r="G764" s="240">
        <f>AIX!J191</f>
        <v>0</v>
      </c>
      <c r="H764" s="240">
        <f>AIX!K191</f>
        <v>0</v>
      </c>
      <c r="I764" s="240">
        <f>AIX!L191</f>
        <v>0</v>
      </c>
      <c r="J764" s="240">
        <f>AIX!M191</f>
        <v>0</v>
      </c>
      <c r="K764" s="240">
        <f>AIX!N191</f>
        <v>0</v>
      </c>
      <c r="L764" s="240">
        <f>AIX!O191</f>
        <v>0</v>
      </c>
      <c r="M764" s="240">
        <f>AIX!P191</f>
        <v>0</v>
      </c>
      <c r="N764" s="240">
        <f>AIX!Q191</f>
        <v>0</v>
      </c>
      <c r="O764" s="240">
        <f>AIX!R191</f>
        <v>0</v>
      </c>
      <c r="P764" s="240">
        <f>AIX!S191</f>
        <v>0</v>
      </c>
      <c r="Q764" s="240">
        <f>AIX!T191</f>
        <v>0</v>
      </c>
      <c r="R764" s="240">
        <f>AIX!U191</f>
        <v>0</v>
      </c>
      <c r="S764" s="245">
        <f>SUM(E764:Q764)</f>
        <v>0</v>
      </c>
    </row>
    <row r="765" spans="1:24" x14ac:dyDescent="0.2">
      <c r="A765" s="159">
        <v>615230</v>
      </c>
      <c r="B765" s="160" t="s">
        <v>124</v>
      </c>
      <c r="C765" s="148" t="s">
        <v>72</v>
      </c>
      <c r="D765" s="148" t="s">
        <v>179</v>
      </c>
      <c r="E765" s="240">
        <f>SUM(AIX!H186:H190)</f>
        <v>0</v>
      </c>
      <c r="F765" s="240">
        <f>SUM(AIX!I186:I190)</f>
        <v>743.93000000000006</v>
      </c>
      <c r="G765" s="240">
        <f>SUM(AIX!J186:J190)</f>
        <v>536.54000000000008</v>
      </c>
      <c r="H765" s="240">
        <f>SUM(AIX!K186:K190)</f>
        <v>536.54000000000008</v>
      </c>
      <c r="I765" s="240">
        <f>SUM(AIX!L186:L190)</f>
        <v>631.85000000000014</v>
      </c>
      <c r="J765" s="240">
        <f>SUM(AIX!M186:M190)</f>
        <v>542.32000000000016</v>
      </c>
      <c r="K765" s="240">
        <f>SUM(AIX!N186:N190)</f>
        <v>542.32000000000005</v>
      </c>
      <c r="L765" s="240">
        <f>SUM(AIX!O186:O190)</f>
        <v>626.18999999999994</v>
      </c>
      <c r="M765" s="240">
        <f>SUM(AIX!P186:P190)</f>
        <v>525.63</v>
      </c>
      <c r="N765" s="240">
        <f>SUM(AIX!Q186:Q190)</f>
        <v>525.63</v>
      </c>
      <c r="O765" s="240">
        <f>SUM(AIX!R186:R190)</f>
        <v>622.77</v>
      </c>
      <c r="P765" s="240">
        <f>SUM(AIX!S186:S190)</f>
        <v>525.63</v>
      </c>
      <c r="Q765" s="240">
        <f>SUM(AIX!T186:T190)</f>
        <v>525.63</v>
      </c>
      <c r="R765" s="240">
        <f>SUM(AIX!U186:U190)</f>
        <v>0</v>
      </c>
      <c r="S765" s="245">
        <f>SUM(E765:Q765)</f>
        <v>6884.9800000000014</v>
      </c>
    </row>
    <row r="766" spans="1:24" x14ac:dyDescent="0.2">
      <c r="A766" s="270"/>
      <c r="B766" s="235"/>
      <c r="C766" s="148"/>
      <c r="D766" s="148"/>
      <c r="E766" s="240"/>
      <c r="F766" s="240"/>
      <c r="G766" s="240"/>
      <c r="H766" s="240"/>
      <c r="I766" s="240"/>
      <c r="J766" s="240"/>
      <c r="K766" s="240"/>
      <c r="L766" s="240"/>
      <c r="M766" s="240"/>
      <c r="N766" s="240"/>
      <c r="O766" s="240"/>
      <c r="P766" s="240"/>
      <c r="Q766" s="240"/>
      <c r="R766" s="240"/>
      <c r="S766" s="245"/>
    </row>
    <row r="767" spans="1:24" x14ac:dyDescent="0.2">
      <c r="A767" s="159">
        <v>615230</v>
      </c>
      <c r="B767" s="160" t="s">
        <v>124</v>
      </c>
      <c r="C767" s="148" t="s">
        <v>74</v>
      </c>
      <c r="D767" s="148" t="s">
        <v>192</v>
      </c>
      <c r="E767" s="240">
        <f>+LYON!H174</f>
        <v>0</v>
      </c>
      <c r="F767" s="240">
        <f>+LYON!I174</f>
        <v>0</v>
      </c>
      <c r="G767" s="240">
        <f>+LYON!J174</f>
        <v>0</v>
      </c>
      <c r="H767" s="240">
        <f>+LYON!K174</f>
        <v>0</v>
      </c>
      <c r="I767" s="240">
        <f>+LYON!L174</f>
        <v>0</v>
      </c>
      <c r="J767" s="240">
        <f>+LYON!M174</f>
        <v>0</v>
      </c>
      <c r="K767" s="240">
        <f>+LYON!N174</f>
        <v>0</v>
      </c>
      <c r="L767" s="240">
        <f>+LYON!O174</f>
        <v>0</v>
      </c>
      <c r="M767" s="240">
        <f>+LYON!P174</f>
        <v>0</v>
      </c>
      <c r="N767" s="240">
        <f>+LYON!Q174</f>
        <v>0</v>
      </c>
      <c r="O767" s="240">
        <f>+LYON!R174</f>
        <v>0</v>
      </c>
      <c r="P767" s="240">
        <f>+LYON!S174</f>
        <v>95</v>
      </c>
      <c r="Q767" s="240">
        <f>+LYON!T174</f>
        <v>0</v>
      </c>
      <c r="R767" s="240">
        <f>+LYON!U174</f>
        <v>0</v>
      </c>
      <c r="S767" s="245">
        <f>SUM(E767:Q767)</f>
        <v>95</v>
      </c>
    </row>
    <row r="768" spans="1:24" x14ac:dyDescent="0.2">
      <c r="A768" s="159">
        <v>615230</v>
      </c>
      <c r="B768" s="160" t="s">
        <v>124</v>
      </c>
      <c r="C768" s="148" t="s">
        <v>74</v>
      </c>
      <c r="D768" s="148" t="s">
        <v>179</v>
      </c>
      <c r="E768" s="240">
        <f>SUM(LYON!H171:H173)</f>
        <v>1.1899999999999977</v>
      </c>
      <c r="F768" s="240">
        <f>SUM(LYON!I171:I173)</f>
        <v>450.15</v>
      </c>
      <c r="G768" s="240">
        <f>SUM(LYON!J171:J173)</f>
        <v>450.14</v>
      </c>
      <c r="H768" s="240">
        <f>SUM(LYON!K171:K173)</f>
        <v>459.09</v>
      </c>
      <c r="I768" s="240">
        <f>SUM(LYON!L171:L173)</f>
        <v>459.07</v>
      </c>
      <c r="J768" s="240">
        <f>SUM(LYON!M171:M173)</f>
        <v>465.67999999999995</v>
      </c>
      <c r="K768" s="240">
        <f>SUM(LYON!N171:N173)</f>
        <v>441.86999999999995</v>
      </c>
      <c r="L768" s="240">
        <f>SUM(LYON!O171:O173)</f>
        <v>441.86999999999995</v>
      </c>
      <c r="M768" s="240">
        <f>SUM(LYON!P171:P173)</f>
        <v>441.86999999999995</v>
      </c>
      <c r="N768" s="240">
        <f>SUM(LYON!Q171:Q173)</f>
        <v>483.74999999999994</v>
      </c>
      <c r="O768" s="240">
        <f>SUM(LYON!R171:R173)</f>
        <v>405.54999999999995</v>
      </c>
      <c r="P768" s="240">
        <f>SUM(LYON!S171:S173)</f>
        <v>432.74999999999994</v>
      </c>
      <c r="Q768" s="240">
        <f>SUM(LYON!T171:T173)</f>
        <v>405.54999999999995</v>
      </c>
      <c r="R768" s="240">
        <f>SUM(LYON!U171:U173)</f>
        <v>0</v>
      </c>
      <c r="S768" s="245">
        <f>SUM(E768:Q768)</f>
        <v>5338.53</v>
      </c>
    </row>
    <row r="769" spans="1:20" x14ac:dyDescent="0.2">
      <c r="A769" s="270"/>
      <c r="B769" s="235"/>
      <c r="C769" s="148"/>
      <c r="D769" s="148"/>
      <c r="E769" s="240"/>
      <c r="F769" s="240"/>
      <c r="G769" s="240"/>
      <c r="H769" s="240"/>
      <c r="I769" s="240"/>
      <c r="J769" s="240"/>
      <c r="K769" s="240"/>
      <c r="L769" s="240"/>
      <c r="M769" s="240"/>
      <c r="N769" s="240"/>
      <c r="O769" s="240"/>
      <c r="P769" s="240"/>
      <c r="Q769" s="240"/>
      <c r="R769" s="240"/>
      <c r="S769" s="245">
        <f>SUM(E769:Q769)</f>
        <v>0</v>
      </c>
    </row>
    <row r="770" spans="1:20" x14ac:dyDescent="0.2">
      <c r="A770" s="159">
        <v>615230</v>
      </c>
      <c r="B770" s="160" t="s">
        <v>124</v>
      </c>
      <c r="C770" s="148" t="s">
        <v>68</v>
      </c>
      <c r="D770" s="148" t="s">
        <v>192</v>
      </c>
      <c r="E770" s="240">
        <f>+BORDEAUX!H187</f>
        <v>0</v>
      </c>
      <c r="F770" s="240">
        <f>+BORDEAUX!I187</f>
        <v>0</v>
      </c>
      <c r="G770" s="240">
        <f>+BORDEAUX!J187</f>
        <v>0</v>
      </c>
      <c r="H770" s="240">
        <f>+BORDEAUX!K187</f>
        <v>0</v>
      </c>
      <c r="I770" s="240">
        <f>+BORDEAUX!L187</f>
        <v>0</v>
      </c>
      <c r="J770" s="240">
        <f>+BORDEAUX!M187</f>
        <v>0</v>
      </c>
      <c r="K770" s="240">
        <f>+BORDEAUX!N187</f>
        <v>0</v>
      </c>
      <c r="L770" s="240">
        <f>+BORDEAUX!O187</f>
        <v>0</v>
      </c>
      <c r="M770" s="240">
        <f>+BORDEAUX!P187</f>
        <v>0</v>
      </c>
      <c r="N770" s="240">
        <f>+BORDEAUX!Q187</f>
        <v>0</v>
      </c>
      <c r="O770" s="240">
        <f>+BORDEAUX!R187</f>
        <v>0</v>
      </c>
      <c r="P770" s="240">
        <f>+BORDEAUX!S187</f>
        <v>0</v>
      </c>
      <c r="Q770" s="240">
        <f>+BORDEAUX!T187</f>
        <v>0</v>
      </c>
      <c r="R770" s="240">
        <f>+BORDEAUX!U187</f>
        <v>0</v>
      </c>
      <c r="S770" s="245">
        <f>SUM(E770:Q770)</f>
        <v>0</v>
      </c>
    </row>
    <row r="771" spans="1:20" x14ac:dyDescent="0.2">
      <c r="A771" s="159">
        <v>615230</v>
      </c>
      <c r="B771" s="160" t="s">
        <v>124</v>
      </c>
      <c r="C771" s="148" t="s">
        <v>68</v>
      </c>
      <c r="D771" s="148" t="s">
        <v>179</v>
      </c>
      <c r="E771" s="240">
        <f>+SUM(BORDEAUX!H181:H186)</f>
        <v>0</v>
      </c>
      <c r="F771" s="240">
        <f>+SUM(BORDEAUX!I181:I186)</f>
        <v>666.87</v>
      </c>
      <c r="G771" s="240">
        <f>+SUM(BORDEAUX!J181:J186)</f>
        <v>638.16999999999996</v>
      </c>
      <c r="H771" s="240">
        <f>+SUM(BORDEAUX!K181:K186)</f>
        <v>638.13</v>
      </c>
      <c r="I771" s="240">
        <f>+SUM(BORDEAUX!L181:L186)</f>
        <v>638.13</v>
      </c>
      <c r="J771" s="240">
        <f>+SUM(BORDEAUX!M181:M186)</f>
        <v>638.11</v>
      </c>
      <c r="K771" s="240">
        <f>+SUM(BORDEAUX!N181:N186)</f>
        <v>638.11</v>
      </c>
      <c r="L771" s="240">
        <f>+SUM(BORDEAUX!O181:O186)</f>
        <v>696.32</v>
      </c>
      <c r="M771" s="240">
        <f>+SUM(BORDEAUX!P181:P186)</f>
        <v>720.52</v>
      </c>
      <c r="N771" s="240">
        <f>+SUM(BORDEAUX!Q181:Q186)</f>
        <v>638.12</v>
      </c>
      <c r="O771" s="240">
        <f>+SUM(BORDEAUX!R181:R186)</f>
        <v>638.12</v>
      </c>
      <c r="P771" s="240">
        <f>+SUM(BORDEAUX!S181:S186)</f>
        <v>713.9</v>
      </c>
      <c r="Q771" s="240">
        <f>+SUM(BORDEAUX!T181:T186)</f>
        <v>638.12</v>
      </c>
      <c r="R771" s="240">
        <f>+SUM(BORDEAUX!U181:U186)</f>
        <v>0</v>
      </c>
      <c r="S771" s="245">
        <f>SUM(E771:Q771)</f>
        <v>7902.62</v>
      </c>
    </row>
    <row r="772" spans="1:20" x14ac:dyDescent="0.2">
      <c r="A772" s="270"/>
      <c r="B772" s="235"/>
      <c r="C772" s="148"/>
      <c r="D772" s="148"/>
      <c r="E772" s="240"/>
      <c r="F772" s="240"/>
      <c r="G772" s="240"/>
      <c r="H772" s="240"/>
      <c r="I772" s="240"/>
      <c r="J772" s="240"/>
      <c r="K772" s="240"/>
      <c r="L772" s="240"/>
      <c r="M772" s="240"/>
      <c r="N772" s="240"/>
      <c r="O772" s="240"/>
      <c r="P772" s="240"/>
      <c r="Q772" s="240"/>
      <c r="R772" s="240"/>
      <c r="S772" s="245"/>
    </row>
    <row r="773" spans="1:20" x14ac:dyDescent="0.2">
      <c r="A773" s="159">
        <v>615230</v>
      </c>
      <c r="B773" s="160" t="s">
        <v>124</v>
      </c>
      <c r="C773" s="148" t="s">
        <v>63</v>
      </c>
      <c r="D773" s="148" t="s">
        <v>192</v>
      </c>
      <c r="E773" s="240">
        <f>+NANCY!H125</f>
        <v>0</v>
      </c>
      <c r="F773" s="240">
        <f>+NANCY!I125</f>
        <v>0</v>
      </c>
      <c r="G773" s="240">
        <f>+NANCY!J125</f>
        <v>0</v>
      </c>
      <c r="H773" s="240">
        <f>+NANCY!K125</f>
        <v>0</v>
      </c>
      <c r="I773" s="240">
        <f>+NANCY!L125</f>
        <v>0</v>
      </c>
      <c r="J773" s="240">
        <f>+NANCY!M125</f>
        <v>0</v>
      </c>
      <c r="K773" s="240">
        <f>+NANCY!N125</f>
        <v>0</v>
      </c>
      <c r="L773" s="240">
        <f>+NANCY!O125</f>
        <v>0</v>
      </c>
      <c r="M773" s="240">
        <f>+NANCY!P125</f>
        <v>0</v>
      </c>
      <c r="N773" s="240">
        <f>+NANCY!Q125</f>
        <v>0</v>
      </c>
      <c r="O773" s="240">
        <f>+NANCY!R125</f>
        <v>0</v>
      </c>
      <c r="P773" s="240">
        <f>+NANCY!S125</f>
        <v>0</v>
      </c>
      <c r="Q773" s="240">
        <f>+NANCY!T125</f>
        <v>0</v>
      </c>
      <c r="R773" s="240">
        <f>+NANCY!U125</f>
        <v>0</v>
      </c>
      <c r="S773" s="245">
        <f>SUM(E773:Q773)</f>
        <v>0</v>
      </c>
    </row>
    <row r="774" spans="1:20" x14ac:dyDescent="0.2">
      <c r="A774" s="159">
        <v>615230</v>
      </c>
      <c r="B774" s="160" t="s">
        <v>124</v>
      </c>
      <c r="C774" s="148" t="s">
        <v>63</v>
      </c>
      <c r="D774" s="148" t="s">
        <v>179</v>
      </c>
      <c r="E774" s="240">
        <f>SUM(NANCY!H121:H124)</f>
        <v>-40</v>
      </c>
      <c r="F774" s="240">
        <f>SUM(NANCY!I121:I124)</f>
        <v>267.01</v>
      </c>
      <c r="G774" s="240">
        <f>SUM(NANCY!J121:J124)</f>
        <v>299.5</v>
      </c>
      <c r="H774" s="240">
        <f>SUM(NANCY!K121:K124)</f>
        <v>267.01</v>
      </c>
      <c r="I774" s="240">
        <f>SUM(NANCY!L121:L124)</f>
        <v>266.99</v>
      </c>
      <c r="J774" s="240">
        <f>SUM(NANCY!M121:M124)</f>
        <v>287.23</v>
      </c>
      <c r="K774" s="240">
        <f>SUM(NANCY!N121:N124)</f>
        <v>271.01</v>
      </c>
      <c r="L774" s="240">
        <f>SUM(NANCY!O121:O124)</f>
        <v>254.38</v>
      </c>
      <c r="M774" s="240">
        <f>SUM(NANCY!P121:P124)</f>
        <v>272.58999999999997</v>
      </c>
      <c r="N774" s="240">
        <f>SUM(NANCY!Q121:Q124)</f>
        <v>254.38</v>
      </c>
      <c r="O774" s="240">
        <f>SUM(NANCY!R121:R124)</f>
        <v>254.38</v>
      </c>
      <c r="P774" s="240">
        <f>SUM(NANCY!S121:S124)</f>
        <v>275.05</v>
      </c>
      <c r="Q774" s="240">
        <f>SUM(NANCY!T121:T124)</f>
        <v>269.38</v>
      </c>
      <c r="R774" s="240">
        <f>SUM(NANCY!U121:U124)</f>
        <v>0</v>
      </c>
      <c r="S774" s="245">
        <f>SUM(E774:Q774)</f>
        <v>3198.9100000000008</v>
      </c>
    </row>
    <row r="775" spans="1:20" x14ac:dyDescent="0.2">
      <c r="A775" s="270"/>
      <c r="B775" s="235"/>
      <c r="C775" s="148"/>
      <c r="D775" s="148"/>
      <c r="E775" s="240"/>
      <c r="F775" s="240"/>
      <c r="G775" s="240"/>
      <c r="H775" s="240"/>
      <c r="I775" s="240"/>
      <c r="J775" s="240"/>
      <c r="K775" s="240"/>
      <c r="L775" s="240"/>
      <c r="M775" s="240"/>
      <c r="N775" s="240"/>
      <c r="O775" s="240"/>
      <c r="P775" s="240"/>
      <c r="Q775" s="240"/>
      <c r="R775" s="240"/>
      <c r="S775" s="245"/>
    </row>
    <row r="776" spans="1:20" x14ac:dyDescent="0.2">
      <c r="A776" s="159">
        <v>615230</v>
      </c>
      <c r="B776" s="160" t="s">
        <v>124</v>
      </c>
      <c r="C776" s="148" t="s">
        <v>81</v>
      </c>
      <c r="D776" s="148" t="s">
        <v>192</v>
      </c>
      <c r="E776" s="240">
        <f>+RENNES!H176</f>
        <v>0</v>
      </c>
      <c r="F776" s="240">
        <f>+RENNES!I176</f>
        <v>0</v>
      </c>
      <c r="G776" s="240">
        <f>+RENNES!J176</f>
        <v>0</v>
      </c>
      <c r="H776" s="240">
        <f>+RENNES!K176</f>
        <v>0</v>
      </c>
      <c r="I776" s="240">
        <f>+RENNES!L176</f>
        <v>0</v>
      </c>
      <c r="J776" s="240">
        <f>+RENNES!M176</f>
        <v>0</v>
      </c>
      <c r="K776" s="240">
        <f>+RENNES!N176</f>
        <v>0</v>
      </c>
      <c r="L776" s="240">
        <f>+RENNES!O176</f>
        <v>0</v>
      </c>
      <c r="M776" s="240">
        <f>+RENNES!P176</f>
        <v>0</v>
      </c>
      <c r="N776" s="240">
        <f>+RENNES!Q176</f>
        <v>0</v>
      </c>
      <c r="O776" s="240">
        <f>+RENNES!R176</f>
        <v>0</v>
      </c>
      <c r="P776" s="240">
        <f>+RENNES!S176</f>
        <v>0</v>
      </c>
      <c r="Q776" s="240">
        <f>+RENNES!T176</f>
        <v>0</v>
      </c>
      <c r="R776" s="240">
        <f>+RENNES!U176</f>
        <v>0</v>
      </c>
      <c r="S776" s="245">
        <f>SUM(E776:Q776)</f>
        <v>0</v>
      </c>
    </row>
    <row r="777" spans="1:20" x14ac:dyDescent="0.2">
      <c r="A777" s="159">
        <v>615230</v>
      </c>
      <c r="B777" s="160" t="s">
        <v>124</v>
      </c>
      <c r="C777" s="148" t="s">
        <v>81</v>
      </c>
      <c r="D777" s="148" t="s">
        <v>179</v>
      </c>
      <c r="E777" s="240">
        <f>+SUM(RENNES!H172:H175)</f>
        <v>0</v>
      </c>
      <c r="F777" s="240">
        <f>+SUM(RENNES!I170:I175)</f>
        <v>544.82000000000005</v>
      </c>
      <c r="G777" s="240">
        <f>+SUM(RENNES!J170:J175)</f>
        <v>630.95000000000005</v>
      </c>
      <c r="H777" s="240">
        <f>+SUM(RENNES!K170:K175)</f>
        <v>544.82000000000005</v>
      </c>
      <c r="I777" s="240">
        <f>+SUM(RENNES!L170:L175)</f>
        <v>1219.82</v>
      </c>
      <c r="J777" s="240">
        <f>+SUM(RENNES!M170:M175)</f>
        <v>833.0100000000001</v>
      </c>
      <c r="K777" s="240">
        <f>+SUM(RENNES!N170:N175)</f>
        <v>748.66000000000008</v>
      </c>
      <c r="L777" s="240">
        <f>+SUM(RENNES!O170:O175)</f>
        <v>748.66000000000008</v>
      </c>
      <c r="M777" s="240">
        <f>+SUM(RENNES!P170:P175)</f>
        <v>828.29000000000008</v>
      </c>
      <c r="N777" s="240">
        <f>+SUM(RENNES!Q170:Q175)</f>
        <v>748.66000000000008</v>
      </c>
      <c r="O777" s="240">
        <f>+SUM(RENNES!R170:R175)</f>
        <v>748.66000000000008</v>
      </c>
      <c r="P777" s="240">
        <f>+SUM(RENNES!S170:S175)</f>
        <v>833.1400000000001</v>
      </c>
      <c r="Q777" s="240">
        <f>+SUM(RENNES!T170:T175)</f>
        <v>748.66000000000008</v>
      </c>
      <c r="R777" s="240">
        <f>+SUM(RENNES!U170:U175)</f>
        <v>0</v>
      </c>
      <c r="S777" s="245">
        <f>SUM(E777:Q777)</f>
        <v>9178.15</v>
      </c>
    </row>
    <row r="778" spans="1:20" x14ac:dyDescent="0.2">
      <c r="A778" s="159"/>
      <c r="B778" s="160"/>
      <c r="C778" s="148"/>
      <c r="D778" s="148"/>
      <c r="E778" s="240"/>
      <c r="F778" s="240"/>
      <c r="G778" s="240"/>
      <c r="H778" s="240"/>
      <c r="I778" s="240"/>
      <c r="J778" s="240"/>
      <c r="K778" s="240"/>
      <c r="L778" s="240"/>
      <c r="M778" s="240"/>
      <c r="N778" s="240"/>
      <c r="O778" s="240"/>
      <c r="P778" s="240"/>
      <c r="Q778" s="240"/>
      <c r="R778" s="240"/>
      <c r="S778" s="245"/>
    </row>
    <row r="779" spans="1:20" x14ac:dyDescent="0.2">
      <c r="A779" s="159">
        <v>615230</v>
      </c>
      <c r="B779" s="160" t="s">
        <v>124</v>
      </c>
      <c r="C779" s="148" t="s">
        <v>155</v>
      </c>
      <c r="D779" s="148" t="s">
        <v>192</v>
      </c>
      <c r="E779" s="240">
        <f>BEAUVAIS!H186</f>
        <v>0</v>
      </c>
      <c r="F779" s="240">
        <f>BEAUVAIS!I186</f>
        <v>0</v>
      </c>
      <c r="G779" s="240">
        <f>BEAUVAIS!J186</f>
        <v>0</v>
      </c>
      <c r="H779" s="240">
        <f>BEAUVAIS!K186</f>
        <v>0</v>
      </c>
      <c r="I779" s="240">
        <f>BEAUVAIS!L186</f>
        <v>0</v>
      </c>
      <c r="J779" s="240">
        <f>BEAUVAIS!M186</f>
        <v>0</v>
      </c>
      <c r="K779" s="240">
        <f>BEAUVAIS!N186</f>
        <v>0</v>
      </c>
      <c r="L779" s="240">
        <f>BEAUVAIS!O186</f>
        <v>0</v>
      </c>
      <c r="M779" s="240">
        <f>BEAUVAIS!P186</f>
        <v>0</v>
      </c>
      <c r="N779" s="240">
        <f>BEAUVAIS!Q186</f>
        <v>0</v>
      </c>
      <c r="O779" s="240">
        <f>BEAUVAIS!R186</f>
        <v>0</v>
      </c>
      <c r="P779" s="240">
        <f>BEAUVAIS!S186</f>
        <v>0</v>
      </c>
      <c r="Q779" s="240">
        <f>BEAUVAIS!T186</f>
        <v>0</v>
      </c>
      <c r="R779" s="240">
        <f>BEAUVAIS!U186</f>
        <v>0</v>
      </c>
      <c r="S779" s="245">
        <f>SUM(E779:Q779)</f>
        <v>0</v>
      </c>
    </row>
    <row r="780" spans="1:20" x14ac:dyDescent="0.2">
      <c r="A780" s="159">
        <v>615230</v>
      </c>
      <c r="B780" s="160" t="s">
        <v>124</v>
      </c>
      <c r="C780" s="148" t="s">
        <v>155</v>
      </c>
      <c r="D780" s="148" t="s">
        <v>179</v>
      </c>
      <c r="E780" s="240">
        <f>+SUM(BEAUVAIS!H181:H185)</f>
        <v>-30</v>
      </c>
      <c r="F780" s="240">
        <f>+SUM(BEAUVAIS!I181:I185)</f>
        <v>671.14</v>
      </c>
      <c r="G780" s="240">
        <f>+SUM(BEAUVAIS!J181:J185)</f>
        <v>739.26</v>
      </c>
      <c r="H780" s="240">
        <f>+SUM(BEAUVAIS!K181:K185)</f>
        <v>672.09</v>
      </c>
      <c r="I780" s="240">
        <f>+SUM(BEAUVAIS!L181:L185)</f>
        <v>672.04000000000008</v>
      </c>
      <c r="J780" s="240">
        <f>+SUM(BEAUVAIS!M181:M185)</f>
        <v>785.67000000000007</v>
      </c>
      <c r="K780" s="240">
        <f>+SUM(BEAUVAIS!N181:N185)</f>
        <v>682.53000000000009</v>
      </c>
      <c r="L780" s="240">
        <f>+SUM(BEAUVAIS!O181:O185)</f>
        <v>682.53000000000009</v>
      </c>
      <c r="M780" s="240">
        <f>+SUM(BEAUVAIS!P181:P185)</f>
        <v>763.75000000000011</v>
      </c>
      <c r="N780" s="240">
        <f>+SUM(BEAUVAIS!Q181:Q185)</f>
        <v>682.53000000000009</v>
      </c>
      <c r="O780" s="240">
        <f>+SUM(BEAUVAIS!R181:R185)</f>
        <v>682.53000000000009</v>
      </c>
      <c r="P780" s="240">
        <f>+SUM(BEAUVAIS!S181:S185)</f>
        <v>771.86</v>
      </c>
      <c r="Q780" s="240">
        <f>+SUM(BEAUVAIS!T181:T185)</f>
        <v>697.12000000000012</v>
      </c>
      <c r="R780" s="240">
        <f>+SUM(BEAUVAIS!U181:U185)</f>
        <v>0</v>
      </c>
      <c r="S780" s="245">
        <f>SUM(E780:Q780)</f>
        <v>8473.0499999999993</v>
      </c>
    </row>
    <row r="781" spans="1:20" x14ac:dyDescent="0.2">
      <c r="A781" s="270"/>
      <c r="B781" s="235"/>
      <c r="C781" s="148"/>
      <c r="D781" s="148"/>
      <c r="E781" s="240"/>
      <c r="F781" s="240"/>
      <c r="G781" s="240"/>
      <c r="H781" s="240"/>
      <c r="I781" s="240"/>
      <c r="J781" s="240"/>
      <c r="K781" s="240"/>
      <c r="L781" s="240"/>
      <c r="M781" s="240"/>
      <c r="N781" s="240"/>
      <c r="O781" s="240"/>
      <c r="P781" s="240"/>
      <c r="Q781" s="240"/>
      <c r="R781" s="240"/>
      <c r="S781" s="245"/>
    </row>
    <row r="782" spans="1:20" x14ac:dyDescent="0.2">
      <c r="A782" s="159">
        <v>615230</v>
      </c>
      <c r="B782" s="160" t="s">
        <v>124</v>
      </c>
      <c r="C782" s="148" t="s">
        <v>79</v>
      </c>
      <c r="D782" s="148" t="s">
        <v>192</v>
      </c>
      <c r="E782" s="240">
        <f>+SUM(SIEGE!H197:H198)</f>
        <v>0</v>
      </c>
      <c r="F782" s="240">
        <f>+SUM(SIEGE!I197:I198)</f>
        <v>0</v>
      </c>
      <c r="G782" s="240">
        <f>+SUM(SIEGE!J197:J198)</f>
        <v>0</v>
      </c>
      <c r="H782" s="240">
        <f>+SUM(SIEGE!K197:K198)</f>
        <v>0</v>
      </c>
      <c r="I782" s="240">
        <f>+SUM(SIEGE!L197:L198)</f>
        <v>0</v>
      </c>
      <c r="J782" s="240">
        <f>+SUM(SIEGE!M197:M198)</f>
        <v>220</v>
      </c>
      <c r="K782" s="240">
        <f>+SUM(SIEGE!N197:N198)</f>
        <v>0</v>
      </c>
      <c r="L782" s="240">
        <f>+SUM(SIEGE!O197:O198)</f>
        <v>0</v>
      </c>
      <c r="M782" s="240">
        <f>+SUM(SIEGE!P197:P198)</f>
        <v>0</v>
      </c>
      <c r="N782" s="240">
        <f>+SUM(SIEGE!Q197:Q198)</f>
        <v>0</v>
      </c>
      <c r="O782" s="240">
        <f>+SUM(SIEGE!R197:R198)</f>
        <v>0</v>
      </c>
      <c r="P782" s="240">
        <f>+SUM(SIEGE!S197:S198)</f>
        <v>1380</v>
      </c>
      <c r="Q782" s="240">
        <f>+SUM(SIEGE!T197:T198)</f>
        <v>0</v>
      </c>
      <c r="R782" s="240">
        <f>+SUM(SIEGE!U197:U198)</f>
        <v>0</v>
      </c>
      <c r="S782" s="245">
        <f>SUM(E782:Q782)</f>
        <v>1600</v>
      </c>
    </row>
    <row r="783" spans="1:20" x14ac:dyDescent="0.2">
      <c r="A783" s="159">
        <v>615230</v>
      </c>
      <c r="B783" s="160" t="s">
        <v>124</v>
      </c>
      <c r="C783" s="148" t="s">
        <v>79</v>
      </c>
      <c r="D783" s="148" t="s">
        <v>179</v>
      </c>
      <c r="E783" s="240">
        <f>+SUM(SIEGE!H182:H196)</f>
        <v>-480.15999999999997</v>
      </c>
      <c r="F783" s="240">
        <f>+SUM(SIEGE!I182:I196)</f>
        <v>3035.45</v>
      </c>
      <c r="G783" s="240">
        <f>+SUM(SIEGE!J182:J196)</f>
        <v>3100.4399999999996</v>
      </c>
      <c r="H783" s="240">
        <f>+SUM(SIEGE!K182:K196)</f>
        <v>1882.8399999999997</v>
      </c>
      <c r="I783" s="240">
        <f>+SUM(SIEGE!L182:L196)</f>
        <v>2171.0899999999997</v>
      </c>
      <c r="J783" s="240">
        <f>+SUM(SIEGE!M182:M196)</f>
        <v>1981.3</v>
      </c>
      <c r="K783" s="240">
        <f>+SUM(SIEGE!N182:N196)</f>
        <v>2508.7299999999996</v>
      </c>
      <c r="L783" s="240">
        <f>+SUM(SIEGE!O182:O196)</f>
        <v>872.36000000000013</v>
      </c>
      <c r="M783" s="240">
        <f>+SUM(SIEGE!P182:P196)</f>
        <v>1617.51</v>
      </c>
      <c r="N783" s="240">
        <f>+SUM(SIEGE!Q182:Q196)</f>
        <v>1812.95</v>
      </c>
      <c r="O783" s="240">
        <f>+SUM(SIEGE!R182:R196)</f>
        <v>1755.3100000000002</v>
      </c>
      <c r="P783" s="240">
        <f>+SUM(SIEGE!S182:S196)</f>
        <v>2659.9500000000007</v>
      </c>
      <c r="Q783" s="240">
        <f>+SUM(SIEGE!T182:T196)</f>
        <v>1597.89</v>
      </c>
      <c r="R783" s="240">
        <f>+SUM(SIEGE!U182:U196)</f>
        <v>0</v>
      </c>
      <c r="S783" s="245">
        <f>SUM(E783:Q783)</f>
        <v>24515.66</v>
      </c>
      <c r="T783" s="273"/>
    </row>
    <row r="784" spans="1:20" x14ac:dyDescent="0.2">
      <c r="A784" s="270"/>
      <c r="B784" s="235"/>
      <c r="C784" s="148"/>
      <c r="D784" s="148"/>
      <c r="E784" s="240"/>
      <c r="F784" s="240"/>
      <c r="G784" s="240"/>
      <c r="H784" s="240"/>
      <c r="I784" s="240"/>
      <c r="J784" s="240"/>
      <c r="K784" s="240"/>
      <c r="L784" s="240"/>
      <c r="M784" s="240"/>
      <c r="N784" s="240"/>
      <c r="O784" s="240"/>
      <c r="P784" s="240"/>
      <c r="Q784" s="240"/>
      <c r="R784" s="240"/>
      <c r="S784" s="242"/>
    </row>
    <row r="785" spans="1:24" x14ac:dyDescent="0.2">
      <c r="A785" s="159">
        <v>615230</v>
      </c>
      <c r="B785" s="160" t="s">
        <v>124</v>
      </c>
      <c r="C785" s="148" t="s">
        <v>309</v>
      </c>
      <c r="D785" s="148" t="s">
        <v>192</v>
      </c>
      <c r="E785" s="240">
        <f>+TOULOUSE!H111</f>
        <v>0</v>
      </c>
      <c r="F785" s="240">
        <f>+TOULOUSE!I111</f>
        <v>0</v>
      </c>
      <c r="G785" s="240">
        <f>+TOULOUSE!J111</f>
        <v>0</v>
      </c>
      <c r="H785" s="240">
        <f>+TOULOUSE!K111</f>
        <v>0</v>
      </c>
      <c r="I785" s="240">
        <f>+TOULOUSE!L111</f>
        <v>0</v>
      </c>
      <c r="J785" s="240">
        <f>+TOULOUSE!M111</f>
        <v>0</v>
      </c>
      <c r="K785" s="240">
        <f>+TOULOUSE!N111</f>
        <v>0</v>
      </c>
      <c r="L785" s="240">
        <f>+TOULOUSE!O111</f>
        <v>0</v>
      </c>
      <c r="M785" s="240">
        <f>+TOULOUSE!P111</f>
        <v>0</v>
      </c>
      <c r="N785" s="240">
        <f>+TOULOUSE!Q111</f>
        <v>0</v>
      </c>
      <c r="O785" s="240">
        <f>+TOULOUSE!R111</f>
        <v>0</v>
      </c>
      <c r="P785" s="240">
        <f>+TOULOUSE!S111</f>
        <v>0</v>
      </c>
      <c r="Q785" s="240">
        <f>+TOULOUSE!T111</f>
        <v>0</v>
      </c>
      <c r="R785" s="240">
        <f>+TOULOUSE!U111</f>
        <v>0</v>
      </c>
      <c r="S785" s="242">
        <f>SUM(E785:Q785)</f>
        <v>0</v>
      </c>
    </row>
    <row r="786" spans="1:24" x14ac:dyDescent="0.2">
      <c r="A786" s="159">
        <v>615230</v>
      </c>
      <c r="B786" s="160" t="s">
        <v>124</v>
      </c>
      <c r="C786" s="148" t="s">
        <v>309</v>
      </c>
      <c r="D786" s="148" t="s">
        <v>179</v>
      </c>
      <c r="E786" s="240">
        <f>+TOULOUSE!H108+TOULOUSE!H109+TOULOUSE!H110</f>
        <v>24.28</v>
      </c>
      <c r="F786" s="240">
        <f>+TOULOUSE!I108+TOULOUSE!I109+TOULOUSE!I110</f>
        <v>14.59</v>
      </c>
      <c r="G786" s="240">
        <f>+TOULOUSE!J108+TOULOUSE!J109+TOULOUSE!J110</f>
        <v>14.59</v>
      </c>
      <c r="H786" s="240">
        <f>+TOULOUSE!K108+TOULOUSE!K109+TOULOUSE!K110</f>
        <v>14.59</v>
      </c>
      <c r="I786" s="240">
        <f>+TOULOUSE!L108+TOULOUSE!L109+TOULOUSE!L110</f>
        <v>71.290000000000006</v>
      </c>
      <c r="J786" s="240">
        <f>+TOULOUSE!M108+TOULOUSE!M109+TOULOUSE!M110</f>
        <v>33.39</v>
      </c>
      <c r="K786" s="240">
        <f>+TOULOUSE!N108+TOULOUSE!N109+TOULOUSE!N110</f>
        <v>33.39</v>
      </c>
      <c r="L786" s="240">
        <f>+TOULOUSE!O108+TOULOUSE!O109+TOULOUSE!O110</f>
        <v>33.39</v>
      </c>
      <c r="M786" s="240">
        <f>+TOULOUSE!P108+TOULOUSE!P109+TOULOUSE!P110</f>
        <v>61.86</v>
      </c>
      <c r="N786" s="240">
        <f>+TOULOUSE!Q108+TOULOUSE!Q109+TOULOUSE!Q110</f>
        <v>14.51</v>
      </c>
      <c r="O786" s="240">
        <f>+TOULOUSE!R108+TOULOUSE!R109+TOULOUSE!R110</f>
        <v>14.58</v>
      </c>
      <c r="P786" s="240">
        <f>+TOULOUSE!S108+TOULOUSE!S109+TOULOUSE!S110</f>
        <v>14.59</v>
      </c>
      <c r="Q786" s="240">
        <f>+TOULOUSE!T108+TOULOUSE!T109+TOULOUSE!T110</f>
        <v>14.59</v>
      </c>
      <c r="R786" s="240">
        <f>+TOULOUSE!U108+TOULOUSE!U109+TOULOUSE!U110</f>
        <v>0</v>
      </c>
      <c r="S786" s="242">
        <f>SUM(E786:Q786)</f>
        <v>359.63999999999993</v>
      </c>
      <c r="T786" s="273"/>
    </row>
    <row r="787" spans="1:24" x14ac:dyDescent="0.2">
      <c r="A787" s="159"/>
      <c r="B787" s="160"/>
      <c r="C787" s="148"/>
      <c r="D787" s="148"/>
      <c r="E787" s="240"/>
      <c r="F787" s="240"/>
      <c r="G787" s="240"/>
      <c r="H787" s="240"/>
      <c r="I787" s="240"/>
      <c r="J787" s="240"/>
      <c r="K787" s="240"/>
      <c r="L787" s="240"/>
      <c r="M787" s="240"/>
      <c r="N787" s="240"/>
      <c r="O787" s="240"/>
      <c r="P787" s="240"/>
      <c r="Q787" s="240"/>
      <c r="R787" s="240"/>
      <c r="S787" s="242">
        <f>SUM(E787:Q787)</f>
        <v>0</v>
      </c>
    </row>
    <row r="788" spans="1:24" x14ac:dyDescent="0.2">
      <c r="A788" s="159">
        <v>615230</v>
      </c>
      <c r="B788" s="160" t="s">
        <v>124</v>
      </c>
      <c r="C788" s="148" t="s">
        <v>368</v>
      </c>
      <c r="D788" s="148"/>
      <c r="E788" s="240"/>
      <c r="F788" s="240">
        <v>-284.5</v>
      </c>
      <c r="G788" s="240">
        <f>284.5-196.65</f>
        <v>87.85</v>
      </c>
      <c r="H788" s="240">
        <f>196.65+303.31</f>
        <v>499.96000000000004</v>
      </c>
      <c r="I788" s="240">
        <f>-303.31+480.23</f>
        <v>176.92000000000002</v>
      </c>
      <c r="J788" s="240">
        <f>-480.23-166.88</f>
        <v>-647.11</v>
      </c>
      <c r="K788" s="240">
        <f>166.88-415.04</f>
        <v>-248.16000000000003</v>
      </c>
      <c r="L788" s="240">
        <f>415.04-557.92</f>
        <v>-142.87999999999994</v>
      </c>
      <c r="M788" s="240">
        <f>557.92-845.55</f>
        <v>-287.63</v>
      </c>
      <c r="N788" s="240">
        <f>845.55-1219.3</f>
        <v>-373.75</v>
      </c>
      <c r="O788" s="240">
        <f>1219.3+208.82</f>
        <v>1428.12</v>
      </c>
      <c r="P788" s="240">
        <f>-208.82-0.31</f>
        <v>-209.13</v>
      </c>
      <c r="Q788" s="240"/>
      <c r="R788" s="240"/>
      <c r="S788" s="242">
        <f>SUM(E788:Q788)</f>
        <v>-0.30999999999983174</v>
      </c>
    </row>
    <row r="789" spans="1:24" x14ac:dyDescent="0.2">
      <c r="A789" s="159">
        <v>615230</v>
      </c>
      <c r="B789" s="160" t="s">
        <v>124</v>
      </c>
      <c r="C789" s="148" t="s">
        <v>381</v>
      </c>
      <c r="D789" s="148"/>
      <c r="E789" s="240"/>
      <c r="F789" s="240"/>
      <c r="G789" s="240"/>
      <c r="H789" s="240"/>
      <c r="I789" s="240"/>
      <c r="J789" s="240"/>
      <c r="K789" s="240"/>
      <c r="L789" s="240"/>
      <c r="M789" s="240"/>
      <c r="N789" s="240"/>
      <c r="O789" s="240"/>
      <c r="P789" s="240"/>
      <c r="Q789" s="240"/>
      <c r="R789" s="240"/>
      <c r="S789" s="242">
        <f>SUM(E789:Q789)</f>
        <v>0</v>
      </c>
    </row>
    <row r="790" spans="1:24" s="185" customFormat="1" ht="24" customHeight="1" x14ac:dyDescent="0.2">
      <c r="A790" s="267"/>
      <c r="B790" s="268"/>
      <c r="C790" s="267" t="s">
        <v>66</v>
      </c>
      <c r="D790" s="267"/>
      <c r="E790" s="269">
        <f>SUM(E761:E789)</f>
        <v>-524.69000000000005</v>
      </c>
      <c r="F790" s="269">
        <f t="shared" ref="F790:S790" si="60">SUM(F761:F789)</f>
        <v>6993.26</v>
      </c>
      <c r="G790" s="269">
        <f t="shared" si="60"/>
        <v>7286.5400000000009</v>
      </c>
      <c r="H790" s="269">
        <f t="shared" si="60"/>
        <v>6304.17</v>
      </c>
      <c r="I790" s="269">
        <f t="shared" si="60"/>
        <v>7158.4199999999992</v>
      </c>
      <c r="J790" s="269">
        <f t="shared" si="60"/>
        <v>5940.2700000000013</v>
      </c>
      <c r="K790" s="269">
        <f t="shared" si="60"/>
        <v>6419.13</v>
      </c>
      <c r="L790" s="269">
        <f t="shared" si="60"/>
        <v>5117.7900000000009</v>
      </c>
      <c r="M790" s="269">
        <f t="shared" si="60"/>
        <v>5745.06</v>
      </c>
      <c r="N790" s="269">
        <f t="shared" si="60"/>
        <v>5587.45</v>
      </c>
      <c r="O790" s="269">
        <f t="shared" si="60"/>
        <v>7426.66</v>
      </c>
      <c r="P790" s="269">
        <f t="shared" si="60"/>
        <v>10154.010000000002</v>
      </c>
      <c r="Q790" s="269">
        <f t="shared" si="60"/>
        <v>6020.4900000000007</v>
      </c>
      <c r="R790" s="269">
        <f>SUM(R761:R789)</f>
        <v>0</v>
      </c>
      <c r="S790" s="269">
        <f t="shared" si="60"/>
        <v>79628.560000000012</v>
      </c>
      <c r="T790" s="212">
        <v>73623.070000000007</v>
      </c>
      <c r="U790" s="334">
        <f>T790-S790</f>
        <v>-6005.4900000000052</v>
      </c>
      <c r="V790" s="185" t="s">
        <v>853</v>
      </c>
      <c r="W790" s="569"/>
      <c r="X790" s="569">
        <f>U790-CENTRALISATION!V791</f>
        <v>0</v>
      </c>
    </row>
    <row r="791" spans="1:24" x14ac:dyDescent="0.2">
      <c r="A791" s="159">
        <v>628500</v>
      </c>
      <c r="B791" s="160" t="s">
        <v>125</v>
      </c>
      <c r="C791" s="148" t="s">
        <v>78</v>
      </c>
      <c r="D791" s="148">
        <v>999999</v>
      </c>
      <c r="E791" s="240">
        <f>FLEURY!H231</f>
        <v>0</v>
      </c>
      <c r="F791" s="240">
        <f>FLEURY!I231</f>
        <v>14289.42</v>
      </c>
      <c r="G791" s="240">
        <f>FLEURY!J231</f>
        <v>14289.42</v>
      </c>
      <c r="H791" s="240">
        <f>FLEURY!K231</f>
        <v>14289.42</v>
      </c>
      <c r="I791" s="240">
        <f>FLEURY!L231</f>
        <v>14289.42</v>
      </c>
      <c r="J791" s="240">
        <f>FLEURY!M231</f>
        <v>14289.42</v>
      </c>
      <c r="K791" s="240">
        <f>FLEURY!N231</f>
        <v>14289.42</v>
      </c>
      <c r="L791" s="240">
        <f>FLEURY!O231</f>
        <v>14289.42</v>
      </c>
      <c r="M791" s="240">
        <f>FLEURY!P231</f>
        <v>14289.42</v>
      </c>
      <c r="N791" s="240">
        <f>FLEURY!Q231</f>
        <v>14289.42</v>
      </c>
      <c r="O791" s="240">
        <f>FLEURY!R231</f>
        <v>14289.42</v>
      </c>
      <c r="P791" s="240">
        <f>FLEURY!S231</f>
        <v>14502.62</v>
      </c>
      <c r="Q791" s="240">
        <f>FLEURY!T231</f>
        <v>0</v>
      </c>
      <c r="R791" s="240">
        <f>FLEURY!U231</f>
        <v>0</v>
      </c>
      <c r="S791" s="245">
        <f t="shared" ref="S791:S808" si="61">SUM(E791:Q791)</f>
        <v>157396.82</v>
      </c>
      <c r="T791" s="185"/>
    </row>
    <row r="792" spans="1:24" x14ac:dyDescent="0.2">
      <c r="A792" s="270"/>
      <c r="B792" s="235"/>
      <c r="C792" s="148"/>
      <c r="D792" s="148"/>
      <c r="E792" s="240"/>
      <c r="F792" s="240"/>
      <c r="G792" s="240"/>
      <c r="H792" s="240"/>
      <c r="I792" s="240"/>
      <c r="J792" s="240"/>
      <c r="K792" s="240"/>
      <c r="L792" s="240"/>
      <c r="M792" s="240"/>
      <c r="N792" s="240"/>
      <c r="O792" s="240"/>
      <c r="P792" s="240"/>
      <c r="Q792" s="240"/>
      <c r="R792" s="240"/>
      <c r="S792" s="245">
        <f t="shared" si="61"/>
        <v>0</v>
      </c>
    </row>
    <row r="793" spans="1:24" x14ac:dyDescent="0.2">
      <c r="A793" s="159">
        <v>628500</v>
      </c>
      <c r="B793" s="160" t="s">
        <v>125</v>
      </c>
      <c r="C793" s="148" t="s">
        <v>71</v>
      </c>
      <c r="D793" s="148">
        <v>999999</v>
      </c>
      <c r="E793" s="240">
        <f>+SUM(AIX!H199:H200)</f>
        <v>403.0099999999984</v>
      </c>
      <c r="F793" s="240">
        <f>+SUM(AIX!I199:I200)</f>
        <v>16412.93</v>
      </c>
      <c r="G793" s="240">
        <f>+SUM(AIX!J199:J200)</f>
        <v>14472.570000000002</v>
      </c>
      <c r="H793" s="240">
        <f>+SUM(AIX!K199:K200)</f>
        <v>15991.52</v>
      </c>
      <c r="I793" s="240">
        <f>+SUM(AIX!L199:L200)</f>
        <v>16197.380000000001</v>
      </c>
      <c r="J793" s="240">
        <f>+SUM(AIX!M199:M200)</f>
        <v>17355.27</v>
      </c>
      <c r="K793" s="240">
        <f>+SUM(AIX!N199:N200)</f>
        <v>15836.320000000002</v>
      </c>
      <c r="L793" s="240">
        <f>+SUM(AIX!O199:O200)</f>
        <v>16703.7</v>
      </c>
      <c r="M793" s="240">
        <f>+SUM(AIX!P199:P200)</f>
        <v>16497.84</v>
      </c>
      <c r="N793" s="240">
        <f>+SUM(AIX!Q199:Q200)</f>
        <v>15500.730000000001</v>
      </c>
      <c r="O793" s="240">
        <f>+SUM(AIX!R199:R200)</f>
        <v>16181.86</v>
      </c>
      <c r="P793" s="240">
        <f>+SUM(AIX!S199:S200)</f>
        <v>16342.640000000001</v>
      </c>
      <c r="Q793" s="240">
        <f>+SUM(AIX!T199:T200)</f>
        <v>93.04</v>
      </c>
      <c r="R793" s="240">
        <f>+SUM(AIX!U199:U200)</f>
        <v>0</v>
      </c>
      <c r="S793" s="245">
        <f t="shared" si="61"/>
        <v>177988.81000000003</v>
      </c>
    </row>
    <row r="794" spans="1:24" x14ac:dyDescent="0.2">
      <c r="A794" s="159">
        <v>628500</v>
      </c>
      <c r="B794" s="160" t="s">
        <v>125</v>
      </c>
      <c r="C794" s="148" t="s">
        <v>463</v>
      </c>
      <c r="D794" s="148">
        <v>999999</v>
      </c>
      <c r="E794" s="240">
        <f>+AIX!H201</f>
        <v>0</v>
      </c>
      <c r="F794" s="240">
        <f>+AIX!I201</f>
        <v>0</v>
      </c>
      <c r="G794" s="240">
        <f>+AIX!J201</f>
        <v>0</v>
      </c>
      <c r="H794" s="240">
        <f>+AIX!K201</f>
        <v>0</v>
      </c>
      <c r="I794" s="240">
        <f>+AIX!L201</f>
        <v>0</v>
      </c>
      <c r="J794" s="240">
        <f>+AIX!M201</f>
        <v>0</v>
      </c>
      <c r="K794" s="240">
        <f>+AIX!N201</f>
        <v>0</v>
      </c>
      <c r="L794" s="240">
        <f>+AIX!O201</f>
        <v>0</v>
      </c>
      <c r="M794" s="240">
        <f>+AIX!P201</f>
        <v>0</v>
      </c>
      <c r="N794" s="240">
        <f>+AIX!Q201</f>
        <v>0</v>
      </c>
      <c r="O794" s="240">
        <f>+AIX!R201</f>
        <v>0</v>
      </c>
      <c r="P794" s="240">
        <f>+AIX!S201</f>
        <v>0</v>
      </c>
      <c r="Q794" s="240">
        <f>+AIX!T201</f>
        <v>0</v>
      </c>
      <c r="R794" s="240">
        <f>+AIX!U201</f>
        <v>0</v>
      </c>
      <c r="S794" s="245">
        <f t="shared" si="61"/>
        <v>0</v>
      </c>
    </row>
    <row r="795" spans="1:24" x14ac:dyDescent="0.2">
      <c r="A795" s="270"/>
      <c r="B795" s="235"/>
      <c r="C795" s="148"/>
      <c r="D795" s="148"/>
      <c r="E795" s="240"/>
      <c r="F795" s="240"/>
      <c r="G795" s="240"/>
      <c r="H795" s="240"/>
      <c r="I795" s="240"/>
      <c r="J795" s="240"/>
      <c r="K795" s="240"/>
      <c r="L795" s="240"/>
      <c r="M795" s="240"/>
      <c r="N795" s="240"/>
      <c r="O795" s="240"/>
      <c r="P795" s="240"/>
      <c r="Q795" s="240"/>
      <c r="R795" s="240"/>
      <c r="S795" s="245">
        <f t="shared" si="61"/>
        <v>0</v>
      </c>
    </row>
    <row r="796" spans="1:24" x14ac:dyDescent="0.2">
      <c r="A796" s="159">
        <v>628500</v>
      </c>
      <c r="B796" s="160" t="s">
        <v>125</v>
      </c>
      <c r="C796" s="148" t="s">
        <v>73</v>
      </c>
      <c r="D796" s="148">
        <v>999999</v>
      </c>
      <c r="E796" s="240">
        <f>+LYON!H184</f>
        <v>380.09000000000015</v>
      </c>
      <c r="F796" s="240">
        <f>+LYON!I184</f>
        <v>11033.48</v>
      </c>
      <c r="G796" s="240">
        <f>+LYON!J184</f>
        <v>9857.9600000000009</v>
      </c>
      <c r="H796" s="240">
        <f>+LYON!K184</f>
        <v>10816.800000000001</v>
      </c>
      <c r="I796" s="240">
        <f>+LYON!L184</f>
        <v>11021.07</v>
      </c>
      <c r="J796" s="240">
        <f>+LYON!M184</f>
        <v>11775.640000000001</v>
      </c>
      <c r="K796" s="240">
        <f>+LYON!N184</f>
        <v>10816.800000000001</v>
      </c>
      <c r="L796" s="240">
        <f>+LYON!O184</f>
        <v>16412.21</v>
      </c>
      <c r="M796" s="240">
        <f>+LYON!P184</f>
        <v>16496.489999999998</v>
      </c>
      <c r="N796" s="240">
        <f>+LYON!Q184</f>
        <v>15483.85</v>
      </c>
      <c r="O796" s="240">
        <f>+LYON!R184</f>
        <v>16040.83</v>
      </c>
      <c r="P796" s="240">
        <f>+LYON!S184</f>
        <v>16496.489999999998</v>
      </c>
      <c r="Q796" s="240">
        <f>+LYON!T184</f>
        <v>91.69</v>
      </c>
      <c r="R796" s="240">
        <f>+LYON!U184</f>
        <v>0</v>
      </c>
      <c r="S796" s="245">
        <f t="shared" si="61"/>
        <v>146723.4</v>
      </c>
    </row>
    <row r="797" spans="1:24" x14ac:dyDescent="0.2">
      <c r="A797" s="270"/>
      <c r="B797" s="235"/>
      <c r="C797" s="148"/>
      <c r="D797" s="148"/>
      <c r="E797" s="240"/>
      <c r="F797" s="240"/>
      <c r="G797" s="240"/>
      <c r="H797" s="240"/>
      <c r="I797" s="240"/>
      <c r="J797" s="240"/>
      <c r="K797" s="240"/>
      <c r="L797" s="240"/>
      <c r="M797" s="240"/>
      <c r="N797" s="240"/>
      <c r="O797" s="240"/>
      <c r="P797" s="240"/>
      <c r="Q797" s="240"/>
      <c r="R797" s="240"/>
      <c r="S797" s="245">
        <f t="shared" si="61"/>
        <v>0</v>
      </c>
    </row>
    <row r="798" spans="1:24" x14ac:dyDescent="0.2">
      <c r="A798" s="159">
        <v>628500</v>
      </c>
      <c r="B798" s="160" t="s">
        <v>125</v>
      </c>
      <c r="C798" s="148" t="s">
        <v>67</v>
      </c>
      <c r="D798" s="148">
        <v>999999</v>
      </c>
      <c r="E798" s="240">
        <f>+BORDEAUX!H198</f>
        <v>0</v>
      </c>
      <c r="F798" s="240">
        <f>+BORDEAUX!I198</f>
        <v>13832.81</v>
      </c>
      <c r="G798" s="240">
        <f>+BORDEAUX!J198</f>
        <v>13832.81</v>
      </c>
      <c r="H798" s="240">
        <f>+BORDEAUX!K198</f>
        <v>13832.81</v>
      </c>
      <c r="I798" s="240">
        <f>+BORDEAUX!L198</f>
        <v>13832.81</v>
      </c>
      <c r="J798" s="240">
        <f>+BORDEAUX!M198</f>
        <v>13832.81</v>
      </c>
      <c r="K798" s="240">
        <f>+BORDEAUX!N198</f>
        <v>13832.81</v>
      </c>
      <c r="L798" s="240">
        <f>+BORDEAUX!O198</f>
        <v>13832.81</v>
      </c>
      <c r="M798" s="240">
        <f>+BORDEAUX!P198</f>
        <v>13832.81</v>
      </c>
      <c r="N798" s="240">
        <f>+BORDEAUX!Q198</f>
        <v>13832.81</v>
      </c>
      <c r="O798" s="240">
        <f>+BORDEAUX!R198</f>
        <v>13832.81</v>
      </c>
      <c r="P798" s="240">
        <f>+BORDEAUX!S198</f>
        <v>13925.5</v>
      </c>
      <c r="Q798" s="240">
        <f>+BORDEAUX!T198</f>
        <v>14521.699999999999</v>
      </c>
      <c r="R798" s="240">
        <f>+BORDEAUX!U198</f>
        <v>0</v>
      </c>
      <c r="S798" s="245">
        <f t="shared" si="61"/>
        <v>166775.30000000002</v>
      </c>
    </row>
    <row r="799" spans="1:24" x14ac:dyDescent="0.2">
      <c r="A799" s="270"/>
      <c r="B799" s="235"/>
      <c r="C799" s="148"/>
      <c r="D799" s="148"/>
      <c r="E799" s="240"/>
      <c r="F799" s="240"/>
      <c r="G799" s="240"/>
      <c r="H799" s="240"/>
      <c r="I799" s="240"/>
      <c r="J799" s="240"/>
      <c r="K799" s="240"/>
      <c r="L799" s="240"/>
      <c r="M799" s="240"/>
      <c r="N799" s="240"/>
      <c r="O799" s="240"/>
      <c r="P799" s="240"/>
      <c r="Q799" s="240"/>
      <c r="R799" s="240"/>
      <c r="S799" s="245">
        <f t="shared" si="61"/>
        <v>0</v>
      </c>
    </row>
    <row r="800" spans="1:24" x14ac:dyDescent="0.2">
      <c r="A800" s="159">
        <v>628500</v>
      </c>
      <c r="B800" s="160" t="s">
        <v>125</v>
      </c>
      <c r="C800" s="148" t="s">
        <v>62</v>
      </c>
      <c r="D800" s="148">
        <v>999999</v>
      </c>
      <c r="E800" s="240">
        <f>NANCY!H134</f>
        <v>0</v>
      </c>
      <c r="F800" s="240">
        <f>NANCY!I134</f>
        <v>0</v>
      </c>
      <c r="G800" s="240">
        <f>NANCY!J134</f>
        <v>0</v>
      </c>
      <c r="H800" s="240">
        <f>NANCY!K134</f>
        <v>0</v>
      </c>
      <c r="I800" s="240">
        <f>NANCY!L134</f>
        <v>0</v>
      </c>
      <c r="J800" s="240">
        <f>NANCY!M134</f>
        <v>0</v>
      </c>
      <c r="K800" s="240">
        <f>NANCY!N134</f>
        <v>0</v>
      </c>
      <c r="L800" s="240">
        <f>NANCY!O134</f>
        <v>0</v>
      </c>
      <c r="M800" s="240">
        <f>NANCY!P134</f>
        <v>0</v>
      </c>
      <c r="N800" s="240">
        <f>NANCY!Q134</f>
        <v>0</v>
      </c>
      <c r="O800" s="240">
        <f>NANCY!R134</f>
        <v>0</v>
      </c>
      <c r="P800" s="240">
        <f>NANCY!S134</f>
        <v>0</v>
      </c>
      <c r="Q800" s="240">
        <f>NANCY!T134</f>
        <v>0</v>
      </c>
      <c r="R800" s="240">
        <f>NANCY!U134</f>
        <v>0</v>
      </c>
      <c r="S800" s="245">
        <f t="shared" si="61"/>
        <v>0</v>
      </c>
    </row>
    <row r="801" spans="1:40" x14ac:dyDescent="0.2">
      <c r="A801" s="270"/>
      <c r="B801" s="235"/>
      <c r="C801" s="148"/>
      <c r="D801" s="148"/>
      <c r="E801" s="240"/>
      <c r="F801" s="240"/>
      <c r="G801" s="240"/>
      <c r="H801" s="240"/>
      <c r="I801" s="240"/>
      <c r="J801" s="240"/>
      <c r="K801" s="240"/>
      <c r="L801" s="240"/>
      <c r="M801" s="240"/>
      <c r="N801" s="240"/>
      <c r="O801" s="240"/>
      <c r="P801" s="240"/>
      <c r="Q801" s="240"/>
      <c r="R801" s="240"/>
      <c r="S801" s="245">
        <f t="shared" si="61"/>
        <v>0</v>
      </c>
    </row>
    <row r="802" spans="1:40" x14ac:dyDescent="0.2">
      <c r="A802" s="159">
        <v>628500</v>
      </c>
      <c r="B802" s="160" t="s">
        <v>125</v>
      </c>
      <c r="C802" s="148" t="s">
        <v>80</v>
      </c>
      <c r="D802" s="148">
        <v>999999</v>
      </c>
      <c r="E802" s="240">
        <f>+RENNES!H189</f>
        <v>-110</v>
      </c>
      <c r="F802" s="240">
        <f>+RENNES!I189</f>
        <v>3345.73</v>
      </c>
      <c r="G802" s="240">
        <f>+RENNES!J189</f>
        <v>3239.72</v>
      </c>
      <c r="H802" s="240">
        <f>+RENNES!K189</f>
        <v>3239.72</v>
      </c>
      <c r="I802" s="240">
        <f>+RENNES!L189</f>
        <v>3239.72</v>
      </c>
      <c r="J802" s="240">
        <f>+RENNES!M189</f>
        <v>3239.72</v>
      </c>
      <c r="K802" s="240">
        <f>+RENNES!N189</f>
        <v>3239.72</v>
      </c>
      <c r="L802" s="240">
        <f>+RENNES!O189</f>
        <v>3239.72</v>
      </c>
      <c r="M802" s="240">
        <f>+RENNES!P189</f>
        <v>3239.72</v>
      </c>
      <c r="N802" s="240">
        <f>+RENNES!Q189</f>
        <v>3239.72</v>
      </c>
      <c r="O802" s="240">
        <f>+RENNES!R189</f>
        <v>3239.72</v>
      </c>
      <c r="P802" s="240">
        <f>+RENNES!S189</f>
        <v>3590.5699999999997</v>
      </c>
      <c r="Q802" s="240">
        <f>+RENNES!T189</f>
        <v>3696.58</v>
      </c>
      <c r="R802" s="240">
        <f>+RENNES!U189</f>
        <v>0</v>
      </c>
      <c r="S802" s="245">
        <f t="shared" si="61"/>
        <v>39680.36</v>
      </c>
      <c r="T802" s="273"/>
    </row>
    <row r="803" spans="1:40" x14ac:dyDescent="0.2">
      <c r="A803" s="270"/>
      <c r="B803" s="235"/>
      <c r="C803" s="148"/>
      <c r="D803" s="148"/>
      <c r="E803" s="240"/>
      <c r="F803" s="240"/>
      <c r="G803" s="240"/>
      <c r="H803" s="240"/>
      <c r="I803" s="240"/>
      <c r="J803" s="240"/>
      <c r="K803" s="240"/>
      <c r="L803" s="240"/>
      <c r="M803" s="240"/>
      <c r="N803" s="240"/>
      <c r="O803" s="240"/>
      <c r="P803" s="240"/>
      <c r="Q803" s="240"/>
      <c r="R803" s="240"/>
      <c r="S803" s="245">
        <f t="shared" si="61"/>
        <v>0</v>
      </c>
      <c r="T803" s="186"/>
      <c r="W803" s="186"/>
      <c r="X803" s="186"/>
      <c r="Y803" s="186"/>
      <c r="Z803" s="186"/>
      <c r="AA803" s="186"/>
      <c r="AB803" s="186"/>
      <c r="AC803" s="186"/>
      <c r="AD803" s="186"/>
      <c r="AE803" s="186"/>
      <c r="AF803" s="186"/>
      <c r="AG803" s="186"/>
      <c r="AH803" s="186"/>
      <c r="AI803" s="186"/>
      <c r="AJ803" s="186"/>
      <c r="AK803" s="186"/>
      <c r="AL803" s="186"/>
      <c r="AM803" s="186"/>
      <c r="AN803" s="186"/>
    </row>
    <row r="804" spans="1:40" x14ac:dyDescent="0.2">
      <c r="A804" s="159">
        <v>628500</v>
      </c>
      <c r="B804" s="160" t="s">
        <v>125</v>
      </c>
      <c r="C804" s="148" t="s">
        <v>156</v>
      </c>
      <c r="D804" s="148">
        <v>999999</v>
      </c>
      <c r="E804" s="240">
        <f>BEAUVAIS!H197</f>
        <v>0</v>
      </c>
      <c r="F804" s="240">
        <f>BEAUVAIS!I197</f>
        <v>16891.170000000002</v>
      </c>
      <c r="G804" s="240">
        <f>BEAUVAIS!J197</f>
        <v>16891.170000000002</v>
      </c>
      <c r="H804" s="240">
        <f>BEAUVAIS!K197</f>
        <v>16891.170000000002</v>
      </c>
      <c r="I804" s="240">
        <f>BEAUVAIS!L197</f>
        <v>16891.170000000002</v>
      </c>
      <c r="J804" s="240">
        <f>BEAUVAIS!M197</f>
        <v>16891.170000000002</v>
      </c>
      <c r="K804" s="240">
        <f>BEAUVAIS!N197</f>
        <v>16891.170000000002</v>
      </c>
      <c r="L804" s="240">
        <f>BEAUVAIS!O197</f>
        <v>16891.170000000002</v>
      </c>
      <c r="M804" s="240">
        <f>BEAUVAIS!P197</f>
        <v>16891.170000000002</v>
      </c>
      <c r="N804" s="240">
        <f>BEAUVAIS!Q197</f>
        <v>16891.170000000002</v>
      </c>
      <c r="O804" s="240">
        <f>BEAUVAIS!R197</f>
        <v>16891.170000000002</v>
      </c>
      <c r="P804" s="240">
        <f>BEAUVAIS!S197</f>
        <v>16891.170000000002</v>
      </c>
      <c r="Q804" s="240">
        <f>BEAUVAIS!T197</f>
        <v>94.31</v>
      </c>
      <c r="R804" s="240">
        <f>BEAUVAIS!U197</f>
        <v>0</v>
      </c>
      <c r="S804" s="245">
        <f t="shared" si="61"/>
        <v>185897.18000000005</v>
      </c>
    </row>
    <row r="805" spans="1:40" x14ac:dyDescent="0.2">
      <c r="A805" s="270"/>
      <c r="B805" s="235"/>
      <c r="C805" s="148"/>
      <c r="D805" s="148"/>
      <c r="E805" s="240"/>
      <c r="F805" s="240"/>
      <c r="G805" s="240"/>
      <c r="H805" s="240"/>
      <c r="I805" s="240"/>
      <c r="J805" s="240"/>
      <c r="K805" s="240"/>
      <c r="L805" s="240"/>
      <c r="M805" s="240"/>
      <c r="N805" s="240"/>
      <c r="O805" s="240"/>
      <c r="P805" s="240"/>
      <c r="Q805" s="240"/>
      <c r="R805" s="240"/>
      <c r="S805" s="245">
        <f t="shared" si="61"/>
        <v>0</v>
      </c>
    </row>
    <row r="806" spans="1:40" x14ac:dyDescent="0.2">
      <c r="A806" s="159">
        <v>628500</v>
      </c>
      <c r="B806" s="160" t="s">
        <v>125</v>
      </c>
      <c r="C806" s="148" t="s">
        <v>79</v>
      </c>
      <c r="D806" s="148">
        <v>999999</v>
      </c>
      <c r="E806" s="240">
        <f>+SUM(SIEGE!H206:H212)</f>
        <v>-0.15999999999996817</v>
      </c>
      <c r="F806" s="240">
        <f>+SUM(SIEGE!I206:I212)</f>
        <v>3477.9900000000002</v>
      </c>
      <c r="G806" s="240">
        <f>+SUM(SIEGE!J206:J212)</f>
        <v>2603.87</v>
      </c>
      <c r="H806" s="240">
        <f>+SUM(SIEGE!K206:K212)</f>
        <v>2603.87</v>
      </c>
      <c r="I806" s="240">
        <f>+SUM(SIEGE!L206:L212)</f>
        <v>2603.87</v>
      </c>
      <c r="J806" s="240">
        <f>+SUM(SIEGE!M206:M212)</f>
        <v>2603.87</v>
      </c>
      <c r="K806" s="240">
        <f>+SUM(SIEGE!N206:N212)</f>
        <v>2423.87</v>
      </c>
      <c r="L806" s="240">
        <f>+SUM(SIEGE!O206:O212)</f>
        <v>2783.56</v>
      </c>
      <c r="M806" s="240">
        <f>+SUM(SIEGE!P206:P212)</f>
        <v>2603.87</v>
      </c>
      <c r="N806" s="240">
        <f>+SUM(SIEGE!Q206:Q212)</f>
        <v>2603.87</v>
      </c>
      <c r="O806" s="240">
        <f>+SUM(SIEGE!R206:R212)</f>
        <v>2603.87</v>
      </c>
      <c r="P806" s="240">
        <f>+SUM(SIEGE!S206:S212)</f>
        <v>2604.0299999999997</v>
      </c>
      <c r="Q806" s="240">
        <f>+SUM(SIEGE!T206:T212)</f>
        <v>207.49</v>
      </c>
      <c r="R806" s="240"/>
      <c r="S806" s="245">
        <f t="shared" si="61"/>
        <v>29723.869999999995</v>
      </c>
    </row>
    <row r="807" spans="1:40" x14ac:dyDescent="0.2">
      <c r="A807" s="159"/>
      <c r="B807" s="160"/>
      <c r="C807" s="148"/>
      <c r="D807" s="148"/>
      <c r="E807" s="240"/>
      <c r="F807" s="240"/>
      <c r="G807" s="240"/>
      <c r="H807" s="240"/>
      <c r="I807" s="240"/>
      <c r="J807" s="240"/>
      <c r="K807" s="240"/>
      <c r="L807" s="240"/>
      <c r="M807" s="240"/>
      <c r="N807" s="240"/>
      <c r="O807" s="240"/>
      <c r="P807" s="240"/>
      <c r="Q807" s="240"/>
      <c r="R807" s="240"/>
      <c r="S807" s="245">
        <f t="shared" si="61"/>
        <v>0</v>
      </c>
    </row>
    <row r="808" spans="1:40" x14ac:dyDescent="0.2">
      <c r="A808" s="159">
        <v>628500</v>
      </c>
      <c r="B808" s="160" t="s">
        <v>125</v>
      </c>
      <c r="C808" s="148" t="s">
        <v>172</v>
      </c>
      <c r="D808" s="148">
        <v>999999</v>
      </c>
      <c r="E808" s="240">
        <f>TOULOUSE!H118</f>
        <v>-281.12</v>
      </c>
      <c r="F808" s="240">
        <f>TOULOUSE!I118</f>
        <v>20.91</v>
      </c>
      <c r="G808" s="240">
        <f>TOULOUSE!J118</f>
        <v>20.91</v>
      </c>
      <c r="H808" s="240">
        <f>TOULOUSE!K118</f>
        <v>20.91</v>
      </c>
      <c r="I808" s="240">
        <f>TOULOUSE!L118</f>
        <v>20.91</v>
      </c>
      <c r="J808" s="240">
        <f>TOULOUSE!M118</f>
        <v>20.91</v>
      </c>
      <c r="K808" s="240">
        <f>TOULOUSE!N118</f>
        <v>20.91</v>
      </c>
      <c r="L808" s="240">
        <f>TOULOUSE!O118</f>
        <v>20.91</v>
      </c>
      <c r="M808" s="240">
        <f>TOULOUSE!P118</f>
        <v>20.91</v>
      </c>
      <c r="N808" s="240">
        <f>TOULOUSE!Q118</f>
        <v>20.91</v>
      </c>
      <c r="O808" s="240">
        <f>TOULOUSE!R118</f>
        <v>20.91</v>
      </c>
      <c r="P808" s="240">
        <f>TOULOUSE!S118</f>
        <v>20.91</v>
      </c>
      <c r="Q808" s="240">
        <f>TOULOUSE!T118</f>
        <v>20.91</v>
      </c>
      <c r="R808" s="240">
        <f>TOULOUSE!U118</f>
        <v>0</v>
      </c>
      <c r="S808" s="245">
        <f t="shared" si="61"/>
        <v>-30.200000000000014</v>
      </c>
    </row>
    <row r="809" spans="1:40" x14ac:dyDescent="0.2">
      <c r="A809" s="159"/>
      <c r="B809" s="160"/>
      <c r="C809" s="148"/>
      <c r="D809" s="148"/>
      <c r="E809" s="240"/>
      <c r="F809" s="240"/>
      <c r="G809" s="240"/>
      <c r="H809" s="240"/>
      <c r="I809" s="240"/>
      <c r="J809" s="240"/>
      <c r="K809" s="240"/>
      <c r="L809" s="240"/>
      <c r="M809" s="240"/>
      <c r="N809" s="240"/>
      <c r="O809" s="240"/>
      <c r="P809" s="240"/>
      <c r="Q809" s="240"/>
      <c r="R809" s="240"/>
      <c r="S809" s="245"/>
    </row>
    <row r="810" spans="1:40" x14ac:dyDescent="0.2">
      <c r="A810" s="159">
        <v>628500</v>
      </c>
      <c r="B810" s="160" t="s">
        <v>125</v>
      </c>
      <c r="C810" s="148" t="s">
        <v>367</v>
      </c>
      <c r="D810" s="148"/>
      <c r="E810" s="240"/>
      <c r="F810" s="240">
        <v>-771.07</v>
      </c>
      <c r="G810" s="240">
        <f>771.07-1335</f>
        <v>-563.92999999999995</v>
      </c>
      <c r="H810" s="240">
        <f>1335+1842.39</f>
        <v>3177.3900000000003</v>
      </c>
      <c r="I810" s="240">
        <f>-1842.39+2321.09</f>
        <v>478.70000000000005</v>
      </c>
      <c r="J810" s="240">
        <f>-2321.09+3596.61</f>
        <v>1275.52</v>
      </c>
      <c r="K810" s="240">
        <f>-3596.61+3857.79</f>
        <v>261.17999999999984</v>
      </c>
      <c r="L810" s="240">
        <f>-3857.79+11633.32</f>
        <v>7775.53</v>
      </c>
      <c r="M810" s="240">
        <f>-11633.32+8236.01</f>
        <v>-3397.3099999999995</v>
      </c>
      <c r="N810" s="240">
        <f>-8236.01+11195.34</f>
        <v>2959.33</v>
      </c>
      <c r="O810" s="240">
        <f>-11195.34+12161.73</f>
        <v>966.38999999999942</v>
      </c>
      <c r="P810" s="240">
        <f>-12161.73+1.21</f>
        <v>-12160.52</v>
      </c>
      <c r="Q810" s="240"/>
      <c r="R810" s="240"/>
      <c r="S810" s="245">
        <f>SUM(E810:Q810)</f>
        <v>1.2099999999991269</v>
      </c>
    </row>
    <row r="811" spans="1:40" x14ac:dyDescent="0.2">
      <c r="A811" s="159"/>
      <c r="B811" s="160"/>
      <c r="C811" s="148"/>
      <c r="D811" s="148"/>
      <c r="E811" s="240"/>
      <c r="F811" s="240"/>
      <c r="G811" s="240"/>
      <c r="H811" s="240"/>
      <c r="I811" s="240"/>
      <c r="J811" s="240"/>
      <c r="K811" s="240"/>
      <c r="L811" s="240"/>
      <c r="M811" s="240"/>
      <c r="N811" s="240"/>
      <c r="O811" s="240"/>
      <c r="P811" s="240"/>
      <c r="Q811" s="240"/>
      <c r="R811" s="240"/>
      <c r="S811" s="245">
        <f>SUM(E811:Q811)</f>
        <v>0</v>
      </c>
    </row>
    <row r="812" spans="1:40" s="185" customFormat="1" ht="24" customHeight="1" x14ac:dyDescent="0.2">
      <c r="A812" s="267"/>
      <c r="B812" s="268"/>
      <c r="C812" s="267" t="s">
        <v>66</v>
      </c>
      <c r="D812" s="267"/>
      <c r="E812" s="269">
        <f>SUM(E791:E811)</f>
        <v>391.81999999999857</v>
      </c>
      <c r="F812" s="269">
        <f t="shared" ref="F812:S812" si="62">SUM(F791:F811)</f>
        <v>78533.37000000001</v>
      </c>
      <c r="G812" s="269">
        <f t="shared" si="62"/>
        <v>74644.500000000015</v>
      </c>
      <c r="H812" s="269">
        <f t="shared" si="62"/>
        <v>80863.61</v>
      </c>
      <c r="I812" s="269">
        <f t="shared" si="62"/>
        <v>78575.05</v>
      </c>
      <c r="J812" s="269">
        <f t="shared" si="62"/>
        <v>81284.33</v>
      </c>
      <c r="K812" s="269">
        <f t="shared" si="62"/>
        <v>77612.2</v>
      </c>
      <c r="L812" s="269">
        <f t="shared" si="62"/>
        <v>91949.03</v>
      </c>
      <c r="M812" s="269">
        <f t="shared" si="62"/>
        <v>80474.92</v>
      </c>
      <c r="N812" s="269">
        <f t="shared" si="62"/>
        <v>84821.81</v>
      </c>
      <c r="O812" s="269">
        <f t="shared" si="62"/>
        <v>84066.98</v>
      </c>
      <c r="P812" s="269">
        <f t="shared" si="62"/>
        <v>72213.41</v>
      </c>
      <c r="Q812" s="269">
        <f t="shared" si="62"/>
        <v>18725.72</v>
      </c>
      <c r="R812" s="269">
        <f>SUM(R791:R811)</f>
        <v>0</v>
      </c>
      <c r="S812" s="269">
        <f t="shared" si="62"/>
        <v>904156.75000000012</v>
      </c>
      <c r="T812" s="212">
        <v>883666.84</v>
      </c>
      <c r="U812" s="334">
        <f>T812-S812</f>
        <v>-20489.910000000149</v>
      </c>
      <c r="V812" s="185" t="s">
        <v>853</v>
      </c>
      <c r="X812" s="569">
        <f>U812-CENTRALISATION!V813</f>
        <v>0</v>
      </c>
    </row>
  </sheetData>
  <mergeCells count="1">
    <mergeCell ref="T736:T737"/>
  </mergeCells>
  <pageMargins left="0.70866141732283472" right="0.70866141732283472" top="0.74803149606299213" bottom="0.74803149606299213" header="0.31496062992125984" footer="0.31496062992125984"/>
  <pageSetup paperSize="9" scale="55" fitToHeight="0" orientation="landscape" r:id="rId1"/>
  <headerFooter alignWithMargins="0">
    <oddFooter>&amp;R&amp;8Le &amp;D
&amp;T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51"/>
  <sheetViews>
    <sheetView tabSelected="1" workbookViewId="0">
      <selection activeCell="G6" sqref="G6"/>
    </sheetView>
  </sheetViews>
  <sheetFormatPr baseColWidth="10" defaultRowHeight="12.75" x14ac:dyDescent="0.2"/>
  <cols>
    <col min="3" max="3" width="7.140625" customWidth="1"/>
    <col min="4" max="4" width="12" bestFit="1" customWidth="1"/>
  </cols>
  <sheetData>
    <row r="1" spans="1:5" x14ac:dyDescent="0.2">
      <c r="A1" s="161" t="s">
        <v>3</v>
      </c>
      <c r="D1" s="161" t="s">
        <v>875</v>
      </c>
      <c r="E1" s="161" t="s">
        <v>874</v>
      </c>
    </row>
    <row r="2" spans="1:5" x14ac:dyDescent="0.2">
      <c r="A2" s="159">
        <v>615111</v>
      </c>
      <c r="D2" t="s">
        <v>77</v>
      </c>
      <c r="E2" t="s">
        <v>876</v>
      </c>
    </row>
    <row r="3" spans="1:5" x14ac:dyDescent="0.2">
      <c r="A3" s="159">
        <v>615113</v>
      </c>
      <c r="D3" t="s">
        <v>78</v>
      </c>
      <c r="E3" t="s">
        <v>876</v>
      </c>
    </row>
    <row r="4" spans="1:5" x14ac:dyDescent="0.2">
      <c r="A4" s="181">
        <v>615114</v>
      </c>
      <c r="D4" t="s">
        <v>145</v>
      </c>
      <c r="E4" t="s">
        <v>876</v>
      </c>
    </row>
    <row r="5" spans="1:5" x14ac:dyDescent="0.2">
      <c r="A5" s="159">
        <v>615130</v>
      </c>
      <c r="D5" t="s">
        <v>76</v>
      </c>
      <c r="E5" t="s">
        <v>876</v>
      </c>
    </row>
    <row r="6" spans="1:5" x14ac:dyDescent="0.2">
      <c r="A6" s="159">
        <v>615135</v>
      </c>
      <c r="D6" t="s">
        <v>701</v>
      </c>
      <c r="E6" t="s">
        <v>876</v>
      </c>
    </row>
    <row r="7" spans="1:5" x14ac:dyDescent="0.2">
      <c r="A7" s="181">
        <v>615136</v>
      </c>
      <c r="D7" t="s">
        <v>137</v>
      </c>
      <c r="E7" t="s">
        <v>876</v>
      </c>
    </row>
    <row r="8" spans="1:5" x14ac:dyDescent="0.2">
      <c r="A8" s="181">
        <v>615137</v>
      </c>
      <c r="D8" t="s">
        <v>70</v>
      </c>
      <c r="E8" t="s">
        <v>877</v>
      </c>
    </row>
    <row r="9" spans="1:5" x14ac:dyDescent="0.2">
      <c r="A9" s="159">
        <v>615140</v>
      </c>
      <c r="D9" t="s">
        <v>71</v>
      </c>
      <c r="E9" t="s">
        <v>877</v>
      </c>
    </row>
    <row r="10" spans="1:5" x14ac:dyDescent="0.2">
      <c r="A10" s="159">
        <v>615145</v>
      </c>
      <c r="D10" t="s">
        <v>108</v>
      </c>
      <c r="E10" t="s">
        <v>877</v>
      </c>
    </row>
    <row r="11" spans="1:5" x14ac:dyDescent="0.2">
      <c r="A11" s="159">
        <v>615150</v>
      </c>
      <c r="D11" t="s">
        <v>72</v>
      </c>
      <c r="E11" t="s">
        <v>877</v>
      </c>
    </row>
    <row r="12" spans="1:5" x14ac:dyDescent="0.2">
      <c r="A12" s="159">
        <v>615155</v>
      </c>
      <c r="D12" t="s">
        <v>396</v>
      </c>
      <c r="E12" t="s">
        <v>877</v>
      </c>
    </row>
    <row r="13" spans="1:5" x14ac:dyDescent="0.2">
      <c r="A13" s="159">
        <v>615160</v>
      </c>
      <c r="D13" t="s">
        <v>702</v>
      </c>
      <c r="E13" t="s">
        <v>877</v>
      </c>
    </row>
    <row r="14" spans="1:5" x14ac:dyDescent="0.2">
      <c r="A14" s="159">
        <v>615170</v>
      </c>
      <c r="D14" t="s">
        <v>463</v>
      </c>
      <c r="E14" t="s">
        <v>877</v>
      </c>
    </row>
    <row r="15" spans="1:5" x14ac:dyDescent="0.2">
      <c r="A15" s="181">
        <v>615175</v>
      </c>
      <c r="D15" t="s">
        <v>75</v>
      </c>
      <c r="E15" t="s">
        <v>878</v>
      </c>
    </row>
    <row r="16" spans="1:5" x14ac:dyDescent="0.2">
      <c r="A16" s="159">
        <v>615176</v>
      </c>
      <c r="D16" t="s">
        <v>73</v>
      </c>
      <c r="E16" t="s">
        <v>878</v>
      </c>
    </row>
    <row r="17" spans="1:5" x14ac:dyDescent="0.2">
      <c r="A17" s="159">
        <v>615180</v>
      </c>
      <c r="D17" t="s">
        <v>163</v>
      </c>
      <c r="E17" t="s">
        <v>878</v>
      </c>
    </row>
    <row r="18" spans="1:5" x14ac:dyDescent="0.2">
      <c r="A18" s="159">
        <v>615190</v>
      </c>
      <c r="D18" t="s">
        <v>74</v>
      </c>
      <c r="E18" t="s">
        <v>878</v>
      </c>
    </row>
    <row r="19" spans="1:5" x14ac:dyDescent="0.2">
      <c r="A19" s="159">
        <v>615191</v>
      </c>
      <c r="D19" t="s">
        <v>147</v>
      </c>
      <c r="E19" t="s">
        <v>878</v>
      </c>
    </row>
    <row r="20" spans="1:5" x14ac:dyDescent="0.2">
      <c r="A20" s="159">
        <v>615193</v>
      </c>
      <c r="D20" t="s">
        <v>234</v>
      </c>
      <c r="E20" t="s">
        <v>879</v>
      </c>
    </row>
    <row r="21" spans="1:5" x14ac:dyDescent="0.2">
      <c r="A21" s="159">
        <v>615194</v>
      </c>
      <c r="D21" t="s">
        <v>67</v>
      </c>
      <c r="E21" t="s">
        <v>879</v>
      </c>
    </row>
    <row r="22" spans="1:5" x14ac:dyDescent="0.2">
      <c r="A22" s="159">
        <v>615195</v>
      </c>
      <c r="D22" t="s">
        <v>130</v>
      </c>
      <c r="E22" t="s">
        <v>879</v>
      </c>
    </row>
    <row r="23" spans="1:5" x14ac:dyDescent="0.2">
      <c r="A23" s="159">
        <v>615196</v>
      </c>
      <c r="D23" t="s">
        <v>68</v>
      </c>
      <c r="E23" t="s">
        <v>879</v>
      </c>
    </row>
    <row r="24" spans="1:5" x14ac:dyDescent="0.2">
      <c r="A24" s="159">
        <v>615200</v>
      </c>
      <c r="D24" t="s">
        <v>658</v>
      </c>
      <c r="E24" t="s">
        <v>879</v>
      </c>
    </row>
    <row r="25" spans="1:5" x14ac:dyDescent="0.2">
      <c r="A25" s="159">
        <v>615205</v>
      </c>
      <c r="D25" t="s">
        <v>194</v>
      </c>
      <c r="E25" t="s">
        <v>880</v>
      </c>
    </row>
    <row r="26" spans="1:5" x14ac:dyDescent="0.2">
      <c r="A26" s="159">
        <v>615210</v>
      </c>
      <c r="D26" t="s">
        <v>62</v>
      </c>
      <c r="E26" t="s">
        <v>880</v>
      </c>
    </row>
    <row r="27" spans="1:5" x14ac:dyDescent="0.2">
      <c r="A27" s="159">
        <v>615215</v>
      </c>
      <c r="D27" t="s">
        <v>153</v>
      </c>
      <c r="E27" t="s">
        <v>880</v>
      </c>
    </row>
    <row r="28" spans="1:5" x14ac:dyDescent="0.2">
      <c r="A28" s="159">
        <v>615220</v>
      </c>
      <c r="D28" t="s">
        <v>63</v>
      </c>
      <c r="E28" t="s">
        <v>880</v>
      </c>
    </row>
    <row r="29" spans="1:5" x14ac:dyDescent="0.2">
      <c r="A29" s="159">
        <v>615230</v>
      </c>
      <c r="D29" t="s">
        <v>705</v>
      </c>
      <c r="E29" t="s">
        <v>880</v>
      </c>
    </row>
    <row r="30" spans="1:5" x14ac:dyDescent="0.2">
      <c r="A30" s="159">
        <v>628500</v>
      </c>
      <c r="D30" t="s">
        <v>706</v>
      </c>
      <c r="E30" t="s">
        <v>880</v>
      </c>
    </row>
    <row r="31" spans="1:5" x14ac:dyDescent="0.2">
      <c r="D31" t="s">
        <v>235</v>
      </c>
      <c r="E31" t="s">
        <v>881</v>
      </c>
    </row>
    <row r="32" spans="1:5" x14ac:dyDescent="0.2">
      <c r="D32" t="s">
        <v>80</v>
      </c>
      <c r="E32" t="s">
        <v>881</v>
      </c>
    </row>
    <row r="33" spans="4:5" x14ac:dyDescent="0.2">
      <c r="D33" t="s">
        <v>143</v>
      </c>
      <c r="E33" t="s">
        <v>881</v>
      </c>
    </row>
    <row r="34" spans="4:5" x14ac:dyDescent="0.2">
      <c r="D34" t="s">
        <v>81</v>
      </c>
      <c r="E34" t="s">
        <v>881</v>
      </c>
    </row>
    <row r="35" spans="4:5" x14ac:dyDescent="0.2">
      <c r="D35" t="s">
        <v>708</v>
      </c>
      <c r="E35" t="s">
        <v>881</v>
      </c>
    </row>
    <row r="36" spans="4:5" x14ac:dyDescent="0.2">
      <c r="D36" t="s">
        <v>236</v>
      </c>
      <c r="E36" t="s">
        <v>882</v>
      </c>
    </row>
    <row r="37" spans="4:5" x14ac:dyDescent="0.2">
      <c r="D37" t="s">
        <v>156</v>
      </c>
      <c r="E37" t="s">
        <v>882</v>
      </c>
    </row>
    <row r="38" spans="4:5" x14ac:dyDescent="0.2">
      <c r="D38" t="s">
        <v>157</v>
      </c>
      <c r="E38" t="s">
        <v>882</v>
      </c>
    </row>
    <row r="39" spans="4:5" x14ac:dyDescent="0.2">
      <c r="D39" t="s">
        <v>155</v>
      </c>
      <c r="E39" t="s">
        <v>882</v>
      </c>
    </row>
    <row r="40" spans="4:5" x14ac:dyDescent="0.2">
      <c r="D40" t="s">
        <v>709</v>
      </c>
      <c r="E40" t="s">
        <v>882</v>
      </c>
    </row>
    <row r="41" spans="4:5" x14ac:dyDescent="0.2">
      <c r="D41" t="s">
        <v>395</v>
      </c>
      <c r="E41" t="s">
        <v>882</v>
      </c>
    </row>
    <row r="42" spans="4:5" x14ac:dyDescent="0.2">
      <c r="D42" t="s">
        <v>237</v>
      </c>
      <c r="E42" t="s">
        <v>883</v>
      </c>
    </row>
    <row r="43" spans="4:5" x14ac:dyDescent="0.2">
      <c r="D43" t="s">
        <v>172</v>
      </c>
      <c r="E43" t="s">
        <v>883</v>
      </c>
    </row>
    <row r="44" spans="4:5" x14ac:dyDescent="0.2">
      <c r="D44" t="s">
        <v>205</v>
      </c>
      <c r="E44" t="s">
        <v>883</v>
      </c>
    </row>
    <row r="45" spans="4:5" x14ac:dyDescent="0.2">
      <c r="D45" t="s">
        <v>309</v>
      </c>
      <c r="E45" t="s">
        <v>883</v>
      </c>
    </row>
    <row r="46" spans="4:5" x14ac:dyDescent="0.2">
      <c r="D46" t="s">
        <v>710</v>
      </c>
      <c r="E46" t="s">
        <v>883</v>
      </c>
    </row>
    <row r="47" spans="4:5" x14ac:dyDescent="0.2">
      <c r="D47" t="s">
        <v>442</v>
      </c>
      <c r="E47" t="s">
        <v>883</v>
      </c>
    </row>
    <row r="48" spans="4:5" x14ac:dyDescent="0.2">
      <c r="D48" t="s">
        <v>79</v>
      </c>
      <c r="E48" t="s">
        <v>884</v>
      </c>
    </row>
    <row r="49" spans="4:5" x14ac:dyDescent="0.2">
      <c r="D49" t="s">
        <v>693</v>
      </c>
      <c r="E49" t="s">
        <v>884</v>
      </c>
    </row>
    <row r="50" spans="4:5" x14ac:dyDescent="0.2">
      <c r="D50" t="s">
        <v>319</v>
      </c>
      <c r="E50" t="s">
        <v>884</v>
      </c>
    </row>
    <row r="51" spans="4:5" x14ac:dyDescent="0.2">
      <c r="D51" t="s">
        <v>463</v>
      </c>
      <c r="E51" t="s">
        <v>884</v>
      </c>
    </row>
  </sheetData>
  <sortState ref="D42:D47">
    <sortCondition ref="D4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18</vt:i4>
      </vt:variant>
    </vt:vector>
  </HeadingPairs>
  <TitlesOfParts>
    <vt:vector size="30" baseType="lpstr">
      <vt:lpstr>FLEURY</vt:lpstr>
      <vt:lpstr>AIX</vt:lpstr>
      <vt:lpstr>LYON</vt:lpstr>
      <vt:lpstr>BORDEAUX</vt:lpstr>
      <vt:lpstr>NANCY</vt:lpstr>
      <vt:lpstr>RENNES</vt:lpstr>
      <vt:lpstr>BEAUVAIS</vt:lpstr>
      <vt:lpstr>TOULOUSE</vt:lpstr>
      <vt:lpstr>SIEGE</vt:lpstr>
      <vt:lpstr>CENTRALISATION</vt:lpstr>
      <vt:lpstr>CENTRALISATION (2)</vt:lpstr>
      <vt:lpstr>compte</vt:lpstr>
      <vt:lpstr>COMPTE</vt:lpstr>
      <vt:lpstr>AIX!Impression_des_titres</vt:lpstr>
      <vt:lpstr>BORDEAUX!Impression_des_titres</vt:lpstr>
      <vt:lpstr>CENTRALISATION!Impression_des_titres</vt:lpstr>
      <vt:lpstr>'CENTRALISATION (2)'!Impression_des_titres</vt:lpstr>
      <vt:lpstr>FLEURY!Impression_des_titres</vt:lpstr>
      <vt:lpstr>RENNES!Impression_des_titres</vt:lpstr>
      <vt:lpstr>SIEGE!Impression_des_titres</vt:lpstr>
      <vt:lpstr>AIX!Zone_d_impression</vt:lpstr>
      <vt:lpstr>BEAUVAIS!Zone_d_impression</vt:lpstr>
      <vt:lpstr>BORDEAUX!Zone_d_impression</vt:lpstr>
      <vt:lpstr>CENTRALISATION!Zone_d_impression</vt:lpstr>
      <vt:lpstr>'CENTRALISATION (2)'!Zone_d_impression</vt:lpstr>
      <vt:lpstr>FLEURY!Zone_d_impression</vt:lpstr>
      <vt:lpstr>LYON!Zone_d_impression</vt:lpstr>
      <vt:lpstr>NANCY!Zone_d_impression</vt:lpstr>
      <vt:lpstr>RENNES!Zone_d_impression</vt:lpstr>
      <vt:lpstr>TOULOUSE!Zone_d_impression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LR Services</dc:creator>
  <cp:lastModifiedBy>Kilian Spieczny</cp:lastModifiedBy>
  <cp:lastPrinted>2017-11-02T08:11:14Z</cp:lastPrinted>
  <dcterms:created xsi:type="dcterms:W3CDTF">2000-01-13T10:09:29Z</dcterms:created>
  <dcterms:modified xsi:type="dcterms:W3CDTF">2018-01-08T09:03:48Z</dcterms:modified>
</cp:coreProperties>
</file>