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80" yWindow="405" windowWidth="28215" windowHeight="12240"/>
  </bookViews>
  <sheets>
    <sheet name="COMMANDE" sheetId="1" r:id="rId1"/>
    <sheet name="PRIX" sheetId="10" state="hidden" r:id="rId2"/>
    <sheet name="A" sheetId="13" state="hidden" r:id="rId3"/>
    <sheet name="B" sheetId="12" state="hidden" r:id="rId4"/>
    <sheet name="C" sheetId="14" state="hidden" r:id="rId5"/>
    <sheet name="D" sheetId="16" state="hidden" r:id="rId6"/>
    <sheet name="PASSION CHOCO" sheetId="18" state="veryHidden" r:id="rId7"/>
    <sheet name="ROYAL" sheetId="19" state="veryHidden" r:id="rId8"/>
    <sheet name="FRAISE CITRON" sheetId="20" state="veryHidden" r:id="rId9"/>
    <sheet name="MOKA CAFE" sheetId="21" state="veryHidden" r:id="rId10"/>
    <sheet name="MOKA CHOCOLAT" sheetId="22" state="veryHidden" r:id="rId11"/>
    <sheet name="MOKA PRALINÉ" sheetId="23" state="veryHidden" r:id="rId12"/>
    <sheet name="OPERA" sheetId="24" state="veryHidden" r:id="rId13"/>
  </sheets>
  <calcPr calcId="145621"/>
</workbook>
</file>

<file path=xl/calcChain.xml><?xml version="1.0" encoding="utf-8"?>
<calcChain xmlns="http://schemas.openxmlformats.org/spreadsheetml/2006/main">
  <c r="P50" i="16" l="1"/>
  <c r="N50" i="16"/>
  <c r="L50" i="16"/>
  <c r="K50" i="16"/>
  <c r="J50" i="16"/>
  <c r="D51" i="16"/>
  <c r="B51" i="16"/>
  <c r="E50" i="16"/>
  <c r="F50" i="16" s="1"/>
  <c r="G50" i="16" s="1"/>
  <c r="H50" i="16" s="1"/>
  <c r="I50" i="16" s="1"/>
  <c r="C50" i="16"/>
  <c r="E49" i="16"/>
  <c r="F49" i="16" s="1"/>
  <c r="G49" i="16" s="1"/>
  <c r="H49" i="16" s="1"/>
  <c r="I49" i="16" s="1"/>
  <c r="C49" i="16"/>
  <c r="E48" i="16"/>
  <c r="F48" i="16" s="1"/>
  <c r="G48" i="16" s="1"/>
  <c r="H48" i="16" s="1"/>
  <c r="I48" i="16" s="1"/>
  <c r="C48" i="16"/>
  <c r="E47" i="16"/>
  <c r="F47" i="16" s="1"/>
  <c r="G47" i="16" s="1"/>
  <c r="H47" i="16" s="1"/>
  <c r="I47" i="16" s="1"/>
  <c r="C47" i="16"/>
  <c r="E46" i="16"/>
  <c r="F46" i="16" s="1"/>
  <c r="G46" i="16" s="1"/>
  <c r="H46" i="16" s="1"/>
  <c r="I46" i="16" s="1"/>
  <c r="C46" i="16"/>
  <c r="E45" i="16"/>
  <c r="F45" i="16" s="1"/>
  <c r="G45" i="16" s="1"/>
  <c r="H45" i="16" s="1"/>
  <c r="I45" i="16" s="1"/>
  <c r="C45" i="16"/>
  <c r="E44" i="16"/>
  <c r="F44" i="16" s="1"/>
  <c r="G44" i="16" s="1"/>
  <c r="H44" i="16" s="1"/>
  <c r="I44" i="16" s="1"/>
  <c r="C44" i="16"/>
  <c r="F43" i="16"/>
  <c r="G43" i="16" s="1"/>
  <c r="H43" i="16" s="1"/>
  <c r="I43" i="16" s="1"/>
  <c r="C43" i="16"/>
  <c r="F42" i="16"/>
  <c r="G42" i="16" s="1"/>
  <c r="H42" i="16" s="1"/>
  <c r="I42" i="16" s="1"/>
  <c r="C42" i="16"/>
  <c r="G41" i="16"/>
  <c r="H41" i="16" s="1"/>
  <c r="I41" i="16" s="1"/>
  <c r="C41" i="16"/>
  <c r="E40" i="16"/>
  <c r="F40" i="16" s="1"/>
  <c r="G40" i="16" s="1"/>
  <c r="H40" i="16" s="1"/>
  <c r="I40" i="16" s="1"/>
  <c r="C40" i="16"/>
  <c r="E39" i="16"/>
  <c r="F39" i="16" s="1"/>
  <c r="G39" i="16" s="1"/>
  <c r="H39" i="16" s="1"/>
  <c r="I39" i="16" s="1"/>
  <c r="C39" i="16"/>
  <c r="E38" i="16"/>
  <c r="F38" i="16" s="1"/>
  <c r="G38" i="16" s="1"/>
  <c r="H38" i="16" s="1"/>
  <c r="I38" i="16" s="1"/>
  <c r="C38" i="16"/>
  <c r="Q36" i="16"/>
  <c r="O36" i="16"/>
  <c r="M36" i="16"/>
  <c r="E37" i="16"/>
  <c r="F37" i="16" s="1"/>
  <c r="G37" i="16" s="1"/>
  <c r="H37" i="16" s="1"/>
  <c r="I37" i="16" s="1"/>
  <c r="C37" i="16"/>
  <c r="Q35" i="16"/>
  <c r="O35" i="16"/>
  <c r="M35" i="16"/>
  <c r="I36" i="16"/>
  <c r="G36" i="16"/>
  <c r="E36" i="16"/>
  <c r="C36" i="16"/>
  <c r="Q34" i="16"/>
  <c r="O34" i="16"/>
  <c r="M34" i="16"/>
  <c r="E35" i="16"/>
  <c r="F35" i="16" s="1"/>
  <c r="G35" i="16" s="1"/>
  <c r="H35" i="16" s="1"/>
  <c r="I35" i="16" s="1"/>
  <c r="C35" i="16"/>
  <c r="Q33" i="16"/>
  <c r="O33" i="16"/>
  <c r="M33" i="16"/>
  <c r="E34" i="16"/>
  <c r="F34" i="16" s="1"/>
  <c r="G34" i="16" s="1"/>
  <c r="H34" i="16" s="1"/>
  <c r="I34" i="16" s="1"/>
  <c r="C34" i="16"/>
  <c r="Q32" i="16"/>
  <c r="O32" i="16"/>
  <c r="M32" i="16"/>
  <c r="E33" i="16"/>
  <c r="F33" i="16" s="1"/>
  <c r="G33" i="16" s="1"/>
  <c r="H33" i="16" s="1"/>
  <c r="I33" i="16" s="1"/>
  <c r="C33" i="16"/>
  <c r="Q31" i="16"/>
  <c r="O31" i="16"/>
  <c r="M31" i="16"/>
  <c r="C32" i="16"/>
  <c r="Q30" i="16"/>
  <c r="O30" i="16"/>
  <c r="M30" i="16"/>
  <c r="C31" i="16"/>
  <c r="Q29" i="16"/>
  <c r="O29" i="16"/>
  <c r="M29" i="16"/>
  <c r="E30" i="16"/>
  <c r="C30" i="16"/>
  <c r="Q28" i="16"/>
  <c r="O28" i="16"/>
  <c r="M28" i="16"/>
  <c r="E29" i="16"/>
  <c r="C29" i="16"/>
  <c r="Q27" i="16"/>
  <c r="O27" i="16"/>
  <c r="M27" i="16"/>
  <c r="E28" i="16"/>
  <c r="C28" i="16"/>
  <c r="Q26" i="16"/>
  <c r="O26" i="16"/>
  <c r="M26" i="16"/>
  <c r="E27" i="16"/>
  <c r="C27" i="16"/>
  <c r="Q25" i="16"/>
  <c r="O25" i="16"/>
  <c r="M25" i="16"/>
  <c r="E26" i="16"/>
  <c r="C26" i="16"/>
  <c r="Q24" i="16"/>
  <c r="O24" i="16"/>
  <c r="M24" i="16"/>
  <c r="E25" i="16"/>
  <c r="C25" i="16"/>
  <c r="Q23" i="16"/>
  <c r="O23" i="16"/>
  <c r="M23" i="16"/>
  <c r="E24" i="16"/>
  <c r="F24" i="16" s="1"/>
  <c r="G24" i="16" s="1"/>
  <c r="H24" i="16" s="1"/>
  <c r="I24" i="16" s="1"/>
  <c r="C24" i="16"/>
  <c r="Q22" i="16"/>
  <c r="O22" i="16"/>
  <c r="M22" i="16"/>
  <c r="E23" i="16"/>
  <c r="F23" i="16" s="1"/>
  <c r="G23" i="16" s="1"/>
  <c r="H23" i="16" s="1"/>
  <c r="I23" i="16" s="1"/>
  <c r="C23" i="16"/>
  <c r="Q21" i="16"/>
  <c r="O21" i="16"/>
  <c r="M21" i="16"/>
  <c r="E22" i="16"/>
  <c r="C22" i="16"/>
  <c r="Q20" i="16"/>
  <c r="O20" i="16"/>
  <c r="M20" i="16"/>
  <c r="E21" i="16"/>
  <c r="C21" i="16"/>
  <c r="Q19" i="16"/>
  <c r="O19" i="16"/>
  <c r="M19" i="16"/>
  <c r="E20" i="16"/>
  <c r="F20" i="16" s="1"/>
  <c r="G20" i="16" s="1"/>
  <c r="H20" i="16" s="1"/>
  <c r="I20" i="16" s="1"/>
  <c r="C20" i="16"/>
  <c r="Q18" i="16"/>
  <c r="O18" i="16"/>
  <c r="M18" i="16"/>
  <c r="E19" i="16"/>
  <c r="F19" i="16" s="1"/>
  <c r="G19" i="16" s="1"/>
  <c r="H19" i="16" s="1"/>
  <c r="I19" i="16" s="1"/>
  <c r="C19" i="16"/>
  <c r="Q17" i="16"/>
  <c r="O17" i="16"/>
  <c r="M17" i="16"/>
  <c r="I18" i="16"/>
  <c r="G18" i="16"/>
  <c r="E18" i="16"/>
  <c r="C18" i="16"/>
  <c r="Q16" i="16"/>
  <c r="O16" i="16"/>
  <c r="M16" i="16"/>
  <c r="C17" i="16"/>
  <c r="Q15" i="16"/>
  <c r="O15" i="16"/>
  <c r="M15" i="16"/>
  <c r="E16" i="16"/>
  <c r="C16" i="16"/>
  <c r="Q14" i="16"/>
  <c r="O14" i="16"/>
  <c r="M14" i="16"/>
  <c r="E15" i="16"/>
  <c r="C15" i="16"/>
  <c r="Q13" i="16"/>
  <c r="O13" i="16"/>
  <c r="M13" i="16"/>
  <c r="E14" i="16"/>
  <c r="F14" i="16" s="1"/>
  <c r="G14" i="16" s="1"/>
  <c r="H14" i="16" s="1"/>
  <c r="I14" i="16" s="1"/>
  <c r="C14" i="16"/>
  <c r="Q12" i="16"/>
  <c r="O12" i="16"/>
  <c r="M12" i="16"/>
  <c r="E12" i="16"/>
  <c r="C12" i="16"/>
  <c r="Q11" i="16"/>
  <c r="O11" i="16"/>
  <c r="M11" i="16"/>
  <c r="E11" i="16"/>
  <c r="F11" i="16" s="1"/>
  <c r="G11" i="16" s="1"/>
  <c r="H11" i="16" s="1"/>
  <c r="I11" i="16" s="1"/>
  <c r="C11" i="16"/>
  <c r="Q10" i="16"/>
  <c r="O10" i="16"/>
  <c r="M10" i="16"/>
  <c r="E10" i="16"/>
  <c r="F10" i="16" s="1"/>
  <c r="G10" i="16" s="1"/>
  <c r="H10" i="16" s="1"/>
  <c r="I10" i="16" s="1"/>
  <c r="C10" i="16"/>
  <c r="O9" i="16"/>
  <c r="I9" i="16"/>
  <c r="G9" i="16"/>
  <c r="E9" i="16"/>
  <c r="C9" i="16"/>
  <c r="Q8" i="16"/>
  <c r="O8" i="16"/>
  <c r="M8" i="16"/>
  <c r="E8" i="16"/>
  <c r="F8" i="16" s="1"/>
  <c r="G8" i="16" s="1"/>
  <c r="H8" i="16" s="1"/>
  <c r="I8" i="16" s="1"/>
  <c r="C8" i="16"/>
  <c r="Q7" i="16"/>
  <c r="O7" i="16"/>
  <c r="M7" i="16"/>
  <c r="E7" i="16"/>
  <c r="F7" i="16" s="1"/>
  <c r="G7" i="16" s="1"/>
  <c r="H7" i="16" s="1"/>
  <c r="I7" i="16" s="1"/>
  <c r="C7" i="16"/>
  <c r="Q6" i="16"/>
  <c r="O6" i="16"/>
  <c r="M6" i="16"/>
  <c r="I6" i="16"/>
  <c r="G6" i="16"/>
  <c r="E6" i="16"/>
  <c r="C6" i="16"/>
  <c r="Q5" i="16"/>
  <c r="O5" i="16"/>
  <c r="M5" i="16"/>
  <c r="E5" i="16"/>
  <c r="F5" i="16" s="1"/>
  <c r="C5" i="16"/>
  <c r="Q4" i="16"/>
  <c r="O4" i="16"/>
  <c r="M4" i="16"/>
  <c r="I4" i="16"/>
  <c r="G4" i="16"/>
  <c r="E4" i="16"/>
  <c r="C4" i="16"/>
  <c r="P50" i="14"/>
  <c r="N50" i="14"/>
  <c r="L50" i="14"/>
  <c r="K50" i="14"/>
  <c r="J50" i="14"/>
  <c r="D51" i="14"/>
  <c r="B51" i="14"/>
  <c r="E50" i="14"/>
  <c r="F50" i="14" s="1"/>
  <c r="G50" i="14" s="1"/>
  <c r="H50" i="14" s="1"/>
  <c r="I50" i="14" s="1"/>
  <c r="C50" i="14"/>
  <c r="E49" i="14"/>
  <c r="F49" i="14" s="1"/>
  <c r="G49" i="14" s="1"/>
  <c r="H49" i="14" s="1"/>
  <c r="I49" i="14" s="1"/>
  <c r="C49" i="14"/>
  <c r="E48" i="14"/>
  <c r="F48" i="14" s="1"/>
  <c r="G48" i="14" s="1"/>
  <c r="H48" i="14" s="1"/>
  <c r="I48" i="14" s="1"/>
  <c r="C48" i="14"/>
  <c r="E47" i="14"/>
  <c r="F47" i="14" s="1"/>
  <c r="G47" i="14" s="1"/>
  <c r="H47" i="14" s="1"/>
  <c r="I47" i="14" s="1"/>
  <c r="C47" i="14"/>
  <c r="E46" i="14"/>
  <c r="F46" i="14" s="1"/>
  <c r="G46" i="14" s="1"/>
  <c r="H46" i="14" s="1"/>
  <c r="I46" i="14" s="1"/>
  <c r="C46" i="14"/>
  <c r="E45" i="14"/>
  <c r="F45" i="14" s="1"/>
  <c r="G45" i="14" s="1"/>
  <c r="H45" i="14" s="1"/>
  <c r="I45" i="14" s="1"/>
  <c r="C45" i="14"/>
  <c r="E44" i="14"/>
  <c r="F44" i="14" s="1"/>
  <c r="G44" i="14" s="1"/>
  <c r="H44" i="14" s="1"/>
  <c r="I44" i="14" s="1"/>
  <c r="C44" i="14"/>
  <c r="E43" i="14"/>
  <c r="F43" i="14" s="1"/>
  <c r="G43" i="14" s="1"/>
  <c r="H43" i="14" s="1"/>
  <c r="I43" i="14" s="1"/>
  <c r="C43" i="14"/>
  <c r="E42" i="14"/>
  <c r="F42" i="14" s="1"/>
  <c r="G42" i="14" s="1"/>
  <c r="H42" i="14" s="1"/>
  <c r="I42" i="14" s="1"/>
  <c r="C42" i="14"/>
  <c r="E41" i="14"/>
  <c r="F41" i="14" s="1"/>
  <c r="G41" i="14" s="1"/>
  <c r="H41" i="14" s="1"/>
  <c r="I41" i="14" s="1"/>
  <c r="C41" i="14"/>
  <c r="E40" i="14"/>
  <c r="F40" i="14" s="1"/>
  <c r="G40" i="14" s="1"/>
  <c r="H40" i="14" s="1"/>
  <c r="I40" i="14" s="1"/>
  <c r="C40" i="14"/>
  <c r="E39" i="14"/>
  <c r="F39" i="14" s="1"/>
  <c r="G39" i="14" s="1"/>
  <c r="H39" i="14" s="1"/>
  <c r="I39" i="14" s="1"/>
  <c r="C39" i="14"/>
  <c r="F38" i="14"/>
  <c r="G38" i="14" s="1"/>
  <c r="H38" i="14" s="1"/>
  <c r="I38" i="14" s="1"/>
  <c r="E38" i="14"/>
  <c r="C38" i="14"/>
  <c r="Q36" i="14"/>
  <c r="O36" i="14"/>
  <c r="M36" i="14"/>
  <c r="E37" i="14"/>
  <c r="F37" i="14" s="1"/>
  <c r="G37" i="14" s="1"/>
  <c r="H37" i="14" s="1"/>
  <c r="I37" i="14" s="1"/>
  <c r="C37" i="14"/>
  <c r="Q35" i="14"/>
  <c r="O35" i="14"/>
  <c r="M35" i="14"/>
  <c r="E36" i="14"/>
  <c r="G36" i="14" s="1"/>
  <c r="I36" i="14" s="1"/>
  <c r="C36" i="14"/>
  <c r="Q34" i="14"/>
  <c r="O34" i="14"/>
  <c r="M34" i="14"/>
  <c r="E35" i="14"/>
  <c r="F35" i="14" s="1"/>
  <c r="G35" i="14" s="1"/>
  <c r="H35" i="14" s="1"/>
  <c r="I35" i="14" s="1"/>
  <c r="C35" i="14"/>
  <c r="Q33" i="14"/>
  <c r="O33" i="14"/>
  <c r="M33" i="14"/>
  <c r="E34" i="14"/>
  <c r="F34" i="14" s="1"/>
  <c r="G34" i="14" s="1"/>
  <c r="H34" i="14" s="1"/>
  <c r="I34" i="14" s="1"/>
  <c r="C34" i="14"/>
  <c r="Q32" i="14"/>
  <c r="O32" i="14"/>
  <c r="M32" i="14"/>
  <c r="E33" i="14"/>
  <c r="F33" i="14" s="1"/>
  <c r="G33" i="14" s="1"/>
  <c r="H33" i="14" s="1"/>
  <c r="I33" i="14" s="1"/>
  <c r="C33" i="14"/>
  <c r="Q31" i="14"/>
  <c r="O31" i="14"/>
  <c r="M31" i="14"/>
  <c r="C32" i="14"/>
  <c r="Q30" i="14"/>
  <c r="O30" i="14"/>
  <c r="M30" i="14"/>
  <c r="C31" i="14"/>
  <c r="Q29" i="14"/>
  <c r="O29" i="14"/>
  <c r="M29" i="14"/>
  <c r="E30" i="14"/>
  <c r="C30" i="14"/>
  <c r="Q28" i="14"/>
  <c r="O28" i="14"/>
  <c r="M28" i="14"/>
  <c r="E29" i="14"/>
  <c r="C29" i="14"/>
  <c r="Q27" i="14"/>
  <c r="O27" i="14"/>
  <c r="M27" i="14"/>
  <c r="E28" i="14"/>
  <c r="C28" i="14"/>
  <c r="Q26" i="14"/>
  <c r="O26" i="14"/>
  <c r="M26" i="14"/>
  <c r="E27" i="14"/>
  <c r="C27" i="14"/>
  <c r="Q25" i="14"/>
  <c r="O25" i="14"/>
  <c r="M25" i="14"/>
  <c r="E26" i="14"/>
  <c r="C26" i="14"/>
  <c r="Q24" i="14"/>
  <c r="O24" i="14"/>
  <c r="M24" i="14"/>
  <c r="E25" i="14"/>
  <c r="C25" i="14"/>
  <c r="Q23" i="14"/>
  <c r="O23" i="14"/>
  <c r="M23" i="14"/>
  <c r="E24" i="14"/>
  <c r="F24" i="14" s="1"/>
  <c r="G24" i="14" s="1"/>
  <c r="H24" i="14" s="1"/>
  <c r="I24" i="14" s="1"/>
  <c r="C24" i="14"/>
  <c r="Q22" i="14"/>
  <c r="O22" i="14"/>
  <c r="M22" i="14"/>
  <c r="E23" i="14"/>
  <c r="F23" i="14" s="1"/>
  <c r="G23" i="14" s="1"/>
  <c r="H23" i="14" s="1"/>
  <c r="I23" i="14" s="1"/>
  <c r="C23" i="14"/>
  <c r="Q21" i="14"/>
  <c r="O21" i="14"/>
  <c r="M21" i="14"/>
  <c r="E22" i="14"/>
  <c r="C22" i="14"/>
  <c r="Q20" i="14"/>
  <c r="O20" i="14"/>
  <c r="M20" i="14"/>
  <c r="E21" i="14"/>
  <c r="C21" i="14"/>
  <c r="Q19" i="14"/>
  <c r="O19" i="14"/>
  <c r="M19" i="14"/>
  <c r="E20" i="14"/>
  <c r="F20" i="14" s="1"/>
  <c r="G20" i="14" s="1"/>
  <c r="H20" i="14" s="1"/>
  <c r="I20" i="14" s="1"/>
  <c r="C20" i="14"/>
  <c r="Q18" i="14"/>
  <c r="O18" i="14"/>
  <c r="M18" i="14"/>
  <c r="E19" i="14"/>
  <c r="F19" i="14" s="1"/>
  <c r="G19" i="14" s="1"/>
  <c r="H19" i="14" s="1"/>
  <c r="I19" i="14" s="1"/>
  <c r="C19" i="14"/>
  <c r="Q17" i="14"/>
  <c r="O17" i="14"/>
  <c r="M17" i="14"/>
  <c r="E18" i="14"/>
  <c r="G18" i="14" s="1"/>
  <c r="I18" i="14" s="1"/>
  <c r="C18" i="14"/>
  <c r="Q16" i="14"/>
  <c r="O16" i="14"/>
  <c r="M16" i="14"/>
  <c r="C17" i="14"/>
  <c r="Q15" i="14"/>
  <c r="O15" i="14"/>
  <c r="M15" i="14"/>
  <c r="E16" i="14"/>
  <c r="C16" i="14"/>
  <c r="Q14" i="14"/>
  <c r="O14" i="14"/>
  <c r="M14" i="14"/>
  <c r="E15" i="14"/>
  <c r="C15" i="14"/>
  <c r="Q13" i="14"/>
  <c r="O13" i="14"/>
  <c r="M13" i="14"/>
  <c r="E14" i="14"/>
  <c r="F14" i="14" s="1"/>
  <c r="G14" i="14" s="1"/>
  <c r="H14" i="14" s="1"/>
  <c r="I14" i="14" s="1"/>
  <c r="C14" i="14"/>
  <c r="Q12" i="14"/>
  <c r="O12" i="14"/>
  <c r="M12" i="14"/>
  <c r="E12" i="14"/>
  <c r="C12" i="14"/>
  <c r="Q11" i="14"/>
  <c r="O11" i="14"/>
  <c r="M11" i="14"/>
  <c r="E11" i="14"/>
  <c r="F11" i="14" s="1"/>
  <c r="G11" i="14" s="1"/>
  <c r="H11" i="14" s="1"/>
  <c r="I11" i="14" s="1"/>
  <c r="C11" i="14"/>
  <c r="Q10" i="14"/>
  <c r="O10" i="14"/>
  <c r="M10" i="14"/>
  <c r="E10" i="14"/>
  <c r="F10" i="14" s="1"/>
  <c r="G10" i="14" s="1"/>
  <c r="H10" i="14" s="1"/>
  <c r="I10" i="14" s="1"/>
  <c r="C10" i="14"/>
  <c r="O9" i="14"/>
  <c r="E9" i="14"/>
  <c r="G9" i="14" s="1"/>
  <c r="I9" i="14" s="1"/>
  <c r="C9" i="14"/>
  <c r="Q8" i="14"/>
  <c r="O8" i="14"/>
  <c r="M8" i="14"/>
  <c r="E8" i="14"/>
  <c r="F8" i="14" s="1"/>
  <c r="G8" i="14" s="1"/>
  <c r="H8" i="14" s="1"/>
  <c r="I8" i="14" s="1"/>
  <c r="C8" i="14"/>
  <c r="Q7" i="14"/>
  <c r="O7" i="14"/>
  <c r="M7" i="14"/>
  <c r="E7" i="14"/>
  <c r="F7" i="14" s="1"/>
  <c r="G7" i="14" s="1"/>
  <c r="H7" i="14" s="1"/>
  <c r="I7" i="14" s="1"/>
  <c r="C7" i="14"/>
  <c r="Q6" i="14"/>
  <c r="O6" i="14"/>
  <c r="M6" i="14"/>
  <c r="E6" i="14"/>
  <c r="G6" i="14" s="1"/>
  <c r="I6" i="14" s="1"/>
  <c r="C6" i="14"/>
  <c r="Q5" i="14"/>
  <c r="O5" i="14"/>
  <c r="M5" i="14"/>
  <c r="E5" i="14"/>
  <c r="F5" i="14" s="1"/>
  <c r="G5" i="14" s="1"/>
  <c r="H5" i="14" s="1"/>
  <c r="I5" i="14" s="1"/>
  <c r="C5" i="14"/>
  <c r="Q4" i="14"/>
  <c r="Q50" i="14" s="1"/>
  <c r="O4" i="14"/>
  <c r="M4" i="14"/>
  <c r="M50" i="14" s="1"/>
  <c r="E4" i="14"/>
  <c r="C4" i="14"/>
  <c r="C51" i="14" s="1"/>
  <c r="J50" i="12"/>
  <c r="K50" i="12"/>
  <c r="L50" i="12"/>
  <c r="N50" i="12"/>
  <c r="P50" i="12"/>
  <c r="D51" i="12"/>
  <c r="B51" i="12"/>
  <c r="P50" i="13"/>
  <c r="N50" i="13"/>
  <c r="L50" i="13"/>
  <c r="B51" i="13"/>
  <c r="D51" i="13"/>
  <c r="E50" i="13"/>
  <c r="F50" i="13" s="1"/>
  <c r="G50" i="13" s="1"/>
  <c r="H50" i="13" s="1"/>
  <c r="I50" i="13" s="1"/>
  <c r="C50" i="13"/>
  <c r="E49" i="13"/>
  <c r="F49" i="13" s="1"/>
  <c r="G49" i="13" s="1"/>
  <c r="H49" i="13" s="1"/>
  <c r="I49" i="13" s="1"/>
  <c r="C49" i="13"/>
  <c r="E48" i="13"/>
  <c r="F48" i="13" s="1"/>
  <c r="G48" i="13" s="1"/>
  <c r="H48" i="13" s="1"/>
  <c r="I48" i="13" s="1"/>
  <c r="C48" i="13"/>
  <c r="E47" i="13"/>
  <c r="F47" i="13" s="1"/>
  <c r="G47" i="13" s="1"/>
  <c r="H47" i="13" s="1"/>
  <c r="I47" i="13" s="1"/>
  <c r="C47" i="13"/>
  <c r="E46" i="13"/>
  <c r="F46" i="13" s="1"/>
  <c r="G46" i="13" s="1"/>
  <c r="H46" i="13" s="1"/>
  <c r="I46" i="13" s="1"/>
  <c r="C46" i="13"/>
  <c r="E45" i="13"/>
  <c r="F45" i="13" s="1"/>
  <c r="G45" i="13" s="1"/>
  <c r="H45" i="13" s="1"/>
  <c r="I45" i="13" s="1"/>
  <c r="C45" i="13"/>
  <c r="E44" i="13"/>
  <c r="F44" i="13" s="1"/>
  <c r="G44" i="13" s="1"/>
  <c r="H44" i="13" s="1"/>
  <c r="I44" i="13" s="1"/>
  <c r="C44" i="13"/>
  <c r="E43" i="13"/>
  <c r="F43" i="13" s="1"/>
  <c r="G43" i="13" s="1"/>
  <c r="H43" i="13" s="1"/>
  <c r="I43" i="13" s="1"/>
  <c r="C43" i="13"/>
  <c r="E42" i="13"/>
  <c r="F42" i="13" s="1"/>
  <c r="G42" i="13" s="1"/>
  <c r="H42" i="13" s="1"/>
  <c r="I42" i="13" s="1"/>
  <c r="C42" i="13"/>
  <c r="E41" i="13"/>
  <c r="F41" i="13" s="1"/>
  <c r="G41" i="13" s="1"/>
  <c r="H41" i="13" s="1"/>
  <c r="I41" i="13" s="1"/>
  <c r="C41" i="13"/>
  <c r="E40" i="13"/>
  <c r="F40" i="13" s="1"/>
  <c r="G40" i="13" s="1"/>
  <c r="H40" i="13" s="1"/>
  <c r="I40" i="13" s="1"/>
  <c r="C40" i="13"/>
  <c r="E39" i="13"/>
  <c r="F39" i="13" s="1"/>
  <c r="G39" i="13" s="1"/>
  <c r="H39" i="13" s="1"/>
  <c r="I39" i="13" s="1"/>
  <c r="C39" i="13"/>
  <c r="E38" i="13"/>
  <c r="F38" i="13" s="1"/>
  <c r="G38" i="13" s="1"/>
  <c r="H38" i="13" s="1"/>
  <c r="I38" i="13" s="1"/>
  <c r="C38" i="13"/>
  <c r="Q36" i="13"/>
  <c r="O36" i="13"/>
  <c r="M36" i="13"/>
  <c r="E37" i="13"/>
  <c r="F37" i="13" s="1"/>
  <c r="G37" i="13" s="1"/>
  <c r="H37" i="13" s="1"/>
  <c r="I37" i="13" s="1"/>
  <c r="C37" i="13"/>
  <c r="Q35" i="13"/>
  <c r="O35" i="13"/>
  <c r="M35" i="13"/>
  <c r="E36" i="13"/>
  <c r="F36" i="13" s="1"/>
  <c r="G36" i="13" s="1"/>
  <c r="H36" i="13" s="1"/>
  <c r="I36" i="13" s="1"/>
  <c r="C36" i="13"/>
  <c r="Q34" i="13"/>
  <c r="O34" i="13"/>
  <c r="M34" i="13"/>
  <c r="E35" i="13"/>
  <c r="F35" i="13" s="1"/>
  <c r="G35" i="13" s="1"/>
  <c r="H35" i="13" s="1"/>
  <c r="I35" i="13" s="1"/>
  <c r="C35" i="13"/>
  <c r="Q33" i="13"/>
  <c r="O33" i="13"/>
  <c r="M33" i="13"/>
  <c r="E34" i="13"/>
  <c r="F34" i="13" s="1"/>
  <c r="G34" i="13" s="1"/>
  <c r="H34" i="13" s="1"/>
  <c r="I34" i="13" s="1"/>
  <c r="C34" i="13"/>
  <c r="Q32" i="13"/>
  <c r="O32" i="13"/>
  <c r="M32" i="13"/>
  <c r="E33" i="13"/>
  <c r="F33" i="13" s="1"/>
  <c r="G33" i="13" s="1"/>
  <c r="H33" i="13" s="1"/>
  <c r="I33" i="13" s="1"/>
  <c r="C33" i="13"/>
  <c r="Q31" i="13"/>
  <c r="O31" i="13"/>
  <c r="M31" i="13"/>
  <c r="C32" i="13"/>
  <c r="Q30" i="13"/>
  <c r="O30" i="13"/>
  <c r="M30" i="13"/>
  <c r="C31" i="13"/>
  <c r="Q29" i="13"/>
  <c r="O29" i="13"/>
  <c r="M29" i="13"/>
  <c r="E30" i="13"/>
  <c r="C30" i="13"/>
  <c r="Q28" i="13"/>
  <c r="O28" i="13"/>
  <c r="M28" i="13"/>
  <c r="E29" i="13"/>
  <c r="C29" i="13"/>
  <c r="Q27" i="13"/>
  <c r="O27" i="13"/>
  <c r="M27" i="13"/>
  <c r="E28" i="13"/>
  <c r="C28" i="13"/>
  <c r="Q26" i="13"/>
  <c r="O26" i="13"/>
  <c r="M26" i="13"/>
  <c r="E27" i="13"/>
  <c r="C27" i="13"/>
  <c r="Q25" i="13"/>
  <c r="O25" i="13"/>
  <c r="M25" i="13"/>
  <c r="E26" i="13"/>
  <c r="C26" i="13"/>
  <c r="Q24" i="13"/>
  <c r="O24" i="13"/>
  <c r="M24" i="13"/>
  <c r="E25" i="13"/>
  <c r="C25" i="13"/>
  <c r="Q23" i="13"/>
  <c r="O23" i="13"/>
  <c r="M23" i="13"/>
  <c r="E24" i="13"/>
  <c r="F24" i="13" s="1"/>
  <c r="G24" i="13" s="1"/>
  <c r="H24" i="13" s="1"/>
  <c r="I24" i="13" s="1"/>
  <c r="C24" i="13"/>
  <c r="Q22" i="13"/>
  <c r="O22" i="13"/>
  <c r="M22" i="13"/>
  <c r="E23" i="13"/>
  <c r="F23" i="13" s="1"/>
  <c r="G23" i="13" s="1"/>
  <c r="H23" i="13" s="1"/>
  <c r="I23" i="13" s="1"/>
  <c r="C23" i="13"/>
  <c r="Q21" i="13"/>
  <c r="O21" i="13"/>
  <c r="M21" i="13"/>
  <c r="E22" i="13"/>
  <c r="C22" i="13"/>
  <c r="Q20" i="13"/>
  <c r="O20" i="13"/>
  <c r="M20" i="13"/>
  <c r="E21" i="13"/>
  <c r="C21" i="13"/>
  <c r="Q19" i="13"/>
  <c r="O19" i="13"/>
  <c r="M19" i="13"/>
  <c r="E20" i="13"/>
  <c r="F20" i="13" s="1"/>
  <c r="G20" i="13" s="1"/>
  <c r="H20" i="13" s="1"/>
  <c r="I20" i="13" s="1"/>
  <c r="C20" i="13"/>
  <c r="Q18" i="13"/>
  <c r="O18" i="13"/>
  <c r="M18" i="13"/>
  <c r="E19" i="13"/>
  <c r="F19" i="13" s="1"/>
  <c r="G19" i="13" s="1"/>
  <c r="H19" i="13" s="1"/>
  <c r="I19" i="13" s="1"/>
  <c r="C19" i="13"/>
  <c r="Q17" i="13"/>
  <c r="O17" i="13"/>
  <c r="M17" i="13"/>
  <c r="E18" i="13"/>
  <c r="F18" i="13" s="1"/>
  <c r="G18" i="13" s="1"/>
  <c r="H18" i="13" s="1"/>
  <c r="I18" i="13" s="1"/>
  <c r="C18" i="13"/>
  <c r="Q16" i="13"/>
  <c r="O16" i="13"/>
  <c r="M16" i="13"/>
  <c r="C17" i="13"/>
  <c r="Q15" i="13"/>
  <c r="O15" i="13"/>
  <c r="M15" i="13"/>
  <c r="E16" i="13"/>
  <c r="C16" i="13"/>
  <c r="Q14" i="13"/>
  <c r="O14" i="13"/>
  <c r="M14" i="13"/>
  <c r="E15" i="13"/>
  <c r="C15" i="13"/>
  <c r="Q13" i="13"/>
  <c r="O13" i="13"/>
  <c r="M13" i="13"/>
  <c r="E14" i="13"/>
  <c r="F14" i="13" s="1"/>
  <c r="G14" i="13" s="1"/>
  <c r="H14" i="13" s="1"/>
  <c r="I14" i="13" s="1"/>
  <c r="C14" i="13"/>
  <c r="Q12" i="13"/>
  <c r="O12" i="13"/>
  <c r="M12" i="13"/>
  <c r="E12" i="13"/>
  <c r="C12" i="13"/>
  <c r="Q11" i="13"/>
  <c r="O11" i="13"/>
  <c r="M11" i="13"/>
  <c r="E11" i="13"/>
  <c r="F11" i="13" s="1"/>
  <c r="G11" i="13" s="1"/>
  <c r="H11" i="13" s="1"/>
  <c r="I11" i="13" s="1"/>
  <c r="C11" i="13"/>
  <c r="Q10" i="13"/>
  <c r="O10" i="13"/>
  <c r="M10" i="13"/>
  <c r="E10" i="13"/>
  <c r="F10" i="13" s="1"/>
  <c r="G10" i="13" s="1"/>
  <c r="H10" i="13" s="1"/>
  <c r="I10" i="13" s="1"/>
  <c r="C10" i="13"/>
  <c r="O9" i="13"/>
  <c r="E9" i="13"/>
  <c r="F9" i="13" s="1"/>
  <c r="G9" i="13" s="1"/>
  <c r="H9" i="13" s="1"/>
  <c r="I9" i="13" s="1"/>
  <c r="C9" i="13"/>
  <c r="Q8" i="13"/>
  <c r="O8" i="13"/>
  <c r="M8" i="13"/>
  <c r="E8" i="13"/>
  <c r="F8" i="13" s="1"/>
  <c r="G8" i="13" s="1"/>
  <c r="H8" i="13" s="1"/>
  <c r="I8" i="13" s="1"/>
  <c r="C8" i="13"/>
  <c r="Q7" i="13"/>
  <c r="O7" i="13"/>
  <c r="M7" i="13"/>
  <c r="E7" i="13"/>
  <c r="F7" i="13" s="1"/>
  <c r="G7" i="13" s="1"/>
  <c r="H7" i="13" s="1"/>
  <c r="I7" i="13" s="1"/>
  <c r="C7" i="13"/>
  <c r="Q6" i="13"/>
  <c r="O6" i="13"/>
  <c r="M6" i="13"/>
  <c r="E6" i="13"/>
  <c r="F6" i="13" s="1"/>
  <c r="G6" i="13" s="1"/>
  <c r="H6" i="13" s="1"/>
  <c r="I6" i="13" s="1"/>
  <c r="C6" i="13"/>
  <c r="Q5" i="13"/>
  <c r="O5" i="13"/>
  <c r="M5" i="13"/>
  <c r="E5" i="13"/>
  <c r="F5" i="13" s="1"/>
  <c r="G5" i="13" s="1"/>
  <c r="H5" i="13" s="1"/>
  <c r="I5" i="13" s="1"/>
  <c r="C5" i="13"/>
  <c r="Q4" i="13"/>
  <c r="O4" i="13"/>
  <c r="O50" i="13" s="1"/>
  <c r="M4" i="13"/>
  <c r="E4" i="13"/>
  <c r="F4" i="13" s="1"/>
  <c r="G4" i="13" s="1"/>
  <c r="C4" i="13"/>
  <c r="E5" i="12"/>
  <c r="F5" i="12" s="1"/>
  <c r="G5" i="12" s="1"/>
  <c r="H5" i="12" s="1"/>
  <c r="I5" i="12" s="1"/>
  <c r="E6" i="12"/>
  <c r="F6" i="12" s="1"/>
  <c r="G6" i="12" s="1"/>
  <c r="H6" i="12" s="1"/>
  <c r="I6" i="12" s="1"/>
  <c r="E7" i="12"/>
  <c r="F7" i="12" s="1"/>
  <c r="G7" i="12" s="1"/>
  <c r="H7" i="12" s="1"/>
  <c r="I7" i="12" s="1"/>
  <c r="E8" i="12"/>
  <c r="F8" i="12" s="1"/>
  <c r="G8" i="12" s="1"/>
  <c r="H8" i="12" s="1"/>
  <c r="I8" i="12" s="1"/>
  <c r="E9" i="12"/>
  <c r="F9" i="12" s="1"/>
  <c r="G9" i="12" s="1"/>
  <c r="H9" i="12" s="1"/>
  <c r="I9" i="12" s="1"/>
  <c r="E10" i="12"/>
  <c r="F10" i="12" s="1"/>
  <c r="G10" i="12" s="1"/>
  <c r="H10" i="12" s="1"/>
  <c r="I10" i="12" s="1"/>
  <c r="E11" i="12"/>
  <c r="F11" i="12" s="1"/>
  <c r="G11" i="12" s="1"/>
  <c r="H11" i="12" s="1"/>
  <c r="I11" i="12" s="1"/>
  <c r="E12" i="12"/>
  <c r="E14" i="12"/>
  <c r="F14" i="12" s="1"/>
  <c r="G14" i="12" s="1"/>
  <c r="H14" i="12" s="1"/>
  <c r="I14" i="12" s="1"/>
  <c r="E15" i="12"/>
  <c r="E16" i="12"/>
  <c r="E18" i="12"/>
  <c r="F18" i="12" s="1"/>
  <c r="G18" i="12" s="1"/>
  <c r="H18" i="12" s="1"/>
  <c r="I18" i="12" s="1"/>
  <c r="E19" i="12"/>
  <c r="F19" i="12" s="1"/>
  <c r="G19" i="12" s="1"/>
  <c r="H19" i="12" s="1"/>
  <c r="I19" i="12" s="1"/>
  <c r="E20" i="12"/>
  <c r="F20" i="12" s="1"/>
  <c r="G20" i="12" s="1"/>
  <c r="H20" i="12" s="1"/>
  <c r="I20" i="12" s="1"/>
  <c r="E21" i="12"/>
  <c r="E22" i="12"/>
  <c r="E23" i="12"/>
  <c r="F23" i="12" s="1"/>
  <c r="G23" i="12" s="1"/>
  <c r="H23" i="12" s="1"/>
  <c r="I23" i="12" s="1"/>
  <c r="E24" i="12"/>
  <c r="F24" i="12" s="1"/>
  <c r="G24" i="12" s="1"/>
  <c r="H24" i="12" s="1"/>
  <c r="I24" i="12" s="1"/>
  <c r="E25" i="12"/>
  <c r="E26" i="12"/>
  <c r="E27" i="12"/>
  <c r="E28" i="12"/>
  <c r="E29" i="12"/>
  <c r="E30" i="12"/>
  <c r="E33" i="12"/>
  <c r="F33" i="12" s="1"/>
  <c r="G33" i="12" s="1"/>
  <c r="H33" i="12" s="1"/>
  <c r="I33" i="12" s="1"/>
  <c r="E34" i="12"/>
  <c r="F34" i="12" s="1"/>
  <c r="G34" i="12" s="1"/>
  <c r="H34" i="12" s="1"/>
  <c r="I34" i="12" s="1"/>
  <c r="E35" i="12"/>
  <c r="F35" i="12" s="1"/>
  <c r="G35" i="12" s="1"/>
  <c r="H35" i="12" s="1"/>
  <c r="I35" i="12" s="1"/>
  <c r="E36" i="12"/>
  <c r="F36" i="12" s="1"/>
  <c r="G36" i="12" s="1"/>
  <c r="H36" i="12" s="1"/>
  <c r="I36" i="12" s="1"/>
  <c r="E37" i="12"/>
  <c r="F37" i="12" s="1"/>
  <c r="G37" i="12" s="1"/>
  <c r="H37" i="12" s="1"/>
  <c r="I37" i="12" s="1"/>
  <c r="E38" i="12"/>
  <c r="F38" i="12" s="1"/>
  <c r="G38" i="12" s="1"/>
  <c r="H38" i="12" s="1"/>
  <c r="I38" i="12" s="1"/>
  <c r="E39" i="12"/>
  <c r="F39" i="12" s="1"/>
  <c r="G39" i="12" s="1"/>
  <c r="H39" i="12" s="1"/>
  <c r="I39" i="12" s="1"/>
  <c r="E40" i="12"/>
  <c r="F40" i="12" s="1"/>
  <c r="G40" i="12" s="1"/>
  <c r="H40" i="12" s="1"/>
  <c r="I40" i="12" s="1"/>
  <c r="E41" i="12"/>
  <c r="F41" i="12" s="1"/>
  <c r="G41" i="12" s="1"/>
  <c r="H41" i="12" s="1"/>
  <c r="I41" i="12" s="1"/>
  <c r="E42" i="12"/>
  <c r="F42" i="12" s="1"/>
  <c r="G42" i="12" s="1"/>
  <c r="H42" i="12" s="1"/>
  <c r="I42" i="12" s="1"/>
  <c r="E43" i="12"/>
  <c r="F43" i="12" s="1"/>
  <c r="G43" i="12" s="1"/>
  <c r="H43" i="12" s="1"/>
  <c r="I43" i="12" s="1"/>
  <c r="E44" i="12"/>
  <c r="F44" i="12" s="1"/>
  <c r="G44" i="12" s="1"/>
  <c r="H44" i="12" s="1"/>
  <c r="I44" i="12" s="1"/>
  <c r="E45" i="12"/>
  <c r="F45" i="12" s="1"/>
  <c r="G45" i="12" s="1"/>
  <c r="H45" i="12" s="1"/>
  <c r="I45" i="12" s="1"/>
  <c r="E46" i="12"/>
  <c r="F46" i="12" s="1"/>
  <c r="G46" i="12" s="1"/>
  <c r="H46" i="12" s="1"/>
  <c r="I46" i="12" s="1"/>
  <c r="E47" i="12"/>
  <c r="F47" i="12" s="1"/>
  <c r="G47" i="12" s="1"/>
  <c r="H47" i="12" s="1"/>
  <c r="I47" i="12" s="1"/>
  <c r="E48" i="12"/>
  <c r="F48" i="12" s="1"/>
  <c r="G48" i="12" s="1"/>
  <c r="H48" i="12" s="1"/>
  <c r="I48" i="12" s="1"/>
  <c r="E49" i="12"/>
  <c r="F49" i="12" s="1"/>
  <c r="G49" i="12" s="1"/>
  <c r="H49" i="12" s="1"/>
  <c r="I49" i="12" s="1"/>
  <c r="E50" i="12"/>
  <c r="F50" i="12" s="1"/>
  <c r="G50" i="12" s="1"/>
  <c r="H50" i="12" s="1"/>
  <c r="I50" i="12" s="1"/>
  <c r="C5" i="12"/>
  <c r="C6" i="12"/>
  <c r="C7" i="12"/>
  <c r="C8" i="12"/>
  <c r="C9" i="12"/>
  <c r="C10" i="12"/>
  <c r="C11" i="12"/>
  <c r="C12" i="12"/>
  <c r="C14" i="12"/>
  <c r="C15" i="12"/>
  <c r="C16" i="12"/>
  <c r="C17" i="12"/>
  <c r="C18" i="12"/>
  <c r="C19" i="12"/>
  <c r="C20" i="12"/>
  <c r="C21" i="12"/>
  <c r="C22" i="12"/>
  <c r="C23" i="12"/>
  <c r="C24" i="12"/>
  <c r="C25" i="12"/>
  <c r="C26" i="12"/>
  <c r="C27" i="12"/>
  <c r="C28" i="12"/>
  <c r="C29" i="12"/>
  <c r="C30" i="12"/>
  <c r="C31" i="12"/>
  <c r="C32" i="12"/>
  <c r="C33" i="12"/>
  <c r="C34" i="12"/>
  <c r="C35" i="12"/>
  <c r="C36" i="12"/>
  <c r="C37" i="12"/>
  <c r="C38" i="12"/>
  <c r="C39" i="12"/>
  <c r="C40" i="12"/>
  <c r="C41" i="12"/>
  <c r="C42" i="12"/>
  <c r="C43" i="12"/>
  <c r="C44" i="12"/>
  <c r="C45" i="12"/>
  <c r="C46" i="12"/>
  <c r="C47" i="12"/>
  <c r="C48" i="12"/>
  <c r="C49" i="12"/>
  <c r="C50" i="12"/>
  <c r="C4" i="12"/>
  <c r="O5" i="12"/>
  <c r="Q5" i="12"/>
  <c r="O6" i="12"/>
  <c r="Q6" i="12"/>
  <c r="O7" i="12"/>
  <c r="Q7" i="12"/>
  <c r="O8" i="12"/>
  <c r="Q8" i="12"/>
  <c r="O9" i="12"/>
  <c r="O10" i="12"/>
  <c r="Q10" i="12"/>
  <c r="O11" i="12"/>
  <c r="Q11" i="12"/>
  <c r="O12" i="12"/>
  <c r="Q12" i="12"/>
  <c r="O13" i="12"/>
  <c r="Q13" i="12"/>
  <c r="O14" i="12"/>
  <c r="Q14" i="12"/>
  <c r="O15" i="12"/>
  <c r="Q15" i="12"/>
  <c r="O16" i="12"/>
  <c r="Q16" i="12"/>
  <c r="O17" i="12"/>
  <c r="Q17" i="12"/>
  <c r="O18" i="12"/>
  <c r="Q18" i="12"/>
  <c r="O19" i="12"/>
  <c r="Q19" i="12"/>
  <c r="O20" i="12"/>
  <c r="Q20" i="12"/>
  <c r="O21" i="12"/>
  <c r="Q21" i="12"/>
  <c r="O22" i="12"/>
  <c r="Q22" i="12"/>
  <c r="O23" i="12"/>
  <c r="Q23" i="12"/>
  <c r="O24" i="12"/>
  <c r="Q24" i="12"/>
  <c r="O25" i="12"/>
  <c r="Q25" i="12"/>
  <c r="O26" i="12"/>
  <c r="Q26" i="12"/>
  <c r="O27" i="12"/>
  <c r="Q27" i="12"/>
  <c r="O28" i="12"/>
  <c r="Q28" i="12"/>
  <c r="O29" i="12"/>
  <c r="Q29" i="12"/>
  <c r="O30" i="12"/>
  <c r="Q30" i="12"/>
  <c r="O31" i="12"/>
  <c r="Q31" i="12"/>
  <c r="O32" i="12"/>
  <c r="Q32" i="12"/>
  <c r="O33" i="12"/>
  <c r="Q33" i="12"/>
  <c r="O34" i="12"/>
  <c r="Q34" i="12"/>
  <c r="O35" i="12"/>
  <c r="Q35" i="12"/>
  <c r="O36" i="12"/>
  <c r="Q36" i="12"/>
  <c r="Q4" i="12"/>
  <c r="O4" i="12"/>
  <c r="O50" i="12" s="1"/>
  <c r="M5" i="12"/>
  <c r="M6" i="12"/>
  <c r="M7" i="12"/>
  <c r="M8" i="12"/>
  <c r="M10" i="12"/>
  <c r="M11" i="12"/>
  <c r="M12" i="12"/>
  <c r="M13" i="12"/>
  <c r="M14" i="12"/>
  <c r="M15" i="12"/>
  <c r="M16" i="12"/>
  <c r="M17" i="12"/>
  <c r="M18" i="12"/>
  <c r="M19" i="12"/>
  <c r="M20" i="12"/>
  <c r="M21" i="12"/>
  <c r="M22" i="12"/>
  <c r="M23" i="12"/>
  <c r="M24" i="12"/>
  <c r="M25" i="12"/>
  <c r="M26" i="12"/>
  <c r="M27" i="12"/>
  <c r="M28" i="12"/>
  <c r="M29" i="12"/>
  <c r="M30" i="12"/>
  <c r="M31" i="12"/>
  <c r="M32" i="12"/>
  <c r="M33" i="12"/>
  <c r="M34" i="12"/>
  <c r="M35" i="12"/>
  <c r="M36" i="12"/>
  <c r="M4" i="12"/>
  <c r="M50" i="12" s="1"/>
  <c r="E4" i="12"/>
  <c r="E51" i="12" s="1"/>
  <c r="O21" i="1"/>
  <c r="M34" i="1"/>
  <c r="O43" i="1"/>
  <c r="M9" i="1"/>
  <c r="I24" i="1"/>
  <c r="E35" i="1"/>
  <c r="C26" i="1"/>
  <c r="I18" i="1"/>
  <c r="E29" i="1"/>
  <c r="C23" i="1"/>
  <c r="Q20" i="1"/>
  <c r="M31" i="1"/>
  <c r="Q42" i="1"/>
  <c r="O6" i="1"/>
  <c r="I19" i="1"/>
  <c r="G32" i="1"/>
  <c r="C48" i="1"/>
  <c r="I13" i="1"/>
  <c r="G18" i="1"/>
  <c r="C41" i="1"/>
  <c r="Q32" i="1"/>
  <c r="M43" i="1"/>
  <c r="Q5" i="1"/>
  <c r="O18" i="1"/>
  <c r="I31" i="1"/>
  <c r="G44" i="1"/>
  <c r="E12" i="1"/>
  <c r="I25" i="1"/>
  <c r="G38" i="1"/>
  <c r="E6" i="1"/>
  <c r="Q27" i="1"/>
  <c r="O40" i="1"/>
  <c r="Q49" i="1"/>
  <c r="O15" i="1"/>
  <c r="M28" i="1"/>
  <c r="G41" i="1"/>
  <c r="E7" i="1"/>
  <c r="C12" i="1"/>
  <c r="G27" i="1"/>
  <c r="E42" i="1"/>
  <c r="Q39" i="1"/>
  <c r="O5" i="1"/>
  <c r="M18" i="1"/>
  <c r="O27" i="1"/>
  <c r="M40" i="1"/>
  <c r="I8" i="1"/>
  <c r="E19" i="1"/>
  <c r="C18" i="1"/>
  <c r="G47" i="1"/>
  <c r="E13" i="1"/>
  <c r="C15" i="1"/>
  <c r="O49" i="1"/>
  <c r="M15" i="1"/>
  <c r="Q26" i="1"/>
  <c r="M37" i="1"/>
  <c r="I4" i="1"/>
  <c r="G16" i="1"/>
  <c r="C40" i="1"/>
  <c r="I38" i="1"/>
  <c r="E49" i="1"/>
  <c r="C33" i="1"/>
  <c r="Q16" i="1"/>
  <c r="M27" i="1"/>
  <c r="Q38" i="1"/>
  <c r="M49" i="1"/>
  <c r="I15" i="1"/>
  <c r="G28" i="1"/>
  <c r="C46" i="1"/>
  <c r="I9" i="1"/>
  <c r="C43" i="1"/>
  <c r="O24" i="1"/>
  <c r="O46" i="1"/>
  <c r="G25" i="1"/>
  <c r="M6" i="1"/>
  <c r="E26" i="1"/>
  <c r="G8" i="1"/>
  <c r="C29" i="1"/>
  <c r="Q23" i="1"/>
  <c r="O36" i="1"/>
  <c r="Q45" i="1"/>
  <c r="O11" i="1"/>
  <c r="M24" i="1"/>
  <c r="G37" i="1"/>
  <c r="E4" i="1"/>
  <c r="C10" i="1"/>
  <c r="G31" i="1"/>
  <c r="E46" i="1"/>
  <c r="C9" i="1"/>
  <c r="O33" i="1"/>
  <c r="M46" i="1"/>
  <c r="Q10" i="1"/>
  <c r="M21" i="1"/>
  <c r="I36" i="1"/>
  <c r="E47" i="1"/>
  <c r="C32" i="1"/>
  <c r="I22" i="1"/>
  <c r="E33" i="1"/>
  <c r="C25" i="1"/>
  <c r="O45" i="1"/>
  <c r="M11" i="1"/>
  <c r="Q22" i="1"/>
  <c r="M33" i="1"/>
  <c r="I48" i="1"/>
  <c r="G12" i="1"/>
  <c r="C38" i="1"/>
  <c r="I42" i="1"/>
  <c r="G6" i="1"/>
  <c r="C35" i="1"/>
  <c r="Q44" i="1"/>
  <c r="O8" i="1"/>
  <c r="Q17" i="1"/>
  <c r="O30" i="1"/>
  <c r="I43" i="1"/>
  <c r="G9" i="1"/>
  <c r="E24" i="1"/>
  <c r="I37" i="1"/>
  <c r="G42" i="1"/>
  <c r="E10" i="1"/>
  <c r="Q7" i="1"/>
  <c r="O20" i="1"/>
  <c r="Q29" i="1"/>
  <c r="O42" i="1"/>
  <c r="M8" i="1"/>
  <c r="G21" i="1"/>
  <c r="E36" i="1"/>
  <c r="I49" i="1"/>
  <c r="G15" i="1"/>
  <c r="E30" i="1"/>
  <c r="C5" i="1"/>
  <c r="O17" i="1"/>
  <c r="M30" i="1"/>
  <c r="O39" i="1"/>
  <c r="M5" i="1"/>
  <c r="I20" i="1"/>
  <c r="E31" i="1"/>
  <c r="C24" i="1"/>
  <c r="I6" i="1"/>
  <c r="E17" i="1"/>
  <c r="C17" i="1"/>
  <c r="O29" i="1"/>
  <c r="M42" i="1"/>
  <c r="Q6" i="1"/>
  <c r="M17" i="1"/>
  <c r="I32" i="1"/>
  <c r="E43" i="1"/>
  <c r="C30" i="1"/>
  <c r="I26" i="1"/>
  <c r="E37" i="1"/>
  <c r="C27" i="1"/>
  <c r="Q28" i="1"/>
  <c r="M39" i="1"/>
  <c r="Q50" i="1"/>
  <c r="O14" i="1"/>
  <c r="I27" i="1"/>
  <c r="G40" i="1"/>
  <c r="E8" i="1"/>
  <c r="I21" i="1"/>
  <c r="G26" i="1"/>
  <c r="C45" i="1"/>
  <c r="C11" i="1"/>
  <c r="Q18" i="1"/>
  <c r="I44" i="1"/>
  <c r="E41" i="1"/>
  <c r="Q40" i="1"/>
  <c r="O4" i="1"/>
  <c r="Q13" i="1"/>
  <c r="O26" i="1"/>
  <c r="I39" i="1"/>
  <c r="G5" i="1"/>
  <c r="E20" i="1"/>
  <c r="I33" i="1"/>
  <c r="G46" i="1"/>
  <c r="E14" i="1"/>
  <c r="Q35" i="1"/>
  <c r="O48" i="1"/>
  <c r="M14" i="1"/>
  <c r="O23" i="1"/>
  <c r="M36" i="1"/>
  <c r="G49" i="1"/>
  <c r="E15" i="1"/>
  <c r="C16" i="1"/>
  <c r="G35" i="1"/>
  <c r="E50" i="1"/>
  <c r="Q47" i="1"/>
  <c r="O13" i="1"/>
  <c r="M26" i="1"/>
  <c r="O35" i="1"/>
  <c r="M48" i="1"/>
  <c r="I16" i="1"/>
  <c r="E27" i="1"/>
  <c r="C22" i="1"/>
  <c r="I10" i="1"/>
  <c r="E21" i="1"/>
  <c r="C19" i="1"/>
  <c r="Q12" i="1"/>
  <c r="M23" i="1"/>
  <c r="Q34" i="1"/>
  <c r="M45" i="1"/>
  <c r="I11" i="1"/>
  <c r="G24" i="1"/>
  <c r="C44" i="1"/>
  <c r="I46" i="1"/>
  <c r="G10" i="1"/>
  <c r="C37" i="1"/>
  <c r="Q24" i="1"/>
  <c r="M35" i="1"/>
  <c r="Q46" i="1"/>
  <c r="O10" i="1"/>
  <c r="I23" i="1"/>
  <c r="G36" i="1"/>
  <c r="C50" i="1"/>
  <c r="I17" i="1"/>
  <c r="G30" i="1"/>
  <c r="C47" i="1"/>
  <c r="Q19" i="1"/>
  <c r="O32" i="1"/>
  <c r="Q41" i="1"/>
  <c r="O7" i="1"/>
  <c r="M20" i="1"/>
  <c r="G33" i="1"/>
  <c r="E48" i="1"/>
  <c r="C8" i="1"/>
  <c r="G19" i="1"/>
  <c r="E34" i="1"/>
  <c r="Q31" i="1"/>
  <c r="O44" i="1"/>
  <c r="M10" i="1"/>
  <c r="O19" i="1"/>
  <c r="M32" i="1"/>
  <c r="G45" i="1"/>
  <c r="E11" i="1"/>
  <c r="C14" i="1"/>
  <c r="G39" i="1"/>
  <c r="E5" i="1"/>
  <c r="O41" i="1"/>
  <c r="M7" i="1"/>
  <c r="M29" i="1"/>
  <c r="I30" i="1"/>
  <c r="Q8" i="1"/>
  <c r="M19" i="1"/>
  <c r="Q30" i="1"/>
  <c r="M41" i="1"/>
  <c r="I7" i="1"/>
  <c r="G20" i="1"/>
  <c r="C42" i="1"/>
  <c r="I50" i="1"/>
  <c r="G14" i="1"/>
  <c r="C39" i="1"/>
  <c r="Q4" i="1"/>
  <c r="O16" i="1"/>
  <c r="Q25" i="1"/>
  <c r="O38" i="1"/>
  <c r="M4" i="1"/>
  <c r="G17" i="1"/>
  <c r="E32" i="1"/>
  <c r="I45" i="1"/>
  <c r="G50" i="1"/>
  <c r="E18" i="1"/>
  <c r="Q15" i="1"/>
  <c r="O28" i="1"/>
  <c r="Q37" i="1"/>
  <c r="O50" i="1"/>
  <c r="M16" i="1"/>
  <c r="G29" i="1"/>
  <c r="E44" i="1"/>
  <c r="C6" i="1"/>
  <c r="G23" i="1"/>
  <c r="E38" i="1"/>
  <c r="C4" i="1"/>
  <c r="O25" i="1"/>
  <c r="M38" i="1"/>
  <c r="O47" i="1"/>
  <c r="M13" i="1"/>
  <c r="I28" i="1"/>
  <c r="E39" i="1"/>
  <c r="C28" i="1"/>
  <c r="I14" i="1"/>
  <c r="E25" i="1"/>
  <c r="C7" i="1"/>
  <c r="O37" i="1"/>
  <c r="M50" i="1"/>
  <c r="Q14" i="1"/>
  <c r="M25" i="1"/>
  <c r="I40" i="1"/>
  <c r="G4" i="1"/>
  <c r="C34" i="1"/>
  <c r="I34" i="1"/>
  <c r="E45" i="1"/>
  <c r="C31" i="1"/>
  <c r="Q36" i="1"/>
  <c r="M47" i="1"/>
  <c r="Q9" i="1"/>
  <c r="O22" i="1"/>
  <c r="I35" i="1"/>
  <c r="G48" i="1"/>
  <c r="E16" i="1"/>
  <c r="I29" i="1"/>
  <c r="G34" i="1"/>
  <c r="C49" i="1"/>
  <c r="Q48" i="1"/>
  <c r="O12" i="1"/>
  <c r="Q21" i="1"/>
  <c r="O34" i="1"/>
  <c r="I47" i="1"/>
  <c r="G13" i="1"/>
  <c r="E28" i="1"/>
  <c r="I41" i="1"/>
  <c r="G7" i="1"/>
  <c r="E22" i="1"/>
  <c r="Q43" i="1"/>
  <c r="O9" i="1"/>
  <c r="M22" i="1"/>
  <c r="O31" i="1"/>
  <c r="M44" i="1"/>
  <c r="I12" i="1"/>
  <c r="E23" i="1"/>
  <c r="C20" i="1"/>
  <c r="G43" i="1"/>
  <c r="E9" i="1"/>
  <c r="C13" i="1"/>
  <c r="G22" i="1"/>
  <c r="Q11" i="1"/>
  <c r="Q33" i="1"/>
  <c r="M12" i="1"/>
  <c r="E40" i="1"/>
  <c r="G11" i="1"/>
  <c r="C21" i="1"/>
  <c r="C36" i="1"/>
  <c r="G54" i="12" l="1"/>
  <c r="Q50" i="12"/>
  <c r="C51" i="12"/>
  <c r="M50" i="16"/>
  <c r="Q50" i="16"/>
  <c r="O50" i="16"/>
  <c r="G54" i="16"/>
  <c r="E51" i="16"/>
  <c r="C51" i="16"/>
  <c r="F51" i="16"/>
  <c r="G5" i="16"/>
  <c r="H5" i="16" s="1"/>
  <c r="G54" i="14"/>
  <c r="E51" i="14"/>
  <c r="O50" i="14"/>
  <c r="G54" i="13"/>
  <c r="F51" i="13"/>
  <c r="C51" i="13"/>
  <c r="M50" i="13"/>
  <c r="Q50" i="13"/>
  <c r="G51" i="13"/>
  <c r="H4" i="13"/>
  <c r="E51" i="13"/>
  <c r="F4" i="12"/>
  <c r="I5" i="1"/>
  <c r="G4" i="12" l="1"/>
  <c r="F51" i="12"/>
  <c r="H51" i="16"/>
  <c r="E54" i="16" s="1"/>
  <c r="I5" i="16"/>
  <c r="I51" i="16" s="1"/>
  <c r="G51" i="16"/>
  <c r="G4" i="14"/>
  <c r="F51" i="14"/>
  <c r="I4" i="13"/>
  <c r="I51" i="13" s="1"/>
  <c r="C54" i="13" s="1"/>
  <c r="H51" i="13"/>
  <c r="E54" i="13" s="1"/>
  <c r="G51" i="12" l="1"/>
  <c r="H4" i="12"/>
  <c r="C54" i="16"/>
  <c r="G51" i="14"/>
  <c r="I4" i="12" l="1"/>
  <c r="I51" i="12" s="1"/>
  <c r="C54" i="12" s="1"/>
  <c r="H51" i="12"/>
  <c r="E54" i="12" s="1"/>
  <c r="I4" i="14"/>
  <c r="I51" i="14" s="1"/>
  <c r="C54" i="14" s="1"/>
  <c r="H51" i="14"/>
  <c r="E54" i="14" s="1"/>
</calcChain>
</file>

<file path=xl/sharedStrings.xml><?xml version="1.0" encoding="utf-8"?>
<sst xmlns="http://schemas.openxmlformats.org/spreadsheetml/2006/main" count="665" uniqueCount="137">
  <si>
    <t>PATE A CHOUX</t>
  </si>
  <si>
    <t>ECLAIR CAFÉ</t>
  </si>
  <si>
    <t>ÉCLAIR CHOCOLAT</t>
  </si>
  <si>
    <t>RELIGIEUSE CAFÉ</t>
  </si>
  <si>
    <t>RELIGIEUSE CHOCOLAT</t>
  </si>
  <si>
    <t>SALAMBO VERT</t>
  </si>
  <si>
    <t>SALAMBO ROSE</t>
  </si>
  <si>
    <t>CHOU CREME</t>
  </si>
  <si>
    <t>CHOU CHANTILLY</t>
  </si>
  <si>
    <t>PARIS BREST ROND</t>
  </si>
  <si>
    <t>4 PIECES CHANTILLY</t>
  </si>
  <si>
    <t>DESSERT</t>
  </si>
  <si>
    <t>MILLE FEUILLE</t>
  </si>
  <si>
    <t>BABA CREME</t>
  </si>
  <si>
    <t>BABA CHANTILLY</t>
  </si>
  <si>
    <t>FLAN</t>
  </si>
  <si>
    <t>FLAN CHOCOLAT</t>
  </si>
  <si>
    <t>FLAN COCO</t>
  </si>
  <si>
    <t>PECHE</t>
  </si>
  <si>
    <t>PART DE TROPEZIENNE</t>
  </si>
  <si>
    <t>TARTELETTE</t>
  </si>
  <si>
    <t>FRUITS CUITS</t>
  </si>
  <si>
    <t>ABRICOT</t>
  </si>
  <si>
    <t xml:space="preserve">MIRABELLE </t>
  </si>
  <si>
    <t>CERISE</t>
  </si>
  <si>
    <t>POMMES</t>
  </si>
  <si>
    <t>NORMANDE</t>
  </si>
  <si>
    <t>GRILLÉ</t>
  </si>
  <si>
    <t>CITRON</t>
  </si>
  <si>
    <t>CITRON MERINGUÉE</t>
  </si>
  <si>
    <t>CHOCOLAT</t>
  </si>
  <si>
    <t>CARAMEL</t>
  </si>
  <si>
    <t>GATEAU</t>
  </si>
  <si>
    <t>MOKA CAFÉ</t>
  </si>
  <si>
    <t>MOKA CHOCOLAT</t>
  </si>
  <si>
    <t>MOKA PRALINÉ</t>
  </si>
  <si>
    <t>OPERA</t>
  </si>
  <si>
    <t>FORET NOIRE</t>
  </si>
  <si>
    <t>MERVEILLEUX CHOCOLAT</t>
  </si>
  <si>
    <t>MERVEILLEUX COCO</t>
  </si>
  <si>
    <t>MERVEILLEUX PRALINÉ</t>
  </si>
  <si>
    <t>MOUSSE</t>
  </si>
  <si>
    <t>FRAISE</t>
  </si>
  <si>
    <t>FRAMBOISIER</t>
  </si>
  <si>
    <t>ROYAL</t>
  </si>
  <si>
    <t>DUO CHOCO</t>
  </si>
  <si>
    <t>DUO FRUITS EXO</t>
  </si>
  <si>
    <t>COURCHEVEL</t>
  </si>
  <si>
    <t>X2</t>
  </si>
  <si>
    <t>X4</t>
  </si>
  <si>
    <t>1+1</t>
  </si>
  <si>
    <t>2+2</t>
  </si>
  <si>
    <t>GRANDS GATEAUX</t>
  </si>
  <si>
    <t>INDIVIDUELS</t>
  </si>
  <si>
    <t>4P</t>
  </si>
  <si>
    <t>6P</t>
  </si>
  <si>
    <t>8P</t>
  </si>
  <si>
    <t>SAINT HONORÉ</t>
  </si>
  <si>
    <t>PARIS BREST ROND PRALINÉ</t>
  </si>
  <si>
    <t>TROPEZIENNE</t>
  </si>
  <si>
    <t>TARTE</t>
  </si>
  <si>
    <t>ABRICOT/MIRABELLE/CERISE/QUETSCH</t>
  </si>
  <si>
    <t>POMMES TATIN</t>
  </si>
  <si>
    <t>RESTE</t>
  </si>
  <si>
    <t>QUANTITÉ A PRODUIRE</t>
  </si>
  <si>
    <t>PRIX</t>
  </si>
  <si>
    <t>boite petits</t>
  </si>
  <si>
    <t>boite grands</t>
  </si>
  <si>
    <t>CA PREVU</t>
  </si>
  <si>
    <t>A</t>
  </si>
  <si>
    <t>1000/1200</t>
  </si>
  <si>
    <t>1300/1500</t>
  </si>
  <si>
    <t>C</t>
  </si>
  <si>
    <t>B</t>
  </si>
  <si>
    <t>D</t>
  </si>
  <si>
    <t>1600/1800</t>
  </si>
  <si>
    <t>1900/2200</t>
  </si>
  <si>
    <t>d</t>
  </si>
  <si>
    <t>litre</t>
  </si>
  <si>
    <t>kg</t>
  </si>
  <si>
    <t>lundi</t>
  </si>
  <si>
    <t>mardi</t>
  </si>
  <si>
    <t>mercredi</t>
  </si>
  <si>
    <t>jeudi</t>
  </si>
  <si>
    <t>PRODUCTION D AVANCE</t>
  </si>
  <si>
    <t>CADRE</t>
  </si>
  <si>
    <t>QTE</t>
  </si>
  <si>
    <t>purée de Passion</t>
  </si>
  <si>
    <t>sucre</t>
  </si>
  <si>
    <t>gélatine</t>
  </si>
  <si>
    <t>feuilles</t>
  </si>
  <si>
    <t>crème</t>
  </si>
  <si>
    <t>1, 8</t>
  </si>
  <si>
    <t>Feuilles de génoise chocolat</t>
  </si>
  <si>
    <t>Faire chauffer une partie de la purée avec le sucre, ajouter la gélatine</t>
  </si>
  <si>
    <t>puis le reste de purée. Ajouter la crème fouettée;</t>
  </si>
  <si>
    <t>Cadre Royal chocolat</t>
  </si>
  <si>
    <t>Hauteur 4,5 cm</t>
  </si>
  <si>
    <t>Croustillant praliné</t>
  </si>
  <si>
    <t>Mousse chocolat</t>
  </si>
  <si>
    <t>Couverture noire</t>
  </si>
  <si>
    <t>Lait</t>
  </si>
  <si>
    <t>L</t>
  </si>
  <si>
    <t>Crème fouettée</t>
  </si>
  <si>
    <t xml:space="preserve">Feuille génoise </t>
  </si>
  <si>
    <t>PASSION CHOCO</t>
  </si>
  <si>
    <t>Pour un cadre fraise/citron</t>
  </si>
  <si>
    <t>mousse fraise</t>
  </si>
  <si>
    <t>purée de fraise</t>
  </si>
  <si>
    <t>14 feuilles</t>
  </si>
  <si>
    <t>Mousse citron</t>
  </si>
  <si>
    <t>Pulco</t>
  </si>
  <si>
    <t>Sucre</t>
  </si>
  <si>
    <t>Crème montée</t>
  </si>
  <si>
    <t>1 l</t>
  </si>
  <si>
    <t>Feuille de génoise 8mm</t>
  </si>
  <si>
    <t xml:space="preserve">monter en cadre de 4,5 cm de haut sur une feuille de génoise </t>
  </si>
  <si>
    <t>Séparer le citron (même procédé que la mousse fraise) avec une</t>
  </si>
  <si>
    <t xml:space="preserve"> seconde feuille de génoise </t>
  </si>
  <si>
    <t>Glaçage miroir neutre, couper en part de 7x6 cm soit 48 parts</t>
  </si>
  <si>
    <t>Décor fraise ou tranche de citron</t>
  </si>
  <si>
    <t xml:space="preserve"> 4,5 cm</t>
  </si>
  <si>
    <t xml:space="preserve">Etaler  le croustillant praliné sur une feuille de génoise  Faire fondre le chocolat avec le lait   Incorporer la crème fouettée, garnir le cadre, rayer  Couper en part de 7x6 cm soit 48 parts Finition cacao poudre </t>
  </si>
  <si>
    <t xml:space="preserve"> PASSION CHOCO</t>
  </si>
  <si>
    <t>3,5 cm</t>
  </si>
  <si>
    <t>Faire chauffer une partie de la purée avec le sucre, ajouter la gélatine puis le reste de purée. Ajouter la crème fouettée; monter en cadre de 3,5 cm de haut sur une feuille de génoise chocolat  Mettre à mi-hauteur une seconde feuille de génoise chocolat Glaçage miroir neutre, couper en part de 9,5 x 5 cm soit 42 parts Décor une framboise.</t>
  </si>
  <si>
    <t>ABRICOTIER</t>
  </si>
  <si>
    <t>FRAISIER</t>
  </si>
  <si>
    <t>INTENSE CHOC</t>
  </si>
  <si>
    <t>RUBIS</t>
  </si>
  <si>
    <t>SOIT LA FEUILLE S OUVRE DES QU'UNE QUANTITE EST INCRITE</t>
  </si>
  <si>
    <t xml:space="preserve">SOIT IL Y A UN BOUTON EN COLONNE  V QUI ME PERMET </t>
  </si>
  <si>
    <t>D'ACTIVER LA FEUILLE SI IL Y A BESOIN</t>
  </si>
  <si>
    <t xml:space="preserve">du moment qu'une feuille est racordé à une case </t>
  </si>
  <si>
    <t xml:space="preserve">Les feuilles peuvent avoir le nom de la recette ou restées feuilX </t>
  </si>
  <si>
    <t>MOKA CAFE</t>
  </si>
  <si>
    <t>FRAISE CITRON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</si>
</sst>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15" x14ac:knownFonts="1">
    <font>
      <sz val="11"/>
      <color theme="1"/>
      <name val="Calibri"/>
      <family val="2"/>
      <scheme val="minor"/>
    </font>
    <font>
      <sz val="11"/>
      <color theme="1"/>
      <name val="Calibri"/>
      <family val="2"/>
      <scheme val="minor"/>
    </font>
    <font>
      <b/>
      <sz val="11"/>
      <color theme="1"/>
      <name val="Calibri"/>
      <family val="2"/>
      <scheme val="minor"/>
    </font>
    <font>
      <b/>
      <u/>
      <sz val="11"/>
      <color theme="1"/>
      <name val="Calibri"/>
      <family val="2"/>
      <scheme val="minor"/>
    </font>
    <font>
      <i/>
      <u/>
      <sz val="11"/>
      <color theme="1"/>
      <name val="Calibri"/>
      <family val="2"/>
      <scheme val="minor"/>
    </font>
    <font>
      <b/>
      <i/>
      <u/>
      <sz val="12"/>
      <color theme="1"/>
      <name val="Calibri"/>
      <family val="2"/>
      <scheme val="minor"/>
    </font>
    <font>
      <b/>
      <u/>
      <sz val="11"/>
      <color theme="0" tint="-0.34998626667073579"/>
      <name val="Calibri"/>
      <family val="2"/>
      <scheme val="minor"/>
    </font>
    <font>
      <sz val="11"/>
      <color theme="0" tint="-0.34998626667073579"/>
      <name val="Calibri"/>
      <family val="2"/>
      <scheme val="minor"/>
    </font>
    <font>
      <b/>
      <sz val="11"/>
      <color theme="0" tint="-0.34998626667073579"/>
      <name val="Calibri"/>
      <family val="2"/>
      <scheme val="minor"/>
    </font>
    <font>
      <i/>
      <u/>
      <sz val="11"/>
      <color theme="0" tint="-0.34998626667073579"/>
      <name val="Calibri"/>
      <family val="2"/>
      <scheme val="minor"/>
    </font>
    <font>
      <b/>
      <sz val="20"/>
      <color theme="1"/>
      <name val="Calibri"/>
      <family val="2"/>
      <scheme val="minor"/>
    </font>
    <font>
      <sz val="20"/>
      <color theme="1"/>
      <name val="Calibri"/>
      <family val="2"/>
      <scheme val="minor"/>
    </font>
    <font>
      <sz val="14"/>
      <color theme="1"/>
      <name val="Calibri"/>
      <family val="2"/>
      <scheme val="minor"/>
    </font>
    <font>
      <b/>
      <sz val="18"/>
      <color theme="1"/>
      <name val="Calibri"/>
      <family val="2"/>
      <scheme val="minor"/>
    </font>
    <font>
      <sz val="13"/>
      <color theme="1"/>
      <name val="Calibri"/>
      <family val="2"/>
      <scheme val="minor"/>
    </font>
  </fonts>
  <fills count="6">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rgb="FF92D050"/>
        <bgColor indexed="64"/>
      </patternFill>
    </fill>
    <fill>
      <patternFill patternType="solid">
        <fgColor rgb="FFFFC000"/>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right/>
      <top style="medium">
        <color indexed="64"/>
      </top>
      <bottom/>
      <diagonal/>
    </border>
    <border>
      <left style="medium">
        <color indexed="64"/>
      </left>
      <right/>
      <top/>
      <bottom/>
      <diagonal/>
    </border>
  </borders>
  <cellStyleXfs count="2">
    <xf numFmtId="0" fontId="0" fillId="0" borderId="0"/>
    <xf numFmtId="44" fontId="1" fillId="0" borderId="0" applyFont="0" applyFill="0" applyBorder="0" applyAlignment="0" applyProtection="0"/>
  </cellStyleXfs>
  <cellXfs count="54">
    <xf numFmtId="0" fontId="0" fillId="0" borderId="0" xfId="0"/>
    <xf numFmtId="0" fontId="3" fillId="0" borderId="1" xfId="0" applyFont="1" applyBorder="1"/>
    <xf numFmtId="0" fontId="0" fillId="0" borderId="1" xfId="0" applyBorder="1"/>
    <xf numFmtId="0" fontId="0" fillId="0" borderId="1" xfId="0" applyBorder="1" applyAlignment="1">
      <alignment horizontal="center"/>
    </xf>
    <xf numFmtId="0" fontId="4" fillId="0" borderId="1" xfId="0" applyFont="1" applyBorder="1"/>
    <xf numFmtId="0" fontId="2" fillId="0" borderId="1" xfId="0" applyFont="1" applyBorder="1"/>
    <xf numFmtId="0" fontId="0" fillId="0" borderId="2" xfId="0" applyBorder="1" applyAlignment="1">
      <alignment horizontal="center"/>
    </xf>
    <xf numFmtId="0" fontId="3" fillId="0" borderId="3" xfId="0" applyFont="1" applyBorder="1"/>
    <xf numFmtId="0" fontId="5" fillId="0" borderId="3" xfId="0" applyFont="1" applyFill="1" applyBorder="1"/>
    <xf numFmtId="0" fontId="0" fillId="0" borderId="3" xfId="0" applyBorder="1"/>
    <xf numFmtId="0" fontId="4" fillId="0" borderId="3" xfId="0" applyFont="1" applyBorder="1"/>
    <xf numFmtId="0" fontId="0" fillId="0" borderId="4" xfId="0" applyBorder="1"/>
    <xf numFmtId="0" fontId="0" fillId="0" borderId="5" xfId="0" applyBorder="1"/>
    <xf numFmtId="0" fontId="0" fillId="0" borderId="6" xfId="0" applyBorder="1"/>
    <xf numFmtId="0" fontId="6" fillId="0" borderId="1" xfId="0" applyFont="1" applyBorder="1"/>
    <xf numFmtId="0" fontId="7" fillId="0" borderId="1" xfId="0" applyFont="1" applyBorder="1"/>
    <xf numFmtId="0" fontId="8" fillId="0" borderId="1" xfId="0" applyFont="1" applyBorder="1"/>
    <xf numFmtId="0" fontId="9" fillId="0" borderId="1" xfId="0" applyFont="1" applyBorder="1"/>
    <xf numFmtId="0" fontId="7" fillId="0" borderId="1" xfId="0" applyFont="1" applyBorder="1" applyAlignment="1">
      <alignment horizontal="center"/>
    </xf>
    <xf numFmtId="0" fontId="7" fillId="0" borderId="2" xfId="0" applyFont="1" applyBorder="1" applyAlignment="1">
      <alignment horizontal="center"/>
    </xf>
    <xf numFmtId="0" fontId="6" fillId="0" borderId="3" xfId="0" applyFont="1" applyBorder="1"/>
    <xf numFmtId="0" fontId="7" fillId="0" borderId="3" xfId="0" applyFont="1" applyBorder="1"/>
    <xf numFmtId="0" fontId="9" fillId="0" borderId="3" xfId="0" applyFont="1" applyBorder="1"/>
    <xf numFmtId="0" fontId="2" fillId="0" borderId="1" xfId="0" applyFont="1" applyBorder="1" applyAlignment="1">
      <alignment horizontal="center"/>
    </xf>
    <xf numFmtId="0" fontId="2" fillId="0" borderId="2" xfId="0" applyFont="1" applyBorder="1" applyAlignment="1">
      <alignment horizontal="center"/>
    </xf>
    <xf numFmtId="44" fontId="0" fillId="0" borderId="0" xfId="1" applyFont="1"/>
    <xf numFmtId="0" fontId="7" fillId="2" borderId="1" xfId="0" applyFont="1" applyFill="1" applyBorder="1" applyAlignment="1">
      <alignment horizontal="center"/>
    </xf>
    <xf numFmtId="0" fontId="7" fillId="2" borderId="2" xfId="0" applyFont="1" applyFill="1" applyBorder="1" applyAlignment="1">
      <alignment horizontal="center"/>
    </xf>
    <xf numFmtId="0" fontId="2" fillId="2" borderId="1" xfId="0" applyFont="1" applyFill="1" applyBorder="1" applyAlignment="1">
      <alignment horizontal="center"/>
    </xf>
    <xf numFmtId="0" fontId="2" fillId="2" borderId="2" xfId="0" applyFont="1" applyFill="1" applyBorder="1" applyAlignment="1">
      <alignment horizontal="center"/>
    </xf>
    <xf numFmtId="0" fontId="7" fillId="2" borderId="3" xfId="0" applyFont="1" applyFill="1" applyBorder="1"/>
    <xf numFmtId="0" fontId="0" fillId="0" borderId="0" xfId="0" applyFill="1" applyBorder="1" applyAlignment="1">
      <alignment horizontal="center"/>
    </xf>
    <xf numFmtId="0" fontId="2" fillId="0" borderId="0" xfId="0" applyFont="1" applyAlignment="1">
      <alignment horizontal="center"/>
    </xf>
    <xf numFmtId="0" fontId="0" fillId="0" borderId="0" xfId="0" applyBorder="1"/>
    <xf numFmtId="0" fontId="0" fillId="0" borderId="0" xfId="0" applyAlignment="1">
      <alignment horizontal="center"/>
    </xf>
    <xf numFmtId="0" fontId="10" fillId="0" borderId="0" xfId="0" applyFont="1"/>
    <xf numFmtId="0" fontId="11" fillId="0" borderId="0" xfId="0" applyFont="1"/>
    <xf numFmtId="0" fontId="12" fillId="0" borderId="0" xfId="0" applyFont="1"/>
    <xf numFmtId="0" fontId="12" fillId="0" borderId="0" xfId="0" applyFont="1" applyAlignment="1">
      <alignment horizontal="center" wrapText="1"/>
    </xf>
    <xf numFmtId="0" fontId="10" fillId="0" borderId="9" xfId="0" applyFont="1" applyBorder="1"/>
    <xf numFmtId="0" fontId="12" fillId="0" borderId="10" xfId="0" applyFont="1" applyBorder="1"/>
    <xf numFmtId="0" fontId="12" fillId="0" borderId="0" xfId="0" applyFont="1" applyBorder="1"/>
    <xf numFmtId="0" fontId="13" fillId="0" borderId="10" xfId="0" applyFont="1" applyBorder="1"/>
    <xf numFmtId="0" fontId="12" fillId="0" borderId="9" xfId="0" applyFont="1" applyBorder="1"/>
    <xf numFmtId="0" fontId="11" fillId="0" borderId="0" xfId="0" applyFont="1" applyBorder="1"/>
    <xf numFmtId="0" fontId="0" fillId="3" borderId="0" xfId="0" applyFill="1"/>
    <xf numFmtId="0" fontId="0" fillId="4" borderId="0" xfId="0" applyFill="1"/>
    <xf numFmtId="0" fontId="0" fillId="5" borderId="0" xfId="0" applyFill="1"/>
    <xf numFmtId="0" fontId="0" fillId="0" borderId="1" xfId="0" applyBorder="1" applyAlignment="1">
      <alignment horizontal="left"/>
    </xf>
    <xf numFmtId="0" fontId="3" fillId="0" borderId="2" xfId="0" applyFont="1" applyBorder="1" applyAlignment="1">
      <alignment horizontal="center"/>
    </xf>
    <xf numFmtId="0" fontId="3" fillId="0" borderId="7" xfId="0" applyFont="1" applyBorder="1" applyAlignment="1">
      <alignment horizontal="center"/>
    </xf>
    <xf numFmtId="0" fontId="3" fillId="0" borderId="8" xfId="0" applyFont="1" applyBorder="1" applyAlignment="1">
      <alignment horizontal="center"/>
    </xf>
    <xf numFmtId="0" fontId="14" fillId="0" borderId="0" xfId="0" applyFont="1" applyAlignment="1">
      <alignment horizontal="center" vertical="top" wrapText="1"/>
    </xf>
    <xf numFmtId="0" fontId="12" fillId="0" borderId="0" xfId="0" applyFont="1" applyAlignment="1">
      <alignment horizontal="center" vertical="top" wrapText="1"/>
    </xf>
  </cellXfs>
  <cellStyles count="2">
    <cellStyle name="Monétaire" xfId="1" builtinId="4"/>
    <cellStyle name="Normal" xfId="0" builtinId="0"/>
  </cellStyles>
  <dxfs count="5">
    <dxf>
      <font>
        <color theme="0"/>
      </font>
    </dxf>
    <dxf>
      <font>
        <color theme="0"/>
      </font>
    </dxf>
    <dxf>
      <font>
        <color theme="0"/>
      </font>
    </dxf>
    <dxf>
      <font>
        <color theme="0"/>
      </font>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21</xdr:col>
      <xdr:colOff>247649</xdr:colOff>
      <xdr:row>18</xdr:row>
      <xdr:rowOff>180975</xdr:rowOff>
    </xdr:from>
    <xdr:to>
      <xdr:col>23</xdr:col>
      <xdr:colOff>352424</xdr:colOff>
      <xdr:row>20</xdr:row>
      <xdr:rowOff>57150</xdr:rowOff>
    </xdr:to>
    <xdr:sp macro="[0]!Affiche_Recette" textlink="">
      <xdr:nvSpPr>
        <xdr:cNvPr id="2" name="Rectangle 1"/>
        <xdr:cNvSpPr/>
      </xdr:nvSpPr>
      <xdr:spPr>
        <a:xfrm>
          <a:off x="15906749" y="3619500"/>
          <a:ext cx="1628775" cy="2571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Afficher les</a:t>
          </a:r>
          <a:r>
            <a:rPr lang="fr-FR" sz="1100" baseline="0"/>
            <a:t> recettes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W50"/>
  <sheetViews>
    <sheetView tabSelected="1" topLeftCell="F10" workbookViewId="0">
      <selection activeCell="W24" sqref="W24"/>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21" x14ac:dyDescent="0.25">
      <c r="A1" s="1" t="s">
        <v>53</v>
      </c>
      <c r="B1" s="49" t="s">
        <v>64</v>
      </c>
      <c r="C1" s="50"/>
      <c r="D1" s="50"/>
      <c r="E1" s="50"/>
      <c r="F1" s="50"/>
      <c r="G1" s="50"/>
      <c r="H1" s="50"/>
      <c r="I1" s="51"/>
      <c r="J1" s="11"/>
      <c r="K1" s="7" t="s">
        <v>52</v>
      </c>
      <c r="L1" s="7"/>
      <c r="M1" s="2"/>
      <c r="N1" s="2"/>
      <c r="O1" s="2"/>
      <c r="P1" s="2"/>
      <c r="Q1" s="2"/>
    </row>
    <row r="2" spans="1:21"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c r="S2" s="31" t="s">
        <v>68</v>
      </c>
    </row>
    <row r="3" spans="1:21" x14ac:dyDescent="0.25">
      <c r="A3" s="1" t="s">
        <v>0</v>
      </c>
      <c r="B3" s="14"/>
      <c r="C3" s="23"/>
      <c r="D3" s="18"/>
      <c r="E3" s="23"/>
      <c r="F3" s="18"/>
      <c r="G3" s="23"/>
      <c r="H3" s="19"/>
      <c r="I3" s="24"/>
      <c r="J3" s="12"/>
      <c r="K3" s="7" t="s">
        <v>0</v>
      </c>
      <c r="L3" s="20"/>
      <c r="M3" s="23"/>
      <c r="N3" s="18"/>
      <c r="O3" s="23"/>
      <c r="P3" s="18"/>
      <c r="Q3" s="23"/>
    </row>
    <row r="4" spans="1:21" x14ac:dyDescent="0.25">
      <c r="A4" s="2" t="s">
        <v>1</v>
      </c>
      <c r="B4" s="15"/>
      <c r="C4" s="23">
        <f ca="1">INDIRECT(CELL("contenu",$S$4)&amp;"!"&amp;"b4" )-B4</f>
        <v>8</v>
      </c>
      <c r="D4" s="18"/>
      <c r="E4" s="23">
        <f ca="1">INDIRECT(CELL("contenu",$S$4)&amp;"!"&amp;"d4" )-D4</f>
        <v>4</v>
      </c>
      <c r="F4" s="18"/>
      <c r="G4" s="23">
        <f ca="1">INDIRECT(CELL("contenu",$S$4)&amp;"!"&amp;"f4" )-F4</f>
        <v>2</v>
      </c>
      <c r="H4" s="19"/>
      <c r="I4" s="23">
        <f ca="1">INDIRECT(CELL("contenu",$S$4)&amp;"!"&amp;"h4" )-H4</f>
        <v>2</v>
      </c>
      <c r="J4" s="12"/>
      <c r="K4" s="9" t="s">
        <v>57</v>
      </c>
      <c r="L4" s="21"/>
      <c r="M4" s="23">
        <f ca="1">INDIRECT(CELL("contenu",$S$4)&amp;"!"&amp;"l4" )-L4</f>
        <v>0</v>
      </c>
      <c r="N4" s="18"/>
      <c r="O4" s="23">
        <f ca="1">INDIRECT(CELL("contenu",$S$4)&amp;"!"&amp;"n4" )-N4</f>
        <v>0</v>
      </c>
      <c r="P4" s="18"/>
      <c r="Q4" s="23">
        <f ca="1">INDIRECT(CELL("contenu",$S$4)&amp;"!"&amp;"p4" )-P4</f>
        <v>0</v>
      </c>
      <c r="S4" s="2" t="s">
        <v>77</v>
      </c>
    </row>
    <row r="5" spans="1:21" x14ac:dyDescent="0.25">
      <c r="A5" s="2" t="s">
        <v>2</v>
      </c>
      <c r="B5" s="15"/>
      <c r="C5" s="23">
        <f ca="1">INDIRECT(CELL("contenu",$S$4)&amp;"!"&amp;"b5" )-B5</f>
        <v>8</v>
      </c>
      <c r="D5" s="18"/>
      <c r="E5" s="23">
        <f ca="1">INDIRECT(CELL("contenu",$S$4)&amp;"!"&amp;"d5" )-D5</f>
        <v>4</v>
      </c>
      <c r="F5" s="18"/>
      <c r="G5" s="23">
        <f ca="1">INDIRECT(CELL("contenu",$S$4)&amp;"!"&amp;"f5" )-F5</f>
        <v>0</v>
      </c>
      <c r="H5" s="19"/>
      <c r="I5" s="23">
        <f ca="1">INDIRECT(CELL("contenu",$S$4)&amp;"!"&amp;"h5" )-H5</f>
        <v>0</v>
      </c>
      <c r="J5" s="12"/>
      <c r="K5" s="9" t="s">
        <v>58</v>
      </c>
      <c r="L5" s="21"/>
      <c r="M5" s="23">
        <f ca="1">INDIRECT(CELL("contenu",$S$4)&amp;"!"&amp;"l5" )-L5</f>
        <v>0</v>
      </c>
      <c r="N5" s="18"/>
      <c r="O5" s="23">
        <f ca="1">INDIRECT(CELL("contenu",$S$4)&amp;"!"&amp;"n5" )-N5</f>
        <v>4</v>
      </c>
      <c r="P5" s="18"/>
      <c r="Q5" s="23">
        <f ca="1">INDIRECT(CELL("contenu",$S$4)&amp;"!"&amp;"p5" )-P5</f>
        <v>2</v>
      </c>
    </row>
    <row r="6" spans="1:21" x14ac:dyDescent="0.25">
      <c r="A6" s="2" t="s">
        <v>3</v>
      </c>
      <c r="B6" s="15"/>
      <c r="C6" s="23">
        <f ca="1">INDIRECT(CELL("contenu",$S$4)&amp;"!"&amp;"b6" )-B6</f>
        <v>8</v>
      </c>
      <c r="D6" s="18"/>
      <c r="E6" s="23">
        <f ca="1">INDIRECT(CELL("contenu",$S$4)&amp;"!"&amp;"d6" )-D6</f>
        <v>4</v>
      </c>
      <c r="F6" s="18"/>
      <c r="G6" s="23">
        <f ca="1">INDIRECT(CELL("contenu",$S$4)&amp;"!"&amp;"f6" )-F6</f>
        <v>2</v>
      </c>
      <c r="H6" s="19"/>
      <c r="I6" s="23">
        <f ca="1">INDIRECT(CELL("contenu",$S$4)&amp;"!"&amp;"h6" )-H6</f>
        <v>2</v>
      </c>
      <c r="J6" s="12"/>
      <c r="K6" s="7" t="s">
        <v>11</v>
      </c>
      <c r="L6" s="20"/>
      <c r="M6" s="23">
        <f ca="1">INDIRECT(CELL("contenu",$S$4)&amp;"!"&amp;"l6" )-L6</f>
        <v>0</v>
      </c>
      <c r="N6" s="18"/>
      <c r="O6" s="23">
        <f ca="1">INDIRECT(CELL("contenu",$S$4)&amp;"!"&amp;"n6" )-N6</f>
        <v>0</v>
      </c>
      <c r="P6" s="18"/>
      <c r="Q6" s="23">
        <f ca="1">INDIRECT(CELL("contenu",$S$4)&amp;"!"&amp;"p6" )-P6</f>
        <v>0</v>
      </c>
      <c r="S6" s="32" t="s">
        <v>69</v>
      </c>
      <c r="T6" t="s">
        <v>70</v>
      </c>
      <c r="U6" t="s">
        <v>80</v>
      </c>
    </row>
    <row r="7" spans="1:21" x14ac:dyDescent="0.25">
      <c r="A7" s="2" t="s">
        <v>4</v>
      </c>
      <c r="B7" s="15"/>
      <c r="C7" s="23">
        <f ca="1">INDIRECT(CELL("contenu",$S$4)&amp;"!"&amp;"b7" )-B7</f>
        <v>8</v>
      </c>
      <c r="D7" s="18"/>
      <c r="E7" s="23">
        <f ca="1">INDIRECT(CELL("contenu",$S$4)&amp;"!"&amp;"d7" )-D7</f>
        <v>4</v>
      </c>
      <c r="F7" s="18"/>
      <c r="G7" s="23">
        <f ca="1">INDIRECT(CELL("contenu",$S$4)&amp;"!"&amp;"f7" )-F7</f>
        <v>0</v>
      </c>
      <c r="H7" s="19"/>
      <c r="I7" s="23">
        <f ca="1">INDIRECT(CELL("contenu",$S$4)&amp;"!"&amp;"h7" )-H7</f>
        <v>0</v>
      </c>
      <c r="J7" s="12"/>
      <c r="K7" s="9" t="s">
        <v>12</v>
      </c>
      <c r="L7" s="21"/>
      <c r="M7" s="23">
        <f ca="1">INDIRECT(CELL("contenu",$S$4)&amp;"!"&amp;"l7" )-L7</f>
        <v>0</v>
      </c>
      <c r="N7" s="18"/>
      <c r="O7" s="23">
        <f ca="1">INDIRECT(CELL("contenu",$S$4)&amp;"!"&amp;"n7" )-N7</f>
        <v>6</v>
      </c>
      <c r="P7" s="18"/>
      <c r="Q7" s="23">
        <f ca="1">INDIRECT(CELL("contenu",$S$4)&amp;"!"&amp;"p7" )-P7</f>
        <v>2</v>
      </c>
      <c r="S7" s="32" t="s">
        <v>73</v>
      </c>
      <c r="T7" t="s">
        <v>71</v>
      </c>
      <c r="U7" t="s">
        <v>81</v>
      </c>
    </row>
    <row r="8" spans="1:21" x14ac:dyDescent="0.25">
      <c r="A8" s="2" t="s">
        <v>5</v>
      </c>
      <c r="B8" s="15"/>
      <c r="C8" s="23">
        <f ca="1">INDIRECT(CELL("contenu",$S$4)&amp;"!"&amp;"b8" )-B8</f>
        <v>4</v>
      </c>
      <c r="D8" s="18"/>
      <c r="E8" s="23">
        <f ca="1">INDIRECT(CELL("contenu",$S$4)&amp;"!"&amp;"d8" )-D8</f>
        <v>2</v>
      </c>
      <c r="F8" s="18"/>
      <c r="G8" s="23">
        <f ca="1">INDIRECT(CELL("contenu",$S$4)&amp;"!"&amp;"f8" )-F8</f>
        <v>0</v>
      </c>
      <c r="H8" s="19"/>
      <c r="I8" s="23">
        <f ca="1">INDIRECT(CELL("contenu",$S$4)&amp;"!"&amp;"h8" )-H8</f>
        <v>0</v>
      </c>
      <c r="J8" s="12"/>
      <c r="K8" s="9" t="s">
        <v>15</v>
      </c>
      <c r="L8" s="21"/>
      <c r="M8" s="23">
        <f ca="1">INDIRECT(CELL("contenu",$S$4)&amp;"!"&amp;"l8" )-L8</f>
        <v>0</v>
      </c>
      <c r="N8" s="18"/>
      <c r="O8" s="23">
        <f ca="1">INDIRECT(CELL("contenu",$S$4)&amp;"!"&amp;"n8" )-N8</f>
        <v>12</v>
      </c>
      <c r="P8" s="18"/>
      <c r="Q8" s="23">
        <f ca="1">INDIRECT(CELL("contenu",$S$4)&amp;"!"&amp;"p8" )-P8</f>
        <v>0</v>
      </c>
      <c r="S8" s="32" t="s">
        <v>72</v>
      </c>
      <c r="T8" t="s">
        <v>75</v>
      </c>
      <c r="U8" t="s">
        <v>82</v>
      </c>
    </row>
    <row r="9" spans="1:21" x14ac:dyDescent="0.25">
      <c r="A9" s="2" t="s">
        <v>6</v>
      </c>
      <c r="B9" s="15"/>
      <c r="C9" s="23">
        <f ca="1">INDIRECT(CELL("contenu",$S$4)&amp;"!"&amp;"b9" )-B9</f>
        <v>4</v>
      </c>
      <c r="D9" s="18"/>
      <c r="E9" s="23">
        <f ca="1">INDIRECT(CELL("contenu",$S$4)&amp;"!"&amp;"d9" )-D9</f>
        <v>2</v>
      </c>
      <c r="F9" s="18"/>
      <c r="G9" s="23">
        <f ca="1">INDIRECT(CELL("contenu",$S$4)&amp;"!"&amp;"f9" )-F9</f>
        <v>2</v>
      </c>
      <c r="H9" s="19"/>
      <c r="I9" s="23">
        <f ca="1">INDIRECT(CELL("contenu",$S$4)&amp;"!"&amp;"h9" )-H9</f>
        <v>2</v>
      </c>
      <c r="J9" s="12"/>
      <c r="K9" s="9" t="s">
        <v>59</v>
      </c>
      <c r="L9" s="21"/>
      <c r="M9" s="23">
        <f ca="1">INDIRECT(CELL("contenu",$S$4)&amp;"!"&amp;"l9" )-L9</f>
        <v>0</v>
      </c>
      <c r="N9" s="18"/>
      <c r="O9" s="23">
        <f ca="1">INDIRECT(CELL("contenu",$S$4)&amp;"!"&amp;"n9" )-N9</f>
        <v>10</v>
      </c>
      <c r="P9" s="18"/>
      <c r="Q9" s="23">
        <f ca="1">INDIRECT(CELL("contenu",$S$4)&amp;"!"&amp;"p9" )-P9</f>
        <v>0</v>
      </c>
      <c r="S9" s="32" t="s">
        <v>74</v>
      </c>
      <c r="T9" t="s">
        <v>76</v>
      </c>
      <c r="U9" t="s">
        <v>83</v>
      </c>
    </row>
    <row r="10" spans="1:21" x14ac:dyDescent="0.25">
      <c r="A10" s="2" t="s">
        <v>7</v>
      </c>
      <c r="B10" s="15"/>
      <c r="C10" s="23">
        <f ca="1">INDIRECT(CELL("contenu",$S$4)&amp;"!"&amp;"b10" )-B10</f>
        <v>6</v>
      </c>
      <c r="D10" s="18"/>
      <c r="E10" s="23">
        <f ca="1">INDIRECT(CELL("contenu",$S$4)&amp;"!"&amp;"d10" )-D10</f>
        <v>0</v>
      </c>
      <c r="F10" s="18"/>
      <c r="G10" s="23">
        <f ca="1">INDIRECT(CELL("contenu",$S$4)&amp;"!"&amp;"f10" )-F10</f>
        <v>0</v>
      </c>
      <c r="H10" s="19"/>
      <c r="I10" s="23">
        <f ca="1">INDIRECT(CELL("contenu",$S$4)&amp;"!"&amp;"h10" )-H10</f>
        <v>0</v>
      </c>
      <c r="J10" s="12"/>
      <c r="K10" s="7" t="s">
        <v>60</v>
      </c>
      <c r="L10" s="20"/>
      <c r="M10" s="23">
        <f ca="1">INDIRECT(CELL("contenu",$S$4)&amp;"!"&amp;"l10" )-L10</f>
        <v>0</v>
      </c>
      <c r="N10" s="18"/>
      <c r="O10" s="23">
        <f ca="1">INDIRECT(CELL("contenu",$S$4)&amp;"!"&amp;"n10" )-N10</f>
        <v>0</v>
      </c>
      <c r="P10" s="18"/>
      <c r="Q10" s="23">
        <f ca="1">INDIRECT(CELL("contenu",$S$4)&amp;"!"&amp;"p10" )-P10</f>
        <v>0</v>
      </c>
    </row>
    <row r="11" spans="1:21" x14ac:dyDescent="0.25">
      <c r="A11" s="2" t="s">
        <v>8</v>
      </c>
      <c r="B11" s="15"/>
      <c r="C11" s="23">
        <f ca="1">INDIRECT(CELL("contenu",$S$4)&amp;"!"&amp;"b11" )-B11</f>
        <v>6</v>
      </c>
      <c r="D11" s="18"/>
      <c r="E11" s="23">
        <f ca="1">INDIRECT(CELL("contenu",$S$4)&amp;"!"&amp;"d11" )-D11</f>
        <v>0</v>
      </c>
      <c r="F11" s="18"/>
      <c r="G11" s="23">
        <f ca="1">INDIRECT(CELL("contenu",$S$4)&amp;"!"&amp;"f11" )-F11</f>
        <v>0</v>
      </c>
      <c r="H11" s="19"/>
      <c r="I11" s="23">
        <f ca="1">INDIRECT(CELL("contenu",$S$4)&amp;"!"&amp;"h11" )-H11</f>
        <v>0</v>
      </c>
      <c r="J11" s="12"/>
      <c r="K11" s="10" t="s">
        <v>21</v>
      </c>
      <c r="L11" s="22"/>
      <c r="M11" s="23">
        <f ca="1">INDIRECT(CELL("contenu",$S$4)&amp;"!"&amp;"l11" )-L11</f>
        <v>0</v>
      </c>
      <c r="N11" s="18"/>
      <c r="O11" s="23">
        <f ca="1">INDIRECT(CELL("contenu",$S$4)&amp;"!"&amp;"n11" )-N11</f>
        <v>0</v>
      </c>
      <c r="P11" s="18"/>
      <c r="Q11" s="23">
        <f ca="1">INDIRECT(CELL("contenu",$S$4)&amp;"!"&amp;"p11" )-P11</f>
        <v>0</v>
      </c>
    </row>
    <row r="12" spans="1:21" x14ac:dyDescent="0.25">
      <c r="A12" s="2" t="s">
        <v>9</v>
      </c>
      <c r="B12" s="15"/>
      <c r="C12" s="23">
        <f ca="1">INDIRECT(CELL("contenu",$S$4)&amp;"!"&amp;"b12" )-B12</f>
        <v>6</v>
      </c>
      <c r="D12" s="18"/>
      <c r="E12" s="23">
        <f ca="1">INDIRECT(CELL("contenu",$S$4)&amp;"!"&amp;"d12" )-D12</f>
        <v>0</v>
      </c>
      <c r="F12" s="18"/>
      <c r="G12" s="23">
        <f ca="1">INDIRECT(CELL("contenu",$S$4)&amp;"!"&amp;"f12" )-F12</f>
        <v>0</v>
      </c>
      <c r="H12" s="19"/>
      <c r="I12" s="23">
        <f ca="1">INDIRECT(CELL("contenu",$S$4)&amp;"!"&amp;"h12" )-H12</f>
        <v>0</v>
      </c>
      <c r="J12" s="12"/>
      <c r="K12" s="9" t="s">
        <v>61</v>
      </c>
      <c r="L12" s="21"/>
      <c r="M12" s="23">
        <f ca="1">INDIRECT(CELL("contenu",$S$4)&amp;"!"&amp;"l12" )-L12</f>
        <v>0</v>
      </c>
      <c r="N12" s="18"/>
      <c r="O12" s="23">
        <f ca="1">INDIRECT(CELL("contenu",$S$4)&amp;"!"&amp;"n12" )-N12</f>
        <v>4</v>
      </c>
      <c r="P12" s="18"/>
      <c r="Q12" s="23">
        <f ca="1">INDIRECT(CELL("contenu",$S$4)&amp;"!"&amp;"p12" )-P12</f>
        <v>2</v>
      </c>
    </row>
    <row r="13" spans="1:21" x14ac:dyDescent="0.25">
      <c r="A13" s="2" t="s">
        <v>10</v>
      </c>
      <c r="B13" s="15"/>
      <c r="C13" s="23">
        <f ca="1">INDIRECT(CELL("contenu",$S$4)&amp;"!"&amp;"b13" )-B13</f>
        <v>0</v>
      </c>
      <c r="D13" s="18"/>
      <c r="E13" s="23">
        <f ca="1">INDIRECT(CELL("contenu",$S$4)&amp;"!"&amp;"d13" )-D13</f>
        <v>0</v>
      </c>
      <c r="F13" s="18"/>
      <c r="G13" s="23">
        <f ca="1">INDIRECT(CELL("contenu",$S$4)&amp;"!"&amp;"f13" )-F13</f>
        <v>0</v>
      </c>
      <c r="H13" s="19"/>
      <c r="I13" s="23">
        <f ca="1">INDIRECT(CELL("contenu",$S$4)&amp;"!"&amp;"h13" )-H13</f>
        <v>0</v>
      </c>
      <c r="J13" s="12"/>
      <c r="K13" s="9" t="s">
        <v>25</v>
      </c>
      <c r="L13" s="21"/>
      <c r="M13" s="23">
        <f ca="1">INDIRECT(CELL("contenu",$S$4)&amp;"!"&amp;"l13" )-L13</f>
        <v>0</v>
      </c>
      <c r="N13" s="18"/>
      <c r="O13" s="23">
        <f ca="1">INDIRECT(CELL("contenu",$S$4)&amp;"!"&amp;"n13" )-N13</f>
        <v>10</v>
      </c>
      <c r="P13" s="18"/>
      <c r="Q13" s="23">
        <f ca="1">INDIRECT(CELL("contenu",$S$4)&amp;"!"&amp;"p13" )-P13</f>
        <v>0</v>
      </c>
    </row>
    <row r="14" spans="1:21" x14ac:dyDescent="0.25">
      <c r="A14" s="1" t="s">
        <v>11</v>
      </c>
      <c r="B14" s="15"/>
      <c r="C14" s="23">
        <f ca="1">INDIRECT(CELL("contenu",$S$4)&amp;"!"&amp;"b14" )-B14</f>
        <v>0</v>
      </c>
      <c r="D14" s="18"/>
      <c r="E14" s="23">
        <f ca="1">INDIRECT(CELL("contenu",$S$4)&amp;"!"&amp;"d14" )-D14</f>
        <v>0</v>
      </c>
      <c r="F14" s="18"/>
      <c r="G14" s="23">
        <f ca="1">INDIRECT(CELL("contenu",$S$4)&amp;"!"&amp;"f14" )-F14</f>
        <v>0</v>
      </c>
      <c r="H14" s="19"/>
      <c r="I14" s="23">
        <f ca="1">INDIRECT(CELL("contenu",$S$4)&amp;"!"&amp;"h14" )-H14</f>
        <v>0</v>
      </c>
      <c r="J14" s="12"/>
      <c r="K14" s="9" t="s">
        <v>62</v>
      </c>
      <c r="L14" s="21"/>
      <c r="M14" s="23">
        <f ca="1">INDIRECT(CELL("contenu",$S$4)&amp;"!"&amp;"l14" )-L14</f>
        <v>0</v>
      </c>
      <c r="N14" s="18"/>
      <c r="O14" s="23">
        <f ca="1">INDIRECT(CELL("contenu",$S$4)&amp;"!"&amp;"n14" )-N14</f>
        <v>0</v>
      </c>
      <c r="P14" s="18"/>
      <c r="Q14" s="23">
        <f ca="1">INDIRECT(CELL("contenu",$S$4)&amp;"!"&amp;"p14" )-P14</f>
        <v>0</v>
      </c>
    </row>
    <row r="15" spans="1:21" x14ac:dyDescent="0.25">
      <c r="A15" s="2" t="s">
        <v>12</v>
      </c>
      <c r="B15" s="15"/>
      <c r="C15" s="23">
        <f ca="1">INDIRECT(CELL("contenu",$S$4)&amp;"!"&amp;"b15" )-B15</f>
        <v>8</v>
      </c>
      <c r="D15" s="18"/>
      <c r="E15" s="23">
        <f ca="1">INDIRECT(CELL("contenu",$S$4)&amp;"!"&amp;"d15" )-D15</f>
        <v>4</v>
      </c>
      <c r="F15" s="18"/>
      <c r="G15" s="23">
        <f ca="1">INDIRECT(CELL("contenu",$S$4)&amp;"!"&amp;"f15" )-F15</f>
        <v>0</v>
      </c>
      <c r="H15" s="19"/>
      <c r="I15" s="23">
        <f ca="1">INDIRECT(CELL("contenu",$S$4)&amp;"!"&amp;"h15" )-H15</f>
        <v>0</v>
      </c>
      <c r="J15" s="12"/>
      <c r="K15" s="9" t="s">
        <v>26</v>
      </c>
      <c r="L15" s="21"/>
      <c r="M15" s="23">
        <f ca="1">INDIRECT(CELL("contenu",$S$4)&amp;"!"&amp;"l15" )-L15</f>
        <v>0</v>
      </c>
      <c r="N15" s="18"/>
      <c r="O15" s="23">
        <f ca="1">INDIRECT(CELL("contenu",$S$4)&amp;"!"&amp;"n15" )-N15</f>
        <v>6</v>
      </c>
      <c r="P15" s="18"/>
      <c r="Q15" s="23">
        <f ca="1">INDIRECT(CELL("contenu",$S$4)&amp;"!"&amp;"p15" )-P15</f>
        <v>0</v>
      </c>
    </row>
    <row r="16" spans="1:21" x14ac:dyDescent="0.25">
      <c r="A16" s="2" t="s">
        <v>13</v>
      </c>
      <c r="B16" s="15"/>
      <c r="C16" s="23">
        <f ca="1">INDIRECT(CELL("contenu",$S$4)&amp;"!"&amp;"b16" )-B16</f>
        <v>4</v>
      </c>
      <c r="D16" s="18"/>
      <c r="E16" s="23">
        <f ca="1">INDIRECT(CELL("contenu",$S$4)&amp;"!"&amp;"d16" )-D16</f>
        <v>0</v>
      </c>
      <c r="F16" s="18"/>
      <c r="G16" s="23">
        <f ca="1">INDIRECT(CELL("contenu",$S$4)&amp;"!"&amp;"f16" )-F16</f>
        <v>0</v>
      </c>
      <c r="H16" s="19"/>
      <c r="I16" s="23">
        <f ca="1">INDIRECT(CELL("contenu",$S$4)&amp;"!"&amp;"h16" )-H16</f>
        <v>0</v>
      </c>
      <c r="J16" s="12"/>
      <c r="K16" s="9" t="s">
        <v>27</v>
      </c>
      <c r="L16" s="21"/>
      <c r="M16" s="23">
        <f ca="1">INDIRECT(CELL("contenu",$S$4)&amp;"!"&amp;"l16" )-L16</f>
        <v>0</v>
      </c>
      <c r="N16" s="18"/>
      <c r="O16" s="23">
        <f ca="1">INDIRECT(CELL("contenu",$S$4)&amp;"!"&amp;"n16" )-N16</f>
        <v>4</v>
      </c>
      <c r="P16" s="18"/>
      <c r="Q16" s="23">
        <f ca="1">INDIRECT(CELL("contenu",$S$4)&amp;"!"&amp;"p16" )-P16</f>
        <v>2</v>
      </c>
      <c r="S16" t="s">
        <v>84</v>
      </c>
    </row>
    <row r="17" spans="1:21" x14ac:dyDescent="0.25">
      <c r="A17" s="2" t="s">
        <v>14</v>
      </c>
      <c r="B17" s="15"/>
      <c r="C17" s="23">
        <f ca="1">INDIRECT(CELL("contenu",$S$4)&amp;"!"&amp;"b17" )-B17</f>
        <v>2</v>
      </c>
      <c r="D17" s="18"/>
      <c r="E17" s="23">
        <f ca="1">INDIRECT(CELL("contenu",$S$4)&amp;"!"&amp;"d17" )-D17</f>
        <v>0</v>
      </c>
      <c r="F17" s="18"/>
      <c r="G17" s="23">
        <f ca="1">INDIRECT(CELL("contenu",$S$4)&amp;"!"&amp;"f17" )-F17</f>
        <v>0</v>
      </c>
      <c r="H17" s="19"/>
      <c r="I17" s="23">
        <f ca="1">INDIRECT(CELL("contenu",$S$4)&amp;"!"&amp;"h17" )-H17</f>
        <v>0</v>
      </c>
      <c r="J17" s="12"/>
      <c r="K17" s="9" t="s">
        <v>28</v>
      </c>
      <c r="L17" s="21"/>
      <c r="M17" s="23">
        <f ca="1">INDIRECT(CELL("contenu",$S$4)&amp;"!"&amp;"l17" )-L17</f>
        <v>0</v>
      </c>
      <c r="N17" s="18"/>
      <c r="O17" s="23">
        <f ca="1">INDIRECT(CELL("contenu",$S$4)&amp;"!"&amp;"n17" )-N17</f>
        <v>4</v>
      </c>
      <c r="P17" s="18"/>
      <c r="Q17" s="23">
        <f ca="1">INDIRECT(CELL("contenu",$S$4)&amp;"!"&amp;"p17" )-P17</f>
        <v>2</v>
      </c>
    </row>
    <row r="18" spans="1:21" x14ac:dyDescent="0.25">
      <c r="A18" s="2" t="s">
        <v>15</v>
      </c>
      <c r="B18" s="15"/>
      <c r="C18" s="23">
        <f ca="1">INDIRECT(CELL("contenu",$S$4)&amp;"!"&amp;"b18" )-B18</f>
        <v>16</v>
      </c>
      <c r="D18" s="18"/>
      <c r="E18" s="23">
        <f ca="1">INDIRECT(CELL("contenu",$S$4)&amp;"!"&amp;"d18" )-D18</f>
        <v>8</v>
      </c>
      <c r="F18" s="18"/>
      <c r="G18" s="23">
        <f ca="1">INDIRECT(CELL("contenu",$S$4)&amp;"!"&amp;"f18" )-F18</f>
        <v>4</v>
      </c>
      <c r="H18" s="19"/>
      <c r="I18" s="23">
        <f ca="1">INDIRECT(CELL("contenu",$S$4)&amp;"!"&amp;"h18" )-H18</f>
        <v>4</v>
      </c>
      <c r="J18" s="12"/>
      <c r="K18" s="9" t="s">
        <v>29</v>
      </c>
      <c r="L18" s="21"/>
      <c r="M18" s="23">
        <f ca="1">INDIRECT(CELL("contenu",$S$4)&amp;"!"&amp;"l18" )-L18</f>
        <v>0</v>
      </c>
      <c r="N18" s="18"/>
      <c r="O18" s="23">
        <f ca="1">INDIRECT(CELL("contenu",$S$4)&amp;"!"&amp;"n18" )-N18</f>
        <v>2</v>
      </c>
      <c r="P18" s="18"/>
      <c r="Q18" s="23">
        <f ca="1">INDIRECT(CELL("contenu",$S$4)&amp;"!"&amp;"p18" )-P18</f>
        <v>0</v>
      </c>
      <c r="S18" t="s">
        <v>85</v>
      </c>
    </row>
    <row r="19" spans="1:21" x14ac:dyDescent="0.25">
      <c r="A19" s="2" t="s">
        <v>16</v>
      </c>
      <c r="B19" s="15"/>
      <c r="C19" s="23">
        <f ca="1">INDIRECT(CELL("contenu",$S$4)&amp;"!"&amp;"b19" )-B19</f>
        <v>4</v>
      </c>
      <c r="D19" s="18"/>
      <c r="E19" s="23">
        <f ca="1">INDIRECT(CELL("contenu",$S$4)&amp;"!"&amp;"d19" )-D19</f>
        <v>2</v>
      </c>
      <c r="F19" s="18"/>
      <c r="G19" s="23">
        <f ca="1">INDIRECT(CELL("contenu",$S$4)&amp;"!"&amp;"f19" )-F19</f>
        <v>0</v>
      </c>
      <c r="H19" s="19"/>
      <c r="I19" s="23">
        <f ca="1">INDIRECT(CELL("contenu",$S$4)&amp;"!"&amp;"h19" )-H19</f>
        <v>0</v>
      </c>
      <c r="J19" s="12"/>
      <c r="K19" s="9" t="s">
        <v>30</v>
      </c>
      <c r="L19" s="21"/>
      <c r="M19" s="23">
        <f ca="1">INDIRECT(CELL("contenu",$S$4)&amp;"!"&amp;"l19" )-L19</f>
        <v>0</v>
      </c>
      <c r="N19" s="18"/>
      <c r="O19" s="23">
        <f ca="1">INDIRECT(CELL("contenu",$S$4)&amp;"!"&amp;"n19" )-N19</f>
        <v>2</v>
      </c>
      <c r="P19" s="18"/>
      <c r="Q19" s="23">
        <f ca="1">INDIRECT(CELL("contenu",$S$4)&amp;"!"&amp;"p19" )-P19</f>
        <v>2</v>
      </c>
      <c r="U19" s="34" t="s">
        <v>86</v>
      </c>
    </row>
    <row r="20" spans="1:21" x14ac:dyDescent="0.25">
      <c r="A20" s="2" t="s">
        <v>17</v>
      </c>
      <c r="B20" s="15"/>
      <c r="C20" s="23">
        <f ca="1">INDIRECT(CELL("contenu",$S$4)&amp;"!"&amp;"b20" )-B20</f>
        <v>4</v>
      </c>
      <c r="D20" s="18"/>
      <c r="E20" s="23">
        <f ca="1">INDIRECT(CELL("contenu",$S$4)&amp;"!"&amp;"d20" )-D20</f>
        <v>0</v>
      </c>
      <c r="F20" s="18"/>
      <c r="G20" s="23">
        <f ca="1">INDIRECT(CELL("contenu",$S$4)&amp;"!"&amp;"f20" )-F20</f>
        <v>0</v>
      </c>
      <c r="H20" s="19"/>
      <c r="I20" s="23">
        <f ca="1">INDIRECT(CELL("contenu",$S$4)&amp;"!"&amp;"h20" )-H20</f>
        <v>0</v>
      </c>
      <c r="J20" s="12"/>
      <c r="K20" s="9" t="s">
        <v>31</v>
      </c>
      <c r="L20" s="21"/>
      <c r="M20" s="23">
        <f ca="1">INDIRECT(CELL("contenu",$S$4)&amp;"!"&amp;"l20" )-L20</f>
        <v>0</v>
      </c>
      <c r="N20" s="18"/>
      <c r="O20" s="23">
        <f ca="1">INDIRECT(CELL("contenu",$S$4)&amp;"!"&amp;"n20" )-N20</f>
        <v>2</v>
      </c>
      <c r="P20" s="18"/>
      <c r="Q20" s="23">
        <f ca="1">INDIRECT(CELL("contenu",$S$4)&amp;"!"&amp;"p20" )-P20</f>
        <v>2</v>
      </c>
      <c r="S20" s="48" t="s">
        <v>135</v>
      </c>
      <c r="T20" s="48"/>
      <c r="U20" s="2"/>
    </row>
    <row r="21" spans="1:21" x14ac:dyDescent="0.25">
      <c r="A21" s="2" t="s">
        <v>18</v>
      </c>
      <c r="B21" s="15"/>
      <c r="C21" s="23">
        <f ca="1">INDIRECT(CELL("contenu",$S$4)&amp;"!"&amp;"b21" )-B21</f>
        <v>4</v>
      </c>
      <c r="D21" s="18"/>
      <c r="E21" s="23">
        <f ca="1">INDIRECT(CELL("contenu",$S$4)&amp;"!"&amp;"d21" )-D21</f>
        <v>0</v>
      </c>
      <c r="F21" s="18"/>
      <c r="G21" s="23">
        <f ca="1">INDIRECT(CELL("contenu",$S$4)&amp;"!"&amp;"f21" )-F21</f>
        <v>0</v>
      </c>
      <c r="H21" s="19"/>
      <c r="I21" s="23">
        <f ca="1">INDIRECT(CELL("contenu",$S$4)&amp;"!"&amp;"h21" )-H21</f>
        <v>0</v>
      </c>
      <c r="J21" s="12"/>
      <c r="K21" s="7" t="s">
        <v>32</v>
      </c>
      <c r="L21" s="20"/>
      <c r="M21" s="23">
        <f ca="1">INDIRECT(CELL("contenu",$S$4)&amp;"!"&amp;"l21" )-L21</f>
        <v>0</v>
      </c>
      <c r="N21" s="18"/>
      <c r="O21" s="23">
        <f ca="1">INDIRECT(CELL("contenu",$S$4)&amp;"!"&amp;"n21" )-N21</f>
        <v>0</v>
      </c>
      <c r="P21" s="18"/>
      <c r="Q21" s="23">
        <f ca="1">INDIRECT(CELL("contenu",$S$4)&amp;"!"&amp;"p21" )-P21</f>
        <v>0</v>
      </c>
      <c r="S21" s="48" t="s">
        <v>34</v>
      </c>
      <c r="T21" s="48"/>
      <c r="U21" s="2"/>
    </row>
    <row r="22" spans="1:21" x14ac:dyDescent="0.25">
      <c r="A22" s="2" t="s">
        <v>19</v>
      </c>
      <c r="B22" s="15"/>
      <c r="C22" s="23">
        <f ca="1">INDIRECT(CELL("contenu",$S$4)&amp;"!"&amp;"b22" )-B22</f>
        <v>4</v>
      </c>
      <c r="D22" s="18"/>
      <c r="E22" s="23">
        <f ca="1">INDIRECT(CELL("contenu",$S$4)&amp;"!"&amp;"d22" )-D22</f>
        <v>0</v>
      </c>
      <c r="F22" s="18"/>
      <c r="G22" s="23">
        <f ca="1">INDIRECT(CELL("contenu",$S$4)&amp;"!"&amp;"f22" )-F22</f>
        <v>0</v>
      </c>
      <c r="H22" s="19"/>
      <c r="I22" s="23">
        <f ca="1">INDIRECT(CELL("contenu",$S$4)&amp;"!"&amp;"h22" )-H22</f>
        <v>0</v>
      </c>
      <c r="J22" s="12"/>
      <c r="K22" s="9" t="s">
        <v>33</v>
      </c>
      <c r="L22" s="21"/>
      <c r="M22" s="23">
        <f ca="1">INDIRECT(CELL("contenu",$S$4)&amp;"!"&amp;"l22" )-L22</f>
        <v>1</v>
      </c>
      <c r="N22" s="18"/>
      <c r="O22" s="23">
        <f ca="1">INDIRECT(CELL("contenu",$S$4)&amp;"!"&amp;"n22" )-N22</f>
        <v>3</v>
      </c>
      <c r="P22" s="18"/>
      <c r="Q22" s="23">
        <f ca="1">INDIRECT(CELL("contenu",$S$4)&amp;"!"&amp;"p22" )-P22</f>
        <v>2</v>
      </c>
      <c r="S22" s="48" t="s">
        <v>35</v>
      </c>
      <c r="T22" s="48"/>
      <c r="U22" s="2"/>
    </row>
    <row r="23" spans="1:21" x14ac:dyDescent="0.25">
      <c r="A23" s="5" t="s">
        <v>20</v>
      </c>
      <c r="B23" s="16"/>
      <c r="C23" s="23">
        <f ca="1">INDIRECT(CELL("contenu",$S$4)&amp;"!"&amp;"b23" )-B23</f>
        <v>0</v>
      </c>
      <c r="D23" s="18"/>
      <c r="E23" s="23">
        <f ca="1">INDIRECT(CELL("contenu",$S$4)&amp;"!"&amp;"d23" )-D23</f>
        <v>0</v>
      </c>
      <c r="F23" s="18"/>
      <c r="G23" s="23">
        <f ca="1">INDIRECT(CELL("contenu",$S$4)&amp;"!"&amp;"f23" )-F23</f>
        <v>0</v>
      </c>
      <c r="H23" s="19"/>
      <c r="I23" s="23">
        <f ca="1">INDIRECT(CELL("contenu",$S$4)&amp;"!"&amp;"h23" )-H23</f>
        <v>0</v>
      </c>
      <c r="J23" s="12"/>
      <c r="K23" s="9" t="s">
        <v>34</v>
      </c>
      <c r="L23" s="21"/>
      <c r="M23" s="23">
        <f ca="1">INDIRECT(CELL("contenu",$S$4)&amp;"!"&amp;"l23" )-L23</f>
        <v>1</v>
      </c>
      <c r="N23" s="18"/>
      <c r="O23" s="23">
        <f ca="1">INDIRECT(CELL("contenu",$S$4)&amp;"!"&amp;"n23" )-N23</f>
        <v>3</v>
      </c>
      <c r="P23" s="18"/>
      <c r="Q23" s="23">
        <f ca="1">INDIRECT(CELL("contenu",$S$4)&amp;"!"&amp;"p23" )-P23</f>
        <v>2</v>
      </c>
      <c r="S23" s="48" t="s">
        <v>36</v>
      </c>
      <c r="T23" s="48"/>
      <c r="U23" s="2"/>
    </row>
    <row r="24" spans="1:21" x14ac:dyDescent="0.25">
      <c r="A24" s="4" t="s">
        <v>21</v>
      </c>
      <c r="B24" s="17"/>
      <c r="C24" s="23">
        <f ca="1">INDIRECT(CELL("contenu",$S$4)&amp;"!"&amp;"b24" )-B24</f>
        <v>0</v>
      </c>
      <c r="D24" s="18"/>
      <c r="E24" s="23">
        <f ca="1">INDIRECT(CELL("contenu",$S$4)&amp;"!"&amp;"d24" )-D24</f>
        <v>0</v>
      </c>
      <c r="F24" s="18"/>
      <c r="G24" s="23">
        <f ca="1">INDIRECT(CELL("contenu",$S$4)&amp;"!"&amp;"f24" )-F24</f>
        <v>0</v>
      </c>
      <c r="H24" s="19"/>
      <c r="I24" s="23">
        <f ca="1">INDIRECT(CELL("contenu",$S$4)&amp;"!"&amp;"h24" )-H24</f>
        <v>0</v>
      </c>
      <c r="J24" s="12"/>
      <c r="K24" s="9" t="s">
        <v>35</v>
      </c>
      <c r="L24" s="21"/>
      <c r="M24" s="23">
        <f ca="1">INDIRECT(CELL("contenu",$S$4)&amp;"!"&amp;"l24" )-L24</f>
        <v>0</v>
      </c>
      <c r="N24" s="18"/>
      <c r="O24" s="23">
        <f ca="1">INDIRECT(CELL("contenu",$S$4)&amp;"!"&amp;"n24" )-N24</f>
        <v>0</v>
      </c>
      <c r="P24" s="18"/>
      <c r="Q24" s="23">
        <f ca="1">INDIRECT(CELL("contenu",$S$4)&amp;"!"&amp;"p24" )-P24</f>
        <v>0</v>
      </c>
      <c r="S24" s="48" t="s">
        <v>37</v>
      </c>
      <c r="T24" s="48"/>
      <c r="U24" s="2"/>
    </row>
    <row r="25" spans="1:21" x14ac:dyDescent="0.25">
      <c r="A25" s="2" t="s">
        <v>22</v>
      </c>
      <c r="B25" s="15"/>
      <c r="C25" s="23">
        <f ca="1">INDIRECT(CELL("contenu",$S$4)&amp;"!"&amp;"b25" )-B25</f>
        <v>4</v>
      </c>
      <c r="D25" s="18"/>
      <c r="E25" s="23">
        <f ca="1">INDIRECT(CELL("contenu",$S$4)&amp;"!"&amp;"d25" )-D25</f>
        <v>2</v>
      </c>
      <c r="F25" s="18"/>
      <c r="G25" s="23">
        <f ca="1">INDIRECT(CELL("contenu",$S$4)&amp;"!"&amp;"f25" )-F25</f>
        <v>0</v>
      </c>
      <c r="H25" s="19"/>
      <c r="I25" s="23">
        <f ca="1">INDIRECT(CELL("contenu",$S$4)&amp;"!"&amp;"h25" )-H25</f>
        <v>0</v>
      </c>
      <c r="J25" s="12"/>
      <c r="K25" s="9" t="s">
        <v>36</v>
      </c>
      <c r="L25" s="21"/>
      <c r="M25" s="23">
        <f ca="1">INDIRECT(CELL("contenu",$S$4)&amp;"!"&amp;"l25" )-L25</f>
        <v>1</v>
      </c>
      <c r="N25" s="18"/>
      <c r="O25" s="23">
        <f ca="1">INDIRECT(CELL("contenu",$S$4)&amp;"!"&amp;"n25" )-N25</f>
        <v>3</v>
      </c>
      <c r="P25" s="18"/>
      <c r="Q25" s="23">
        <f ca="1">INDIRECT(CELL("contenu",$S$4)&amp;"!"&amp;"p25" )-P25</f>
        <v>2</v>
      </c>
      <c r="S25" s="48" t="s">
        <v>136</v>
      </c>
      <c r="T25" s="48"/>
      <c r="U25" s="2"/>
    </row>
    <row r="26" spans="1:21" x14ac:dyDescent="0.25">
      <c r="A26" s="2" t="s">
        <v>23</v>
      </c>
      <c r="B26" s="15"/>
      <c r="C26" s="23">
        <f ca="1">INDIRECT(CELL("contenu",$S$4)&amp;"!"&amp;"b26" )-B26</f>
        <v>4</v>
      </c>
      <c r="D26" s="18"/>
      <c r="E26" s="23">
        <f ca="1">INDIRECT(CELL("contenu",$S$4)&amp;"!"&amp;"d26" )-D26</f>
        <v>2</v>
      </c>
      <c r="F26" s="18"/>
      <c r="G26" s="23">
        <f ca="1">INDIRECT(CELL("contenu",$S$4)&amp;"!"&amp;"f26" )-F26</f>
        <v>0</v>
      </c>
      <c r="H26" s="19"/>
      <c r="I26" s="23">
        <f ca="1">INDIRECT(CELL("contenu",$S$4)&amp;"!"&amp;"h26" )-H26</f>
        <v>0</v>
      </c>
      <c r="J26" s="12"/>
      <c r="K26" s="9" t="s">
        <v>37</v>
      </c>
      <c r="L26" s="21"/>
      <c r="M26" s="23">
        <f ca="1">INDIRECT(CELL("contenu",$S$4)&amp;"!"&amp;"l26" )-L26</f>
        <v>0</v>
      </c>
      <c r="N26" s="18"/>
      <c r="O26" s="23">
        <f ca="1">INDIRECT(CELL("contenu",$S$4)&amp;"!"&amp;"n26" )-N26</f>
        <v>0</v>
      </c>
      <c r="P26" s="18"/>
      <c r="Q26" s="23">
        <f ca="1">INDIRECT(CELL("contenu",$S$4)&amp;"!"&amp;"p26" )-P26</f>
        <v>0</v>
      </c>
      <c r="S26" s="48" t="s">
        <v>43</v>
      </c>
      <c r="T26" s="48"/>
      <c r="U26" s="2"/>
    </row>
    <row r="27" spans="1:21" x14ac:dyDescent="0.25">
      <c r="A27" s="2" t="s">
        <v>24</v>
      </c>
      <c r="B27" s="15"/>
      <c r="C27" s="23">
        <f ca="1">INDIRECT(CELL("contenu",$S$4)&amp;"!"&amp;"b27" )-B27</f>
        <v>4</v>
      </c>
      <c r="D27" s="18"/>
      <c r="E27" s="23">
        <f ca="1">INDIRECT(CELL("contenu",$S$4)&amp;"!"&amp;"d27" )-D27</f>
        <v>0</v>
      </c>
      <c r="F27" s="18"/>
      <c r="G27" s="23">
        <f ca="1">INDIRECT(CELL("contenu",$S$4)&amp;"!"&amp;"f27" )-F27</f>
        <v>0</v>
      </c>
      <c r="H27" s="19"/>
      <c r="I27" s="23">
        <f ca="1">INDIRECT(CELL("contenu",$S$4)&amp;"!"&amp;"h27" )-H27</f>
        <v>0</v>
      </c>
      <c r="J27" s="12"/>
      <c r="K27" s="7" t="s">
        <v>41</v>
      </c>
      <c r="L27" s="20"/>
      <c r="M27" s="23">
        <f ca="1">INDIRECT(CELL("contenu",$S$4)&amp;"!"&amp;"l27" )-L27</f>
        <v>0</v>
      </c>
      <c r="N27" s="18"/>
      <c r="O27" s="23">
        <f ca="1">INDIRECT(CELL("contenu",$S$4)&amp;"!"&amp;"n27" )-N27</f>
        <v>0</v>
      </c>
      <c r="P27" s="18"/>
      <c r="Q27" s="23">
        <f ca="1">INDIRECT(CELL("contenu",$S$4)&amp;"!"&amp;"p27" )-P27</f>
        <v>0</v>
      </c>
      <c r="S27" s="48" t="s">
        <v>44</v>
      </c>
      <c r="T27" s="48"/>
      <c r="U27" s="2"/>
    </row>
    <row r="28" spans="1:21" x14ac:dyDescent="0.25">
      <c r="A28" s="2" t="s">
        <v>25</v>
      </c>
      <c r="B28" s="15"/>
      <c r="C28" s="23">
        <f ca="1">INDIRECT(CELL("contenu",$S$4)&amp;"!"&amp;"b28" )-B28</f>
        <v>10</v>
      </c>
      <c r="D28" s="18"/>
      <c r="E28" s="23">
        <f ca="1">INDIRECT(CELL("contenu",$S$4)&amp;"!"&amp;"d28" )-D28</f>
        <v>0</v>
      </c>
      <c r="F28" s="18"/>
      <c r="G28" s="23">
        <f ca="1">INDIRECT(CELL("contenu",$S$4)&amp;"!"&amp;"f28" )-F28</f>
        <v>0</v>
      </c>
      <c r="H28" s="19"/>
      <c r="I28" s="23">
        <f ca="1">INDIRECT(CELL("contenu",$S$4)&amp;"!"&amp;"h28" )-H28</f>
        <v>0</v>
      </c>
      <c r="J28" s="12"/>
      <c r="K28" s="9" t="s">
        <v>42</v>
      </c>
      <c r="L28" s="21"/>
      <c r="M28" s="23">
        <f ca="1">INDIRECT(CELL("contenu",$S$4)&amp;"!"&amp;"l28" )-L28</f>
        <v>1</v>
      </c>
      <c r="N28" s="18"/>
      <c r="O28" s="23">
        <f ca="1">INDIRECT(CELL("contenu",$S$4)&amp;"!"&amp;"n28" )-N28</f>
        <v>3</v>
      </c>
      <c r="P28" s="18"/>
      <c r="Q28" s="23">
        <f ca="1">INDIRECT(CELL("contenu",$S$4)&amp;"!"&amp;"p28" )-P28</f>
        <v>1</v>
      </c>
      <c r="S28" s="48" t="s">
        <v>45</v>
      </c>
      <c r="T28" s="48"/>
      <c r="U28" s="2"/>
    </row>
    <row r="29" spans="1:21" x14ac:dyDescent="0.25">
      <c r="A29" s="2" t="s">
        <v>26</v>
      </c>
      <c r="B29" s="15"/>
      <c r="C29" s="23">
        <f ca="1">INDIRECT(CELL("contenu",$S$4)&amp;"!"&amp;"b29" )-B29</f>
        <v>4</v>
      </c>
      <c r="D29" s="18"/>
      <c r="E29" s="23">
        <f ca="1">INDIRECT(CELL("contenu",$S$4)&amp;"!"&amp;"d29" )-D29</f>
        <v>0</v>
      </c>
      <c r="F29" s="18"/>
      <c r="G29" s="23">
        <f ca="1">INDIRECT(CELL("contenu",$S$4)&amp;"!"&amp;"f29" )-F29</f>
        <v>0</v>
      </c>
      <c r="H29" s="19"/>
      <c r="I29" s="23">
        <f ca="1">INDIRECT(CELL("contenu",$S$4)&amp;"!"&amp;"h29" )-H29</f>
        <v>0</v>
      </c>
      <c r="J29" s="12"/>
      <c r="K29" s="9" t="s">
        <v>43</v>
      </c>
      <c r="L29" s="21"/>
      <c r="M29" s="23">
        <f ca="1">INDIRECT(CELL("contenu",$S$4)&amp;"!"&amp;"l29" )-L29</f>
        <v>1</v>
      </c>
      <c r="N29" s="18"/>
      <c r="O29" s="23">
        <f ca="1">INDIRECT(CELL("contenu",$S$4)&amp;"!"&amp;"n29" )-N29</f>
        <v>3</v>
      </c>
      <c r="P29" s="18"/>
      <c r="Q29" s="23">
        <f ca="1">INDIRECT(CELL("contenu",$S$4)&amp;"!"&amp;"p29" )-P29</f>
        <v>1</v>
      </c>
      <c r="S29" s="48" t="s">
        <v>105</v>
      </c>
      <c r="T29" s="48"/>
      <c r="U29" s="2"/>
    </row>
    <row r="30" spans="1:21" x14ac:dyDescent="0.25">
      <c r="A30" s="2" t="s">
        <v>27</v>
      </c>
      <c r="B30" s="15"/>
      <c r="C30" s="23">
        <f ca="1">INDIRECT(CELL("contenu",$S$4)&amp;"!"&amp;"b30" )-B30</f>
        <v>6</v>
      </c>
      <c r="D30" s="18"/>
      <c r="E30" s="23">
        <f ca="1">INDIRECT(CELL("contenu",$S$4)&amp;"!"&amp;"d30" )-D30</f>
        <v>0</v>
      </c>
      <c r="F30" s="18"/>
      <c r="G30" s="23">
        <f ca="1">INDIRECT(CELL("contenu",$S$4)&amp;"!"&amp;"f30" )-F30</f>
        <v>0</v>
      </c>
      <c r="H30" s="19"/>
      <c r="I30" s="23">
        <f ca="1">INDIRECT(CELL("contenu",$S$4)&amp;"!"&amp;"h30" )-H30</f>
        <v>0</v>
      </c>
      <c r="J30" s="12"/>
      <c r="K30" s="9" t="s">
        <v>44</v>
      </c>
      <c r="L30" s="21"/>
      <c r="M30" s="23">
        <f ca="1">INDIRECT(CELL("contenu",$S$4)&amp;"!"&amp;"l30" )-L30</f>
        <v>1</v>
      </c>
      <c r="N30" s="18"/>
      <c r="O30" s="23">
        <f ca="1">INDIRECT(CELL("contenu",$S$4)&amp;"!"&amp;"n30" )-N30</f>
        <v>3</v>
      </c>
      <c r="P30" s="18"/>
      <c r="Q30" s="23">
        <f ca="1">INDIRECT(CELL("contenu",$S$4)&amp;"!"&amp;"p30" )-P30</f>
        <v>1</v>
      </c>
      <c r="S30" s="48" t="s">
        <v>126</v>
      </c>
      <c r="T30" s="48"/>
      <c r="U30" s="2"/>
    </row>
    <row r="31" spans="1:21" x14ac:dyDescent="0.25">
      <c r="A31" s="2" t="s">
        <v>28</v>
      </c>
      <c r="B31" s="15"/>
      <c r="C31" s="23">
        <f ca="1">INDIRECT(CELL("contenu",$S$4)&amp;"!"&amp;"b31" )-B31</f>
        <v>6</v>
      </c>
      <c r="D31" s="18"/>
      <c r="E31" s="23">
        <f ca="1">INDIRECT(CELL("contenu",$S$4)&amp;"!"&amp;"d31" )-D31</f>
        <v>0</v>
      </c>
      <c r="F31" s="18"/>
      <c r="G31" s="23">
        <f ca="1">INDIRECT(CELL("contenu",$S$4)&amp;"!"&amp;"f31" )-F31</f>
        <v>0</v>
      </c>
      <c r="H31" s="19"/>
      <c r="I31" s="23">
        <f ca="1">INDIRECT(CELL("contenu",$S$4)&amp;"!"&amp;"h31" )-H31</f>
        <v>0</v>
      </c>
      <c r="J31" s="12"/>
      <c r="K31" s="9" t="s">
        <v>45</v>
      </c>
      <c r="L31" s="21"/>
      <c r="M31" s="23">
        <f ca="1">INDIRECT(CELL("contenu",$S$4)&amp;"!"&amp;"l31" )-L31</f>
        <v>0</v>
      </c>
      <c r="N31" s="18"/>
      <c r="O31" s="23">
        <f ca="1">INDIRECT(CELL("contenu",$S$4)&amp;"!"&amp;"n31" )-N31</f>
        <v>4</v>
      </c>
      <c r="P31" s="18"/>
      <c r="Q31" s="23">
        <f ca="1">INDIRECT(CELL("contenu",$S$4)&amp;"!"&amp;"p31" )-P31</f>
        <v>0</v>
      </c>
      <c r="S31" s="48" t="s">
        <v>127</v>
      </c>
      <c r="T31" s="48"/>
      <c r="U31" s="2"/>
    </row>
    <row r="32" spans="1:21" x14ac:dyDescent="0.25">
      <c r="A32" s="2" t="s">
        <v>29</v>
      </c>
      <c r="B32" s="15"/>
      <c r="C32" s="23">
        <f ca="1">INDIRECT(CELL("contenu",$S$4)&amp;"!"&amp;"b32" )-B32</f>
        <v>4</v>
      </c>
      <c r="D32" s="18"/>
      <c r="E32" s="23">
        <f ca="1">INDIRECT(CELL("contenu",$S$4)&amp;"!"&amp;"d32" )-D32</f>
        <v>0</v>
      </c>
      <c r="F32" s="18"/>
      <c r="G32" s="23">
        <f ca="1">INDIRECT(CELL("contenu",$S$4)&amp;"!"&amp;"f32" )-F32</f>
        <v>0</v>
      </c>
      <c r="H32" s="19"/>
      <c r="I32" s="23">
        <f ca="1">INDIRECT(CELL("contenu",$S$4)&amp;"!"&amp;"h32" )-H32</f>
        <v>0</v>
      </c>
      <c r="J32" s="12"/>
      <c r="K32" s="9" t="s">
        <v>105</v>
      </c>
      <c r="L32" s="21"/>
      <c r="M32" s="23">
        <f ca="1">INDIRECT(CELL("contenu",$S$4)&amp;"!"&amp;"l32" )-L32</f>
        <v>0</v>
      </c>
      <c r="N32" s="18"/>
      <c r="O32" s="23">
        <f ca="1">INDIRECT(CELL("contenu",$S$4)&amp;"!"&amp;"n32" )-N32</f>
        <v>2</v>
      </c>
      <c r="P32" s="18"/>
      <c r="Q32" s="23">
        <f ca="1">INDIRECT(CELL("contenu",$S$4)&amp;"!"&amp;"p32" )-P32</f>
        <v>0</v>
      </c>
      <c r="S32" s="48" t="s">
        <v>128</v>
      </c>
      <c r="T32" s="48"/>
      <c r="U32" s="2"/>
    </row>
    <row r="33" spans="1:23" x14ac:dyDescent="0.25">
      <c r="A33" s="2" t="s">
        <v>30</v>
      </c>
      <c r="B33" s="15"/>
      <c r="C33" s="23">
        <f ca="1">INDIRECT(CELL("contenu",$S$4)&amp;"!"&amp;"b33" )-B33</f>
        <v>4</v>
      </c>
      <c r="D33" s="18"/>
      <c r="E33" s="23">
        <f ca="1">INDIRECT(CELL("contenu",$S$4)&amp;"!"&amp;"d33" )-D33</f>
        <v>0</v>
      </c>
      <c r="F33" s="18"/>
      <c r="G33" s="23">
        <f ca="1">INDIRECT(CELL("contenu",$S$4)&amp;"!"&amp;"f33" )-F33</f>
        <v>0</v>
      </c>
      <c r="H33" s="19"/>
      <c r="I33" s="23">
        <f ca="1">INDIRECT(CELL("contenu",$S$4)&amp;"!"&amp;"h33" )-H33</f>
        <v>0</v>
      </c>
      <c r="J33" s="12"/>
      <c r="K33" s="9" t="s">
        <v>47</v>
      </c>
      <c r="L33" s="21"/>
      <c r="M33" s="23">
        <f ca="1">INDIRECT(CELL("contenu",$S$4)&amp;"!"&amp;"l33" )-L33</f>
        <v>1</v>
      </c>
      <c r="N33" s="18"/>
      <c r="O33" s="23">
        <f ca="1">INDIRECT(CELL("contenu",$S$4)&amp;"!"&amp;"n33" )-N33</f>
        <v>3</v>
      </c>
      <c r="P33" s="18"/>
      <c r="Q33" s="23">
        <f ca="1">INDIRECT(CELL("contenu",$S$4)&amp;"!"&amp;"p33" )-P33</f>
        <v>1</v>
      </c>
      <c r="S33" s="48" t="s">
        <v>129</v>
      </c>
      <c r="T33" s="48"/>
      <c r="U33" s="2"/>
    </row>
    <row r="34" spans="1:23" x14ac:dyDescent="0.25">
      <c r="A34" s="2" t="s">
        <v>31</v>
      </c>
      <c r="B34" s="15"/>
      <c r="C34" s="23">
        <f ca="1">INDIRECT(CELL("contenu",$S$4)&amp;"!"&amp;"b34" )-B34</f>
        <v>4</v>
      </c>
      <c r="D34" s="18"/>
      <c r="E34" s="23">
        <f ca="1">INDIRECT(CELL("contenu",$S$4)&amp;"!"&amp;"d34" )-D34</f>
        <v>0</v>
      </c>
      <c r="F34" s="18"/>
      <c r="G34" s="23">
        <f ca="1">INDIRECT(CELL("contenu",$S$4)&amp;"!"&amp;"f34" )-F34</f>
        <v>0</v>
      </c>
      <c r="H34" s="19"/>
      <c r="I34" s="23">
        <f ca="1">INDIRECT(CELL("contenu",$S$4)&amp;"!"&amp;"h34" )-H34</f>
        <v>0</v>
      </c>
      <c r="J34" s="12"/>
      <c r="K34" s="9"/>
      <c r="L34" s="21"/>
      <c r="M34" s="23">
        <f ca="1">INDIRECT(CELL("contenu",$S$4)&amp;"!"&amp;"l34" )-L34</f>
        <v>0</v>
      </c>
      <c r="N34" s="15"/>
      <c r="O34" s="23">
        <f ca="1">INDIRECT(CELL("contenu",$S$4)&amp;"!"&amp;"n34" )-N34</f>
        <v>0</v>
      </c>
      <c r="P34" s="15"/>
      <c r="Q34" s="23">
        <f ca="1">INDIRECT(CELL("contenu",$S$4)&amp;"!"&amp;"p34" )-P34</f>
        <v>0</v>
      </c>
      <c r="S34" s="48" t="s">
        <v>47</v>
      </c>
      <c r="T34" s="48"/>
      <c r="U34" s="2"/>
    </row>
    <row r="35" spans="1:23" x14ac:dyDescent="0.25">
      <c r="A35" s="1" t="s">
        <v>32</v>
      </c>
      <c r="B35" s="14"/>
      <c r="C35" s="23">
        <f ca="1">INDIRECT(CELL("contenu",$S$4)&amp;"!"&amp;"b35" )-B35</f>
        <v>0</v>
      </c>
      <c r="D35" s="18"/>
      <c r="E35" s="23">
        <f ca="1">INDIRECT(CELL("contenu",$S$4)&amp;"!"&amp;"d35" )-D35</f>
        <v>0</v>
      </c>
      <c r="F35" s="18"/>
      <c r="G35" s="23">
        <f ca="1">INDIRECT(CELL("contenu",$S$4)&amp;"!"&amp;"f35" )-F35</f>
        <v>0</v>
      </c>
      <c r="H35" s="19"/>
      <c r="I35" s="23">
        <f ca="1">INDIRECT(CELL("contenu",$S$4)&amp;"!"&amp;"h35" )-H35</f>
        <v>0</v>
      </c>
      <c r="J35" s="12"/>
      <c r="K35" s="9"/>
      <c r="L35" s="21"/>
      <c r="M35" s="23">
        <f ca="1">INDIRECT(CELL("contenu",$S$4)&amp;"!"&amp;"l35" )-L35</f>
        <v>0</v>
      </c>
      <c r="N35" s="15"/>
      <c r="O35" s="23">
        <f ca="1">INDIRECT(CELL("contenu",$S$4)&amp;"!"&amp;"n35" )-N35</f>
        <v>0</v>
      </c>
      <c r="P35" s="15"/>
      <c r="Q35" s="23">
        <f ca="1">INDIRECT(CELL("contenu",$S$4)&amp;"!"&amp;"p35" )-P35</f>
        <v>0</v>
      </c>
    </row>
    <row r="36" spans="1:23" x14ac:dyDescent="0.25">
      <c r="A36" s="2" t="s">
        <v>33</v>
      </c>
      <c r="B36" s="15"/>
      <c r="C36" s="23">
        <f ca="1">INDIRECT(CELL("contenu",$S$4)&amp;"!"&amp;"b36" )-B36</f>
        <v>3</v>
      </c>
      <c r="D36" s="18"/>
      <c r="E36" s="23">
        <f ca="1">INDIRECT(CELL("contenu",$S$4)&amp;"!"&amp;"d36" )-D36</f>
        <v>2</v>
      </c>
      <c r="F36" s="18"/>
      <c r="G36" s="23">
        <f ca="1">INDIRECT(CELL("contenu",$S$4)&amp;"!"&amp;"f36" )-F36</f>
        <v>2</v>
      </c>
      <c r="H36" s="19"/>
      <c r="I36" s="23">
        <f ca="1">INDIRECT(CELL("contenu",$S$4)&amp;"!"&amp;"h36" )-H36</f>
        <v>2</v>
      </c>
      <c r="J36" s="12"/>
      <c r="K36" s="9"/>
      <c r="L36" s="21"/>
      <c r="M36" s="23">
        <f ca="1">INDIRECT(CELL("contenu",$S$4)&amp;"!"&amp;"l36" )-L36</f>
        <v>0</v>
      </c>
      <c r="N36" s="15"/>
      <c r="O36" s="23">
        <f ca="1">INDIRECT(CELL("contenu",$S$4)&amp;"!"&amp;"n36" )-N36</f>
        <v>0</v>
      </c>
      <c r="P36" s="15"/>
      <c r="Q36" s="23">
        <f ca="1">INDIRECT(CELL("contenu",$S$4)&amp;"!"&amp;"p36" )-P36</f>
        <v>0</v>
      </c>
      <c r="S36" s="45" t="s">
        <v>130</v>
      </c>
      <c r="T36" s="45"/>
      <c r="U36" s="45"/>
      <c r="V36" s="45"/>
      <c r="W36" s="45"/>
    </row>
    <row r="37" spans="1:23" x14ac:dyDescent="0.25">
      <c r="A37" s="2" t="s">
        <v>34</v>
      </c>
      <c r="B37" s="15"/>
      <c r="C37" s="23">
        <f ca="1">INDIRECT(CELL("contenu",$S$4)&amp;"!"&amp;"b37" )-B37</f>
        <v>3</v>
      </c>
      <c r="D37" s="18"/>
      <c r="E37" s="23">
        <f ca="1">INDIRECT(CELL("contenu",$S$4)&amp;"!"&amp;"d37" )-D37</f>
        <v>2</v>
      </c>
      <c r="F37" s="18"/>
      <c r="G37" s="23">
        <f ca="1">INDIRECT(CELL("contenu",$S$4)&amp;"!"&amp;"f37" )-F37</f>
        <v>0</v>
      </c>
      <c r="H37" s="19"/>
      <c r="I37" s="23">
        <f ca="1">INDIRECT(CELL("contenu",$S$4)&amp;"!"&amp;"h37" )-H37</f>
        <v>0</v>
      </c>
      <c r="J37" s="12"/>
      <c r="K37" s="9"/>
      <c r="L37" s="21"/>
      <c r="M37" s="23">
        <f ca="1">INDIRECT(CELL("contenu",$S$4)&amp;"!"&amp;"l37" )-L37</f>
        <v>0</v>
      </c>
      <c r="N37" s="15"/>
      <c r="O37" s="23">
        <f ca="1">INDIRECT(CELL("contenu",$S$4)&amp;"!"&amp;"n37" )-N37</f>
        <v>0</v>
      </c>
      <c r="P37" s="15"/>
      <c r="Q37" s="23">
        <f ca="1">INDIRECT(CELL("contenu",$S$4)&amp;"!"&amp;"p37" )-P37</f>
        <v>0</v>
      </c>
    </row>
    <row r="38" spans="1:23" x14ac:dyDescent="0.25">
      <c r="A38" s="2" t="s">
        <v>35</v>
      </c>
      <c r="B38" s="15"/>
      <c r="C38" s="23">
        <f ca="1">INDIRECT(CELL("contenu",$S$4)&amp;"!"&amp;"b38" )-B38</f>
        <v>3</v>
      </c>
      <c r="D38" s="18"/>
      <c r="E38" s="23">
        <f ca="1">INDIRECT(CELL("contenu",$S$4)&amp;"!"&amp;"d38" )-D38</f>
        <v>2</v>
      </c>
      <c r="F38" s="18"/>
      <c r="G38" s="23">
        <f ca="1">INDIRECT(CELL("contenu",$S$4)&amp;"!"&amp;"f38" )-F38</f>
        <v>0</v>
      </c>
      <c r="H38" s="19"/>
      <c r="I38" s="23">
        <f ca="1">INDIRECT(CELL("contenu",$S$4)&amp;"!"&amp;"h38" )-H38</f>
        <v>0</v>
      </c>
      <c r="J38" s="12"/>
      <c r="K38" s="9"/>
      <c r="L38" s="21"/>
      <c r="M38" s="23">
        <f ca="1">INDIRECT(CELL("contenu",$S$4)&amp;"!"&amp;"l38" )-L38</f>
        <v>0</v>
      </c>
      <c r="N38" s="15"/>
      <c r="O38" s="23">
        <f ca="1">INDIRECT(CELL("contenu",$S$4)&amp;"!"&amp;"n38" )-N38</f>
        <v>0</v>
      </c>
      <c r="P38" s="15"/>
      <c r="Q38" s="23">
        <f ca="1">INDIRECT(CELL("contenu",$S$4)&amp;"!"&amp;"p38" )-P38</f>
        <v>0</v>
      </c>
      <c r="S38" s="46" t="s">
        <v>131</v>
      </c>
      <c r="T38" s="46"/>
      <c r="U38" s="46"/>
      <c r="V38" s="46"/>
      <c r="W38" s="46"/>
    </row>
    <row r="39" spans="1:23" x14ac:dyDescent="0.25">
      <c r="A39" s="2" t="s">
        <v>36</v>
      </c>
      <c r="B39" s="15"/>
      <c r="C39" s="23">
        <f ca="1">INDIRECT(CELL("contenu",$S$4)&amp;"!"&amp;"b39" )-B39</f>
        <v>3</v>
      </c>
      <c r="D39" s="18"/>
      <c r="E39" s="23">
        <f ca="1">INDIRECT(CELL("contenu",$S$4)&amp;"!"&amp;"d39" )-D39</f>
        <v>2</v>
      </c>
      <c r="F39" s="18"/>
      <c r="G39" s="23">
        <f ca="1">INDIRECT(CELL("contenu",$S$4)&amp;"!"&amp;"f39" )-F39</f>
        <v>0</v>
      </c>
      <c r="H39" s="19"/>
      <c r="I39" s="23">
        <f ca="1">INDIRECT(CELL("contenu",$S$4)&amp;"!"&amp;"h39" )-H39</f>
        <v>0</v>
      </c>
      <c r="J39" s="12"/>
      <c r="K39" s="9"/>
      <c r="L39" s="21"/>
      <c r="M39" s="23">
        <f ca="1">INDIRECT(CELL("contenu",$S$4)&amp;"!"&amp;"l39" )-L39</f>
        <v>0</v>
      </c>
      <c r="N39" s="15"/>
      <c r="O39" s="23">
        <f ca="1">INDIRECT(CELL("contenu",$S$4)&amp;"!"&amp;"n39" )-N39</f>
        <v>0</v>
      </c>
      <c r="P39" s="15"/>
      <c r="Q39" s="23">
        <f ca="1">INDIRECT(CELL("contenu",$S$4)&amp;"!"&amp;"p39" )-P39</f>
        <v>0</v>
      </c>
      <c r="S39" s="46" t="s">
        <v>132</v>
      </c>
      <c r="T39" s="46"/>
      <c r="U39" s="46"/>
    </row>
    <row r="40" spans="1:23" x14ac:dyDescent="0.25">
      <c r="A40" s="2" t="s">
        <v>37</v>
      </c>
      <c r="B40" s="15"/>
      <c r="C40" s="23">
        <f ca="1">INDIRECT(CELL("contenu",$S$4)&amp;"!"&amp;"b40" )-B40</f>
        <v>0</v>
      </c>
      <c r="D40" s="18"/>
      <c r="E40" s="23">
        <f ca="1">INDIRECT(CELL("contenu",$S$4)&amp;"!"&amp;"d40" )-D40</f>
        <v>0</v>
      </c>
      <c r="F40" s="18"/>
      <c r="G40" s="23">
        <f ca="1">INDIRECT(CELL("contenu",$S$4)&amp;"!"&amp;"f40" )-F40</f>
        <v>0</v>
      </c>
      <c r="H40" s="19"/>
      <c r="I40" s="23">
        <f ca="1">INDIRECT(CELL("contenu",$S$4)&amp;"!"&amp;"h40" )-H40</f>
        <v>0</v>
      </c>
      <c r="J40" s="12"/>
      <c r="K40" s="9"/>
      <c r="L40" s="21"/>
      <c r="M40" s="23">
        <f ca="1">INDIRECT(CELL("contenu",$S$4)&amp;"!"&amp;"l40" )-L40</f>
        <v>0</v>
      </c>
      <c r="N40" s="15"/>
      <c r="O40" s="23">
        <f ca="1">INDIRECT(CELL("contenu",$S$4)&amp;"!"&amp;"n40" )-N40</f>
        <v>0</v>
      </c>
      <c r="P40" s="15"/>
      <c r="Q40" s="23">
        <f ca="1">INDIRECT(CELL("contenu",$S$4)&amp;"!"&amp;"p40" )-P40</f>
        <v>0</v>
      </c>
    </row>
    <row r="41" spans="1:23" x14ac:dyDescent="0.25">
      <c r="A41" s="2" t="s">
        <v>38</v>
      </c>
      <c r="B41" s="15"/>
      <c r="C41" s="23">
        <f ca="1">INDIRECT(CELL("contenu",$S$4)&amp;"!"&amp;"b41" )-B41</f>
        <v>3</v>
      </c>
      <c r="D41" s="18"/>
      <c r="E41" s="23">
        <f ca="1">INDIRECT(CELL("contenu",$S$4)&amp;"!"&amp;"d41" )-D41</f>
        <v>0</v>
      </c>
      <c r="F41" s="18"/>
      <c r="G41" s="23">
        <f ca="1">INDIRECT(CELL("contenu",$S$4)&amp;"!"&amp;"f41" )-F41</f>
        <v>2</v>
      </c>
      <c r="H41" s="19"/>
      <c r="I41" s="23">
        <f ca="1">INDIRECT(CELL("contenu",$S$4)&amp;"!"&amp;"h41" )-H41</f>
        <v>0</v>
      </c>
      <c r="J41" s="12"/>
      <c r="K41" s="9"/>
      <c r="L41" s="21"/>
      <c r="M41" s="23">
        <f ca="1">INDIRECT(CELL("contenu",$S$4)&amp;"!"&amp;"l41" )-L41</f>
        <v>0</v>
      </c>
      <c r="N41" s="15"/>
      <c r="O41" s="23">
        <f ca="1">INDIRECT(CELL("contenu",$S$4)&amp;"!"&amp;"n41" )-N41</f>
        <v>0</v>
      </c>
      <c r="P41" s="15"/>
      <c r="Q41" s="23">
        <f ca="1">INDIRECT(CELL("contenu",$S$4)&amp;"!"&amp;"p41" )-P41</f>
        <v>0</v>
      </c>
      <c r="S41" s="47" t="s">
        <v>134</v>
      </c>
      <c r="T41" s="47"/>
      <c r="U41" s="47"/>
      <c r="V41" s="47"/>
      <c r="W41" s="47"/>
    </row>
    <row r="42" spans="1:23" x14ac:dyDescent="0.25">
      <c r="A42" s="2" t="s">
        <v>39</v>
      </c>
      <c r="B42" s="15"/>
      <c r="C42" s="23">
        <f ca="1">INDIRECT(CELL("contenu",$S$4)&amp;"!"&amp;"b42" )-B42</f>
        <v>3</v>
      </c>
      <c r="D42" s="18"/>
      <c r="E42" s="23">
        <f ca="1">INDIRECT(CELL("contenu",$S$4)&amp;"!"&amp;"d42" )-D42</f>
        <v>0</v>
      </c>
      <c r="F42" s="18"/>
      <c r="G42" s="23">
        <f ca="1">INDIRECT(CELL("contenu",$S$4)&amp;"!"&amp;"f42" )-F42</f>
        <v>0</v>
      </c>
      <c r="H42" s="19"/>
      <c r="I42" s="23">
        <f ca="1">INDIRECT(CELL("contenu",$S$4)&amp;"!"&amp;"h42" )-H42</f>
        <v>0</v>
      </c>
      <c r="J42" s="12"/>
      <c r="K42" s="9"/>
      <c r="L42" s="21"/>
      <c r="M42" s="23">
        <f ca="1">INDIRECT(CELL("contenu",$S$4)&amp;"!"&amp;"l42" )-L42</f>
        <v>0</v>
      </c>
      <c r="N42" s="15"/>
      <c r="O42" s="23">
        <f ca="1">INDIRECT(CELL("contenu",$S$4)&amp;"!"&amp;"n42" )-N42</f>
        <v>0</v>
      </c>
      <c r="P42" s="15"/>
      <c r="Q42" s="23">
        <f ca="1">INDIRECT(CELL("contenu",$S$4)&amp;"!"&amp;"p42" )-P42</f>
        <v>0</v>
      </c>
      <c r="S42" s="47" t="s">
        <v>133</v>
      </c>
      <c r="T42" s="47"/>
      <c r="U42" s="47"/>
      <c r="V42" s="47"/>
      <c r="W42" s="47"/>
    </row>
    <row r="43" spans="1:23" x14ac:dyDescent="0.25">
      <c r="A43" s="2" t="s">
        <v>40</v>
      </c>
      <c r="B43" s="15"/>
      <c r="C43" s="23">
        <f ca="1">INDIRECT(CELL("contenu",$S$4)&amp;"!"&amp;"b43" )-B43</f>
        <v>3</v>
      </c>
      <c r="D43" s="18"/>
      <c r="E43" s="23">
        <f ca="1">INDIRECT(CELL("contenu",$S$4)&amp;"!"&amp;"d43" )-D43</f>
        <v>0</v>
      </c>
      <c r="F43" s="18"/>
      <c r="G43" s="23">
        <f ca="1">INDIRECT(CELL("contenu",$S$4)&amp;"!"&amp;"f43" )-F43</f>
        <v>0</v>
      </c>
      <c r="H43" s="19"/>
      <c r="I43" s="23">
        <f ca="1">INDIRECT(CELL("contenu",$S$4)&amp;"!"&amp;"h43" )-H43</f>
        <v>0</v>
      </c>
      <c r="J43" s="12"/>
      <c r="K43" s="9"/>
      <c r="L43" s="21"/>
      <c r="M43" s="23">
        <f ca="1">INDIRECT(CELL("contenu",$S$4)&amp;"!"&amp;"l43" )-L43</f>
        <v>0</v>
      </c>
      <c r="N43" s="15"/>
      <c r="O43" s="23">
        <f ca="1">INDIRECT(CELL("contenu",$S$4)&amp;"!"&amp;"n43" )-N43</f>
        <v>0</v>
      </c>
      <c r="P43" s="15"/>
      <c r="Q43" s="23">
        <f ca="1">INDIRECT(CELL("contenu",$S$4)&amp;"!"&amp;"p43" )-P43</f>
        <v>0</v>
      </c>
    </row>
    <row r="44" spans="1:23" x14ac:dyDescent="0.25">
      <c r="A44" s="1" t="s">
        <v>41</v>
      </c>
      <c r="B44" s="14"/>
      <c r="C44" s="23">
        <f ca="1">INDIRECT(CELL("contenu",$S$4)&amp;"!"&amp;"b44" )-B44</f>
        <v>0</v>
      </c>
      <c r="D44" s="18"/>
      <c r="E44" s="23">
        <f ca="1">INDIRECT(CELL("contenu",$S$4)&amp;"!"&amp;"d44" )-D44</f>
        <v>0</v>
      </c>
      <c r="F44" s="18"/>
      <c r="G44" s="23">
        <f ca="1">INDIRECT(CELL("contenu",$S$4)&amp;"!"&amp;"f44" )-F44</f>
        <v>0</v>
      </c>
      <c r="H44" s="19"/>
      <c r="I44" s="23">
        <f ca="1">INDIRECT(CELL("contenu",$S$4)&amp;"!"&amp;"h44" )-H44</f>
        <v>0</v>
      </c>
      <c r="J44" s="12"/>
      <c r="K44" s="9"/>
      <c r="L44" s="21"/>
      <c r="M44" s="23">
        <f ca="1">INDIRECT(CELL("contenu",$S$4)&amp;"!"&amp;"l44" )-L44</f>
        <v>0</v>
      </c>
      <c r="N44" s="15"/>
      <c r="O44" s="23">
        <f ca="1">INDIRECT(CELL("contenu",$S$4)&amp;"!"&amp;"n44" )-N44</f>
        <v>0</v>
      </c>
      <c r="P44" s="15"/>
      <c r="Q44" s="23">
        <f ca="1">INDIRECT(CELL("contenu",$S$4)&amp;"!"&amp;"p44" )-P44</f>
        <v>0</v>
      </c>
    </row>
    <row r="45" spans="1:23" x14ac:dyDescent="0.25">
      <c r="A45" s="2" t="s">
        <v>42</v>
      </c>
      <c r="B45" s="15"/>
      <c r="C45" s="23">
        <f ca="1">INDIRECT(CELL("contenu",$S$4)&amp;"!"&amp;"b45" )-B45</f>
        <v>4</v>
      </c>
      <c r="D45" s="18"/>
      <c r="E45" s="23">
        <f ca="1">INDIRECT(CELL("contenu",$S$4)&amp;"!"&amp;"d45" )-D45</f>
        <v>2</v>
      </c>
      <c r="F45" s="18"/>
      <c r="G45" s="23">
        <f ca="1">INDIRECT(CELL("contenu",$S$4)&amp;"!"&amp;"f45" )-F45</f>
        <v>0</v>
      </c>
      <c r="H45" s="19"/>
      <c r="I45" s="23">
        <f ca="1">INDIRECT(CELL("contenu",$S$4)&amp;"!"&amp;"h45" )-H45</f>
        <v>0</v>
      </c>
      <c r="J45" s="12"/>
      <c r="K45" s="9"/>
      <c r="L45" s="21"/>
      <c r="M45" s="23">
        <f ca="1">INDIRECT(CELL("contenu",$S$4)&amp;"!"&amp;"l45" )-L45</f>
        <v>0</v>
      </c>
      <c r="N45" s="15"/>
      <c r="O45" s="23">
        <f ca="1">INDIRECT(CELL("contenu",$S$4)&amp;"!"&amp;"n45" )-N45</f>
        <v>0</v>
      </c>
      <c r="P45" s="15"/>
      <c r="Q45" s="23">
        <f ca="1">INDIRECT(CELL("contenu",$S$4)&amp;"!"&amp;"p45" )-P45</f>
        <v>0</v>
      </c>
    </row>
    <row r="46" spans="1:23" x14ac:dyDescent="0.25">
      <c r="A46" s="2" t="s">
        <v>43</v>
      </c>
      <c r="B46" s="15"/>
      <c r="C46" s="23">
        <f ca="1">INDIRECT(CELL("contenu",$S$4)&amp;"!"&amp;"b46" )-B46</f>
        <v>4</v>
      </c>
      <c r="D46" s="18"/>
      <c r="E46" s="23">
        <f ca="1">INDIRECT(CELL("contenu",$S$4)&amp;"!"&amp;"d46" )-D46</f>
        <v>2</v>
      </c>
      <c r="F46" s="18"/>
      <c r="G46" s="23">
        <f ca="1">INDIRECT(CELL("contenu",$S$4)&amp;"!"&amp;"f46" )-F46</f>
        <v>0</v>
      </c>
      <c r="H46" s="19"/>
      <c r="I46" s="23">
        <f ca="1">INDIRECT(CELL("contenu",$S$4)&amp;"!"&amp;"h46" )-H46</f>
        <v>0</v>
      </c>
      <c r="J46" s="12"/>
      <c r="K46" s="9"/>
      <c r="L46" s="21"/>
      <c r="M46" s="23">
        <f ca="1">INDIRECT(CELL("contenu",$S$4)&amp;"!"&amp;"l46" )-L46</f>
        <v>0</v>
      </c>
      <c r="N46" s="15"/>
      <c r="O46" s="23">
        <f ca="1">INDIRECT(CELL("contenu",$S$4)&amp;"!"&amp;"n46" )-N46</f>
        <v>0</v>
      </c>
      <c r="P46" s="15"/>
      <c r="Q46" s="23">
        <f ca="1">INDIRECT(CELL("contenu",$S$4)&amp;"!"&amp;"p46" )-P46</f>
        <v>0</v>
      </c>
    </row>
    <row r="47" spans="1:23" x14ac:dyDescent="0.25">
      <c r="A47" s="2" t="s">
        <v>44</v>
      </c>
      <c r="B47" s="15"/>
      <c r="C47" s="23">
        <f ca="1">INDIRECT(CELL("contenu",$S$4)&amp;"!"&amp;"b47" )-B47</f>
        <v>4</v>
      </c>
      <c r="D47" s="18"/>
      <c r="E47" s="23">
        <f ca="1">INDIRECT(CELL("contenu",$S$4)&amp;"!"&amp;"d47" )-D47</f>
        <v>2</v>
      </c>
      <c r="F47" s="18"/>
      <c r="G47" s="23">
        <f ca="1">INDIRECT(CELL("contenu",$S$4)&amp;"!"&amp;"f47" )-F47</f>
        <v>0</v>
      </c>
      <c r="H47" s="19"/>
      <c r="I47" s="23">
        <f ca="1">INDIRECT(CELL("contenu",$S$4)&amp;"!"&amp;"h47" )-H47</f>
        <v>0</v>
      </c>
      <c r="J47" s="12"/>
      <c r="K47" s="9"/>
      <c r="L47" s="21"/>
      <c r="M47" s="23">
        <f ca="1">INDIRECT(CELL("contenu",$S$4)&amp;"!"&amp;"l47" )-L47</f>
        <v>0</v>
      </c>
      <c r="N47" s="15"/>
      <c r="O47" s="23">
        <f ca="1">INDIRECT(CELL("contenu",$S$4)&amp;"!"&amp;"n47" )-N47</f>
        <v>0</v>
      </c>
      <c r="P47" s="15"/>
      <c r="Q47" s="23">
        <f ca="1">INDIRECT(CELL("contenu",$S$4)&amp;"!"&amp;"p47" )-P47</f>
        <v>0</v>
      </c>
    </row>
    <row r="48" spans="1:23" x14ac:dyDescent="0.25">
      <c r="A48" s="2" t="s">
        <v>45</v>
      </c>
      <c r="B48" s="15"/>
      <c r="C48" s="23">
        <f ca="1">INDIRECT(CELL("contenu",$S$4)&amp;"!"&amp;"b48" )-B48</f>
        <v>4</v>
      </c>
      <c r="D48" s="18"/>
      <c r="E48" s="23">
        <f ca="1">INDIRECT(CELL("contenu",$S$4)&amp;"!"&amp;"d48" )-D48</f>
        <v>2</v>
      </c>
      <c r="F48" s="18"/>
      <c r="G48" s="23">
        <f ca="1">INDIRECT(CELL("contenu",$S$4)&amp;"!"&amp;"f48" )-F48</f>
        <v>0</v>
      </c>
      <c r="H48" s="19"/>
      <c r="I48" s="23">
        <f ca="1">INDIRECT(CELL("contenu",$S$4)&amp;"!"&amp;"h48" )-H48</f>
        <v>0</v>
      </c>
      <c r="J48" s="12"/>
      <c r="K48" s="9"/>
      <c r="L48" s="21"/>
      <c r="M48" s="23">
        <f ca="1">INDIRECT(CELL("contenu",$S$4)&amp;"!"&amp;"l48" )-L48</f>
        <v>0</v>
      </c>
      <c r="N48" s="15"/>
      <c r="O48" s="23">
        <f ca="1">INDIRECT(CELL("contenu",$S$4)&amp;"!"&amp;"n48" )-N48</f>
        <v>0</v>
      </c>
      <c r="P48" s="15"/>
      <c r="Q48" s="23">
        <f ca="1">INDIRECT(CELL("contenu",$S$4)&amp;"!"&amp;"p48" )-P48</f>
        <v>0</v>
      </c>
    </row>
    <row r="49" spans="1:17" x14ac:dyDescent="0.25">
      <c r="A49" s="2" t="s">
        <v>46</v>
      </c>
      <c r="B49" s="15"/>
      <c r="C49" s="23">
        <f ca="1">INDIRECT(CELL("contenu",$S$4)&amp;"!"&amp;"b49" )-B49</f>
        <v>4</v>
      </c>
      <c r="D49" s="18"/>
      <c r="E49" s="23">
        <f ca="1">INDIRECT(CELL("contenu",$S$4)&amp;"!"&amp;"d49" )-D49</f>
        <v>2</v>
      </c>
      <c r="F49" s="18"/>
      <c r="G49" s="23">
        <f ca="1">INDIRECT(CELL("contenu",$S$4)&amp;"!"&amp;"f49" )-F49</f>
        <v>0</v>
      </c>
      <c r="H49" s="19"/>
      <c r="I49" s="23">
        <f ca="1">INDIRECT(CELL("contenu",$S$4)&amp;"!"&amp;"h49" )-H49</f>
        <v>0</v>
      </c>
      <c r="J49" s="12"/>
      <c r="K49" s="9"/>
      <c r="L49" s="21"/>
      <c r="M49" s="23">
        <f ca="1">INDIRECT(CELL("contenu",$S$4)&amp;"!"&amp;"l49" )-L49</f>
        <v>0</v>
      </c>
      <c r="N49" s="15"/>
      <c r="O49" s="23">
        <f ca="1">INDIRECT(CELL("contenu",$S$4)&amp;"!"&amp;"n49" )-N49</f>
        <v>0</v>
      </c>
      <c r="P49" s="15"/>
      <c r="Q49" s="23">
        <f ca="1">INDIRECT(CELL("contenu",$S$4)&amp;"!"&amp;"p49" )-P49</f>
        <v>0</v>
      </c>
    </row>
    <row r="50" spans="1:17" ht="15.75" thickBot="1" x14ac:dyDescent="0.3">
      <c r="A50" s="2" t="s">
        <v>47</v>
      </c>
      <c r="B50" s="15"/>
      <c r="C50" s="23">
        <f ca="1">INDIRECT(CELL("contenu",$S$4)&amp;"!"&amp;"b50" )-B50</f>
        <v>4</v>
      </c>
      <c r="D50" s="18"/>
      <c r="E50" s="23">
        <f ca="1">INDIRECT(CELL("contenu",$S$4)&amp;"!"&amp;"d50" )-D50</f>
        <v>2</v>
      </c>
      <c r="F50" s="18"/>
      <c r="G50" s="23">
        <f ca="1">INDIRECT(CELL("contenu",$S$4)&amp;"!"&amp;"f50" )-F50</f>
        <v>0</v>
      </c>
      <c r="H50" s="19"/>
      <c r="I50" s="23">
        <f ca="1">INDIRECT(CELL("contenu",$S$4)&amp;"!"&amp;"h50" )-H50</f>
        <v>0</v>
      </c>
      <c r="J50" s="13"/>
      <c r="K50" s="9"/>
      <c r="L50" s="21"/>
      <c r="M50" s="23">
        <f ca="1">INDIRECT(CELL("contenu",$S$4)&amp;"!"&amp;"l50" )-L50</f>
        <v>7</v>
      </c>
      <c r="N50" s="15"/>
      <c r="O50" s="23">
        <f ca="1">INDIRECT(CELL("contenu",$S$4)&amp;"!"&amp;"n50" )-N50</f>
        <v>93</v>
      </c>
      <c r="P50" s="15"/>
      <c r="Q50" s="23">
        <f ca="1">INDIRECT(CELL("contenu",$S$4)&amp;"!"&amp;"p50" )-P50</f>
        <v>24</v>
      </c>
    </row>
  </sheetData>
  <mergeCells count="16">
    <mergeCell ref="S29:T29"/>
    <mergeCell ref="S24:T24"/>
    <mergeCell ref="S25:T25"/>
    <mergeCell ref="S26:T26"/>
    <mergeCell ref="S27:T27"/>
    <mergeCell ref="S28:T28"/>
    <mergeCell ref="B1:I1"/>
    <mergeCell ref="S20:T20"/>
    <mergeCell ref="S21:T21"/>
    <mergeCell ref="S22:T22"/>
    <mergeCell ref="S23:T23"/>
    <mergeCell ref="S30:T30"/>
    <mergeCell ref="S31:T31"/>
    <mergeCell ref="S32:T32"/>
    <mergeCell ref="S33:T33"/>
    <mergeCell ref="S34:T34"/>
  </mergeCells>
  <conditionalFormatting sqref="C4:I50 L4:Q50">
    <cfRule type="cellIs" dxfId="4" priority="2" operator="equal">
      <formula>0</formula>
    </cfRule>
  </conditionalFormatting>
  <pageMargins left="0.7" right="0.7" top="0.75" bottom="0.75" header="0.3" footer="0.3"/>
  <pageSetup paperSize="9" scale="50" orientation="landscape"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49"/>
  <sheetViews>
    <sheetView workbookViewId="0">
      <selection activeCell="A3" sqref="A3:A12"/>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65</v>
      </c>
      <c r="C2" s="3" t="s">
        <v>48</v>
      </c>
      <c r="D2" s="3" t="s">
        <v>65</v>
      </c>
      <c r="E2" s="3" t="s">
        <v>49</v>
      </c>
      <c r="F2" s="3" t="s">
        <v>65</v>
      </c>
      <c r="G2" s="3" t="s">
        <v>50</v>
      </c>
      <c r="H2" s="6" t="s">
        <v>65</v>
      </c>
      <c r="I2" s="6" t="s">
        <v>51</v>
      </c>
      <c r="J2" s="12"/>
      <c r="K2" s="8"/>
      <c r="L2" s="6" t="s">
        <v>65</v>
      </c>
      <c r="M2" s="3" t="s">
        <v>54</v>
      </c>
      <c r="N2" s="3" t="s">
        <v>65</v>
      </c>
      <c r="O2" s="3" t="s">
        <v>55</v>
      </c>
      <c r="P2" s="3" t="s">
        <v>65</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2.0499999999999998</v>
      </c>
      <c r="C4" s="23"/>
      <c r="D4" s="18">
        <v>3.8</v>
      </c>
      <c r="E4" s="23"/>
      <c r="F4" s="18">
        <v>2.1</v>
      </c>
      <c r="G4" s="23"/>
      <c r="H4" s="19">
        <v>3.9</v>
      </c>
      <c r="I4" s="24"/>
      <c r="J4" s="12"/>
      <c r="K4" s="9" t="s">
        <v>57</v>
      </c>
      <c r="L4" s="21">
        <v>7.9</v>
      </c>
      <c r="M4" s="23"/>
      <c r="N4" s="18">
        <v>11.4</v>
      </c>
      <c r="O4" s="23"/>
      <c r="P4" s="18">
        <v>14.9</v>
      </c>
      <c r="Q4" s="23"/>
    </row>
    <row r="5" spans="1:17" x14ac:dyDescent="0.25">
      <c r="A5" s="2" t="s">
        <v>2</v>
      </c>
      <c r="B5" s="15">
        <v>2.0499999999999998</v>
      </c>
      <c r="C5" s="23"/>
      <c r="D5" s="18">
        <v>3.8</v>
      </c>
      <c r="E5" s="23"/>
      <c r="F5" s="18">
        <v>2.1</v>
      </c>
      <c r="G5" s="23"/>
      <c r="H5" s="19">
        <v>3.9</v>
      </c>
      <c r="I5" s="24"/>
      <c r="J5" s="12"/>
      <c r="K5" s="9" t="s">
        <v>58</v>
      </c>
      <c r="L5" s="21">
        <v>7.9</v>
      </c>
      <c r="M5" s="23"/>
      <c r="N5" s="18">
        <v>11.4</v>
      </c>
      <c r="O5" s="23"/>
      <c r="P5" s="18">
        <v>14.9</v>
      </c>
      <c r="Q5" s="23"/>
    </row>
    <row r="6" spans="1:17" x14ac:dyDescent="0.25">
      <c r="A6" s="2" t="s">
        <v>3</v>
      </c>
      <c r="B6" s="15">
        <v>2.65</v>
      </c>
      <c r="C6" s="23"/>
      <c r="D6" s="18">
        <v>5.05</v>
      </c>
      <c r="E6" s="23"/>
      <c r="F6" s="18">
        <v>2.7</v>
      </c>
      <c r="G6" s="23"/>
      <c r="H6" s="19">
        <v>5.0999999999999996</v>
      </c>
      <c r="I6" s="24"/>
      <c r="J6" s="12"/>
      <c r="K6" s="7" t="s">
        <v>11</v>
      </c>
      <c r="L6" s="20"/>
      <c r="M6" s="23"/>
      <c r="N6" s="18"/>
      <c r="O6" s="23"/>
      <c r="P6" s="18"/>
      <c r="Q6" s="23"/>
    </row>
    <row r="7" spans="1:17" x14ac:dyDescent="0.25">
      <c r="A7" s="2" t="s">
        <v>4</v>
      </c>
      <c r="B7" s="15">
        <v>2.65</v>
      </c>
      <c r="C7" s="23"/>
      <c r="D7" s="18">
        <v>5.05</v>
      </c>
      <c r="E7" s="23"/>
      <c r="F7" s="18">
        <v>2.7</v>
      </c>
      <c r="G7" s="23"/>
      <c r="H7" s="19">
        <v>5.0999999999999996</v>
      </c>
      <c r="I7" s="24"/>
      <c r="J7" s="12"/>
      <c r="K7" s="9" t="s">
        <v>12</v>
      </c>
      <c r="L7" s="21">
        <v>6.9</v>
      </c>
      <c r="M7" s="23"/>
      <c r="N7" s="18">
        <v>7.5</v>
      </c>
      <c r="O7" s="23"/>
      <c r="P7" s="18">
        <v>10.5</v>
      </c>
      <c r="Q7" s="23"/>
    </row>
    <row r="8" spans="1:17" x14ac:dyDescent="0.25">
      <c r="A8" s="2" t="s">
        <v>5</v>
      </c>
      <c r="B8" s="15">
        <v>2.1</v>
      </c>
      <c r="C8" s="23"/>
      <c r="D8" s="18">
        <v>3.9</v>
      </c>
      <c r="E8" s="23"/>
      <c r="F8" s="18">
        <v>2.2000000000000002</v>
      </c>
      <c r="G8" s="23"/>
      <c r="H8" s="19">
        <v>4</v>
      </c>
      <c r="I8" s="24"/>
      <c r="J8" s="12"/>
      <c r="K8" s="9" t="s">
        <v>15</v>
      </c>
      <c r="L8" s="21">
        <v>4.9000000000000004</v>
      </c>
      <c r="M8" s="23"/>
      <c r="N8" s="18">
        <v>7.5</v>
      </c>
      <c r="O8" s="23"/>
      <c r="P8" s="18">
        <v>10.5</v>
      </c>
      <c r="Q8" s="23"/>
    </row>
    <row r="9" spans="1:17" x14ac:dyDescent="0.25">
      <c r="A9" s="2" t="s">
        <v>6</v>
      </c>
      <c r="B9" s="15">
        <v>2.1</v>
      </c>
      <c r="C9" s="23"/>
      <c r="D9" s="18">
        <v>3.9</v>
      </c>
      <c r="E9" s="23"/>
      <c r="F9" s="18">
        <v>2.2000000000000002</v>
      </c>
      <c r="G9" s="23"/>
      <c r="H9" s="19">
        <v>4</v>
      </c>
      <c r="I9" s="24"/>
      <c r="J9" s="12"/>
      <c r="K9" s="9" t="s">
        <v>59</v>
      </c>
      <c r="L9" s="21"/>
      <c r="M9" s="23"/>
      <c r="N9" s="18">
        <v>7.9</v>
      </c>
      <c r="O9" s="23"/>
      <c r="P9" s="18"/>
      <c r="Q9" s="23"/>
    </row>
    <row r="10" spans="1:17" x14ac:dyDescent="0.25">
      <c r="A10" s="2" t="s">
        <v>7</v>
      </c>
      <c r="B10" s="15">
        <v>2.7</v>
      </c>
      <c r="C10" s="23"/>
      <c r="D10" s="18">
        <v>5</v>
      </c>
      <c r="E10" s="23"/>
      <c r="F10" s="18">
        <v>2.8</v>
      </c>
      <c r="G10" s="23"/>
      <c r="H10" s="19">
        <v>5.0999999999999996</v>
      </c>
      <c r="I10" s="24"/>
      <c r="J10" s="12"/>
      <c r="K10" s="7" t="s">
        <v>60</v>
      </c>
      <c r="L10" s="20"/>
      <c r="M10" s="23"/>
      <c r="N10" s="18"/>
      <c r="O10" s="23"/>
      <c r="P10" s="18"/>
      <c r="Q10" s="23"/>
    </row>
    <row r="11" spans="1:17" x14ac:dyDescent="0.25">
      <c r="A11" s="2" t="s">
        <v>8</v>
      </c>
      <c r="B11" s="15">
        <v>2.7</v>
      </c>
      <c r="C11" s="23"/>
      <c r="D11" s="18">
        <v>5</v>
      </c>
      <c r="E11" s="23"/>
      <c r="F11" s="18">
        <v>2.8</v>
      </c>
      <c r="G11" s="23"/>
      <c r="H11" s="19">
        <v>5.0999999999999996</v>
      </c>
      <c r="I11" s="24"/>
      <c r="J11" s="12"/>
      <c r="K11" s="10" t="s">
        <v>21</v>
      </c>
      <c r="L11" s="22"/>
      <c r="M11" s="23"/>
      <c r="N11" s="18"/>
      <c r="O11" s="23"/>
      <c r="P11" s="18"/>
      <c r="Q11" s="23"/>
    </row>
    <row r="12" spans="1:17" x14ac:dyDescent="0.25">
      <c r="A12" s="2" t="s">
        <v>9</v>
      </c>
      <c r="B12" s="15">
        <v>2.7</v>
      </c>
      <c r="C12" s="23"/>
      <c r="D12" s="18">
        <v>5</v>
      </c>
      <c r="E12" s="23"/>
      <c r="F12" s="18"/>
      <c r="G12" s="23"/>
      <c r="H12" s="19"/>
      <c r="I12" s="24"/>
      <c r="J12" s="12"/>
      <c r="K12" s="9" t="s">
        <v>61</v>
      </c>
      <c r="L12" s="21">
        <v>6.9</v>
      </c>
      <c r="M12" s="23"/>
      <c r="N12" s="18">
        <v>10.9</v>
      </c>
      <c r="O12" s="23"/>
      <c r="P12" s="18">
        <v>13.9</v>
      </c>
      <c r="Q12" s="23"/>
    </row>
    <row r="13" spans="1:17" x14ac:dyDescent="0.25">
      <c r="A13" s="1" t="s">
        <v>11</v>
      </c>
      <c r="B13" s="14"/>
      <c r="C13" s="23"/>
      <c r="D13" s="18"/>
      <c r="E13" s="23"/>
      <c r="F13" s="18"/>
      <c r="G13" s="23"/>
      <c r="H13" s="19"/>
      <c r="I13" s="24"/>
      <c r="J13" s="12"/>
      <c r="K13" s="9" t="s">
        <v>25</v>
      </c>
      <c r="L13" s="21">
        <v>6.9</v>
      </c>
      <c r="M13" s="23"/>
      <c r="N13" s="18">
        <v>10.9</v>
      </c>
      <c r="O13" s="23"/>
      <c r="P13" s="18">
        <v>13.9</v>
      </c>
      <c r="Q13" s="23"/>
    </row>
    <row r="14" spans="1:17" x14ac:dyDescent="0.25">
      <c r="A14" s="2" t="s">
        <v>12</v>
      </c>
      <c r="B14" s="15">
        <v>2.7</v>
      </c>
      <c r="C14" s="23"/>
      <c r="D14" s="18">
        <v>5.4</v>
      </c>
      <c r="E14" s="23"/>
      <c r="F14" s="26"/>
      <c r="G14" s="28"/>
      <c r="H14" s="27"/>
      <c r="I14" s="29"/>
      <c r="J14" s="12"/>
      <c r="K14" s="9" t="s">
        <v>62</v>
      </c>
      <c r="L14" s="21">
        <v>6.9</v>
      </c>
      <c r="M14" s="23"/>
      <c r="N14" s="18">
        <v>10.9</v>
      </c>
      <c r="O14" s="23"/>
      <c r="P14" s="18">
        <v>13.9</v>
      </c>
      <c r="Q14" s="23"/>
    </row>
    <row r="15" spans="1:17" x14ac:dyDescent="0.25">
      <c r="A15" s="2" t="s">
        <v>13</v>
      </c>
      <c r="B15" s="15">
        <v>2.9</v>
      </c>
      <c r="C15" s="23"/>
      <c r="D15" s="26"/>
      <c r="E15" s="28"/>
      <c r="F15" s="26"/>
      <c r="G15" s="28"/>
      <c r="H15" s="27"/>
      <c r="I15" s="29"/>
      <c r="J15" s="12"/>
      <c r="K15" s="9" t="s">
        <v>26</v>
      </c>
      <c r="L15" s="21">
        <v>6.9</v>
      </c>
      <c r="M15" s="23"/>
      <c r="N15" s="18">
        <v>10.9</v>
      </c>
      <c r="O15" s="23"/>
      <c r="P15" s="18">
        <v>13.9</v>
      </c>
      <c r="Q15" s="23"/>
    </row>
    <row r="16" spans="1:17" x14ac:dyDescent="0.25">
      <c r="A16" s="2" t="s">
        <v>14</v>
      </c>
      <c r="B16" s="15">
        <v>2.9</v>
      </c>
      <c r="C16" s="23"/>
      <c r="D16" s="26"/>
      <c r="E16" s="28"/>
      <c r="F16" s="26"/>
      <c r="G16" s="28"/>
      <c r="H16" s="27"/>
      <c r="I16" s="29"/>
      <c r="J16" s="12"/>
      <c r="K16" s="9" t="s">
        <v>27</v>
      </c>
      <c r="L16" s="21">
        <v>6.9</v>
      </c>
      <c r="M16" s="23"/>
      <c r="N16" s="18">
        <v>10.9</v>
      </c>
      <c r="O16" s="23"/>
      <c r="P16" s="18">
        <v>13.9</v>
      </c>
      <c r="Q16" s="23"/>
    </row>
    <row r="17" spans="1:17" x14ac:dyDescent="0.25">
      <c r="A17" s="2" t="s">
        <v>15</v>
      </c>
      <c r="B17" s="15">
        <v>2.2000000000000002</v>
      </c>
      <c r="C17" s="23"/>
      <c r="D17" s="18">
        <v>4.4000000000000004</v>
      </c>
      <c r="E17" s="23"/>
      <c r="F17" s="18">
        <v>2.2999999999999998</v>
      </c>
      <c r="G17" s="23"/>
      <c r="H17" s="19">
        <v>4.5</v>
      </c>
      <c r="I17" s="24"/>
      <c r="J17" s="12"/>
      <c r="K17" s="9" t="s">
        <v>28</v>
      </c>
      <c r="L17" s="21">
        <v>6.9</v>
      </c>
      <c r="M17" s="23"/>
      <c r="N17" s="18">
        <v>10.9</v>
      </c>
      <c r="O17" s="23"/>
      <c r="P17" s="18">
        <v>13.9</v>
      </c>
      <c r="Q17" s="23"/>
    </row>
    <row r="18" spans="1:17" x14ac:dyDescent="0.25">
      <c r="A18" s="2" t="s">
        <v>16</v>
      </c>
      <c r="B18" s="15">
        <v>2.2000000000000002</v>
      </c>
      <c r="C18" s="23"/>
      <c r="D18" s="18">
        <v>4.4000000000000004</v>
      </c>
      <c r="E18" s="23"/>
      <c r="F18" s="18">
        <v>2.2999999999999998</v>
      </c>
      <c r="G18" s="23"/>
      <c r="H18" s="19">
        <v>4.5</v>
      </c>
      <c r="I18" s="24"/>
      <c r="J18" s="12"/>
      <c r="K18" s="9" t="s">
        <v>29</v>
      </c>
      <c r="L18" s="21">
        <v>6.9</v>
      </c>
      <c r="M18" s="23"/>
      <c r="N18" s="18">
        <v>10.9</v>
      </c>
      <c r="O18" s="23"/>
      <c r="P18" s="18">
        <v>13.9</v>
      </c>
      <c r="Q18" s="23"/>
    </row>
    <row r="19" spans="1:17" x14ac:dyDescent="0.25">
      <c r="A19" s="2" t="s">
        <v>17</v>
      </c>
      <c r="B19" s="15">
        <v>2.2000000000000002</v>
      </c>
      <c r="C19" s="23"/>
      <c r="D19" s="18">
        <v>4.4000000000000004</v>
      </c>
      <c r="E19" s="23"/>
      <c r="F19" s="18">
        <v>2.2999999999999998</v>
      </c>
      <c r="G19" s="23"/>
      <c r="H19" s="19">
        <v>4.5</v>
      </c>
      <c r="I19" s="24"/>
      <c r="J19" s="12"/>
      <c r="K19" s="9" t="s">
        <v>30</v>
      </c>
      <c r="L19" s="21">
        <v>6.9</v>
      </c>
      <c r="M19" s="23"/>
      <c r="N19" s="18">
        <v>10.9</v>
      </c>
      <c r="O19" s="23"/>
      <c r="P19" s="18">
        <v>13.9</v>
      </c>
      <c r="Q19" s="23"/>
    </row>
    <row r="20" spans="1:17" x14ac:dyDescent="0.25">
      <c r="A20" s="2" t="s">
        <v>18</v>
      </c>
      <c r="B20" s="15">
        <v>2.8</v>
      </c>
      <c r="C20" s="23"/>
      <c r="D20" s="18">
        <v>5.6</v>
      </c>
      <c r="E20" s="23"/>
      <c r="F20" s="26"/>
      <c r="G20" s="28"/>
      <c r="H20" s="27"/>
      <c r="I20" s="29"/>
      <c r="J20" s="12"/>
      <c r="K20" s="9" t="s">
        <v>31</v>
      </c>
      <c r="L20" s="21">
        <v>6.9</v>
      </c>
      <c r="M20" s="23"/>
      <c r="N20" s="18">
        <v>10.9</v>
      </c>
      <c r="O20" s="23"/>
      <c r="P20" s="18">
        <v>13.9</v>
      </c>
      <c r="Q20" s="23"/>
    </row>
    <row r="21" spans="1:17" x14ac:dyDescent="0.25">
      <c r="A21" s="2" t="s">
        <v>19</v>
      </c>
      <c r="B21" s="15">
        <v>2.7</v>
      </c>
      <c r="C21" s="23"/>
      <c r="D21" s="18">
        <v>5.3</v>
      </c>
      <c r="E21" s="23"/>
      <c r="F21" s="26"/>
      <c r="G21" s="28"/>
      <c r="H21" s="27"/>
      <c r="I21" s="29"/>
      <c r="J21" s="12"/>
      <c r="K21" s="7" t="s">
        <v>32</v>
      </c>
      <c r="L21" s="20"/>
      <c r="M21" s="23"/>
      <c r="N21" s="18"/>
      <c r="O21" s="23"/>
      <c r="P21" s="18"/>
      <c r="Q21" s="23"/>
    </row>
    <row r="22" spans="1:17" x14ac:dyDescent="0.25">
      <c r="A22" s="5" t="s">
        <v>20</v>
      </c>
      <c r="B22" s="16"/>
      <c r="C22" s="23"/>
      <c r="D22" s="18"/>
      <c r="E22" s="23"/>
      <c r="F22" s="18"/>
      <c r="G22" s="23"/>
      <c r="H22" s="19"/>
      <c r="I22" s="24"/>
      <c r="J22" s="12"/>
      <c r="K22" s="9" t="s">
        <v>33</v>
      </c>
      <c r="L22" s="21">
        <v>7.9</v>
      </c>
      <c r="M22" s="23"/>
      <c r="N22" s="18">
        <v>11.4</v>
      </c>
      <c r="O22" s="23"/>
      <c r="P22" s="18">
        <v>14.9</v>
      </c>
      <c r="Q22" s="23"/>
    </row>
    <row r="23" spans="1:17" x14ac:dyDescent="0.25">
      <c r="A23" s="4" t="s">
        <v>21</v>
      </c>
      <c r="B23" s="17"/>
      <c r="C23" s="23"/>
      <c r="D23" s="18"/>
      <c r="E23" s="23"/>
      <c r="F23" s="18"/>
      <c r="G23" s="23"/>
      <c r="H23" s="19"/>
      <c r="I23" s="24"/>
      <c r="J23" s="12"/>
      <c r="K23" s="9" t="s">
        <v>34</v>
      </c>
      <c r="L23" s="21">
        <v>7.9</v>
      </c>
      <c r="M23" s="23"/>
      <c r="N23" s="18">
        <v>11.4</v>
      </c>
      <c r="O23" s="23"/>
      <c r="P23" s="18">
        <v>14.9</v>
      </c>
      <c r="Q23" s="23"/>
    </row>
    <row r="24" spans="1:17" x14ac:dyDescent="0.25">
      <c r="A24" s="2" t="s">
        <v>22</v>
      </c>
      <c r="B24" s="15">
        <v>3.3</v>
      </c>
      <c r="C24" s="23"/>
      <c r="D24" s="18">
        <v>6.5</v>
      </c>
      <c r="E24" s="23"/>
      <c r="F24" s="26"/>
      <c r="G24" s="28"/>
      <c r="H24" s="27"/>
      <c r="I24" s="29"/>
      <c r="J24" s="12"/>
      <c r="K24" s="9" t="s">
        <v>35</v>
      </c>
      <c r="L24" s="21">
        <v>7.9</v>
      </c>
      <c r="M24" s="23"/>
      <c r="N24" s="18">
        <v>11.4</v>
      </c>
      <c r="O24" s="23"/>
      <c r="P24" s="18">
        <v>14.9</v>
      </c>
      <c r="Q24" s="23"/>
    </row>
    <row r="25" spans="1:17" x14ac:dyDescent="0.25">
      <c r="A25" s="2" t="s">
        <v>23</v>
      </c>
      <c r="B25" s="15">
        <v>3.3</v>
      </c>
      <c r="C25" s="23"/>
      <c r="D25" s="18">
        <v>6.5</v>
      </c>
      <c r="E25" s="23"/>
      <c r="F25" s="26"/>
      <c r="G25" s="28"/>
      <c r="H25" s="27"/>
      <c r="I25" s="29"/>
      <c r="J25" s="12"/>
      <c r="K25" s="9" t="s">
        <v>36</v>
      </c>
      <c r="L25" s="21">
        <v>7.9</v>
      </c>
      <c r="M25" s="23"/>
      <c r="N25" s="18">
        <v>11.4</v>
      </c>
      <c r="O25" s="23"/>
      <c r="P25" s="18">
        <v>14.9</v>
      </c>
      <c r="Q25" s="23"/>
    </row>
    <row r="26" spans="1:17" x14ac:dyDescent="0.25">
      <c r="A26" s="2" t="s">
        <v>24</v>
      </c>
      <c r="B26" s="15">
        <v>3.3</v>
      </c>
      <c r="C26" s="23"/>
      <c r="D26" s="18">
        <v>6.5</v>
      </c>
      <c r="E26" s="23"/>
      <c r="F26" s="26"/>
      <c r="G26" s="28"/>
      <c r="H26" s="27"/>
      <c r="I26" s="29"/>
      <c r="J26" s="12"/>
      <c r="K26" s="9" t="s">
        <v>37</v>
      </c>
      <c r="L26" s="21">
        <v>7.9</v>
      </c>
      <c r="M26" s="23"/>
      <c r="N26" s="18">
        <v>11.4</v>
      </c>
      <c r="O26" s="23"/>
      <c r="P26" s="18">
        <v>14.9</v>
      </c>
      <c r="Q26" s="23"/>
    </row>
    <row r="27" spans="1:17" x14ac:dyDescent="0.25">
      <c r="A27" s="2" t="s">
        <v>25</v>
      </c>
      <c r="B27" s="15">
        <v>3</v>
      </c>
      <c r="C27" s="23"/>
      <c r="D27" s="18">
        <v>5.9</v>
      </c>
      <c r="E27" s="23"/>
      <c r="F27" s="26"/>
      <c r="G27" s="28"/>
      <c r="H27" s="27"/>
      <c r="I27" s="29"/>
      <c r="J27" s="12"/>
      <c r="K27" s="7" t="s">
        <v>41</v>
      </c>
      <c r="L27" s="21"/>
      <c r="M27" s="23"/>
      <c r="N27" s="18"/>
      <c r="O27" s="23"/>
      <c r="P27" s="18"/>
      <c r="Q27" s="23"/>
    </row>
    <row r="28" spans="1:17" x14ac:dyDescent="0.25">
      <c r="A28" s="2" t="s">
        <v>26</v>
      </c>
      <c r="B28" s="15">
        <v>3.3</v>
      </c>
      <c r="C28" s="23"/>
      <c r="D28" s="18">
        <v>6.5</v>
      </c>
      <c r="E28" s="23"/>
      <c r="F28" s="26"/>
      <c r="G28" s="28"/>
      <c r="H28" s="27"/>
      <c r="I28" s="29"/>
      <c r="J28" s="12"/>
      <c r="K28" s="9" t="s">
        <v>42</v>
      </c>
      <c r="L28" s="21">
        <v>7.9</v>
      </c>
      <c r="M28" s="23"/>
      <c r="N28" s="18">
        <v>11.4</v>
      </c>
      <c r="O28" s="23"/>
      <c r="P28" s="18">
        <v>14.9</v>
      </c>
      <c r="Q28" s="23"/>
    </row>
    <row r="29" spans="1:17" x14ac:dyDescent="0.25">
      <c r="A29" s="2" t="s">
        <v>27</v>
      </c>
      <c r="B29" s="15">
        <v>3</v>
      </c>
      <c r="C29" s="23"/>
      <c r="D29" s="18">
        <v>5.9</v>
      </c>
      <c r="E29" s="23"/>
      <c r="F29" s="26"/>
      <c r="G29" s="28"/>
      <c r="H29" s="27"/>
      <c r="I29" s="29"/>
      <c r="J29" s="12"/>
      <c r="K29" s="9" t="s">
        <v>43</v>
      </c>
      <c r="L29" s="21">
        <v>7.9</v>
      </c>
      <c r="M29" s="23"/>
      <c r="N29" s="18">
        <v>11.4</v>
      </c>
      <c r="O29" s="23"/>
      <c r="P29" s="18">
        <v>14.9</v>
      </c>
      <c r="Q29" s="23"/>
    </row>
    <row r="30" spans="1:17" x14ac:dyDescent="0.25">
      <c r="A30" s="2" t="s">
        <v>28</v>
      </c>
      <c r="B30" s="15">
        <v>2.7</v>
      </c>
      <c r="C30" s="23"/>
      <c r="D30" s="26"/>
      <c r="E30" s="28"/>
      <c r="F30" s="26"/>
      <c r="G30" s="28"/>
      <c r="H30" s="27"/>
      <c r="I30" s="29"/>
      <c r="J30" s="12"/>
      <c r="K30" s="9" t="s">
        <v>44</v>
      </c>
      <c r="L30" s="21">
        <v>7.9</v>
      </c>
      <c r="M30" s="23"/>
      <c r="N30" s="18">
        <v>11.4</v>
      </c>
      <c r="O30" s="23"/>
      <c r="P30" s="18">
        <v>14.9</v>
      </c>
      <c r="Q30" s="23"/>
    </row>
    <row r="31" spans="1:17" x14ac:dyDescent="0.25">
      <c r="A31" s="2" t="s">
        <v>29</v>
      </c>
      <c r="B31" s="15">
        <v>3.8</v>
      </c>
      <c r="C31" s="23"/>
      <c r="D31" s="26"/>
      <c r="E31" s="28"/>
      <c r="F31" s="26"/>
      <c r="G31" s="28"/>
      <c r="H31" s="27"/>
      <c r="I31" s="29"/>
      <c r="J31" s="12"/>
      <c r="K31" s="9" t="s">
        <v>45</v>
      </c>
      <c r="L31" s="21">
        <v>7.9</v>
      </c>
      <c r="M31" s="23"/>
      <c r="N31" s="18">
        <v>11.4</v>
      </c>
      <c r="O31" s="23"/>
      <c r="P31" s="18">
        <v>14.9</v>
      </c>
      <c r="Q31" s="23"/>
    </row>
    <row r="32" spans="1:17" x14ac:dyDescent="0.25">
      <c r="A32" s="2" t="s">
        <v>30</v>
      </c>
      <c r="B32" s="15">
        <v>3.3</v>
      </c>
      <c r="C32" s="23"/>
      <c r="D32" s="18">
        <v>6.5</v>
      </c>
      <c r="E32" s="23"/>
      <c r="F32" s="18">
        <v>3.4</v>
      </c>
      <c r="G32" s="23"/>
      <c r="H32" s="19">
        <v>6.6</v>
      </c>
      <c r="I32" s="24"/>
      <c r="J32" s="12"/>
      <c r="K32" s="9" t="s">
        <v>46</v>
      </c>
      <c r="L32" s="21">
        <v>7.9</v>
      </c>
      <c r="M32" s="23"/>
      <c r="N32" s="18">
        <v>11.4</v>
      </c>
      <c r="O32" s="23"/>
      <c r="P32" s="18">
        <v>14.9</v>
      </c>
      <c r="Q32" s="23"/>
    </row>
    <row r="33" spans="1:17" x14ac:dyDescent="0.25">
      <c r="A33" s="2" t="s">
        <v>31</v>
      </c>
      <c r="B33" s="15">
        <v>3.3</v>
      </c>
      <c r="C33" s="23"/>
      <c r="D33" s="18">
        <v>6.5</v>
      </c>
      <c r="E33" s="23"/>
      <c r="F33" s="18">
        <v>3.4</v>
      </c>
      <c r="G33" s="23"/>
      <c r="H33" s="19">
        <v>6.6</v>
      </c>
      <c r="I33" s="24"/>
      <c r="J33" s="12"/>
      <c r="K33" s="9" t="s">
        <v>47</v>
      </c>
      <c r="L33" s="21">
        <v>7.9</v>
      </c>
      <c r="M33" s="23"/>
      <c r="N33" s="18">
        <v>11.4</v>
      </c>
      <c r="O33" s="23"/>
      <c r="P33" s="18">
        <v>14.9</v>
      </c>
      <c r="Q33" s="23"/>
    </row>
    <row r="34" spans="1:17" x14ac:dyDescent="0.25">
      <c r="A34" s="1" t="s">
        <v>32</v>
      </c>
      <c r="B34" s="14"/>
      <c r="C34" s="23"/>
      <c r="D34" s="18"/>
      <c r="E34" s="23"/>
      <c r="F34" s="18"/>
      <c r="G34" s="23"/>
      <c r="H34" s="19"/>
      <c r="I34" s="24"/>
      <c r="J34" s="12"/>
      <c r="K34" s="9"/>
      <c r="L34" s="21"/>
      <c r="M34" s="5"/>
      <c r="N34" s="15"/>
      <c r="O34" s="5"/>
      <c r="P34" s="15"/>
      <c r="Q34" s="5"/>
    </row>
    <row r="35" spans="1:17" x14ac:dyDescent="0.25">
      <c r="A35" s="2" t="s">
        <v>33</v>
      </c>
      <c r="B35" s="15">
        <v>3.3</v>
      </c>
      <c r="C35" s="23"/>
      <c r="D35" s="18">
        <v>6.5</v>
      </c>
      <c r="E35" s="23"/>
      <c r="F35" s="18">
        <v>3.4</v>
      </c>
      <c r="G35" s="23"/>
      <c r="H35" s="19">
        <v>6.6</v>
      </c>
      <c r="I35" s="24"/>
      <c r="J35" s="12"/>
      <c r="K35" s="9"/>
      <c r="L35" s="21"/>
      <c r="M35" s="5"/>
      <c r="N35" s="15"/>
      <c r="O35" s="5"/>
      <c r="P35" s="15"/>
      <c r="Q35" s="5"/>
    </row>
    <row r="36" spans="1:17" x14ac:dyDescent="0.25">
      <c r="A36" s="2" t="s">
        <v>34</v>
      </c>
      <c r="B36" s="15">
        <v>3.3</v>
      </c>
      <c r="C36" s="23"/>
      <c r="D36" s="18">
        <v>6.5</v>
      </c>
      <c r="E36" s="23"/>
      <c r="F36" s="18">
        <v>3.4</v>
      </c>
      <c r="G36" s="23"/>
      <c r="H36" s="19">
        <v>6.6</v>
      </c>
      <c r="I36" s="24"/>
      <c r="J36" s="12"/>
      <c r="K36" s="9"/>
      <c r="L36" s="21"/>
      <c r="M36" s="5"/>
      <c r="N36" s="15"/>
      <c r="O36" s="5"/>
      <c r="P36" s="15"/>
      <c r="Q36" s="5"/>
    </row>
    <row r="37" spans="1:17" x14ac:dyDescent="0.25">
      <c r="A37" s="2" t="s">
        <v>35</v>
      </c>
      <c r="B37" s="15">
        <v>3.3</v>
      </c>
      <c r="C37" s="23"/>
      <c r="D37" s="18">
        <v>6.5</v>
      </c>
      <c r="E37" s="23"/>
      <c r="F37" s="18">
        <v>3.4</v>
      </c>
      <c r="G37" s="23"/>
      <c r="H37" s="19">
        <v>6.6</v>
      </c>
      <c r="I37" s="24"/>
      <c r="J37" s="12"/>
      <c r="K37" s="9"/>
      <c r="L37" s="21"/>
      <c r="M37" s="5"/>
      <c r="N37" s="15"/>
      <c r="O37" s="5"/>
      <c r="P37" s="15"/>
      <c r="Q37" s="5"/>
    </row>
    <row r="38" spans="1:17" x14ac:dyDescent="0.25">
      <c r="A38" s="2" t="s">
        <v>36</v>
      </c>
      <c r="B38" s="15">
        <v>3.3</v>
      </c>
      <c r="C38" s="23"/>
      <c r="D38" s="18">
        <v>6.5</v>
      </c>
      <c r="E38" s="23"/>
      <c r="F38" s="18">
        <v>3.4</v>
      </c>
      <c r="G38" s="23"/>
      <c r="H38" s="19">
        <v>6.6</v>
      </c>
      <c r="I38" s="24"/>
      <c r="J38" s="12"/>
      <c r="K38" s="9"/>
      <c r="L38" s="21"/>
      <c r="M38" s="5"/>
      <c r="N38" s="15"/>
      <c r="O38" s="5"/>
      <c r="P38" s="15"/>
      <c r="Q38" s="5"/>
    </row>
    <row r="39" spans="1:17" x14ac:dyDescent="0.25">
      <c r="A39" s="2" t="s">
        <v>37</v>
      </c>
      <c r="B39" s="15">
        <v>3.3</v>
      </c>
      <c r="C39" s="23"/>
      <c r="D39" s="18">
        <v>6.5</v>
      </c>
      <c r="E39" s="23"/>
      <c r="F39" s="18">
        <v>3.4</v>
      </c>
      <c r="G39" s="23"/>
      <c r="H39" s="19">
        <v>6.6</v>
      </c>
      <c r="I39" s="24"/>
      <c r="J39" s="12"/>
      <c r="K39" s="9"/>
      <c r="L39" s="21"/>
      <c r="M39" s="5"/>
      <c r="N39" s="15"/>
      <c r="O39" s="5"/>
      <c r="P39" s="15"/>
      <c r="Q39" s="5"/>
    </row>
    <row r="40" spans="1:17" x14ac:dyDescent="0.25">
      <c r="A40" s="2" t="s">
        <v>38</v>
      </c>
      <c r="B40" s="15">
        <v>3.3</v>
      </c>
      <c r="C40" s="23"/>
      <c r="D40" s="18">
        <v>6.5</v>
      </c>
      <c r="E40" s="23"/>
      <c r="F40" s="18">
        <v>3.4</v>
      </c>
      <c r="G40" s="23"/>
      <c r="H40" s="19">
        <v>6.6</v>
      </c>
      <c r="I40" s="24"/>
      <c r="J40" s="12"/>
      <c r="K40" s="9"/>
      <c r="L40" s="21"/>
      <c r="M40" s="5"/>
      <c r="N40" s="15"/>
      <c r="O40" s="5"/>
      <c r="P40" s="15"/>
      <c r="Q40" s="5"/>
    </row>
    <row r="41" spans="1:17" x14ac:dyDescent="0.25">
      <c r="A41" s="2" t="s">
        <v>39</v>
      </c>
      <c r="B41" s="15">
        <v>3.3</v>
      </c>
      <c r="C41" s="23"/>
      <c r="D41" s="18">
        <v>6.5</v>
      </c>
      <c r="E41" s="23"/>
      <c r="F41" s="18">
        <v>3.4</v>
      </c>
      <c r="G41" s="23"/>
      <c r="H41" s="19">
        <v>6.6</v>
      </c>
      <c r="I41" s="24"/>
      <c r="J41" s="12"/>
      <c r="K41" s="9"/>
      <c r="L41" s="21"/>
      <c r="M41" s="5"/>
      <c r="N41" s="15"/>
      <c r="O41" s="5"/>
      <c r="P41" s="15"/>
      <c r="Q41" s="5"/>
    </row>
    <row r="42" spans="1:17" x14ac:dyDescent="0.25">
      <c r="A42" s="2" t="s">
        <v>40</v>
      </c>
      <c r="B42" s="15">
        <v>3.3</v>
      </c>
      <c r="C42" s="23"/>
      <c r="D42" s="18">
        <v>6.5</v>
      </c>
      <c r="E42" s="23"/>
      <c r="F42" s="18">
        <v>3.4</v>
      </c>
      <c r="G42" s="23"/>
      <c r="H42" s="19">
        <v>6.6</v>
      </c>
      <c r="I42" s="24"/>
      <c r="J42" s="12"/>
      <c r="K42" s="9"/>
      <c r="L42" s="21"/>
      <c r="M42" s="5"/>
      <c r="N42" s="15"/>
      <c r="O42" s="5"/>
      <c r="P42" s="15"/>
      <c r="Q42" s="5"/>
    </row>
    <row r="43" spans="1:17" x14ac:dyDescent="0.25">
      <c r="A43" s="1" t="s">
        <v>41</v>
      </c>
      <c r="B43" s="14"/>
      <c r="C43" s="23"/>
      <c r="D43" s="18"/>
      <c r="E43" s="23"/>
      <c r="F43" s="18"/>
      <c r="G43" s="23"/>
      <c r="H43" s="19"/>
      <c r="I43" s="24"/>
      <c r="J43" s="12"/>
      <c r="K43" s="9"/>
      <c r="L43" s="21"/>
      <c r="M43" s="5"/>
      <c r="N43" s="15"/>
      <c r="O43" s="5"/>
      <c r="P43" s="15"/>
      <c r="Q43" s="5"/>
    </row>
    <row r="44" spans="1:17" x14ac:dyDescent="0.25">
      <c r="A44" s="2" t="s">
        <v>42</v>
      </c>
      <c r="B44" s="15">
        <v>3.4</v>
      </c>
      <c r="C44" s="23"/>
      <c r="D44" s="18">
        <v>6.6</v>
      </c>
      <c r="E44" s="23"/>
      <c r="F44" s="18">
        <v>3.5</v>
      </c>
      <c r="G44" s="23"/>
      <c r="H44" s="19">
        <v>6.7</v>
      </c>
      <c r="I44" s="24"/>
      <c r="J44" s="12"/>
      <c r="K44" s="9"/>
      <c r="L44" s="21"/>
      <c r="M44" s="5"/>
      <c r="N44" s="15"/>
      <c r="O44" s="5"/>
      <c r="P44" s="15"/>
      <c r="Q44" s="5"/>
    </row>
    <row r="45" spans="1:17" x14ac:dyDescent="0.25">
      <c r="A45" s="2" t="s">
        <v>43</v>
      </c>
      <c r="B45" s="15">
        <v>3.4</v>
      </c>
      <c r="C45" s="23"/>
      <c r="D45" s="18">
        <v>6.6</v>
      </c>
      <c r="E45" s="23"/>
      <c r="F45" s="18">
        <v>3.5</v>
      </c>
      <c r="G45" s="23"/>
      <c r="H45" s="19">
        <v>6.7</v>
      </c>
      <c r="I45" s="24"/>
      <c r="J45" s="12"/>
      <c r="K45" s="9"/>
      <c r="L45" s="21"/>
      <c r="M45" s="5"/>
      <c r="N45" s="15"/>
      <c r="O45" s="5"/>
      <c r="P45" s="15"/>
      <c r="Q45" s="5"/>
    </row>
    <row r="46" spans="1:17" x14ac:dyDescent="0.25">
      <c r="A46" s="2" t="s">
        <v>44</v>
      </c>
      <c r="B46" s="15">
        <v>3.4</v>
      </c>
      <c r="C46" s="23"/>
      <c r="D46" s="18">
        <v>6.6</v>
      </c>
      <c r="E46" s="23"/>
      <c r="F46" s="18">
        <v>3.5</v>
      </c>
      <c r="G46" s="23"/>
      <c r="H46" s="19">
        <v>6.7</v>
      </c>
      <c r="I46" s="24"/>
      <c r="J46" s="12"/>
      <c r="K46" s="9"/>
      <c r="L46" s="21"/>
      <c r="M46" s="5"/>
      <c r="N46" s="15"/>
      <c r="O46" s="5"/>
      <c r="P46" s="15"/>
      <c r="Q46" s="5"/>
    </row>
    <row r="47" spans="1:17" x14ac:dyDescent="0.25">
      <c r="A47" s="2" t="s">
        <v>45</v>
      </c>
      <c r="B47" s="15">
        <v>3.4</v>
      </c>
      <c r="C47" s="23"/>
      <c r="D47" s="18">
        <v>6.6</v>
      </c>
      <c r="E47" s="23"/>
      <c r="F47" s="18">
        <v>3.5</v>
      </c>
      <c r="G47" s="23"/>
      <c r="H47" s="19">
        <v>6.7</v>
      </c>
      <c r="I47" s="24"/>
      <c r="J47" s="12"/>
      <c r="K47" s="9"/>
      <c r="L47" s="21"/>
      <c r="M47" s="5"/>
      <c r="N47" s="15"/>
      <c r="O47" s="5"/>
      <c r="P47" s="15"/>
      <c r="Q47" s="5"/>
    </row>
    <row r="48" spans="1:17" x14ac:dyDescent="0.25">
      <c r="A48" s="2" t="s">
        <v>46</v>
      </c>
      <c r="B48" s="15">
        <v>3.4</v>
      </c>
      <c r="C48" s="23"/>
      <c r="D48" s="18">
        <v>6.6</v>
      </c>
      <c r="E48" s="23"/>
      <c r="F48" s="18">
        <v>3.5</v>
      </c>
      <c r="G48" s="23"/>
      <c r="H48" s="19">
        <v>6.7</v>
      </c>
      <c r="I48" s="24"/>
      <c r="J48" s="12"/>
      <c r="K48" s="9"/>
      <c r="L48" s="21"/>
      <c r="M48" s="5"/>
      <c r="N48" s="15"/>
      <c r="O48" s="5"/>
      <c r="P48" s="15"/>
      <c r="Q48" s="5"/>
    </row>
    <row r="49" spans="1:17" ht="15.75" thickBot="1" x14ac:dyDescent="0.3">
      <c r="A49" s="2" t="s">
        <v>47</v>
      </c>
      <c r="B49" s="15">
        <v>3.4</v>
      </c>
      <c r="C49" s="23"/>
      <c r="D49" s="18">
        <v>6.6</v>
      </c>
      <c r="E49" s="23"/>
      <c r="F49" s="18">
        <v>3.5</v>
      </c>
      <c r="G49" s="23"/>
      <c r="H49" s="19">
        <v>6.7</v>
      </c>
      <c r="I49" s="24"/>
      <c r="J49" s="13"/>
      <c r="K49" s="9"/>
      <c r="L49" s="21"/>
      <c r="M49" s="5"/>
      <c r="N49" s="15"/>
      <c r="O49" s="5"/>
      <c r="P49" s="15"/>
      <c r="Q49" s="5"/>
    </row>
  </sheetData>
  <mergeCells count="1">
    <mergeCell ref="B1:I1"/>
  </mergeCell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Q54"/>
  <sheetViews>
    <sheetView topLeftCell="A22" workbookViewId="0">
      <selection activeCell="C50" sqref="C50"/>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3</v>
      </c>
      <c r="C4" s="23">
        <f>PRIX!B4*A!B4</f>
        <v>6.1499999999999995</v>
      </c>
      <c r="D4" s="18">
        <v>2</v>
      </c>
      <c r="E4" s="23">
        <f>PRIX!D4*A!D4</f>
        <v>7.6</v>
      </c>
      <c r="F4" s="23">
        <f>PRIX!E4*A!E4</f>
        <v>0</v>
      </c>
      <c r="G4" s="23">
        <f>PRIX!F4*A!F4</f>
        <v>0</v>
      </c>
      <c r="H4" s="23">
        <f>PRIX!G4*A!G4</f>
        <v>0</v>
      </c>
      <c r="I4" s="23">
        <f>PRIX!H4*A!H4</f>
        <v>0</v>
      </c>
      <c r="J4" s="12"/>
      <c r="K4" s="9" t="s">
        <v>57</v>
      </c>
      <c r="L4" s="21"/>
      <c r="M4" s="23">
        <f>PRIX!L4*A!L4</f>
        <v>0</v>
      </c>
      <c r="N4" s="18"/>
      <c r="O4" s="23">
        <f>PRIX!N4*A!N4</f>
        <v>0</v>
      </c>
      <c r="P4" s="18"/>
      <c r="Q4" s="23">
        <f>PRIX!P4*A!P4</f>
        <v>0</v>
      </c>
    </row>
    <row r="5" spans="1:17" x14ac:dyDescent="0.25">
      <c r="A5" s="2" t="s">
        <v>2</v>
      </c>
      <c r="B5" s="15">
        <v>3</v>
      </c>
      <c r="C5" s="23">
        <f>PRIX!B5*A!B5</f>
        <v>6.1499999999999995</v>
      </c>
      <c r="D5" s="18">
        <v>2</v>
      </c>
      <c r="E5" s="23">
        <f>PRIX!D5*A!D5</f>
        <v>7.6</v>
      </c>
      <c r="F5" s="18">
        <f>PRIX!E5*A!E5</f>
        <v>0</v>
      </c>
      <c r="G5" s="23">
        <f>PRIX!F5*A!F5</f>
        <v>0</v>
      </c>
      <c r="H5" s="19">
        <f>PRIX!G5*A!G5</f>
        <v>0</v>
      </c>
      <c r="I5" s="23">
        <f>PRIX!H5*A!H5</f>
        <v>0</v>
      </c>
      <c r="J5" s="12"/>
      <c r="K5" s="9" t="s">
        <v>58</v>
      </c>
      <c r="L5" s="21"/>
      <c r="M5" s="23">
        <f>PRIX!L5*A!L5</f>
        <v>0</v>
      </c>
      <c r="N5" s="18">
        <v>2</v>
      </c>
      <c r="O5" s="23">
        <f>PRIX!N5*A!N5</f>
        <v>22.8</v>
      </c>
      <c r="P5" s="18">
        <v>1</v>
      </c>
      <c r="Q5" s="23">
        <f>PRIX!P5*A!P5</f>
        <v>14.9</v>
      </c>
    </row>
    <row r="6" spans="1:17" x14ac:dyDescent="0.25">
      <c r="A6" s="2" t="s">
        <v>3</v>
      </c>
      <c r="B6" s="15">
        <v>3</v>
      </c>
      <c r="C6" s="23">
        <f>PRIX!B6*A!B6</f>
        <v>7.9499999999999993</v>
      </c>
      <c r="D6" s="18">
        <v>2</v>
      </c>
      <c r="E6" s="23">
        <f>PRIX!D6*A!D6</f>
        <v>10.1</v>
      </c>
      <c r="F6" s="18">
        <f>PRIX!E6*A!E6</f>
        <v>0</v>
      </c>
      <c r="G6" s="23">
        <f>PRIX!F6*A!F6</f>
        <v>0</v>
      </c>
      <c r="H6" s="19">
        <f>PRIX!G6*A!G6</f>
        <v>0</v>
      </c>
      <c r="I6" s="23">
        <f>PRIX!H6*A!H6</f>
        <v>0</v>
      </c>
      <c r="J6" s="12"/>
      <c r="K6" s="7" t="s">
        <v>11</v>
      </c>
      <c r="L6" s="20"/>
      <c r="M6" s="23">
        <f>PRIX!L6*A!L6</f>
        <v>0</v>
      </c>
      <c r="N6" s="18"/>
      <c r="O6" s="23">
        <f>PRIX!N6*A!N6</f>
        <v>0</v>
      </c>
      <c r="P6" s="18"/>
      <c r="Q6" s="23">
        <f>PRIX!P6*A!P6</f>
        <v>0</v>
      </c>
    </row>
    <row r="7" spans="1:17" x14ac:dyDescent="0.25">
      <c r="A7" s="2" t="s">
        <v>4</v>
      </c>
      <c r="B7" s="15">
        <v>3</v>
      </c>
      <c r="C7" s="23">
        <f>PRIX!B7*A!B7</f>
        <v>7.9499999999999993</v>
      </c>
      <c r="D7" s="18">
        <v>2</v>
      </c>
      <c r="E7" s="23">
        <f>PRIX!D7*A!D7</f>
        <v>10.1</v>
      </c>
      <c r="F7" s="18">
        <f>PRIX!E7*A!E7</f>
        <v>0</v>
      </c>
      <c r="G7" s="23">
        <f>PRIX!F7*A!F7</f>
        <v>0</v>
      </c>
      <c r="H7" s="19">
        <f>PRIX!G7*A!G7</f>
        <v>0</v>
      </c>
      <c r="I7" s="23">
        <f>PRIX!H7*A!H7</f>
        <v>0</v>
      </c>
      <c r="J7" s="12"/>
      <c r="K7" s="9" t="s">
        <v>12</v>
      </c>
      <c r="L7" s="21"/>
      <c r="M7" s="23">
        <f>PRIX!L7*A!L7</f>
        <v>0</v>
      </c>
      <c r="N7" s="18">
        <v>4</v>
      </c>
      <c r="O7" s="23">
        <f>PRIX!N7*A!N7</f>
        <v>30</v>
      </c>
      <c r="P7" s="18">
        <v>2</v>
      </c>
      <c r="Q7" s="23">
        <f>PRIX!P7*A!P7</f>
        <v>21</v>
      </c>
    </row>
    <row r="8" spans="1:17" x14ac:dyDescent="0.25">
      <c r="A8" s="2" t="s">
        <v>5</v>
      </c>
      <c r="B8" s="15">
        <v>3</v>
      </c>
      <c r="C8" s="23">
        <f>PRIX!B8*A!B8</f>
        <v>6.3000000000000007</v>
      </c>
      <c r="D8" s="18">
        <v>2</v>
      </c>
      <c r="E8" s="23">
        <f>PRIX!D8*A!D8</f>
        <v>7.8</v>
      </c>
      <c r="F8" s="18">
        <f>PRIX!E8*A!E8</f>
        <v>0</v>
      </c>
      <c r="G8" s="23">
        <f>PRIX!F8*A!F8</f>
        <v>0</v>
      </c>
      <c r="H8" s="19">
        <f>PRIX!G8*A!G8</f>
        <v>0</v>
      </c>
      <c r="I8" s="23">
        <f>PRIX!H8*A!H8</f>
        <v>0</v>
      </c>
      <c r="J8" s="12"/>
      <c r="K8" s="9" t="s">
        <v>15</v>
      </c>
      <c r="L8" s="21"/>
      <c r="M8" s="23">
        <f>PRIX!L8*A!L8</f>
        <v>0</v>
      </c>
      <c r="N8" s="18">
        <v>6</v>
      </c>
      <c r="O8" s="23">
        <f>PRIX!N8*A!N8</f>
        <v>45</v>
      </c>
      <c r="P8" s="18"/>
      <c r="Q8" s="23">
        <f>PRIX!P8*A!P8</f>
        <v>0</v>
      </c>
    </row>
    <row r="9" spans="1:17" x14ac:dyDescent="0.25">
      <c r="A9" s="2" t="s">
        <v>6</v>
      </c>
      <c r="B9" s="15"/>
      <c r="C9" s="23">
        <f>PRIX!B9*A!B9</f>
        <v>0</v>
      </c>
      <c r="D9" s="18"/>
      <c r="E9" s="23">
        <f>PRIX!D9*A!D9</f>
        <v>0</v>
      </c>
      <c r="F9" s="18">
        <f>PRIX!E9*A!E9</f>
        <v>0</v>
      </c>
      <c r="G9" s="23">
        <f>PRIX!F9*A!F9</f>
        <v>0</v>
      </c>
      <c r="H9" s="19">
        <f>PRIX!G9*A!G9</f>
        <v>0</v>
      </c>
      <c r="I9" s="23">
        <f>PRIX!H9*A!H9</f>
        <v>0</v>
      </c>
      <c r="J9" s="12"/>
      <c r="K9" s="9" t="s">
        <v>59</v>
      </c>
      <c r="L9" s="30"/>
      <c r="M9" s="28"/>
      <c r="N9" s="18">
        <v>6</v>
      </c>
      <c r="O9" s="23">
        <f>PRIX!N9*A!N9</f>
        <v>47.400000000000006</v>
      </c>
      <c r="P9" s="26"/>
      <c r="Q9" s="28"/>
    </row>
    <row r="10" spans="1:17" x14ac:dyDescent="0.25">
      <c r="A10" s="2" t="s">
        <v>7</v>
      </c>
      <c r="B10" s="15">
        <v>3</v>
      </c>
      <c r="C10" s="23">
        <f>PRIX!B10*A!B10</f>
        <v>8.1000000000000014</v>
      </c>
      <c r="D10" s="18"/>
      <c r="E10" s="23">
        <f>PRIX!D10*A!D10</f>
        <v>0</v>
      </c>
      <c r="F10" s="18">
        <f>PRIX!E10*A!E10</f>
        <v>0</v>
      </c>
      <c r="G10" s="23">
        <f>PRIX!F10*A!F10</f>
        <v>0</v>
      </c>
      <c r="H10" s="19">
        <f>PRIX!G10*A!G10</f>
        <v>0</v>
      </c>
      <c r="I10" s="23">
        <f>PRIX!H10*A!H10</f>
        <v>0</v>
      </c>
      <c r="J10" s="12"/>
      <c r="K10" s="7" t="s">
        <v>60</v>
      </c>
      <c r="L10" s="20"/>
      <c r="M10" s="23">
        <f>PRIX!L10*A!L10</f>
        <v>0</v>
      </c>
      <c r="N10" s="18"/>
      <c r="O10" s="23">
        <f>PRIX!N10*A!N10</f>
        <v>0</v>
      </c>
      <c r="P10" s="18"/>
      <c r="Q10" s="23">
        <f>PRIX!P10*A!P10</f>
        <v>0</v>
      </c>
    </row>
    <row r="11" spans="1:17" x14ac:dyDescent="0.25">
      <c r="A11" s="2" t="s">
        <v>8</v>
      </c>
      <c r="B11" s="15">
        <v>3</v>
      </c>
      <c r="C11" s="23">
        <f>PRIX!B11*A!B11</f>
        <v>8.1000000000000014</v>
      </c>
      <c r="D11" s="18"/>
      <c r="E11" s="23">
        <f>PRIX!D11*A!D11</f>
        <v>0</v>
      </c>
      <c r="F11" s="18">
        <f>PRIX!E11*A!E11</f>
        <v>0</v>
      </c>
      <c r="G11" s="23">
        <f>PRIX!F11*A!F11</f>
        <v>0</v>
      </c>
      <c r="H11" s="19">
        <f>PRIX!G11*A!G11</f>
        <v>0</v>
      </c>
      <c r="I11" s="23">
        <f>PRIX!H11*A!H11</f>
        <v>0</v>
      </c>
      <c r="J11" s="12"/>
      <c r="K11" s="10" t="s">
        <v>21</v>
      </c>
      <c r="L11" s="22"/>
      <c r="M11" s="23">
        <f>PRIX!L11*A!L11</f>
        <v>0</v>
      </c>
      <c r="N11" s="18"/>
      <c r="O11" s="23">
        <f>PRIX!N11*A!N11</f>
        <v>0</v>
      </c>
      <c r="P11" s="18"/>
      <c r="Q11" s="23">
        <f>PRIX!P11*A!P11</f>
        <v>0</v>
      </c>
    </row>
    <row r="12" spans="1:17" x14ac:dyDescent="0.25">
      <c r="A12" s="2" t="s">
        <v>9</v>
      </c>
      <c r="B12" s="15">
        <v>3</v>
      </c>
      <c r="C12" s="23">
        <f>PRIX!B12*A!B12</f>
        <v>8.1000000000000014</v>
      </c>
      <c r="D12" s="18"/>
      <c r="E12" s="23">
        <f>PRIX!D12*A!D12</f>
        <v>0</v>
      </c>
      <c r="F12" s="26"/>
      <c r="G12" s="28"/>
      <c r="H12" s="27"/>
      <c r="I12" s="28"/>
      <c r="J12" s="12"/>
      <c r="K12" s="9" t="s">
        <v>61</v>
      </c>
      <c r="L12" s="21"/>
      <c r="M12" s="23">
        <f>PRIX!L12*A!L12</f>
        <v>0</v>
      </c>
      <c r="N12" s="18">
        <v>2</v>
      </c>
      <c r="O12" s="23">
        <f>PRIX!N12*A!N12</f>
        <v>21.8</v>
      </c>
      <c r="P12" s="18">
        <v>2</v>
      </c>
      <c r="Q12" s="23">
        <f>PRIX!P12*A!P12</f>
        <v>27.8</v>
      </c>
    </row>
    <row r="13" spans="1:17" x14ac:dyDescent="0.25">
      <c r="A13" s="2"/>
      <c r="B13" s="15"/>
      <c r="C13" s="23"/>
      <c r="D13" s="18"/>
      <c r="E13" s="23"/>
      <c r="F13" s="26"/>
      <c r="G13" s="28"/>
      <c r="H13" s="27"/>
      <c r="I13" s="28"/>
      <c r="J13" s="12"/>
      <c r="K13" s="9" t="s">
        <v>25</v>
      </c>
      <c r="L13" s="21"/>
      <c r="M13" s="23">
        <f>PRIX!L13*A!L13</f>
        <v>0</v>
      </c>
      <c r="N13" s="18">
        <v>4</v>
      </c>
      <c r="O13" s="23">
        <f>PRIX!N13*A!N13</f>
        <v>43.6</v>
      </c>
      <c r="P13" s="18"/>
      <c r="Q13" s="23">
        <f>PRIX!P13*A!P13</f>
        <v>0</v>
      </c>
    </row>
    <row r="14" spans="1:17" x14ac:dyDescent="0.25">
      <c r="A14" s="1" t="s">
        <v>11</v>
      </c>
      <c r="B14" s="14"/>
      <c r="C14" s="23">
        <f>PRIX!B13*A!B14</f>
        <v>0</v>
      </c>
      <c r="D14" s="18"/>
      <c r="E14" s="23">
        <f>PRIX!D13*A!D14</f>
        <v>0</v>
      </c>
      <c r="F14" s="18">
        <f>PRIX!E13*A!E14</f>
        <v>0</v>
      </c>
      <c r="G14" s="23">
        <f>PRIX!F13*A!F14</f>
        <v>0</v>
      </c>
      <c r="H14" s="19">
        <f>PRIX!G13*A!G14</f>
        <v>0</v>
      </c>
      <c r="I14" s="23">
        <f>PRIX!H13*A!H14</f>
        <v>0</v>
      </c>
      <c r="J14" s="12"/>
      <c r="K14" s="9" t="s">
        <v>62</v>
      </c>
      <c r="L14" s="21"/>
      <c r="M14" s="23">
        <f>PRIX!L14*A!L14</f>
        <v>0</v>
      </c>
      <c r="N14" s="18"/>
      <c r="O14" s="23">
        <f>PRIX!N14*A!N14</f>
        <v>0</v>
      </c>
      <c r="P14" s="18"/>
      <c r="Q14" s="23">
        <f>PRIX!P14*A!P14</f>
        <v>0</v>
      </c>
    </row>
    <row r="15" spans="1:17" x14ac:dyDescent="0.25">
      <c r="A15" s="2" t="s">
        <v>12</v>
      </c>
      <c r="B15" s="15">
        <v>4</v>
      </c>
      <c r="C15" s="23">
        <f>PRIX!B14*A!B15</f>
        <v>10.8</v>
      </c>
      <c r="D15" s="18"/>
      <c r="E15" s="23">
        <f>PRIX!D14*A!D15</f>
        <v>0</v>
      </c>
      <c r="F15" s="26"/>
      <c r="G15" s="28"/>
      <c r="H15" s="27"/>
      <c r="I15" s="28"/>
      <c r="J15" s="12"/>
      <c r="K15" s="9" t="s">
        <v>26</v>
      </c>
      <c r="L15" s="21"/>
      <c r="M15" s="23">
        <f>PRIX!L15*A!L15</f>
        <v>0</v>
      </c>
      <c r="N15" s="18">
        <v>5</v>
      </c>
      <c r="O15" s="23">
        <f>PRIX!N15*A!N15</f>
        <v>54.5</v>
      </c>
      <c r="P15" s="18"/>
      <c r="Q15" s="23">
        <f>PRIX!P15*A!P15</f>
        <v>0</v>
      </c>
    </row>
    <row r="16" spans="1:17" x14ac:dyDescent="0.25">
      <c r="A16" s="2" t="s">
        <v>13</v>
      </c>
      <c r="B16" s="15">
        <v>4</v>
      </c>
      <c r="C16" s="23">
        <f>PRIX!B15*A!B16</f>
        <v>11.6</v>
      </c>
      <c r="D16" s="18"/>
      <c r="E16" s="23">
        <f>PRIX!D15*A!D16</f>
        <v>0</v>
      </c>
      <c r="F16" s="26"/>
      <c r="G16" s="28"/>
      <c r="H16" s="27"/>
      <c r="I16" s="28"/>
      <c r="J16" s="12"/>
      <c r="K16" s="9" t="s">
        <v>27</v>
      </c>
      <c r="L16" s="21"/>
      <c r="M16" s="23">
        <f>PRIX!L16*A!L16</f>
        <v>0</v>
      </c>
      <c r="N16" s="18">
        <v>4</v>
      </c>
      <c r="O16" s="23">
        <f>PRIX!N16*A!N16</f>
        <v>43.6</v>
      </c>
      <c r="P16" s="18">
        <v>1</v>
      </c>
      <c r="Q16" s="23">
        <f>PRIX!P16*A!P16</f>
        <v>13.9</v>
      </c>
    </row>
    <row r="17" spans="1:17" x14ac:dyDescent="0.25">
      <c r="A17" s="2" t="s">
        <v>14</v>
      </c>
      <c r="B17" s="15">
        <v>2</v>
      </c>
      <c r="C17" s="23">
        <f>PRIX!B16*A!B17</f>
        <v>5.8</v>
      </c>
      <c r="D17" s="26"/>
      <c r="E17" s="28"/>
      <c r="F17" s="26"/>
      <c r="G17" s="28"/>
      <c r="H17" s="27"/>
      <c r="I17" s="28"/>
      <c r="J17" s="12"/>
      <c r="K17" s="9" t="s">
        <v>28</v>
      </c>
      <c r="L17" s="21"/>
      <c r="M17" s="23">
        <f>PRIX!L17*A!L17</f>
        <v>0</v>
      </c>
      <c r="N17" s="18">
        <v>2</v>
      </c>
      <c r="O17" s="23">
        <f>PRIX!N17*A!N17</f>
        <v>21.8</v>
      </c>
      <c r="P17" s="18">
        <v>1</v>
      </c>
      <c r="Q17" s="23">
        <f>PRIX!P17*A!P17</f>
        <v>13.9</v>
      </c>
    </row>
    <row r="18" spans="1:17" x14ac:dyDescent="0.25">
      <c r="A18" s="2" t="s">
        <v>15</v>
      </c>
      <c r="B18" s="15">
        <v>10</v>
      </c>
      <c r="C18" s="23">
        <f>PRIX!B17*A!B18</f>
        <v>22</v>
      </c>
      <c r="D18" s="18">
        <v>6</v>
      </c>
      <c r="E18" s="23">
        <f>PRIX!D17*A!D18</f>
        <v>26.400000000000002</v>
      </c>
      <c r="F18" s="18">
        <f>PRIX!E17*A!E18</f>
        <v>0</v>
      </c>
      <c r="G18" s="23">
        <f>PRIX!F17*A!F18</f>
        <v>0</v>
      </c>
      <c r="H18" s="19">
        <f>PRIX!G17*A!G18</f>
        <v>0</v>
      </c>
      <c r="I18" s="23">
        <f>PRIX!H17*A!H18</f>
        <v>0</v>
      </c>
      <c r="J18" s="12"/>
      <c r="K18" s="9" t="s">
        <v>29</v>
      </c>
      <c r="L18" s="21"/>
      <c r="M18" s="23">
        <f>PRIX!L18*A!L18</f>
        <v>0</v>
      </c>
      <c r="N18" s="18"/>
      <c r="O18" s="23">
        <f>PRIX!N18*A!N18</f>
        <v>0</v>
      </c>
      <c r="P18" s="18"/>
      <c r="Q18" s="23">
        <f>PRIX!P18*A!P18</f>
        <v>0</v>
      </c>
    </row>
    <row r="19" spans="1:17" x14ac:dyDescent="0.25">
      <c r="A19" s="2" t="s">
        <v>16</v>
      </c>
      <c r="B19" s="15">
        <v>4</v>
      </c>
      <c r="C19" s="23">
        <f>PRIX!B18*A!B19</f>
        <v>8.8000000000000007</v>
      </c>
      <c r="D19" s="18">
        <v>2</v>
      </c>
      <c r="E19" s="23">
        <f>PRIX!D18*A!D19</f>
        <v>8.8000000000000007</v>
      </c>
      <c r="F19" s="18">
        <f>PRIX!E18*A!E19</f>
        <v>0</v>
      </c>
      <c r="G19" s="23">
        <f>PRIX!F18*A!F19</f>
        <v>0</v>
      </c>
      <c r="H19" s="19">
        <f>PRIX!G18*A!G19</f>
        <v>0</v>
      </c>
      <c r="I19" s="23">
        <f>PRIX!H18*A!H19</f>
        <v>0</v>
      </c>
      <c r="J19" s="12"/>
      <c r="K19" s="9" t="s">
        <v>30</v>
      </c>
      <c r="L19" s="21"/>
      <c r="M19" s="23">
        <f>PRIX!L19*A!L19</f>
        <v>0</v>
      </c>
      <c r="N19" s="18">
        <v>2</v>
      </c>
      <c r="O19" s="23">
        <f>PRIX!N19*A!N19</f>
        <v>21.8</v>
      </c>
      <c r="P19" s="18">
        <v>1</v>
      </c>
      <c r="Q19" s="23">
        <f>PRIX!P19*A!P19</f>
        <v>13.9</v>
      </c>
    </row>
    <row r="20" spans="1:17" x14ac:dyDescent="0.25">
      <c r="A20" s="2" t="s">
        <v>17</v>
      </c>
      <c r="B20" s="15"/>
      <c r="C20" s="23">
        <f>PRIX!B19*A!B20</f>
        <v>0</v>
      </c>
      <c r="D20" s="18"/>
      <c r="E20" s="23">
        <f>PRIX!D19*A!D20</f>
        <v>0</v>
      </c>
      <c r="F20" s="18">
        <f>PRIX!E19*A!E20</f>
        <v>0</v>
      </c>
      <c r="G20" s="23">
        <f>PRIX!F19*A!F20</f>
        <v>0</v>
      </c>
      <c r="H20" s="19">
        <f>PRIX!G19*A!G20</f>
        <v>0</v>
      </c>
      <c r="I20" s="23">
        <f>PRIX!H19*A!H20</f>
        <v>0</v>
      </c>
      <c r="J20" s="12"/>
      <c r="K20" s="9" t="s">
        <v>31</v>
      </c>
      <c r="L20" s="21"/>
      <c r="M20" s="23">
        <f>PRIX!L20*A!L20</f>
        <v>0</v>
      </c>
      <c r="N20" s="18">
        <v>2</v>
      </c>
      <c r="O20" s="23">
        <f>PRIX!N20*A!N20</f>
        <v>21.8</v>
      </c>
      <c r="P20" s="18">
        <v>1</v>
      </c>
      <c r="Q20" s="23">
        <f>PRIX!P20*A!P20</f>
        <v>13.9</v>
      </c>
    </row>
    <row r="21" spans="1:17" x14ac:dyDescent="0.25">
      <c r="A21" s="2" t="s">
        <v>18</v>
      </c>
      <c r="B21" s="15"/>
      <c r="C21" s="23">
        <f>PRIX!B20*A!B21</f>
        <v>0</v>
      </c>
      <c r="D21" s="18"/>
      <c r="E21" s="23">
        <f>PRIX!D20*A!D21</f>
        <v>0</v>
      </c>
      <c r="F21" s="26"/>
      <c r="G21" s="28"/>
      <c r="H21" s="27"/>
      <c r="I21" s="28"/>
      <c r="J21" s="12"/>
      <c r="K21" s="7" t="s">
        <v>32</v>
      </c>
      <c r="L21" s="20"/>
      <c r="M21" s="23">
        <f>PRIX!L21*A!L21</f>
        <v>0</v>
      </c>
      <c r="N21" s="18"/>
      <c r="O21" s="23">
        <f>PRIX!N21*A!N21</f>
        <v>0</v>
      </c>
      <c r="P21" s="18"/>
      <c r="Q21" s="23">
        <f>PRIX!P21*A!P21</f>
        <v>0</v>
      </c>
    </row>
    <row r="22" spans="1:17" x14ac:dyDescent="0.25">
      <c r="A22" s="2" t="s">
        <v>19</v>
      </c>
      <c r="B22" s="15"/>
      <c r="C22" s="23">
        <f>PRIX!B21*A!B22</f>
        <v>0</v>
      </c>
      <c r="D22" s="18"/>
      <c r="E22" s="23">
        <f>PRIX!D21*A!D22</f>
        <v>0</v>
      </c>
      <c r="F22" s="26"/>
      <c r="G22" s="28"/>
      <c r="H22" s="27"/>
      <c r="I22" s="28"/>
      <c r="J22" s="12"/>
      <c r="K22" s="9" t="s">
        <v>33</v>
      </c>
      <c r="L22" s="21">
        <v>1</v>
      </c>
      <c r="M22" s="23">
        <f>PRIX!L22*A!L22</f>
        <v>7.9</v>
      </c>
      <c r="N22" s="18">
        <v>2</v>
      </c>
      <c r="O22" s="23">
        <f>PRIX!N22*A!N22</f>
        <v>22.8</v>
      </c>
      <c r="P22" s="18">
        <v>1</v>
      </c>
      <c r="Q22" s="23">
        <f>PRIX!P22*A!P22</f>
        <v>14.9</v>
      </c>
    </row>
    <row r="23" spans="1:17" x14ac:dyDescent="0.25">
      <c r="A23" s="5" t="s">
        <v>20</v>
      </c>
      <c r="B23" s="16"/>
      <c r="C23" s="23">
        <f>PRIX!B22*A!B23</f>
        <v>0</v>
      </c>
      <c r="D23" s="18"/>
      <c r="E23" s="23">
        <f>PRIX!D22*A!D23</f>
        <v>0</v>
      </c>
      <c r="F23" s="18">
        <f>PRIX!E22*A!E23</f>
        <v>0</v>
      </c>
      <c r="G23" s="23">
        <f>PRIX!F22*A!F23</f>
        <v>0</v>
      </c>
      <c r="H23" s="19">
        <f>PRIX!G22*A!G23</f>
        <v>0</v>
      </c>
      <c r="I23" s="23">
        <f>PRIX!H22*A!H23</f>
        <v>0</v>
      </c>
      <c r="J23" s="12"/>
      <c r="K23" s="9" t="s">
        <v>34</v>
      </c>
      <c r="L23" s="21">
        <v>1</v>
      </c>
      <c r="M23" s="23">
        <f>PRIX!L23*A!L23</f>
        <v>7.9</v>
      </c>
      <c r="N23" s="18">
        <v>2</v>
      </c>
      <c r="O23" s="23">
        <f>PRIX!N23*A!N23</f>
        <v>22.8</v>
      </c>
      <c r="P23" s="18">
        <v>1</v>
      </c>
      <c r="Q23" s="23">
        <f>PRIX!P23*A!P23</f>
        <v>14.9</v>
      </c>
    </row>
    <row r="24" spans="1:17" x14ac:dyDescent="0.25">
      <c r="A24" s="4" t="s">
        <v>21</v>
      </c>
      <c r="B24" s="17"/>
      <c r="C24" s="23">
        <f>PRIX!B23*A!B24</f>
        <v>0</v>
      </c>
      <c r="D24" s="18"/>
      <c r="E24" s="23">
        <f>PRIX!D23*A!D24</f>
        <v>0</v>
      </c>
      <c r="F24" s="18">
        <f>PRIX!E23*A!E24</f>
        <v>0</v>
      </c>
      <c r="G24" s="23">
        <f>PRIX!F23*A!F24</f>
        <v>0</v>
      </c>
      <c r="H24" s="19">
        <f>PRIX!G23*A!G24</f>
        <v>0</v>
      </c>
      <c r="I24" s="23">
        <f>PRIX!H23*A!H24</f>
        <v>0</v>
      </c>
      <c r="J24" s="12"/>
      <c r="K24" s="9" t="s">
        <v>35</v>
      </c>
      <c r="L24" s="21"/>
      <c r="M24" s="23">
        <f>PRIX!L24*A!L24</f>
        <v>0</v>
      </c>
      <c r="N24" s="18"/>
      <c r="O24" s="23">
        <f>PRIX!N24*A!N24</f>
        <v>0</v>
      </c>
      <c r="P24" s="18"/>
      <c r="Q24" s="23">
        <f>PRIX!P24*A!P24</f>
        <v>0</v>
      </c>
    </row>
    <row r="25" spans="1:17" x14ac:dyDescent="0.25">
      <c r="A25" s="2" t="s">
        <v>22</v>
      </c>
      <c r="B25" s="15">
        <v>4</v>
      </c>
      <c r="C25" s="23">
        <f>PRIX!B24*A!B25</f>
        <v>13.2</v>
      </c>
      <c r="D25" s="18">
        <v>2</v>
      </c>
      <c r="E25" s="23">
        <f>PRIX!D24*A!D25</f>
        <v>13</v>
      </c>
      <c r="F25" s="26"/>
      <c r="G25" s="28"/>
      <c r="H25" s="27"/>
      <c r="I25" s="28"/>
      <c r="J25" s="12"/>
      <c r="K25" s="9" t="s">
        <v>36</v>
      </c>
      <c r="L25" s="21">
        <v>1</v>
      </c>
      <c r="M25" s="23">
        <f>PRIX!L25*A!L25</f>
        <v>7.9</v>
      </c>
      <c r="N25" s="18">
        <v>2</v>
      </c>
      <c r="O25" s="23">
        <f>PRIX!N25*A!N25</f>
        <v>22.8</v>
      </c>
      <c r="P25" s="18">
        <v>1</v>
      </c>
      <c r="Q25" s="23">
        <f>PRIX!P25*A!P25</f>
        <v>14.9</v>
      </c>
    </row>
    <row r="26" spans="1:17" x14ac:dyDescent="0.25">
      <c r="A26" s="2" t="s">
        <v>23</v>
      </c>
      <c r="B26" s="15"/>
      <c r="C26" s="23">
        <f>PRIX!B25*A!B26</f>
        <v>0</v>
      </c>
      <c r="D26" s="18"/>
      <c r="E26" s="23">
        <f>PRIX!D25*A!D26</f>
        <v>0</v>
      </c>
      <c r="F26" s="26"/>
      <c r="G26" s="28"/>
      <c r="H26" s="27"/>
      <c r="I26" s="28"/>
      <c r="J26" s="12"/>
      <c r="K26" s="9" t="s">
        <v>37</v>
      </c>
      <c r="L26" s="21"/>
      <c r="M26" s="23">
        <f>PRIX!L26*A!L26</f>
        <v>0</v>
      </c>
      <c r="N26" s="18"/>
      <c r="O26" s="23">
        <f>PRIX!N26*A!N26</f>
        <v>0</v>
      </c>
      <c r="P26" s="18"/>
      <c r="Q26" s="23">
        <f>PRIX!P26*A!P26</f>
        <v>0</v>
      </c>
    </row>
    <row r="27" spans="1:17" x14ac:dyDescent="0.25">
      <c r="A27" s="2" t="s">
        <v>24</v>
      </c>
      <c r="B27" s="15">
        <v>4</v>
      </c>
      <c r="C27" s="23">
        <f>PRIX!B26*A!B27</f>
        <v>13.2</v>
      </c>
      <c r="D27" s="18"/>
      <c r="E27" s="23">
        <f>PRIX!D26*A!D27</f>
        <v>0</v>
      </c>
      <c r="F27" s="26"/>
      <c r="G27" s="28"/>
      <c r="H27" s="27"/>
      <c r="I27" s="28"/>
      <c r="J27" s="12"/>
      <c r="K27" s="7" t="s">
        <v>41</v>
      </c>
      <c r="L27" s="20"/>
      <c r="M27" s="23">
        <f>PRIX!L27*A!L27</f>
        <v>0</v>
      </c>
      <c r="N27" s="18"/>
      <c r="O27" s="23">
        <f>PRIX!N27*A!N27</f>
        <v>0</v>
      </c>
      <c r="P27" s="18"/>
      <c r="Q27" s="23">
        <f>PRIX!P27*A!P27</f>
        <v>0</v>
      </c>
    </row>
    <row r="28" spans="1:17" x14ac:dyDescent="0.25">
      <c r="A28" s="2" t="s">
        <v>25</v>
      </c>
      <c r="B28" s="15">
        <v>4</v>
      </c>
      <c r="C28" s="23">
        <f>PRIX!B27*A!B28</f>
        <v>12</v>
      </c>
      <c r="D28" s="18"/>
      <c r="E28" s="23">
        <f>PRIX!D27*A!D28</f>
        <v>0</v>
      </c>
      <c r="F28" s="26"/>
      <c r="G28" s="28"/>
      <c r="H28" s="27"/>
      <c r="I28" s="28"/>
      <c r="J28" s="12"/>
      <c r="K28" s="9" t="s">
        <v>42</v>
      </c>
      <c r="L28" s="21">
        <v>1</v>
      </c>
      <c r="M28" s="23">
        <f>PRIX!L28*A!L28</f>
        <v>7.9</v>
      </c>
      <c r="N28" s="18">
        <v>2</v>
      </c>
      <c r="O28" s="23">
        <f>PRIX!N28*A!N28</f>
        <v>22.8</v>
      </c>
      <c r="P28" s="18">
        <v>1</v>
      </c>
      <c r="Q28" s="23">
        <f>PRIX!P28*A!P28</f>
        <v>14.9</v>
      </c>
    </row>
    <row r="29" spans="1:17" x14ac:dyDescent="0.25">
      <c r="A29" s="2" t="s">
        <v>26</v>
      </c>
      <c r="B29" s="15">
        <v>4</v>
      </c>
      <c r="C29" s="23">
        <f>PRIX!B28*A!B29</f>
        <v>13.2</v>
      </c>
      <c r="D29" s="18"/>
      <c r="E29" s="23">
        <f>PRIX!D28*A!D29</f>
        <v>0</v>
      </c>
      <c r="F29" s="26"/>
      <c r="G29" s="28"/>
      <c r="H29" s="27"/>
      <c r="I29" s="28"/>
      <c r="J29" s="12"/>
      <c r="K29" s="9" t="s">
        <v>43</v>
      </c>
      <c r="L29" s="21">
        <v>1</v>
      </c>
      <c r="M29" s="23">
        <f>PRIX!L29*A!L29</f>
        <v>7.9</v>
      </c>
      <c r="N29" s="18">
        <v>2</v>
      </c>
      <c r="O29" s="23">
        <f>PRIX!N29*A!N29</f>
        <v>22.8</v>
      </c>
      <c r="P29" s="18">
        <v>1</v>
      </c>
      <c r="Q29" s="23">
        <f>PRIX!P29*A!P29</f>
        <v>14.9</v>
      </c>
    </row>
    <row r="30" spans="1:17" x14ac:dyDescent="0.25">
      <c r="A30" s="2" t="s">
        <v>27</v>
      </c>
      <c r="B30" s="15">
        <v>4</v>
      </c>
      <c r="C30" s="23">
        <f>PRIX!B29*A!B30</f>
        <v>12</v>
      </c>
      <c r="D30" s="18"/>
      <c r="E30" s="23">
        <f>PRIX!D29*A!D30</f>
        <v>0</v>
      </c>
      <c r="F30" s="26"/>
      <c r="G30" s="28"/>
      <c r="H30" s="27"/>
      <c r="I30" s="28"/>
      <c r="J30" s="12"/>
      <c r="K30" s="9" t="s">
        <v>44</v>
      </c>
      <c r="L30" s="21">
        <v>1</v>
      </c>
      <c r="M30" s="23">
        <f>PRIX!L30*A!L30</f>
        <v>7.9</v>
      </c>
      <c r="N30" s="18">
        <v>2</v>
      </c>
      <c r="O30" s="23">
        <f>PRIX!N30*A!N30</f>
        <v>22.8</v>
      </c>
      <c r="P30" s="18">
        <v>1</v>
      </c>
      <c r="Q30" s="23">
        <f>PRIX!P30*A!P30</f>
        <v>14.9</v>
      </c>
    </row>
    <row r="31" spans="1:17" x14ac:dyDescent="0.25">
      <c r="A31" s="2" t="s">
        <v>28</v>
      </c>
      <c r="B31" s="15">
        <v>4</v>
      </c>
      <c r="C31" s="23">
        <f>PRIX!B30*A!B31</f>
        <v>10.8</v>
      </c>
      <c r="D31" s="26"/>
      <c r="E31" s="28"/>
      <c r="F31" s="26"/>
      <c r="G31" s="28"/>
      <c r="H31" s="27"/>
      <c r="I31" s="28"/>
      <c r="J31" s="12"/>
      <c r="K31" s="9" t="s">
        <v>45</v>
      </c>
      <c r="L31" s="21"/>
      <c r="M31" s="23">
        <f>PRIX!L31*A!L31</f>
        <v>0</v>
      </c>
      <c r="N31" s="18"/>
      <c r="O31" s="23">
        <f>PRIX!N31*A!N31</f>
        <v>0</v>
      </c>
      <c r="P31" s="18"/>
      <c r="Q31" s="23">
        <f>PRIX!P31*A!P31</f>
        <v>0</v>
      </c>
    </row>
    <row r="32" spans="1:17" x14ac:dyDescent="0.25">
      <c r="A32" s="2" t="s">
        <v>29</v>
      </c>
      <c r="B32" s="15"/>
      <c r="C32" s="23">
        <f>PRIX!B31*A!B32</f>
        <v>0</v>
      </c>
      <c r="D32" s="26"/>
      <c r="E32" s="28"/>
      <c r="F32" s="26"/>
      <c r="G32" s="28"/>
      <c r="H32" s="27"/>
      <c r="I32" s="28"/>
      <c r="J32" s="12"/>
      <c r="K32" s="9" t="s">
        <v>46</v>
      </c>
      <c r="L32" s="21"/>
      <c r="M32" s="23">
        <f>PRIX!L32*A!L32</f>
        <v>0</v>
      </c>
      <c r="N32" s="18"/>
      <c r="O32" s="23">
        <f>PRIX!N32*A!N32</f>
        <v>0</v>
      </c>
      <c r="P32" s="18"/>
      <c r="Q32" s="23">
        <f>PRIX!P32*A!P32</f>
        <v>0</v>
      </c>
    </row>
    <row r="33" spans="1:17" x14ac:dyDescent="0.25">
      <c r="A33" s="2" t="s">
        <v>30</v>
      </c>
      <c r="B33" s="15">
        <v>2</v>
      </c>
      <c r="C33" s="23">
        <f>PRIX!B32*A!B33</f>
        <v>6.6</v>
      </c>
      <c r="D33" s="18"/>
      <c r="E33" s="23">
        <f>PRIX!D32*A!D33</f>
        <v>0</v>
      </c>
      <c r="F33" s="18">
        <f>PRIX!E32*A!E33</f>
        <v>0</v>
      </c>
      <c r="G33" s="23">
        <f>PRIX!F32*A!F33</f>
        <v>0</v>
      </c>
      <c r="H33" s="19">
        <f>PRIX!G32*A!G33</f>
        <v>0</v>
      </c>
      <c r="I33" s="23">
        <f>PRIX!H32*A!H33</f>
        <v>0</v>
      </c>
      <c r="J33" s="12"/>
      <c r="K33" s="9" t="s">
        <v>47</v>
      </c>
      <c r="L33" s="21">
        <v>1</v>
      </c>
      <c r="M33" s="23">
        <f>PRIX!L33*A!L33</f>
        <v>7.9</v>
      </c>
      <c r="N33" s="18">
        <v>1</v>
      </c>
      <c r="O33" s="23">
        <f>PRIX!N33*A!N33</f>
        <v>11.4</v>
      </c>
      <c r="P33" s="18">
        <v>1</v>
      </c>
      <c r="Q33" s="23">
        <f>PRIX!P33*A!P33</f>
        <v>14.9</v>
      </c>
    </row>
    <row r="34" spans="1:17" x14ac:dyDescent="0.25">
      <c r="A34" s="2" t="s">
        <v>31</v>
      </c>
      <c r="B34" s="15">
        <v>2</v>
      </c>
      <c r="C34" s="23">
        <f>PRIX!B33*A!B34</f>
        <v>6.6</v>
      </c>
      <c r="D34" s="18"/>
      <c r="E34" s="23">
        <f>PRIX!D33*A!D34</f>
        <v>0</v>
      </c>
      <c r="F34" s="18">
        <f>PRIX!E33*A!E34</f>
        <v>0</v>
      </c>
      <c r="G34" s="23">
        <f>PRIX!F33*A!F34</f>
        <v>0</v>
      </c>
      <c r="H34" s="19">
        <f>PRIX!G33*A!G34</f>
        <v>0</v>
      </c>
      <c r="I34" s="23">
        <f>PRIX!H33*A!H34</f>
        <v>0</v>
      </c>
      <c r="J34" s="12"/>
      <c r="K34" s="9"/>
      <c r="L34" s="21"/>
      <c r="M34" s="23">
        <f>PRIX!L34*A!L34</f>
        <v>0</v>
      </c>
      <c r="N34" s="15"/>
      <c r="O34" s="23">
        <f>PRIX!N34*A!N34</f>
        <v>0</v>
      </c>
      <c r="P34" s="18"/>
      <c r="Q34" s="23">
        <f>PRIX!P34*A!P34</f>
        <v>0</v>
      </c>
    </row>
    <row r="35" spans="1:17" x14ac:dyDescent="0.25">
      <c r="A35" s="1" t="s">
        <v>32</v>
      </c>
      <c r="B35" s="14"/>
      <c r="C35" s="23">
        <f>PRIX!B34*A!B35</f>
        <v>0</v>
      </c>
      <c r="D35" s="18"/>
      <c r="E35" s="23">
        <f>PRIX!D34*A!D35</f>
        <v>0</v>
      </c>
      <c r="F35" s="18">
        <f>PRIX!E34*A!E35</f>
        <v>0</v>
      </c>
      <c r="G35" s="23">
        <f>PRIX!F34*A!F35</f>
        <v>0</v>
      </c>
      <c r="H35" s="19">
        <f>PRIX!G34*A!G35</f>
        <v>0</v>
      </c>
      <c r="I35" s="23">
        <f>PRIX!H34*A!H35</f>
        <v>0</v>
      </c>
      <c r="J35" s="12"/>
      <c r="K35" s="9"/>
      <c r="L35" s="21"/>
      <c r="M35" s="23">
        <f>PRIX!L35*A!L35</f>
        <v>0</v>
      </c>
      <c r="N35" s="15"/>
      <c r="O35" s="23">
        <f>PRIX!N35*A!N35</f>
        <v>0</v>
      </c>
      <c r="P35" s="18"/>
      <c r="Q35" s="23">
        <f>PRIX!P35*A!P35</f>
        <v>0</v>
      </c>
    </row>
    <row r="36" spans="1:17" x14ac:dyDescent="0.25">
      <c r="A36" s="2" t="s">
        <v>33</v>
      </c>
      <c r="B36" s="15">
        <v>3</v>
      </c>
      <c r="C36" s="23">
        <f>PRIX!B35*A!B36</f>
        <v>9.8999999999999986</v>
      </c>
      <c r="D36" s="18">
        <v>2</v>
      </c>
      <c r="E36" s="23">
        <f>PRIX!D35*A!D36</f>
        <v>13</v>
      </c>
      <c r="F36" s="18">
        <f>PRIX!E35*A!E36</f>
        <v>0</v>
      </c>
      <c r="G36" s="23">
        <f>PRIX!F35*A!F36</f>
        <v>0</v>
      </c>
      <c r="H36" s="19">
        <f>PRIX!G35*A!G36</f>
        <v>0</v>
      </c>
      <c r="I36" s="23">
        <f>PRIX!H35*A!H36</f>
        <v>0</v>
      </c>
      <c r="J36" s="12"/>
      <c r="K36" s="9"/>
      <c r="L36" s="21"/>
      <c r="M36" s="23">
        <f>PRIX!L36*A!L36</f>
        <v>0</v>
      </c>
      <c r="N36" s="15"/>
      <c r="O36" s="23">
        <f>PRIX!N36*A!N36</f>
        <v>0</v>
      </c>
      <c r="P36" s="18"/>
      <c r="Q36" s="23">
        <f>PRIX!P36*A!P36</f>
        <v>0</v>
      </c>
    </row>
    <row r="37" spans="1:17" x14ac:dyDescent="0.25">
      <c r="A37" s="2" t="s">
        <v>34</v>
      </c>
      <c r="B37" s="15">
        <v>3</v>
      </c>
      <c r="C37" s="23">
        <f>PRIX!B36*A!B37</f>
        <v>9.8999999999999986</v>
      </c>
      <c r="D37" s="18">
        <v>2</v>
      </c>
      <c r="E37" s="23">
        <f>PRIX!D36*A!D37</f>
        <v>13</v>
      </c>
      <c r="F37" s="18">
        <f>PRIX!E36*A!E37</f>
        <v>0</v>
      </c>
      <c r="G37" s="23">
        <f>PRIX!F36*A!F37</f>
        <v>0</v>
      </c>
      <c r="H37" s="19">
        <f>PRIX!G36*A!G37</f>
        <v>0</v>
      </c>
      <c r="I37" s="23">
        <f>PRIX!H36*A!H37</f>
        <v>0</v>
      </c>
      <c r="J37" s="12"/>
      <c r="K37" s="9"/>
      <c r="L37" s="21"/>
      <c r="M37" s="5"/>
      <c r="N37" s="15"/>
      <c r="O37" s="5"/>
      <c r="P37" s="15"/>
      <c r="Q37" s="5"/>
    </row>
    <row r="38" spans="1:17" x14ac:dyDescent="0.25">
      <c r="A38" s="2" t="s">
        <v>35</v>
      </c>
      <c r="B38" s="15">
        <v>0</v>
      </c>
      <c r="C38" s="23">
        <f>PRIX!B37*A!B38</f>
        <v>0</v>
      </c>
      <c r="D38" s="18">
        <v>0</v>
      </c>
      <c r="E38" s="23">
        <f>PRIX!D37*A!D38</f>
        <v>0</v>
      </c>
      <c r="F38" s="18">
        <f>PRIX!E37*A!E38</f>
        <v>0</v>
      </c>
      <c r="G38" s="23">
        <f>PRIX!F37*A!F38</f>
        <v>0</v>
      </c>
      <c r="H38" s="19">
        <f>PRIX!G37*A!G38</f>
        <v>0</v>
      </c>
      <c r="I38" s="23">
        <f>PRIX!H37*A!H38</f>
        <v>0</v>
      </c>
      <c r="J38" s="12"/>
      <c r="K38" s="9"/>
      <c r="L38" s="21"/>
      <c r="M38" s="5"/>
      <c r="N38" s="15"/>
      <c r="O38" s="5"/>
      <c r="P38" s="15"/>
      <c r="Q38" s="5"/>
    </row>
    <row r="39" spans="1:17" x14ac:dyDescent="0.25">
      <c r="A39" s="2" t="s">
        <v>36</v>
      </c>
      <c r="B39" s="15">
        <v>3</v>
      </c>
      <c r="C39" s="23">
        <f>PRIX!B38*A!B39</f>
        <v>9.8999999999999986</v>
      </c>
      <c r="D39" s="18">
        <v>2</v>
      </c>
      <c r="E39" s="23">
        <f>PRIX!D38*A!D39</f>
        <v>13</v>
      </c>
      <c r="F39" s="18">
        <f>PRIX!E38*A!E39</f>
        <v>0</v>
      </c>
      <c r="G39" s="23">
        <f>PRIX!F38*A!F39</f>
        <v>0</v>
      </c>
      <c r="H39" s="19">
        <f>PRIX!G38*A!G39</f>
        <v>0</v>
      </c>
      <c r="I39" s="23">
        <f>PRIX!H38*A!H39</f>
        <v>0</v>
      </c>
      <c r="J39" s="12"/>
      <c r="K39" s="9"/>
      <c r="L39" s="21"/>
      <c r="M39" s="5"/>
      <c r="N39" s="15"/>
      <c r="O39" s="5"/>
      <c r="P39" s="15"/>
      <c r="Q39" s="5"/>
    </row>
    <row r="40" spans="1:17" x14ac:dyDescent="0.25">
      <c r="A40" s="2" t="s">
        <v>37</v>
      </c>
      <c r="B40" s="15"/>
      <c r="C40" s="23">
        <f>PRIX!B39*A!B40</f>
        <v>0</v>
      </c>
      <c r="D40" s="18"/>
      <c r="E40" s="23">
        <f>PRIX!D39*A!D40</f>
        <v>0</v>
      </c>
      <c r="F40" s="18">
        <f>PRIX!E39*A!E40</f>
        <v>0</v>
      </c>
      <c r="G40" s="23">
        <f>PRIX!F39*A!F40</f>
        <v>0</v>
      </c>
      <c r="H40" s="19">
        <f>PRIX!G39*A!G40</f>
        <v>0</v>
      </c>
      <c r="I40" s="23">
        <f>PRIX!H39*A!H40</f>
        <v>0</v>
      </c>
      <c r="J40" s="12"/>
      <c r="K40" s="9"/>
      <c r="L40" s="21"/>
      <c r="M40" s="5"/>
      <c r="N40" s="15"/>
      <c r="O40" s="5"/>
      <c r="P40" s="15"/>
      <c r="Q40" s="5"/>
    </row>
    <row r="41" spans="1:17" x14ac:dyDescent="0.25">
      <c r="A41" s="2" t="s">
        <v>38</v>
      </c>
      <c r="B41" s="15">
        <v>2</v>
      </c>
      <c r="C41" s="23">
        <f>PRIX!B40*A!B41</f>
        <v>6.6</v>
      </c>
      <c r="D41" s="18"/>
      <c r="E41" s="23">
        <f>PRIX!D40*A!D41</f>
        <v>0</v>
      </c>
      <c r="F41" s="18">
        <f>PRIX!E40*A!E41</f>
        <v>0</v>
      </c>
      <c r="G41" s="23">
        <f>PRIX!F40*A!F41</f>
        <v>0</v>
      </c>
      <c r="H41" s="19">
        <f>PRIX!G40*A!G41</f>
        <v>0</v>
      </c>
      <c r="I41" s="23">
        <f>PRIX!H40*A!H41</f>
        <v>0</v>
      </c>
      <c r="J41" s="12"/>
      <c r="K41" s="9"/>
      <c r="L41" s="21"/>
      <c r="M41" s="5"/>
      <c r="N41" s="15"/>
      <c r="O41" s="5"/>
      <c r="P41" s="15"/>
      <c r="Q41" s="5"/>
    </row>
    <row r="42" spans="1:17" x14ac:dyDescent="0.25">
      <c r="A42" s="2" t="s">
        <v>39</v>
      </c>
      <c r="B42" s="15">
        <v>2</v>
      </c>
      <c r="C42" s="23">
        <f>PRIX!B41*A!B42</f>
        <v>6.6</v>
      </c>
      <c r="D42" s="18"/>
      <c r="E42" s="23">
        <f>PRIX!D41*A!D42</f>
        <v>0</v>
      </c>
      <c r="F42" s="18">
        <f>PRIX!E41*A!E42</f>
        <v>0</v>
      </c>
      <c r="G42" s="23">
        <f>PRIX!F41*A!F42</f>
        <v>0</v>
      </c>
      <c r="H42" s="19">
        <f>PRIX!G41*A!G42</f>
        <v>0</v>
      </c>
      <c r="I42" s="23">
        <f>PRIX!H41*A!H42</f>
        <v>0</v>
      </c>
      <c r="J42" s="12"/>
      <c r="K42" s="9"/>
      <c r="L42" s="21"/>
      <c r="M42" s="5"/>
      <c r="N42" s="15"/>
      <c r="O42" s="5"/>
      <c r="P42" s="15"/>
      <c r="Q42" s="5"/>
    </row>
    <row r="43" spans="1:17" x14ac:dyDescent="0.25">
      <c r="A43" s="2" t="s">
        <v>40</v>
      </c>
      <c r="B43" s="15">
        <v>2</v>
      </c>
      <c r="C43" s="23">
        <f>PRIX!B42*A!B43</f>
        <v>6.6</v>
      </c>
      <c r="D43" s="18"/>
      <c r="E43" s="23">
        <f>PRIX!D42*A!D43</f>
        <v>0</v>
      </c>
      <c r="F43" s="18">
        <f>PRIX!E42*A!E43</f>
        <v>0</v>
      </c>
      <c r="G43" s="23">
        <f>PRIX!F42*A!F43</f>
        <v>0</v>
      </c>
      <c r="H43" s="19">
        <f>PRIX!G42*A!G43</f>
        <v>0</v>
      </c>
      <c r="I43" s="23">
        <f>PRIX!H42*A!H43</f>
        <v>0</v>
      </c>
      <c r="J43" s="12"/>
      <c r="K43" s="9"/>
      <c r="L43" s="21"/>
      <c r="M43" s="5"/>
      <c r="N43" s="15"/>
      <c r="O43" s="5"/>
      <c r="P43" s="15"/>
      <c r="Q43" s="5"/>
    </row>
    <row r="44" spans="1:17" x14ac:dyDescent="0.25">
      <c r="A44" s="1" t="s">
        <v>41</v>
      </c>
      <c r="B44" s="14"/>
      <c r="C44" s="23">
        <f>PRIX!B43*A!B44</f>
        <v>0</v>
      </c>
      <c r="D44" s="18"/>
      <c r="E44" s="23">
        <f>PRIX!D43*A!D44</f>
        <v>0</v>
      </c>
      <c r="F44" s="18">
        <f>PRIX!E43*A!E44</f>
        <v>0</v>
      </c>
      <c r="G44" s="23">
        <f>PRIX!F43*A!F44</f>
        <v>0</v>
      </c>
      <c r="H44" s="19">
        <f>PRIX!G43*A!G44</f>
        <v>0</v>
      </c>
      <c r="I44" s="23">
        <f>PRIX!H43*A!H44</f>
        <v>0</v>
      </c>
      <c r="J44" s="12"/>
      <c r="K44" s="9"/>
      <c r="L44" s="21"/>
      <c r="M44" s="5"/>
      <c r="N44" s="15"/>
      <c r="O44" s="5"/>
      <c r="P44" s="15"/>
      <c r="Q44" s="5"/>
    </row>
    <row r="45" spans="1:17" x14ac:dyDescent="0.25">
      <c r="A45" s="2" t="s">
        <v>42</v>
      </c>
      <c r="B45" s="15">
        <v>2</v>
      </c>
      <c r="C45" s="23">
        <f>PRIX!B44*A!B45</f>
        <v>6.8</v>
      </c>
      <c r="D45" s="18">
        <v>2</v>
      </c>
      <c r="E45" s="23">
        <f>PRIX!D44*A!D45</f>
        <v>13.2</v>
      </c>
      <c r="F45" s="18">
        <f>PRIX!E44*A!E45</f>
        <v>0</v>
      </c>
      <c r="G45" s="23">
        <f>PRIX!F44*A!F45</f>
        <v>0</v>
      </c>
      <c r="H45" s="19">
        <f>PRIX!G44*A!G45</f>
        <v>0</v>
      </c>
      <c r="I45" s="23">
        <f>PRIX!H44*A!H45</f>
        <v>0</v>
      </c>
      <c r="J45" s="12"/>
      <c r="K45" s="9"/>
      <c r="L45" s="21"/>
      <c r="M45" s="5"/>
      <c r="N45" s="15"/>
      <c r="O45" s="5"/>
      <c r="P45" s="15"/>
      <c r="Q45" s="5"/>
    </row>
    <row r="46" spans="1:17" x14ac:dyDescent="0.25">
      <c r="A46" s="2" t="s">
        <v>43</v>
      </c>
      <c r="B46" s="15">
        <v>2</v>
      </c>
      <c r="C46" s="23">
        <f>PRIX!B45*A!B46</f>
        <v>6.8</v>
      </c>
      <c r="D46" s="18">
        <v>2</v>
      </c>
      <c r="E46" s="23">
        <f>PRIX!D45*A!D46</f>
        <v>13.2</v>
      </c>
      <c r="F46" s="18">
        <f>PRIX!E45*A!E46</f>
        <v>0</v>
      </c>
      <c r="G46" s="23">
        <f>PRIX!F45*A!F46</f>
        <v>0</v>
      </c>
      <c r="H46" s="19">
        <f>PRIX!G45*A!G46</f>
        <v>0</v>
      </c>
      <c r="I46" s="23">
        <f>PRIX!H45*A!H46</f>
        <v>0</v>
      </c>
      <c r="J46" s="12"/>
      <c r="K46" s="9"/>
      <c r="L46" s="21"/>
      <c r="M46" s="5"/>
      <c r="N46" s="15"/>
      <c r="O46" s="5"/>
      <c r="P46" s="15"/>
      <c r="Q46" s="5"/>
    </row>
    <row r="47" spans="1:17" x14ac:dyDescent="0.25">
      <c r="A47" s="2" t="s">
        <v>44</v>
      </c>
      <c r="B47" s="15">
        <v>2</v>
      </c>
      <c r="C47" s="23">
        <f>PRIX!B46*A!B47</f>
        <v>6.8</v>
      </c>
      <c r="D47" s="18">
        <v>2</v>
      </c>
      <c r="E47" s="23">
        <f>PRIX!D46*A!D47</f>
        <v>13.2</v>
      </c>
      <c r="F47" s="18">
        <f>PRIX!E46*A!E47</f>
        <v>0</v>
      </c>
      <c r="G47" s="23">
        <f>PRIX!F46*A!F47</f>
        <v>0</v>
      </c>
      <c r="H47" s="19">
        <f>PRIX!G46*A!G47</f>
        <v>0</v>
      </c>
      <c r="I47" s="23">
        <f>PRIX!H46*A!H47</f>
        <v>0</v>
      </c>
      <c r="J47" s="12"/>
      <c r="K47" s="9"/>
      <c r="L47" s="21"/>
      <c r="M47" s="5"/>
      <c r="N47" s="15"/>
      <c r="O47" s="5"/>
      <c r="P47" s="15"/>
      <c r="Q47" s="5"/>
    </row>
    <row r="48" spans="1:17" x14ac:dyDescent="0.25">
      <c r="A48" s="2" t="s">
        <v>45</v>
      </c>
      <c r="B48" s="15"/>
      <c r="C48" s="23">
        <f>PRIX!B47*A!B48</f>
        <v>0</v>
      </c>
      <c r="D48" s="18"/>
      <c r="E48" s="23">
        <f>PRIX!D47*A!D48</f>
        <v>0</v>
      </c>
      <c r="F48" s="18">
        <f>PRIX!E47*A!E48</f>
        <v>0</v>
      </c>
      <c r="G48" s="23">
        <f>PRIX!F47*A!F48</f>
        <v>0</v>
      </c>
      <c r="H48" s="19">
        <f>PRIX!G47*A!G48</f>
        <v>0</v>
      </c>
      <c r="I48" s="23">
        <f>PRIX!H47*A!H48</f>
        <v>0</v>
      </c>
      <c r="J48" s="12"/>
      <c r="K48" s="9"/>
      <c r="L48" s="21"/>
      <c r="M48" s="5"/>
      <c r="N48" s="15"/>
      <c r="O48" s="5"/>
      <c r="P48" s="15"/>
      <c r="Q48" s="5"/>
    </row>
    <row r="49" spans="1:17" x14ac:dyDescent="0.25">
      <c r="A49" s="2" t="s">
        <v>46</v>
      </c>
      <c r="B49" s="15"/>
      <c r="C49" s="23">
        <f>PRIX!B48*A!B49</f>
        <v>0</v>
      </c>
      <c r="D49" s="18"/>
      <c r="E49" s="23">
        <f>PRIX!D48*A!D49</f>
        <v>0</v>
      </c>
      <c r="F49" s="18">
        <f>PRIX!E48*A!E49</f>
        <v>0</v>
      </c>
      <c r="G49" s="23">
        <f>PRIX!F48*A!F49</f>
        <v>0</v>
      </c>
      <c r="H49" s="19">
        <f>PRIX!G48*A!G49</f>
        <v>0</v>
      </c>
      <c r="I49" s="23">
        <f>PRIX!H48*A!H49</f>
        <v>0</v>
      </c>
      <c r="J49" s="12"/>
      <c r="K49" s="9"/>
      <c r="L49" s="21"/>
      <c r="M49" s="5"/>
      <c r="N49" s="15"/>
      <c r="O49" s="5"/>
      <c r="P49" s="15"/>
      <c r="Q49" s="5"/>
    </row>
    <row r="50" spans="1:17" ht="17.25" customHeight="1" x14ac:dyDescent="0.25">
      <c r="A50" s="2" t="s">
        <v>47</v>
      </c>
      <c r="B50" s="15">
        <v>2</v>
      </c>
      <c r="C50" s="23">
        <f>PRIX!B49*A!B50</f>
        <v>6.8</v>
      </c>
      <c r="D50" s="18">
        <v>2</v>
      </c>
      <c r="E50" s="23">
        <f>PRIX!D49*A!D50</f>
        <v>13.2</v>
      </c>
      <c r="F50" s="18">
        <f>PRIX!E49*A!E50</f>
        <v>0</v>
      </c>
      <c r="G50" s="23">
        <f>PRIX!F49*A!F50</f>
        <v>0</v>
      </c>
      <c r="H50" s="19">
        <f>PRIX!G49*A!G50</f>
        <v>0</v>
      </c>
      <c r="I50" s="23">
        <f>PRIX!H49*A!H50</f>
        <v>0</v>
      </c>
      <c r="L50">
        <f t="shared" ref="L50:Q50" si="0">SUM(L4:L49)</f>
        <v>7</v>
      </c>
      <c r="M50">
        <f t="shared" si="0"/>
        <v>55.3</v>
      </c>
      <c r="N50">
        <f t="shared" si="0"/>
        <v>52</v>
      </c>
      <c r="O50">
        <f t="shared" si="0"/>
        <v>522.30000000000018</v>
      </c>
      <c r="P50">
        <f t="shared" si="0"/>
        <v>16</v>
      </c>
      <c r="Q50">
        <f t="shared" si="0"/>
        <v>223.60000000000005</v>
      </c>
    </row>
    <row r="51" spans="1:17" ht="15.75" customHeight="1" x14ac:dyDescent="0.25">
      <c r="B51">
        <f t="shared" ref="B51:I51" si="1">SUM(B4:B50)</f>
        <v>99</v>
      </c>
      <c r="C51">
        <f t="shared" si="1"/>
        <v>282.10000000000002</v>
      </c>
      <c r="D51">
        <f t="shared" si="1"/>
        <v>34</v>
      </c>
      <c r="E51">
        <f t="shared" si="1"/>
        <v>183.19999999999993</v>
      </c>
      <c r="F51">
        <f t="shared" si="1"/>
        <v>0</v>
      </c>
      <c r="G51">
        <f t="shared" si="1"/>
        <v>0</v>
      </c>
      <c r="H51">
        <f t="shared" si="1"/>
        <v>0</v>
      </c>
      <c r="I51">
        <f t="shared" si="1"/>
        <v>0</v>
      </c>
    </row>
    <row r="53" spans="1:17" x14ac:dyDescent="0.25">
      <c r="E53" t="s">
        <v>66</v>
      </c>
      <c r="G53" t="s">
        <v>67</v>
      </c>
    </row>
    <row r="54" spans="1:17" x14ac:dyDescent="0.25">
      <c r="C54" s="25">
        <f>C51+E51+G51+I51+M50+O50+Q50</f>
        <v>1266.5000000000002</v>
      </c>
      <c r="E54">
        <f>B51+D51+F51+H51</f>
        <v>133</v>
      </c>
      <c r="G54">
        <f>L50+N50+P50</f>
        <v>75</v>
      </c>
    </row>
  </sheetData>
  <mergeCells count="1">
    <mergeCell ref="B1:I1"/>
  </mergeCells>
  <conditionalFormatting sqref="J4:Q49 B4:I50">
    <cfRule type="cellIs" dxfId="3" priority="1" operator="equal">
      <formula>0</formula>
    </cfRule>
  </conditionalFormatting>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Q54"/>
  <sheetViews>
    <sheetView topLeftCell="A19" workbookViewId="0">
      <selection activeCell="A13" sqref="A13:I13"/>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4</v>
      </c>
      <c r="C4" s="23">
        <f>PRIX!B4*B!B4</f>
        <v>8.1999999999999993</v>
      </c>
      <c r="D4" s="18">
        <v>2</v>
      </c>
      <c r="E4" s="23">
        <f>PRIX!D4*B!D4</f>
        <v>7.6</v>
      </c>
      <c r="F4" s="23">
        <f>PRIX!E4*B!E4</f>
        <v>0</v>
      </c>
      <c r="G4" s="23">
        <f>PRIX!F4*B!F4</f>
        <v>0</v>
      </c>
      <c r="H4" s="23">
        <f>PRIX!G4*B!G4</f>
        <v>0</v>
      </c>
      <c r="I4" s="23">
        <f>PRIX!H4*B!H4</f>
        <v>0</v>
      </c>
      <c r="J4" s="12"/>
      <c r="K4" s="9" t="s">
        <v>57</v>
      </c>
      <c r="L4" s="21"/>
      <c r="M4" s="23">
        <f>PRIX!L4*B!L4</f>
        <v>0</v>
      </c>
      <c r="N4" s="18"/>
      <c r="O4" s="23">
        <f>PRIX!N4*B!N4</f>
        <v>0</v>
      </c>
      <c r="P4" s="18"/>
      <c r="Q4" s="23">
        <f>PRIX!P4*B!P4</f>
        <v>0</v>
      </c>
    </row>
    <row r="5" spans="1:17" x14ac:dyDescent="0.25">
      <c r="A5" s="2" t="s">
        <v>2</v>
      </c>
      <c r="B5" s="15">
        <v>4</v>
      </c>
      <c r="C5" s="23">
        <f>PRIX!B5*B!B5</f>
        <v>8.1999999999999993</v>
      </c>
      <c r="D5" s="18">
        <v>2</v>
      </c>
      <c r="E5" s="23">
        <f>PRIX!D5*B!D5</f>
        <v>7.6</v>
      </c>
      <c r="F5" s="18">
        <f>PRIX!E5*B!E5</f>
        <v>0</v>
      </c>
      <c r="G5" s="23">
        <f>PRIX!F5*B!F5</f>
        <v>0</v>
      </c>
      <c r="H5" s="19">
        <f>PRIX!G5*B!G5</f>
        <v>0</v>
      </c>
      <c r="I5" s="23">
        <f>PRIX!H5*B!H5</f>
        <v>0</v>
      </c>
      <c r="J5" s="12"/>
      <c r="K5" s="9" t="s">
        <v>58</v>
      </c>
      <c r="L5" s="21"/>
      <c r="M5" s="23">
        <f>PRIX!L5*B!L5</f>
        <v>0</v>
      </c>
      <c r="N5" s="18">
        <v>2</v>
      </c>
      <c r="O5" s="23">
        <f>PRIX!N5*B!N5</f>
        <v>22.8</v>
      </c>
      <c r="P5" s="18">
        <v>1</v>
      </c>
      <c r="Q5" s="23">
        <f>PRIX!P5*B!P5</f>
        <v>14.9</v>
      </c>
    </row>
    <row r="6" spans="1:17" x14ac:dyDescent="0.25">
      <c r="A6" s="2" t="s">
        <v>3</v>
      </c>
      <c r="B6" s="15">
        <v>4</v>
      </c>
      <c r="C6" s="23">
        <f>PRIX!B6*B!B6</f>
        <v>10.6</v>
      </c>
      <c r="D6" s="18">
        <v>2</v>
      </c>
      <c r="E6" s="23">
        <f>PRIX!D6*B!D6</f>
        <v>10.1</v>
      </c>
      <c r="F6" s="18">
        <f>PRIX!E6*B!E6</f>
        <v>0</v>
      </c>
      <c r="G6" s="23">
        <f>PRIX!F6*B!F6</f>
        <v>0</v>
      </c>
      <c r="H6" s="19">
        <f>PRIX!G6*B!G6</f>
        <v>0</v>
      </c>
      <c r="I6" s="23">
        <f>PRIX!H6*B!H6</f>
        <v>0</v>
      </c>
      <c r="J6" s="12"/>
      <c r="K6" s="7" t="s">
        <v>11</v>
      </c>
      <c r="L6" s="20"/>
      <c r="M6" s="23">
        <f>PRIX!L6*B!L6</f>
        <v>0</v>
      </c>
      <c r="N6" s="18"/>
      <c r="O6" s="23">
        <f>PRIX!N6*B!N6</f>
        <v>0</v>
      </c>
      <c r="P6" s="18"/>
      <c r="Q6" s="23">
        <f>PRIX!P6*B!P6</f>
        <v>0</v>
      </c>
    </row>
    <row r="7" spans="1:17" x14ac:dyDescent="0.25">
      <c r="A7" s="2" t="s">
        <v>4</v>
      </c>
      <c r="B7" s="15">
        <v>4</v>
      </c>
      <c r="C7" s="23">
        <f>PRIX!B7*B!B7</f>
        <v>10.6</v>
      </c>
      <c r="D7" s="18">
        <v>2</v>
      </c>
      <c r="E7" s="23">
        <f>PRIX!D7*B!D7</f>
        <v>10.1</v>
      </c>
      <c r="F7" s="18">
        <f>PRIX!E7*B!E7</f>
        <v>0</v>
      </c>
      <c r="G7" s="23">
        <f>PRIX!F7*B!F7</f>
        <v>0</v>
      </c>
      <c r="H7" s="19">
        <f>PRIX!G7*B!G7</f>
        <v>0</v>
      </c>
      <c r="I7" s="23">
        <f>PRIX!H7*B!H7</f>
        <v>0</v>
      </c>
      <c r="J7" s="12"/>
      <c r="K7" s="9" t="s">
        <v>12</v>
      </c>
      <c r="L7" s="21"/>
      <c r="M7" s="23">
        <f>PRIX!L7*B!L7</f>
        <v>0</v>
      </c>
      <c r="N7" s="18">
        <v>4</v>
      </c>
      <c r="O7" s="23">
        <f>PRIX!N7*B!N7</f>
        <v>30</v>
      </c>
      <c r="P7" s="18">
        <v>2</v>
      </c>
      <c r="Q7" s="23">
        <f>PRIX!P7*B!P7</f>
        <v>21</v>
      </c>
    </row>
    <row r="8" spans="1:17" x14ac:dyDescent="0.25">
      <c r="A8" s="2" t="s">
        <v>5</v>
      </c>
      <c r="B8" s="15">
        <v>4</v>
      </c>
      <c r="C8" s="23">
        <f>PRIX!B8*B!B8</f>
        <v>8.4</v>
      </c>
      <c r="D8" s="18">
        <v>2</v>
      </c>
      <c r="E8" s="23">
        <f>PRIX!D8*B!D8</f>
        <v>7.8</v>
      </c>
      <c r="F8" s="18">
        <f>PRIX!E8*B!E8</f>
        <v>0</v>
      </c>
      <c r="G8" s="23">
        <f>PRIX!F8*B!F8</f>
        <v>0</v>
      </c>
      <c r="H8" s="19">
        <f>PRIX!G8*B!G8</f>
        <v>0</v>
      </c>
      <c r="I8" s="23">
        <f>PRIX!H8*B!H8</f>
        <v>0</v>
      </c>
      <c r="J8" s="12"/>
      <c r="K8" s="9" t="s">
        <v>15</v>
      </c>
      <c r="L8" s="21"/>
      <c r="M8" s="23">
        <f>PRIX!L8*B!L8</f>
        <v>0</v>
      </c>
      <c r="N8" s="18">
        <v>10</v>
      </c>
      <c r="O8" s="23">
        <f>PRIX!N8*B!N8</f>
        <v>75</v>
      </c>
      <c r="P8" s="18"/>
      <c r="Q8" s="23">
        <f>PRIX!P8*B!P8</f>
        <v>0</v>
      </c>
    </row>
    <row r="9" spans="1:17" x14ac:dyDescent="0.25">
      <c r="A9" s="2" t="s">
        <v>6</v>
      </c>
      <c r="B9" s="15"/>
      <c r="C9" s="23">
        <f>PRIX!B9*B!B9</f>
        <v>0</v>
      </c>
      <c r="D9" s="18"/>
      <c r="E9" s="23">
        <f>PRIX!D9*B!D9</f>
        <v>0</v>
      </c>
      <c r="F9" s="18">
        <f>PRIX!E9*B!E9</f>
        <v>0</v>
      </c>
      <c r="G9" s="23">
        <f>PRIX!F9*B!F9</f>
        <v>0</v>
      </c>
      <c r="H9" s="19">
        <f>PRIX!G9*B!G9</f>
        <v>0</v>
      </c>
      <c r="I9" s="23">
        <f>PRIX!H9*B!H9</f>
        <v>0</v>
      </c>
      <c r="J9" s="12"/>
      <c r="K9" s="9" t="s">
        <v>59</v>
      </c>
      <c r="L9" s="30"/>
      <c r="M9" s="28"/>
      <c r="N9" s="18">
        <v>10</v>
      </c>
      <c r="O9" s="23">
        <f>PRIX!N9*B!N9</f>
        <v>79</v>
      </c>
      <c r="P9" s="26"/>
      <c r="Q9" s="28"/>
    </row>
    <row r="10" spans="1:17" x14ac:dyDescent="0.25">
      <c r="A10" s="2" t="s">
        <v>7</v>
      </c>
      <c r="B10" s="15">
        <v>4</v>
      </c>
      <c r="C10" s="23">
        <f>PRIX!B10*B!B10</f>
        <v>10.8</v>
      </c>
      <c r="D10" s="18"/>
      <c r="E10" s="23">
        <f>PRIX!D10*B!D10</f>
        <v>0</v>
      </c>
      <c r="F10" s="18">
        <f>PRIX!E10*B!E10</f>
        <v>0</v>
      </c>
      <c r="G10" s="23">
        <f>PRIX!F10*B!F10</f>
        <v>0</v>
      </c>
      <c r="H10" s="19">
        <f>PRIX!G10*B!G10</f>
        <v>0</v>
      </c>
      <c r="I10" s="23">
        <f>PRIX!H10*B!H10</f>
        <v>0</v>
      </c>
      <c r="J10" s="12"/>
      <c r="K10" s="7" t="s">
        <v>60</v>
      </c>
      <c r="L10" s="20"/>
      <c r="M10" s="23">
        <f>PRIX!L10*B!L10</f>
        <v>0</v>
      </c>
      <c r="N10" s="18"/>
      <c r="O10" s="23">
        <f>PRIX!N10*B!N10</f>
        <v>0</v>
      </c>
      <c r="P10" s="18"/>
      <c r="Q10" s="23">
        <f>PRIX!P10*B!P10</f>
        <v>0</v>
      </c>
    </row>
    <row r="11" spans="1:17" x14ac:dyDescent="0.25">
      <c r="A11" s="2" t="s">
        <v>8</v>
      </c>
      <c r="B11" s="15">
        <v>4</v>
      </c>
      <c r="C11" s="23">
        <f>PRIX!B11*B!B11</f>
        <v>10.8</v>
      </c>
      <c r="D11" s="18"/>
      <c r="E11" s="23">
        <f>PRIX!D11*B!D11</f>
        <v>0</v>
      </c>
      <c r="F11" s="18">
        <f>PRIX!E11*B!E11</f>
        <v>0</v>
      </c>
      <c r="G11" s="23">
        <f>PRIX!F11*B!F11</f>
        <v>0</v>
      </c>
      <c r="H11" s="19">
        <f>PRIX!G11*B!G11</f>
        <v>0</v>
      </c>
      <c r="I11" s="23">
        <f>PRIX!H11*B!H11</f>
        <v>0</v>
      </c>
      <c r="J11" s="12"/>
      <c r="K11" s="10" t="s">
        <v>21</v>
      </c>
      <c r="L11" s="22"/>
      <c r="M11" s="23">
        <f>PRIX!L11*B!L11</f>
        <v>0</v>
      </c>
      <c r="N11" s="18"/>
      <c r="O11" s="23">
        <f>PRIX!N11*B!N11</f>
        <v>0</v>
      </c>
      <c r="P11" s="18"/>
      <c r="Q11" s="23">
        <f>PRIX!P11*B!P11</f>
        <v>0</v>
      </c>
    </row>
    <row r="12" spans="1:17" x14ac:dyDescent="0.25">
      <c r="A12" s="2" t="s">
        <v>9</v>
      </c>
      <c r="B12" s="15">
        <v>4</v>
      </c>
      <c r="C12" s="23">
        <f>PRIX!B12*B!B12</f>
        <v>10.8</v>
      </c>
      <c r="D12" s="18"/>
      <c r="E12" s="23">
        <f>PRIX!D12*B!D12</f>
        <v>0</v>
      </c>
      <c r="F12" s="26"/>
      <c r="G12" s="28"/>
      <c r="H12" s="27"/>
      <c r="I12" s="28"/>
      <c r="J12" s="12"/>
      <c r="K12" s="9" t="s">
        <v>61</v>
      </c>
      <c r="L12" s="21"/>
      <c r="M12" s="23">
        <f>PRIX!L12*B!L12</f>
        <v>0</v>
      </c>
      <c r="N12" s="18">
        <v>2</v>
      </c>
      <c r="O12" s="23">
        <f>PRIX!N12*B!N12</f>
        <v>21.8</v>
      </c>
      <c r="P12" s="18">
        <v>2</v>
      </c>
      <c r="Q12" s="23">
        <f>PRIX!P12*B!P12</f>
        <v>27.8</v>
      </c>
    </row>
    <row r="13" spans="1:17" x14ac:dyDescent="0.25">
      <c r="A13" s="2"/>
      <c r="B13" s="15"/>
      <c r="C13" s="23"/>
      <c r="D13" s="18"/>
      <c r="E13" s="23"/>
      <c r="F13" s="26"/>
      <c r="G13" s="28"/>
      <c r="H13" s="27"/>
      <c r="I13" s="28"/>
      <c r="J13" s="12"/>
      <c r="K13" s="9" t="s">
        <v>25</v>
      </c>
      <c r="L13" s="21"/>
      <c r="M13" s="23">
        <f>PRIX!L13*B!L13</f>
        <v>0</v>
      </c>
      <c r="N13" s="18">
        <v>8</v>
      </c>
      <c r="O13" s="23">
        <f>PRIX!N13*B!N13</f>
        <v>87.2</v>
      </c>
      <c r="P13" s="18"/>
      <c r="Q13" s="23">
        <f>PRIX!P13*B!P13</f>
        <v>0</v>
      </c>
    </row>
    <row r="14" spans="1:17" x14ac:dyDescent="0.25">
      <c r="A14" s="1" t="s">
        <v>11</v>
      </c>
      <c r="B14" s="14"/>
      <c r="C14" s="23">
        <f>PRIX!B13*B!B14</f>
        <v>0</v>
      </c>
      <c r="D14" s="18"/>
      <c r="E14" s="23">
        <f>PRIX!D13*B!D14</f>
        <v>0</v>
      </c>
      <c r="F14" s="18">
        <f>PRIX!E13*B!E14</f>
        <v>0</v>
      </c>
      <c r="G14" s="23">
        <f>PRIX!F13*B!F14</f>
        <v>0</v>
      </c>
      <c r="H14" s="19">
        <f>PRIX!G13*B!G14</f>
        <v>0</v>
      </c>
      <c r="I14" s="23">
        <f>PRIX!H13*B!H14</f>
        <v>0</v>
      </c>
      <c r="J14" s="12"/>
      <c r="K14" s="9" t="s">
        <v>62</v>
      </c>
      <c r="L14" s="21"/>
      <c r="M14" s="23">
        <f>PRIX!L14*B!L14</f>
        <v>0</v>
      </c>
      <c r="N14" s="18"/>
      <c r="O14" s="23">
        <f>PRIX!N14*B!N14</f>
        <v>0</v>
      </c>
      <c r="P14" s="18"/>
      <c r="Q14" s="23">
        <f>PRIX!P14*B!P14</f>
        <v>0</v>
      </c>
    </row>
    <row r="15" spans="1:17" x14ac:dyDescent="0.25">
      <c r="A15" s="2" t="s">
        <v>12</v>
      </c>
      <c r="B15" s="15">
        <v>4</v>
      </c>
      <c r="C15" s="23">
        <f>PRIX!B14*B!B15</f>
        <v>10.8</v>
      </c>
      <c r="D15" s="18"/>
      <c r="E15" s="23">
        <f>PRIX!D14*B!D15</f>
        <v>0</v>
      </c>
      <c r="F15" s="26"/>
      <c r="G15" s="28"/>
      <c r="H15" s="27"/>
      <c r="I15" s="28"/>
      <c r="J15" s="12"/>
      <c r="K15" s="9" t="s">
        <v>26</v>
      </c>
      <c r="L15" s="21"/>
      <c r="M15" s="23">
        <f>PRIX!L15*B!L15</f>
        <v>0</v>
      </c>
      <c r="N15" s="18">
        <v>6</v>
      </c>
      <c r="O15" s="23">
        <f>PRIX!N15*B!N15</f>
        <v>65.400000000000006</v>
      </c>
      <c r="P15" s="18"/>
      <c r="Q15" s="23">
        <f>PRIX!P15*B!P15</f>
        <v>0</v>
      </c>
    </row>
    <row r="16" spans="1:17" x14ac:dyDescent="0.25">
      <c r="A16" s="2" t="s">
        <v>13</v>
      </c>
      <c r="B16" s="15">
        <v>4</v>
      </c>
      <c r="C16" s="23">
        <f>PRIX!B15*B!B16</f>
        <v>11.6</v>
      </c>
      <c r="D16" s="18"/>
      <c r="E16" s="23">
        <f>PRIX!D15*B!D16</f>
        <v>0</v>
      </c>
      <c r="F16" s="26"/>
      <c r="G16" s="28"/>
      <c r="H16" s="27"/>
      <c r="I16" s="28"/>
      <c r="J16" s="12"/>
      <c r="K16" s="9" t="s">
        <v>27</v>
      </c>
      <c r="L16" s="21"/>
      <c r="M16" s="23">
        <f>PRIX!L16*B!L16</f>
        <v>0</v>
      </c>
      <c r="N16" s="18">
        <v>4</v>
      </c>
      <c r="O16" s="23">
        <f>PRIX!N16*B!N16</f>
        <v>43.6</v>
      </c>
      <c r="P16" s="18">
        <v>2</v>
      </c>
      <c r="Q16" s="23">
        <f>PRIX!P16*B!P16</f>
        <v>27.8</v>
      </c>
    </row>
    <row r="17" spans="1:17" x14ac:dyDescent="0.25">
      <c r="A17" s="2" t="s">
        <v>14</v>
      </c>
      <c r="B17" s="15">
        <v>2</v>
      </c>
      <c r="C17" s="23">
        <f>PRIX!B16*B!B17</f>
        <v>5.8</v>
      </c>
      <c r="D17" s="26"/>
      <c r="E17" s="28"/>
      <c r="F17" s="26"/>
      <c r="G17" s="28"/>
      <c r="H17" s="27"/>
      <c r="I17" s="28"/>
      <c r="J17" s="12"/>
      <c r="K17" s="9" t="s">
        <v>28</v>
      </c>
      <c r="L17" s="21"/>
      <c r="M17" s="23">
        <f>PRIX!L17*B!L17</f>
        <v>0</v>
      </c>
      <c r="N17" s="18">
        <v>2</v>
      </c>
      <c r="O17" s="23">
        <f>PRIX!N17*B!N17</f>
        <v>21.8</v>
      </c>
      <c r="P17" s="18">
        <v>2</v>
      </c>
      <c r="Q17" s="23">
        <f>PRIX!P17*B!P17</f>
        <v>27.8</v>
      </c>
    </row>
    <row r="18" spans="1:17" x14ac:dyDescent="0.25">
      <c r="A18" s="2" t="s">
        <v>15</v>
      </c>
      <c r="B18" s="15">
        <v>10</v>
      </c>
      <c r="C18" s="23">
        <f>PRIX!B17*B!B18</f>
        <v>22</v>
      </c>
      <c r="D18" s="18">
        <v>6</v>
      </c>
      <c r="E18" s="23">
        <f>PRIX!D17*B!D18</f>
        <v>26.400000000000002</v>
      </c>
      <c r="F18" s="18">
        <f>PRIX!E17*B!E18</f>
        <v>0</v>
      </c>
      <c r="G18" s="23">
        <f>PRIX!F17*B!F18</f>
        <v>0</v>
      </c>
      <c r="H18" s="19">
        <f>PRIX!G17*B!G18</f>
        <v>0</v>
      </c>
      <c r="I18" s="23">
        <f>PRIX!H17*B!H18</f>
        <v>0</v>
      </c>
      <c r="J18" s="12"/>
      <c r="K18" s="9" t="s">
        <v>29</v>
      </c>
      <c r="L18" s="21"/>
      <c r="M18" s="23">
        <f>PRIX!L18*B!L18</f>
        <v>0</v>
      </c>
      <c r="N18" s="18"/>
      <c r="O18" s="23">
        <f>PRIX!N18*B!N18</f>
        <v>0</v>
      </c>
      <c r="P18" s="18"/>
      <c r="Q18" s="23">
        <f>PRIX!P18*B!P18</f>
        <v>0</v>
      </c>
    </row>
    <row r="19" spans="1:17" x14ac:dyDescent="0.25">
      <c r="A19" s="2" t="s">
        <v>16</v>
      </c>
      <c r="B19" s="15">
        <v>4</v>
      </c>
      <c r="C19" s="23">
        <f>PRIX!B18*B!B19</f>
        <v>8.8000000000000007</v>
      </c>
      <c r="D19" s="18">
        <v>2</v>
      </c>
      <c r="E19" s="23">
        <f>PRIX!D18*B!D19</f>
        <v>8.8000000000000007</v>
      </c>
      <c r="F19" s="18">
        <f>PRIX!E18*B!E19</f>
        <v>0</v>
      </c>
      <c r="G19" s="23">
        <f>PRIX!F18*B!F19</f>
        <v>0</v>
      </c>
      <c r="H19" s="19">
        <f>PRIX!G18*B!G19</f>
        <v>0</v>
      </c>
      <c r="I19" s="23">
        <f>PRIX!H18*B!H19</f>
        <v>0</v>
      </c>
      <c r="J19" s="12"/>
      <c r="K19" s="9" t="s">
        <v>30</v>
      </c>
      <c r="L19" s="21"/>
      <c r="M19" s="23">
        <f>PRIX!L19*B!L19</f>
        <v>0</v>
      </c>
      <c r="N19" s="18">
        <v>2</v>
      </c>
      <c r="O19" s="23">
        <f>PRIX!N19*B!N19</f>
        <v>21.8</v>
      </c>
      <c r="P19" s="18">
        <v>2</v>
      </c>
      <c r="Q19" s="23">
        <f>PRIX!P19*B!P19</f>
        <v>27.8</v>
      </c>
    </row>
    <row r="20" spans="1:17" x14ac:dyDescent="0.25">
      <c r="A20" s="2" t="s">
        <v>17</v>
      </c>
      <c r="B20" s="15"/>
      <c r="C20" s="23">
        <f>PRIX!B19*B!B20</f>
        <v>0</v>
      </c>
      <c r="D20" s="18"/>
      <c r="E20" s="23">
        <f>PRIX!D19*B!D20</f>
        <v>0</v>
      </c>
      <c r="F20" s="18">
        <f>PRIX!E19*B!E20</f>
        <v>0</v>
      </c>
      <c r="G20" s="23">
        <f>PRIX!F19*B!F20</f>
        <v>0</v>
      </c>
      <c r="H20" s="19">
        <f>PRIX!G19*B!G20</f>
        <v>0</v>
      </c>
      <c r="I20" s="23">
        <f>PRIX!H19*B!H20</f>
        <v>0</v>
      </c>
      <c r="J20" s="12"/>
      <c r="K20" s="9" t="s">
        <v>31</v>
      </c>
      <c r="L20" s="21"/>
      <c r="M20" s="23">
        <f>PRIX!L20*B!L20</f>
        <v>0</v>
      </c>
      <c r="N20" s="18">
        <v>2</v>
      </c>
      <c r="O20" s="23">
        <f>PRIX!N20*B!N20</f>
        <v>21.8</v>
      </c>
      <c r="P20" s="18">
        <v>2</v>
      </c>
      <c r="Q20" s="23">
        <f>PRIX!P20*B!P20</f>
        <v>27.8</v>
      </c>
    </row>
    <row r="21" spans="1:17" x14ac:dyDescent="0.25">
      <c r="A21" s="2" t="s">
        <v>18</v>
      </c>
      <c r="B21" s="15"/>
      <c r="C21" s="23">
        <f>PRIX!B20*B!B21</f>
        <v>0</v>
      </c>
      <c r="D21" s="18"/>
      <c r="E21" s="23">
        <f>PRIX!D20*B!D21</f>
        <v>0</v>
      </c>
      <c r="F21" s="26"/>
      <c r="G21" s="28"/>
      <c r="H21" s="27"/>
      <c r="I21" s="28"/>
      <c r="J21" s="12"/>
      <c r="K21" s="7" t="s">
        <v>32</v>
      </c>
      <c r="L21" s="20"/>
      <c r="M21" s="23">
        <f>PRIX!L21*B!L21</f>
        <v>0</v>
      </c>
      <c r="N21" s="18"/>
      <c r="O21" s="23">
        <f>PRIX!N21*B!N21</f>
        <v>0</v>
      </c>
      <c r="P21" s="18"/>
      <c r="Q21" s="23">
        <f>PRIX!P21*B!P21</f>
        <v>0</v>
      </c>
    </row>
    <row r="22" spans="1:17" x14ac:dyDescent="0.25">
      <c r="A22" s="2" t="s">
        <v>19</v>
      </c>
      <c r="B22" s="15"/>
      <c r="C22" s="23">
        <f>PRIX!B21*B!B22</f>
        <v>0</v>
      </c>
      <c r="D22" s="18"/>
      <c r="E22" s="23">
        <f>PRIX!D21*B!D22</f>
        <v>0</v>
      </c>
      <c r="F22" s="26"/>
      <c r="G22" s="28"/>
      <c r="H22" s="27"/>
      <c r="I22" s="28"/>
      <c r="J22" s="12"/>
      <c r="K22" s="9" t="s">
        <v>33</v>
      </c>
      <c r="L22" s="21">
        <v>1</v>
      </c>
      <c r="M22" s="23">
        <f>PRIX!L22*B!L22</f>
        <v>7.9</v>
      </c>
      <c r="N22" s="18">
        <v>2</v>
      </c>
      <c r="O22" s="23">
        <f>PRIX!N22*B!N22</f>
        <v>22.8</v>
      </c>
      <c r="P22" s="18">
        <v>2</v>
      </c>
      <c r="Q22" s="23">
        <f>PRIX!P22*B!P22</f>
        <v>29.8</v>
      </c>
    </row>
    <row r="23" spans="1:17" x14ac:dyDescent="0.25">
      <c r="A23" s="5" t="s">
        <v>20</v>
      </c>
      <c r="B23" s="16"/>
      <c r="C23" s="23">
        <f>PRIX!B22*B!B23</f>
        <v>0</v>
      </c>
      <c r="D23" s="18"/>
      <c r="E23" s="23">
        <f>PRIX!D22*B!D23</f>
        <v>0</v>
      </c>
      <c r="F23" s="18">
        <f>PRIX!E22*B!E23</f>
        <v>0</v>
      </c>
      <c r="G23" s="23">
        <f>PRIX!F22*B!F23</f>
        <v>0</v>
      </c>
      <c r="H23" s="19">
        <f>PRIX!G22*B!G23</f>
        <v>0</v>
      </c>
      <c r="I23" s="23">
        <f>PRIX!H22*B!H23</f>
        <v>0</v>
      </c>
      <c r="J23" s="12"/>
      <c r="K23" s="9" t="s">
        <v>34</v>
      </c>
      <c r="L23" s="21">
        <v>1</v>
      </c>
      <c r="M23" s="23">
        <f>PRIX!L23*B!L23</f>
        <v>7.9</v>
      </c>
      <c r="N23" s="18">
        <v>2</v>
      </c>
      <c r="O23" s="23">
        <f>PRIX!N23*B!N23</f>
        <v>22.8</v>
      </c>
      <c r="P23" s="18">
        <v>2</v>
      </c>
      <c r="Q23" s="23">
        <f>PRIX!P23*B!P23</f>
        <v>29.8</v>
      </c>
    </row>
    <row r="24" spans="1:17" x14ac:dyDescent="0.25">
      <c r="A24" s="4" t="s">
        <v>21</v>
      </c>
      <c r="B24" s="17"/>
      <c r="C24" s="23">
        <f>PRIX!B23*B!B24</f>
        <v>0</v>
      </c>
      <c r="D24" s="18"/>
      <c r="E24" s="23">
        <f>PRIX!D23*B!D24</f>
        <v>0</v>
      </c>
      <c r="F24" s="18">
        <f>PRIX!E23*B!E24</f>
        <v>0</v>
      </c>
      <c r="G24" s="23">
        <f>PRIX!F23*B!F24</f>
        <v>0</v>
      </c>
      <c r="H24" s="19">
        <f>PRIX!G23*B!G24</f>
        <v>0</v>
      </c>
      <c r="I24" s="23">
        <f>PRIX!H23*B!H24</f>
        <v>0</v>
      </c>
      <c r="J24" s="12"/>
      <c r="K24" s="9" t="s">
        <v>35</v>
      </c>
      <c r="L24" s="21"/>
      <c r="M24" s="23">
        <f>PRIX!L24*B!L24</f>
        <v>0</v>
      </c>
      <c r="N24" s="18"/>
      <c r="O24" s="23">
        <f>PRIX!N24*B!N24</f>
        <v>0</v>
      </c>
      <c r="P24" s="18"/>
      <c r="Q24" s="23">
        <f>PRIX!P24*B!P24</f>
        <v>0</v>
      </c>
    </row>
    <row r="25" spans="1:17" x14ac:dyDescent="0.25">
      <c r="A25" s="2" t="s">
        <v>22</v>
      </c>
      <c r="B25" s="15">
        <v>4</v>
      </c>
      <c r="C25" s="23">
        <f>PRIX!B24*B!B25</f>
        <v>13.2</v>
      </c>
      <c r="D25" s="18">
        <v>2</v>
      </c>
      <c r="E25" s="23">
        <f>PRIX!D24*B!D25</f>
        <v>13</v>
      </c>
      <c r="F25" s="26"/>
      <c r="G25" s="28"/>
      <c r="H25" s="27"/>
      <c r="I25" s="28"/>
      <c r="J25" s="12"/>
      <c r="K25" s="9" t="s">
        <v>36</v>
      </c>
      <c r="L25" s="21">
        <v>1</v>
      </c>
      <c r="M25" s="23">
        <f>PRIX!L25*B!L25</f>
        <v>7.9</v>
      </c>
      <c r="N25" s="18">
        <v>2</v>
      </c>
      <c r="O25" s="23">
        <f>PRIX!N25*B!N25</f>
        <v>22.8</v>
      </c>
      <c r="P25" s="18">
        <v>2</v>
      </c>
      <c r="Q25" s="23">
        <f>PRIX!P25*B!P25</f>
        <v>29.8</v>
      </c>
    </row>
    <row r="26" spans="1:17" x14ac:dyDescent="0.25">
      <c r="A26" s="2" t="s">
        <v>23</v>
      </c>
      <c r="B26" s="15"/>
      <c r="C26" s="23">
        <f>PRIX!B25*B!B26</f>
        <v>0</v>
      </c>
      <c r="D26" s="18"/>
      <c r="E26" s="23">
        <f>PRIX!D25*B!D26</f>
        <v>0</v>
      </c>
      <c r="F26" s="26"/>
      <c r="G26" s="28"/>
      <c r="H26" s="27"/>
      <c r="I26" s="28"/>
      <c r="J26" s="12"/>
      <c r="K26" s="9" t="s">
        <v>37</v>
      </c>
      <c r="L26" s="21"/>
      <c r="M26" s="23">
        <f>PRIX!L26*B!L26</f>
        <v>0</v>
      </c>
      <c r="N26" s="18"/>
      <c r="O26" s="23">
        <f>PRIX!N26*B!N26</f>
        <v>0</v>
      </c>
      <c r="P26" s="18"/>
      <c r="Q26" s="23">
        <f>PRIX!P26*B!P26</f>
        <v>0</v>
      </c>
    </row>
    <row r="27" spans="1:17" x14ac:dyDescent="0.25">
      <c r="A27" s="2" t="s">
        <v>24</v>
      </c>
      <c r="B27" s="15">
        <v>4</v>
      </c>
      <c r="C27" s="23">
        <f>PRIX!B26*B!B27</f>
        <v>13.2</v>
      </c>
      <c r="D27" s="18"/>
      <c r="E27" s="23">
        <f>PRIX!D26*B!D27</f>
        <v>0</v>
      </c>
      <c r="F27" s="26"/>
      <c r="G27" s="28"/>
      <c r="H27" s="27"/>
      <c r="I27" s="28"/>
      <c r="J27" s="12"/>
      <c r="K27" s="7" t="s">
        <v>41</v>
      </c>
      <c r="L27" s="20"/>
      <c r="M27" s="23">
        <f>PRIX!L27*B!L27</f>
        <v>0</v>
      </c>
      <c r="N27" s="18"/>
      <c r="O27" s="23">
        <f>PRIX!N27*B!N27</f>
        <v>0</v>
      </c>
      <c r="P27" s="18"/>
      <c r="Q27" s="23">
        <f>PRIX!P27*B!P27</f>
        <v>0</v>
      </c>
    </row>
    <row r="28" spans="1:17" x14ac:dyDescent="0.25">
      <c r="A28" s="2" t="s">
        <v>25</v>
      </c>
      <c r="B28" s="15">
        <v>6</v>
      </c>
      <c r="C28" s="23">
        <f>PRIX!B27*B!B28</f>
        <v>18</v>
      </c>
      <c r="D28" s="18"/>
      <c r="E28" s="23">
        <f>PRIX!D27*B!D28</f>
        <v>0</v>
      </c>
      <c r="F28" s="26"/>
      <c r="G28" s="28"/>
      <c r="H28" s="27"/>
      <c r="I28" s="28"/>
      <c r="J28" s="12"/>
      <c r="K28" s="9" t="s">
        <v>42</v>
      </c>
      <c r="L28" s="21">
        <v>1</v>
      </c>
      <c r="M28" s="23">
        <f>PRIX!L28*B!L28</f>
        <v>7.9</v>
      </c>
      <c r="N28" s="18">
        <v>2</v>
      </c>
      <c r="O28" s="23">
        <f>PRIX!N28*B!N28</f>
        <v>22.8</v>
      </c>
      <c r="P28" s="18">
        <v>1</v>
      </c>
      <c r="Q28" s="23">
        <f>PRIX!P28*B!P28</f>
        <v>14.9</v>
      </c>
    </row>
    <row r="29" spans="1:17" x14ac:dyDescent="0.25">
      <c r="A29" s="2" t="s">
        <v>26</v>
      </c>
      <c r="B29" s="15">
        <v>4</v>
      </c>
      <c r="C29" s="23">
        <f>PRIX!B28*B!B29</f>
        <v>13.2</v>
      </c>
      <c r="D29" s="18"/>
      <c r="E29" s="23">
        <f>PRIX!D28*B!D29</f>
        <v>0</v>
      </c>
      <c r="F29" s="26"/>
      <c r="G29" s="28"/>
      <c r="H29" s="27"/>
      <c r="I29" s="28"/>
      <c r="J29" s="12"/>
      <c r="K29" s="9" t="s">
        <v>43</v>
      </c>
      <c r="L29" s="21">
        <v>1</v>
      </c>
      <c r="M29" s="23">
        <f>PRIX!L29*B!L29</f>
        <v>7.9</v>
      </c>
      <c r="N29" s="18">
        <v>2</v>
      </c>
      <c r="O29" s="23">
        <f>PRIX!N29*B!N29</f>
        <v>22.8</v>
      </c>
      <c r="P29" s="18">
        <v>1</v>
      </c>
      <c r="Q29" s="23">
        <f>PRIX!P29*B!P29</f>
        <v>14.9</v>
      </c>
    </row>
    <row r="30" spans="1:17" x14ac:dyDescent="0.25">
      <c r="A30" s="2" t="s">
        <v>27</v>
      </c>
      <c r="B30" s="15">
        <v>4</v>
      </c>
      <c r="C30" s="23">
        <f>PRIX!B29*B!B30</f>
        <v>12</v>
      </c>
      <c r="D30" s="18"/>
      <c r="E30" s="23">
        <f>PRIX!D29*B!D30</f>
        <v>0</v>
      </c>
      <c r="F30" s="26"/>
      <c r="G30" s="28"/>
      <c r="H30" s="27"/>
      <c r="I30" s="28"/>
      <c r="J30" s="12"/>
      <c r="K30" s="9" t="s">
        <v>44</v>
      </c>
      <c r="L30" s="21">
        <v>1</v>
      </c>
      <c r="M30" s="23">
        <f>PRIX!L30*B!L30</f>
        <v>7.9</v>
      </c>
      <c r="N30" s="18">
        <v>2</v>
      </c>
      <c r="O30" s="23">
        <f>PRIX!N30*B!N30</f>
        <v>22.8</v>
      </c>
      <c r="P30" s="18">
        <v>1</v>
      </c>
      <c r="Q30" s="23">
        <f>PRIX!P30*B!P30</f>
        <v>14.9</v>
      </c>
    </row>
    <row r="31" spans="1:17" x14ac:dyDescent="0.25">
      <c r="A31" s="2" t="s">
        <v>28</v>
      </c>
      <c r="B31" s="15">
        <v>4</v>
      </c>
      <c r="C31" s="23">
        <f>PRIX!B30*B!B31</f>
        <v>10.8</v>
      </c>
      <c r="D31" s="26"/>
      <c r="E31" s="28"/>
      <c r="F31" s="26"/>
      <c r="G31" s="28"/>
      <c r="H31" s="27"/>
      <c r="I31" s="28"/>
      <c r="J31" s="12"/>
      <c r="K31" s="9" t="s">
        <v>45</v>
      </c>
      <c r="L31" s="21"/>
      <c r="M31" s="23">
        <f>PRIX!L31*B!L31</f>
        <v>0</v>
      </c>
      <c r="N31" s="18"/>
      <c r="O31" s="23">
        <f>PRIX!N31*B!N31</f>
        <v>0</v>
      </c>
      <c r="P31" s="18"/>
      <c r="Q31" s="23">
        <f>PRIX!P31*B!P31</f>
        <v>0</v>
      </c>
    </row>
    <row r="32" spans="1:17" x14ac:dyDescent="0.25">
      <c r="A32" s="2" t="s">
        <v>29</v>
      </c>
      <c r="B32" s="15"/>
      <c r="C32" s="23">
        <f>PRIX!B31*B!B32</f>
        <v>0</v>
      </c>
      <c r="D32" s="26"/>
      <c r="E32" s="28"/>
      <c r="F32" s="26"/>
      <c r="G32" s="28"/>
      <c r="H32" s="27"/>
      <c r="I32" s="28"/>
      <c r="J32" s="12"/>
      <c r="K32" s="9" t="s">
        <v>46</v>
      </c>
      <c r="L32" s="21"/>
      <c r="M32" s="23">
        <f>PRIX!L32*B!L32</f>
        <v>0</v>
      </c>
      <c r="N32" s="18"/>
      <c r="O32" s="23">
        <f>PRIX!N32*B!N32</f>
        <v>0</v>
      </c>
      <c r="P32" s="18"/>
      <c r="Q32" s="23">
        <f>PRIX!P32*B!P32</f>
        <v>0</v>
      </c>
    </row>
    <row r="33" spans="1:17" x14ac:dyDescent="0.25">
      <c r="A33" s="2" t="s">
        <v>30</v>
      </c>
      <c r="B33" s="15">
        <v>4</v>
      </c>
      <c r="C33" s="23">
        <f>PRIX!B32*B!B33</f>
        <v>13.2</v>
      </c>
      <c r="D33" s="18"/>
      <c r="E33" s="23">
        <f>PRIX!D32*B!D33</f>
        <v>0</v>
      </c>
      <c r="F33" s="18">
        <f>PRIX!E32*B!E33</f>
        <v>0</v>
      </c>
      <c r="G33" s="23">
        <f>PRIX!F32*B!F33</f>
        <v>0</v>
      </c>
      <c r="H33" s="19">
        <f>PRIX!G32*B!G33</f>
        <v>0</v>
      </c>
      <c r="I33" s="23">
        <f>PRIX!H32*B!H33</f>
        <v>0</v>
      </c>
      <c r="J33" s="12"/>
      <c r="K33" s="9" t="s">
        <v>47</v>
      </c>
      <c r="L33" s="21">
        <v>1</v>
      </c>
      <c r="M33" s="23">
        <f>PRIX!L33*B!L33</f>
        <v>7.9</v>
      </c>
      <c r="N33" s="18">
        <v>1</v>
      </c>
      <c r="O33" s="23">
        <f>PRIX!N33*B!N33</f>
        <v>11.4</v>
      </c>
      <c r="P33" s="18">
        <v>1</v>
      </c>
      <c r="Q33" s="23">
        <f>PRIX!P33*B!P33</f>
        <v>14.9</v>
      </c>
    </row>
    <row r="34" spans="1:17" x14ac:dyDescent="0.25">
      <c r="A34" s="2" t="s">
        <v>31</v>
      </c>
      <c r="B34" s="15">
        <v>4</v>
      </c>
      <c r="C34" s="23">
        <f>PRIX!B33*B!B34</f>
        <v>13.2</v>
      </c>
      <c r="D34" s="18"/>
      <c r="E34" s="23">
        <f>PRIX!D33*B!D34</f>
        <v>0</v>
      </c>
      <c r="F34" s="18">
        <f>PRIX!E33*B!E34</f>
        <v>0</v>
      </c>
      <c r="G34" s="23">
        <f>PRIX!F33*B!F34</f>
        <v>0</v>
      </c>
      <c r="H34" s="19">
        <f>PRIX!G33*B!G34</f>
        <v>0</v>
      </c>
      <c r="I34" s="23">
        <f>PRIX!H33*B!H34</f>
        <v>0</v>
      </c>
      <c r="J34" s="12"/>
      <c r="K34" s="9"/>
      <c r="L34" s="21"/>
      <c r="M34" s="23">
        <f>PRIX!L34*B!L34</f>
        <v>0</v>
      </c>
      <c r="N34" s="15"/>
      <c r="O34" s="23">
        <f>PRIX!N34*B!N34</f>
        <v>0</v>
      </c>
      <c r="P34" s="18"/>
      <c r="Q34" s="23">
        <f>PRIX!P34*B!P34</f>
        <v>0</v>
      </c>
    </row>
    <row r="35" spans="1:17" x14ac:dyDescent="0.25">
      <c r="A35" s="1" t="s">
        <v>32</v>
      </c>
      <c r="B35" s="14"/>
      <c r="C35" s="23">
        <f>PRIX!B34*B!B35</f>
        <v>0</v>
      </c>
      <c r="D35" s="18"/>
      <c r="E35" s="23">
        <f>PRIX!D34*B!D35</f>
        <v>0</v>
      </c>
      <c r="F35" s="18">
        <f>PRIX!E34*B!E35</f>
        <v>0</v>
      </c>
      <c r="G35" s="23">
        <f>PRIX!F34*B!F35</f>
        <v>0</v>
      </c>
      <c r="H35" s="19">
        <f>PRIX!G34*B!G35</f>
        <v>0</v>
      </c>
      <c r="I35" s="23">
        <f>PRIX!H34*B!H35</f>
        <v>0</v>
      </c>
      <c r="J35" s="12"/>
      <c r="K35" s="9"/>
      <c r="L35" s="21"/>
      <c r="M35" s="23">
        <f>PRIX!L35*B!L35</f>
        <v>0</v>
      </c>
      <c r="N35" s="15"/>
      <c r="O35" s="23">
        <f>PRIX!N35*B!N35</f>
        <v>0</v>
      </c>
      <c r="P35" s="18"/>
      <c r="Q35" s="23">
        <f>PRIX!P35*B!P35</f>
        <v>0</v>
      </c>
    </row>
    <row r="36" spans="1:17" x14ac:dyDescent="0.25">
      <c r="A36" s="2" t="s">
        <v>33</v>
      </c>
      <c r="B36" s="15">
        <v>3</v>
      </c>
      <c r="C36" s="23">
        <f>PRIX!B35*B!B36</f>
        <v>9.8999999999999986</v>
      </c>
      <c r="D36" s="18">
        <v>2</v>
      </c>
      <c r="E36" s="23">
        <f>PRIX!D35*B!D36</f>
        <v>13</v>
      </c>
      <c r="F36" s="18">
        <f>PRIX!E35*B!E36</f>
        <v>0</v>
      </c>
      <c r="G36" s="23">
        <f>PRIX!F35*B!F36</f>
        <v>0</v>
      </c>
      <c r="H36" s="19">
        <f>PRIX!G35*B!G36</f>
        <v>0</v>
      </c>
      <c r="I36" s="23">
        <f>PRIX!H35*B!H36</f>
        <v>0</v>
      </c>
      <c r="J36" s="12"/>
      <c r="K36" s="9"/>
      <c r="L36" s="21"/>
      <c r="M36" s="23">
        <f>PRIX!L36*B!L36</f>
        <v>0</v>
      </c>
      <c r="N36" s="15"/>
      <c r="O36" s="23">
        <f>PRIX!N36*B!N36</f>
        <v>0</v>
      </c>
      <c r="P36" s="18"/>
      <c r="Q36" s="23">
        <f>PRIX!P36*B!P36</f>
        <v>0</v>
      </c>
    </row>
    <row r="37" spans="1:17" x14ac:dyDescent="0.25">
      <c r="A37" s="2" t="s">
        <v>34</v>
      </c>
      <c r="B37" s="15">
        <v>3</v>
      </c>
      <c r="C37" s="23">
        <f>PRIX!B36*B!B37</f>
        <v>9.8999999999999986</v>
      </c>
      <c r="D37" s="18">
        <v>2</v>
      </c>
      <c r="E37" s="23">
        <f>PRIX!D36*B!D37</f>
        <v>13</v>
      </c>
      <c r="F37" s="18">
        <f>PRIX!E36*B!E37</f>
        <v>0</v>
      </c>
      <c r="G37" s="23">
        <f>PRIX!F36*B!F37</f>
        <v>0</v>
      </c>
      <c r="H37" s="19">
        <f>PRIX!G36*B!G37</f>
        <v>0</v>
      </c>
      <c r="I37" s="23">
        <f>PRIX!H36*B!H37</f>
        <v>0</v>
      </c>
      <c r="J37" s="12"/>
      <c r="K37" s="9"/>
      <c r="L37" s="21"/>
      <c r="M37" s="5"/>
      <c r="N37" s="15"/>
      <c r="O37" s="5"/>
      <c r="P37" s="15"/>
      <c r="Q37" s="5"/>
    </row>
    <row r="38" spans="1:17" x14ac:dyDescent="0.25">
      <c r="A38" s="2" t="s">
        <v>35</v>
      </c>
      <c r="B38" s="15">
        <v>3</v>
      </c>
      <c r="C38" s="23">
        <f>PRIX!B37*B!B38</f>
        <v>9.8999999999999986</v>
      </c>
      <c r="D38" s="18">
        <v>2</v>
      </c>
      <c r="E38" s="23">
        <f>PRIX!D37*B!D38</f>
        <v>13</v>
      </c>
      <c r="F38" s="18">
        <f>PRIX!E37*B!E38</f>
        <v>0</v>
      </c>
      <c r="G38" s="23">
        <f>PRIX!F37*B!F38</f>
        <v>0</v>
      </c>
      <c r="H38" s="19">
        <f>PRIX!G37*B!G38</f>
        <v>0</v>
      </c>
      <c r="I38" s="23">
        <f>PRIX!H37*B!H38</f>
        <v>0</v>
      </c>
      <c r="J38" s="12"/>
      <c r="K38" s="9"/>
      <c r="L38" s="21"/>
      <c r="M38" s="5"/>
      <c r="N38" s="15"/>
      <c r="O38" s="5"/>
      <c r="P38" s="15"/>
      <c r="Q38" s="5"/>
    </row>
    <row r="39" spans="1:17" x14ac:dyDescent="0.25">
      <c r="A39" s="2" t="s">
        <v>36</v>
      </c>
      <c r="B39" s="15">
        <v>3</v>
      </c>
      <c r="C39" s="23">
        <f>PRIX!B38*B!B39</f>
        <v>9.8999999999999986</v>
      </c>
      <c r="D39" s="18">
        <v>2</v>
      </c>
      <c r="E39" s="23">
        <f>PRIX!D38*B!D39</f>
        <v>13</v>
      </c>
      <c r="F39" s="18">
        <f>PRIX!E38*B!E39</f>
        <v>0</v>
      </c>
      <c r="G39" s="23">
        <f>PRIX!F38*B!F39</f>
        <v>0</v>
      </c>
      <c r="H39" s="19">
        <f>PRIX!G38*B!G39</f>
        <v>0</v>
      </c>
      <c r="I39" s="23">
        <f>PRIX!H38*B!H39</f>
        <v>0</v>
      </c>
      <c r="J39" s="12"/>
      <c r="K39" s="9"/>
      <c r="L39" s="21"/>
      <c r="M39" s="5"/>
      <c r="N39" s="15"/>
      <c r="O39" s="5"/>
      <c r="P39" s="15"/>
      <c r="Q39" s="5"/>
    </row>
    <row r="40" spans="1:17" x14ac:dyDescent="0.25">
      <c r="A40" s="2" t="s">
        <v>37</v>
      </c>
      <c r="B40" s="15"/>
      <c r="C40" s="23">
        <f>PRIX!B39*B!B40</f>
        <v>0</v>
      </c>
      <c r="D40" s="18"/>
      <c r="E40" s="23">
        <f>PRIX!D39*B!D40</f>
        <v>0</v>
      </c>
      <c r="F40" s="18">
        <f>PRIX!E39*B!E40</f>
        <v>0</v>
      </c>
      <c r="G40" s="23">
        <f>PRIX!F39*B!F40</f>
        <v>0</v>
      </c>
      <c r="H40" s="19">
        <f>PRIX!G39*B!G40</f>
        <v>0</v>
      </c>
      <c r="I40" s="23">
        <f>PRIX!H39*B!H40</f>
        <v>0</v>
      </c>
      <c r="J40" s="12"/>
      <c r="K40" s="9"/>
      <c r="L40" s="21"/>
      <c r="M40" s="5"/>
      <c r="N40" s="15"/>
      <c r="O40" s="5"/>
      <c r="P40" s="15"/>
      <c r="Q40" s="5"/>
    </row>
    <row r="41" spans="1:17" x14ac:dyDescent="0.25">
      <c r="A41" s="2" t="s">
        <v>38</v>
      </c>
      <c r="B41" s="15">
        <v>3</v>
      </c>
      <c r="C41" s="23">
        <f>PRIX!B40*B!B41</f>
        <v>9.8999999999999986</v>
      </c>
      <c r="D41" s="18"/>
      <c r="E41" s="23">
        <f>PRIX!D40*B!D41</f>
        <v>0</v>
      </c>
      <c r="F41" s="18">
        <f>PRIX!E40*B!E41</f>
        <v>0</v>
      </c>
      <c r="G41" s="23">
        <f>PRIX!F40*B!F41</f>
        <v>0</v>
      </c>
      <c r="H41" s="19">
        <f>PRIX!G40*B!G41</f>
        <v>0</v>
      </c>
      <c r="I41" s="23">
        <f>PRIX!H40*B!H41</f>
        <v>0</v>
      </c>
      <c r="J41" s="12"/>
      <c r="K41" s="9"/>
      <c r="L41" s="21"/>
      <c r="M41" s="5"/>
      <c r="N41" s="15"/>
      <c r="O41" s="5"/>
      <c r="P41" s="15"/>
      <c r="Q41" s="5"/>
    </row>
    <row r="42" spans="1:17" x14ac:dyDescent="0.25">
      <c r="A42" s="2" t="s">
        <v>39</v>
      </c>
      <c r="B42" s="15">
        <v>3</v>
      </c>
      <c r="C42" s="23">
        <f>PRIX!B41*B!B42</f>
        <v>9.8999999999999986</v>
      </c>
      <c r="D42" s="18"/>
      <c r="E42" s="23">
        <f>PRIX!D41*B!D42</f>
        <v>0</v>
      </c>
      <c r="F42" s="18">
        <f>PRIX!E41*B!E42</f>
        <v>0</v>
      </c>
      <c r="G42" s="23">
        <f>PRIX!F41*B!F42</f>
        <v>0</v>
      </c>
      <c r="H42" s="19">
        <f>PRIX!G41*B!G42</f>
        <v>0</v>
      </c>
      <c r="I42" s="23">
        <f>PRIX!H41*B!H42</f>
        <v>0</v>
      </c>
      <c r="J42" s="12"/>
      <c r="K42" s="9"/>
      <c r="L42" s="21"/>
      <c r="M42" s="5"/>
      <c r="N42" s="15"/>
      <c r="O42" s="5"/>
      <c r="P42" s="15"/>
      <c r="Q42" s="5"/>
    </row>
    <row r="43" spans="1:17" x14ac:dyDescent="0.25">
      <c r="A43" s="2" t="s">
        <v>40</v>
      </c>
      <c r="B43" s="15">
        <v>3</v>
      </c>
      <c r="C43" s="23">
        <f>PRIX!B42*B!B43</f>
        <v>9.8999999999999986</v>
      </c>
      <c r="D43" s="18"/>
      <c r="E43" s="23">
        <f>PRIX!D42*B!D43</f>
        <v>0</v>
      </c>
      <c r="F43" s="18">
        <f>PRIX!E42*B!E43</f>
        <v>0</v>
      </c>
      <c r="G43" s="23">
        <f>PRIX!F42*B!F43</f>
        <v>0</v>
      </c>
      <c r="H43" s="19">
        <f>PRIX!G42*B!G43</f>
        <v>0</v>
      </c>
      <c r="I43" s="23">
        <f>PRIX!H42*B!H43</f>
        <v>0</v>
      </c>
      <c r="J43" s="12"/>
      <c r="K43" s="9"/>
      <c r="L43" s="21"/>
      <c r="M43" s="5"/>
      <c r="N43" s="15"/>
      <c r="O43" s="5"/>
      <c r="P43" s="15"/>
      <c r="Q43" s="5"/>
    </row>
    <row r="44" spans="1:17" x14ac:dyDescent="0.25">
      <c r="A44" s="1" t="s">
        <v>41</v>
      </c>
      <c r="B44" s="14"/>
      <c r="C44" s="23">
        <f>PRIX!B43*B!B44</f>
        <v>0</v>
      </c>
      <c r="D44" s="18"/>
      <c r="E44" s="23">
        <f>PRIX!D43*B!D44</f>
        <v>0</v>
      </c>
      <c r="F44" s="18">
        <f>PRIX!E43*B!E44</f>
        <v>0</v>
      </c>
      <c r="G44" s="23">
        <f>PRIX!F43*B!F44</f>
        <v>0</v>
      </c>
      <c r="H44" s="19">
        <f>PRIX!G43*B!G44</f>
        <v>0</v>
      </c>
      <c r="I44" s="23">
        <f>PRIX!H43*B!H44</f>
        <v>0</v>
      </c>
      <c r="J44" s="12"/>
      <c r="K44" s="9"/>
      <c r="L44" s="21"/>
      <c r="M44" s="5"/>
      <c r="N44" s="15"/>
      <c r="O44" s="5"/>
      <c r="P44" s="15"/>
      <c r="Q44" s="5"/>
    </row>
    <row r="45" spans="1:17" x14ac:dyDescent="0.25">
      <c r="A45" s="2" t="s">
        <v>42</v>
      </c>
      <c r="B45" s="15">
        <v>4</v>
      </c>
      <c r="C45" s="23">
        <f>PRIX!B44*B!B45</f>
        <v>13.6</v>
      </c>
      <c r="D45" s="18">
        <v>2</v>
      </c>
      <c r="E45" s="23">
        <f>PRIX!D44*B!D45</f>
        <v>13.2</v>
      </c>
      <c r="F45" s="18">
        <f>PRIX!E44*B!E45</f>
        <v>0</v>
      </c>
      <c r="G45" s="23">
        <f>PRIX!F44*B!F45</f>
        <v>0</v>
      </c>
      <c r="H45" s="19">
        <f>PRIX!G44*B!G45</f>
        <v>0</v>
      </c>
      <c r="I45" s="23">
        <f>PRIX!H44*B!H45</f>
        <v>0</v>
      </c>
      <c r="J45" s="12"/>
      <c r="K45" s="9"/>
      <c r="L45" s="21"/>
      <c r="M45" s="5"/>
      <c r="N45" s="15"/>
      <c r="O45" s="5"/>
      <c r="P45" s="15"/>
      <c r="Q45" s="5"/>
    </row>
    <row r="46" spans="1:17" x14ac:dyDescent="0.25">
      <c r="A46" s="2" t="s">
        <v>43</v>
      </c>
      <c r="B46" s="15">
        <v>4</v>
      </c>
      <c r="C46" s="23">
        <f>PRIX!B45*B!B46</f>
        <v>13.6</v>
      </c>
      <c r="D46" s="18">
        <v>2</v>
      </c>
      <c r="E46" s="23">
        <f>PRIX!D45*B!D46</f>
        <v>13.2</v>
      </c>
      <c r="F46" s="18">
        <f>PRIX!E45*B!E46</f>
        <v>0</v>
      </c>
      <c r="G46" s="23">
        <f>PRIX!F45*B!F46</f>
        <v>0</v>
      </c>
      <c r="H46" s="19">
        <f>PRIX!G45*B!G46</f>
        <v>0</v>
      </c>
      <c r="I46" s="23">
        <f>PRIX!H45*B!H46</f>
        <v>0</v>
      </c>
      <c r="J46" s="12"/>
      <c r="K46" s="9"/>
      <c r="L46" s="21"/>
      <c r="M46" s="5"/>
      <c r="N46" s="15"/>
      <c r="O46" s="5"/>
      <c r="P46" s="15"/>
      <c r="Q46" s="5"/>
    </row>
    <row r="47" spans="1:17" x14ac:dyDescent="0.25">
      <c r="A47" s="2" t="s">
        <v>44</v>
      </c>
      <c r="B47" s="15">
        <v>4</v>
      </c>
      <c r="C47" s="23">
        <f>PRIX!B46*B!B47</f>
        <v>13.6</v>
      </c>
      <c r="D47" s="18">
        <v>2</v>
      </c>
      <c r="E47" s="23">
        <f>PRIX!D46*B!D47</f>
        <v>13.2</v>
      </c>
      <c r="F47" s="18">
        <f>PRIX!E46*B!E47</f>
        <v>0</v>
      </c>
      <c r="G47" s="23">
        <f>PRIX!F46*B!F47</f>
        <v>0</v>
      </c>
      <c r="H47" s="19">
        <f>PRIX!G46*B!G47</f>
        <v>0</v>
      </c>
      <c r="I47" s="23">
        <f>PRIX!H46*B!H47</f>
        <v>0</v>
      </c>
      <c r="J47" s="12"/>
      <c r="K47" s="9"/>
      <c r="L47" s="21"/>
      <c r="M47" s="5"/>
      <c r="N47" s="15"/>
      <c r="O47" s="5"/>
      <c r="P47" s="15"/>
      <c r="Q47" s="5"/>
    </row>
    <row r="48" spans="1:17" x14ac:dyDescent="0.25">
      <c r="A48" s="2" t="s">
        <v>45</v>
      </c>
      <c r="B48" s="15"/>
      <c r="C48" s="23">
        <f>PRIX!B47*B!B48</f>
        <v>0</v>
      </c>
      <c r="D48" s="18"/>
      <c r="E48" s="23">
        <f>PRIX!D47*B!D48</f>
        <v>0</v>
      </c>
      <c r="F48" s="18">
        <f>PRIX!E47*B!E48</f>
        <v>0</v>
      </c>
      <c r="G48" s="23">
        <f>PRIX!F47*B!F48</f>
        <v>0</v>
      </c>
      <c r="H48" s="19">
        <f>PRIX!G47*B!G48</f>
        <v>0</v>
      </c>
      <c r="I48" s="23">
        <f>PRIX!H47*B!H48</f>
        <v>0</v>
      </c>
      <c r="J48" s="12"/>
      <c r="K48" s="9"/>
      <c r="L48" s="21"/>
      <c r="M48" s="5"/>
      <c r="N48" s="15"/>
      <c r="O48" s="5"/>
      <c r="P48" s="15"/>
      <c r="Q48" s="5"/>
    </row>
    <row r="49" spans="1:17" x14ac:dyDescent="0.25">
      <c r="A49" s="2" t="s">
        <v>46</v>
      </c>
      <c r="B49" s="15"/>
      <c r="C49" s="23">
        <f>PRIX!B48*B!B49</f>
        <v>0</v>
      </c>
      <c r="D49" s="18"/>
      <c r="E49" s="23">
        <f>PRIX!D48*B!D49</f>
        <v>0</v>
      </c>
      <c r="F49" s="18">
        <f>PRIX!E48*B!E49</f>
        <v>0</v>
      </c>
      <c r="G49" s="23">
        <f>PRIX!F48*B!F49</f>
        <v>0</v>
      </c>
      <c r="H49" s="19">
        <f>PRIX!G48*B!G49</f>
        <v>0</v>
      </c>
      <c r="I49" s="23">
        <f>PRIX!H48*B!H49</f>
        <v>0</v>
      </c>
      <c r="J49" s="12"/>
      <c r="K49" s="9"/>
      <c r="L49" s="21"/>
      <c r="M49" s="5"/>
      <c r="N49" s="15"/>
      <c r="O49" s="5"/>
      <c r="P49" s="15"/>
      <c r="Q49" s="5"/>
    </row>
    <row r="50" spans="1:17" ht="18.75" customHeight="1" x14ac:dyDescent="0.25">
      <c r="A50" s="2" t="s">
        <v>47</v>
      </c>
      <c r="B50" s="15">
        <v>4</v>
      </c>
      <c r="C50" s="23">
        <f>PRIX!B49*B!B50</f>
        <v>13.6</v>
      </c>
      <c r="D50" s="18">
        <v>2</v>
      </c>
      <c r="E50" s="23">
        <f>PRIX!D49*B!D50</f>
        <v>13.2</v>
      </c>
      <c r="F50" s="18">
        <f>PRIX!E49*B!E50</f>
        <v>0</v>
      </c>
      <c r="G50" s="23">
        <f>PRIX!F49*B!F50</f>
        <v>0</v>
      </c>
      <c r="H50" s="19">
        <f>PRIX!G49*B!G50</f>
        <v>0</v>
      </c>
      <c r="I50" s="23">
        <f>PRIX!H49*B!H50</f>
        <v>0</v>
      </c>
      <c r="J50">
        <f>SUM(J4:J49)</f>
        <v>0</v>
      </c>
      <c r="K50">
        <f t="shared" ref="K50" si="0">SUM(K4:K49)</f>
        <v>0</v>
      </c>
      <c r="L50">
        <f t="shared" ref="L50" si="1">SUM(L4:L49)</f>
        <v>7</v>
      </c>
      <c r="M50">
        <f t="shared" ref="M50" si="2">SUM(M4:M49)</f>
        <v>55.3</v>
      </c>
      <c r="N50">
        <f t="shared" ref="N50" si="3">SUM(N4:N49)</f>
        <v>65</v>
      </c>
      <c r="O50">
        <f t="shared" ref="O50" si="4">SUM(O4:O49)</f>
        <v>638.39999999999986</v>
      </c>
      <c r="P50">
        <f t="shared" ref="P50" si="5">SUM(P4:P49)</f>
        <v>23</v>
      </c>
      <c r="Q50">
        <f t="shared" ref="Q50" si="6">SUM(Q4:Q49)</f>
        <v>323.89999999999992</v>
      </c>
    </row>
    <row r="51" spans="1:17" ht="19.5" customHeight="1" x14ac:dyDescent="0.25">
      <c r="B51">
        <f t="shared" ref="B51:I51" si="7">SUM(B4:B50)</f>
        <v>127</v>
      </c>
      <c r="C51">
        <f t="shared" si="7"/>
        <v>367.89999999999992</v>
      </c>
      <c r="D51">
        <f t="shared" si="7"/>
        <v>36</v>
      </c>
      <c r="E51">
        <f t="shared" si="7"/>
        <v>196.19999999999993</v>
      </c>
      <c r="F51">
        <f t="shared" si="7"/>
        <v>0</v>
      </c>
      <c r="G51">
        <f t="shared" si="7"/>
        <v>0</v>
      </c>
      <c r="H51">
        <f t="shared" si="7"/>
        <v>0</v>
      </c>
      <c r="I51">
        <f t="shared" si="7"/>
        <v>0</v>
      </c>
    </row>
    <row r="53" spans="1:17" x14ac:dyDescent="0.25">
      <c r="E53" t="s">
        <v>66</v>
      </c>
      <c r="G53" t="s">
        <v>67</v>
      </c>
    </row>
    <row r="54" spans="1:17" x14ac:dyDescent="0.25">
      <c r="C54" s="25">
        <f>C51+E51+G51+I51+M50+O50+Q50</f>
        <v>1581.6999999999996</v>
      </c>
      <c r="E54">
        <f>B51+D51+F51+H51</f>
        <v>163</v>
      </c>
      <c r="G54">
        <f>L50+N50+P50</f>
        <v>95</v>
      </c>
    </row>
  </sheetData>
  <mergeCells count="1">
    <mergeCell ref="B1:I1"/>
  </mergeCells>
  <conditionalFormatting sqref="J4:Q49 B4:I50">
    <cfRule type="cellIs" dxfId="2" priority="1" operator="equal">
      <formula>0</formula>
    </cfRule>
  </conditionalFormatting>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Q54"/>
  <sheetViews>
    <sheetView topLeftCell="A22" workbookViewId="0">
      <selection activeCell="A13" sqref="A13:I13"/>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4</v>
      </c>
      <c r="C4" s="23">
        <f>PRIX!B4*'C'!B4</f>
        <v>8.1999999999999993</v>
      </c>
      <c r="D4" s="18">
        <v>2</v>
      </c>
      <c r="E4" s="23">
        <f>PRIX!D4*'C'!D4</f>
        <v>7.6</v>
      </c>
      <c r="F4" s="23">
        <v>2</v>
      </c>
      <c r="G4" s="23">
        <f>PRIX!F4*'C'!F4</f>
        <v>4.2</v>
      </c>
      <c r="H4" s="23">
        <v>2</v>
      </c>
      <c r="I4" s="23">
        <f>PRIX!H4*'C'!H4</f>
        <v>7.8</v>
      </c>
      <c r="J4" s="12"/>
      <c r="K4" s="9" t="s">
        <v>57</v>
      </c>
      <c r="L4" s="21"/>
      <c r="M4" s="23">
        <f>PRIX!L4*'C'!L4</f>
        <v>0</v>
      </c>
      <c r="N4" s="18"/>
      <c r="O4" s="23">
        <f>PRIX!N4*'C'!N4</f>
        <v>0</v>
      </c>
      <c r="P4" s="18"/>
      <c r="Q4" s="23">
        <f>PRIX!P4*'C'!P4</f>
        <v>0</v>
      </c>
    </row>
    <row r="5" spans="1:17" x14ac:dyDescent="0.25">
      <c r="A5" s="2" t="s">
        <v>2</v>
      </c>
      <c r="B5" s="15">
        <v>4</v>
      </c>
      <c r="C5" s="23">
        <f>PRIX!B5*'C'!B5</f>
        <v>8.1999999999999993</v>
      </c>
      <c r="D5" s="18">
        <v>2</v>
      </c>
      <c r="E5" s="23">
        <f>PRIX!D5*'C'!D5</f>
        <v>7.6</v>
      </c>
      <c r="F5" s="18">
        <f>PRIX!E5*'C'!E5</f>
        <v>0</v>
      </c>
      <c r="G5" s="23">
        <f>PRIX!F5*'C'!F5</f>
        <v>0</v>
      </c>
      <c r="H5" s="19">
        <f>PRIX!G5*'C'!G5</f>
        <v>0</v>
      </c>
      <c r="I5" s="23">
        <f>PRIX!H5*'C'!H5</f>
        <v>0</v>
      </c>
      <c r="J5" s="12"/>
      <c r="K5" s="9" t="s">
        <v>58</v>
      </c>
      <c r="L5" s="21"/>
      <c r="M5" s="23">
        <f>PRIX!L5*'C'!L5</f>
        <v>0</v>
      </c>
      <c r="N5" s="18">
        <v>2</v>
      </c>
      <c r="O5" s="23">
        <f>PRIX!N5*'C'!N5</f>
        <v>22.8</v>
      </c>
      <c r="P5" s="18">
        <v>1</v>
      </c>
      <c r="Q5" s="23">
        <f>PRIX!P5*'C'!P5</f>
        <v>14.9</v>
      </c>
    </row>
    <row r="6" spans="1:17" x14ac:dyDescent="0.25">
      <c r="A6" s="2" t="s">
        <v>3</v>
      </c>
      <c r="B6" s="15">
        <v>4</v>
      </c>
      <c r="C6" s="23">
        <f>PRIX!B6*'C'!B6</f>
        <v>10.6</v>
      </c>
      <c r="D6" s="18">
        <v>2</v>
      </c>
      <c r="E6" s="23">
        <f>PRIX!D6*'C'!D6</f>
        <v>10.1</v>
      </c>
      <c r="F6" s="18">
        <v>2</v>
      </c>
      <c r="G6" s="23">
        <f>PRIX!F6*'C'!F6</f>
        <v>5.4</v>
      </c>
      <c r="H6" s="19">
        <v>2</v>
      </c>
      <c r="I6" s="23">
        <f>PRIX!H6*'C'!H6</f>
        <v>10.199999999999999</v>
      </c>
      <c r="J6" s="12"/>
      <c r="K6" s="7" t="s">
        <v>11</v>
      </c>
      <c r="L6" s="20"/>
      <c r="M6" s="23">
        <f>PRIX!L6*'C'!L6</f>
        <v>0</v>
      </c>
      <c r="N6" s="18"/>
      <c r="O6" s="23">
        <f>PRIX!N6*'C'!N6</f>
        <v>0</v>
      </c>
      <c r="P6" s="18"/>
      <c r="Q6" s="23">
        <f>PRIX!P6*'C'!P6</f>
        <v>0</v>
      </c>
    </row>
    <row r="7" spans="1:17" x14ac:dyDescent="0.25">
      <c r="A7" s="2" t="s">
        <v>4</v>
      </c>
      <c r="B7" s="15">
        <v>4</v>
      </c>
      <c r="C7" s="23">
        <f>PRIX!B7*'C'!B7</f>
        <v>10.6</v>
      </c>
      <c r="D7" s="18">
        <v>2</v>
      </c>
      <c r="E7" s="23">
        <f>PRIX!D7*'C'!D7</f>
        <v>10.1</v>
      </c>
      <c r="F7" s="18">
        <f>PRIX!E7*'C'!E7</f>
        <v>0</v>
      </c>
      <c r="G7" s="23">
        <f>PRIX!F7*'C'!F7</f>
        <v>0</v>
      </c>
      <c r="H7" s="19">
        <f>PRIX!G7*'C'!G7</f>
        <v>0</v>
      </c>
      <c r="I7" s="23">
        <f>PRIX!H7*'C'!H7</f>
        <v>0</v>
      </c>
      <c r="J7" s="12"/>
      <c r="K7" s="9" t="s">
        <v>12</v>
      </c>
      <c r="L7" s="21"/>
      <c r="M7" s="23">
        <f>PRIX!L7*'C'!L7</f>
        <v>0</v>
      </c>
      <c r="N7" s="18">
        <v>4</v>
      </c>
      <c r="O7" s="23">
        <f>PRIX!N7*'C'!N7</f>
        <v>30</v>
      </c>
      <c r="P7" s="18">
        <v>2</v>
      </c>
      <c r="Q7" s="23">
        <f>PRIX!P7*'C'!P7</f>
        <v>21</v>
      </c>
    </row>
    <row r="8" spans="1:17" x14ac:dyDescent="0.25">
      <c r="A8" s="2" t="s">
        <v>5</v>
      </c>
      <c r="B8" s="15">
        <v>4</v>
      </c>
      <c r="C8" s="23">
        <f>PRIX!B8*'C'!B8</f>
        <v>8.4</v>
      </c>
      <c r="D8" s="18">
        <v>2</v>
      </c>
      <c r="E8" s="23">
        <f>PRIX!D8*'C'!D8</f>
        <v>7.8</v>
      </c>
      <c r="F8" s="18">
        <f>PRIX!E8*'C'!E8</f>
        <v>0</v>
      </c>
      <c r="G8" s="23">
        <f>PRIX!F8*'C'!F8</f>
        <v>0</v>
      </c>
      <c r="H8" s="19">
        <f>PRIX!G8*'C'!G8</f>
        <v>0</v>
      </c>
      <c r="I8" s="23">
        <f>PRIX!H8*'C'!H8</f>
        <v>0</v>
      </c>
      <c r="J8" s="12"/>
      <c r="K8" s="9" t="s">
        <v>15</v>
      </c>
      <c r="L8" s="21"/>
      <c r="M8" s="23">
        <f>PRIX!L8*'C'!L8</f>
        <v>0</v>
      </c>
      <c r="N8" s="18">
        <v>10</v>
      </c>
      <c r="O8" s="23">
        <f>PRIX!N8*'C'!N8</f>
        <v>75</v>
      </c>
      <c r="P8" s="18"/>
      <c r="Q8" s="23">
        <f>PRIX!P8*'C'!P8</f>
        <v>0</v>
      </c>
    </row>
    <row r="9" spans="1:17" x14ac:dyDescent="0.25">
      <c r="A9" s="2" t="s">
        <v>6</v>
      </c>
      <c r="B9" s="15">
        <v>4</v>
      </c>
      <c r="C9" s="23">
        <f>PRIX!B9*'C'!B9</f>
        <v>8.4</v>
      </c>
      <c r="D9" s="18">
        <v>2</v>
      </c>
      <c r="E9" s="23">
        <f>PRIX!D9*'C'!D9</f>
        <v>7.8</v>
      </c>
      <c r="F9" s="18">
        <v>2</v>
      </c>
      <c r="G9" s="23">
        <f>PRIX!F9*'C'!F9</f>
        <v>4.4000000000000004</v>
      </c>
      <c r="H9" s="19">
        <v>2</v>
      </c>
      <c r="I9" s="23">
        <f>PRIX!H9*'C'!H9</f>
        <v>8</v>
      </c>
      <c r="J9" s="12"/>
      <c r="K9" s="9" t="s">
        <v>59</v>
      </c>
      <c r="L9" s="30"/>
      <c r="M9" s="28"/>
      <c r="N9" s="18">
        <v>10</v>
      </c>
      <c r="O9" s="23">
        <f>PRIX!N9*'C'!N9</f>
        <v>79</v>
      </c>
      <c r="P9" s="26"/>
      <c r="Q9" s="28"/>
    </row>
    <row r="10" spans="1:17" x14ac:dyDescent="0.25">
      <c r="A10" s="2" t="s">
        <v>7</v>
      </c>
      <c r="B10" s="15">
        <v>4</v>
      </c>
      <c r="C10" s="23">
        <f>PRIX!B10*'C'!B10</f>
        <v>10.8</v>
      </c>
      <c r="D10" s="18"/>
      <c r="E10" s="23">
        <f>PRIX!D10*'C'!D10</f>
        <v>0</v>
      </c>
      <c r="F10" s="18">
        <f>PRIX!E10*'C'!E10</f>
        <v>0</v>
      </c>
      <c r="G10" s="23">
        <f>PRIX!F10*'C'!F10</f>
        <v>0</v>
      </c>
      <c r="H10" s="19">
        <f>PRIX!G10*'C'!G10</f>
        <v>0</v>
      </c>
      <c r="I10" s="23">
        <f>PRIX!H10*'C'!H10</f>
        <v>0</v>
      </c>
      <c r="J10" s="12"/>
      <c r="K10" s="7" t="s">
        <v>60</v>
      </c>
      <c r="L10" s="20"/>
      <c r="M10" s="23">
        <f>PRIX!L10*'C'!L10</f>
        <v>0</v>
      </c>
      <c r="N10" s="18"/>
      <c r="O10" s="23">
        <f>PRIX!N10*'C'!N10</f>
        <v>0</v>
      </c>
      <c r="P10" s="18"/>
      <c r="Q10" s="23">
        <f>PRIX!P10*'C'!P10</f>
        <v>0</v>
      </c>
    </row>
    <row r="11" spans="1:17" x14ac:dyDescent="0.25">
      <c r="A11" s="2" t="s">
        <v>8</v>
      </c>
      <c r="B11" s="15">
        <v>4</v>
      </c>
      <c r="C11" s="23">
        <f>PRIX!B11*'C'!B11</f>
        <v>10.8</v>
      </c>
      <c r="D11" s="18"/>
      <c r="E11" s="23">
        <f>PRIX!D11*'C'!D11</f>
        <v>0</v>
      </c>
      <c r="F11" s="18">
        <f>PRIX!E11*'C'!E11</f>
        <v>0</v>
      </c>
      <c r="G11" s="23">
        <f>PRIX!F11*'C'!F11</f>
        <v>0</v>
      </c>
      <c r="H11" s="19">
        <f>PRIX!G11*'C'!G11</f>
        <v>0</v>
      </c>
      <c r="I11" s="23">
        <f>PRIX!H11*'C'!H11</f>
        <v>0</v>
      </c>
      <c r="J11" s="12"/>
      <c r="K11" s="10" t="s">
        <v>21</v>
      </c>
      <c r="L11" s="22"/>
      <c r="M11" s="23">
        <f>PRIX!L11*'C'!L11</f>
        <v>0</v>
      </c>
      <c r="N11" s="18"/>
      <c r="O11" s="23">
        <f>PRIX!N11*'C'!N11</f>
        <v>0</v>
      </c>
      <c r="P11" s="18"/>
      <c r="Q11" s="23">
        <f>PRIX!P11*'C'!P11</f>
        <v>0</v>
      </c>
    </row>
    <row r="12" spans="1:17" x14ac:dyDescent="0.25">
      <c r="A12" s="2" t="s">
        <v>9</v>
      </c>
      <c r="B12" s="15">
        <v>6</v>
      </c>
      <c r="C12" s="23">
        <f>PRIX!B12*'C'!B12</f>
        <v>16.200000000000003</v>
      </c>
      <c r="D12" s="18"/>
      <c r="E12" s="23">
        <f>PRIX!D12*'C'!D12</f>
        <v>0</v>
      </c>
      <c r="F12" s="26"/>
      <c r="G12" s="28"/>
      <c r="H12" s="27"/>
      <c r="I12" s="28"/>
      <c r="J12" s="12"/>
      <c r="K12" s="9" t="s">
        <v>61</v>
      </c>
      <c r="L12" s="21"/>
      <c r="M12" s="23">
        <f>PRIX!L12*'C'!L12</f>
        <v>0</v>
      </c>
      <c r="N12" s="18">
        <v>2</v>
      </c>
      <c r="O12" s="23">
        <f>PRIX!N12*'C'!N12</f>
        <v>21.8</v>
      </c>
      <c r="P12" s="18">
        <v>2</v>
      </c>
      <c r="Q12" s="23">
        <f>PRIX!P12*'C'!P12</f>
        <v>27.8</v>
      </c>
    </row>
    <row r="13" spans="1:17" x14ac:dyDescent="0.25">
      <c r="A13" s="2"/>
      <c r="B13" s="15"/>
      <c r="C13" s="23"/>
      <c r="D13" s="18"/>
      <c r="E13" s="23"/>
      <c r="F13" s="26"/>
      <c r="G13" s="28"/>
      <c r="H13" s="27"/>
      <c r="I13" s="28"/>
      <c r="J13" s="12"/>
      <c r="K13" s="9" t="s">
        <v>25</v>
      </c>
      <c r="L13" s="21"/>
      <c r="M13" s="23">
        <f>PRIX!L13*'C'!L13</f>
        <v>0</v>
      </c>
      <c r="N13" s="18">
        <v>8</v>
      </c>
      <c r="O13" s="23">
        <f>PRIX!N13*'C'!N13</f>
        <v>87.2</v>
      </c>
      <c r="P13" s="18"/>
      <c r="Q13" s="23">
        <f>PRIX!P13*'C'!P13</f>
        <v>0</v>
      </c>
    </row>
    <row r="14" spans="1:17" x14ac:dyDescent="0.25">
      <c r="A14" s="1" t="s">
        <v>11</v>
      </c>
      <c r="B14" s="14"/>
      <c r="C14" s="23">
        <f>PRIX!B13*'C'!B14</f>
        <v>0</v>
      </c>
      <c r="D14" s="18"/>
      <c r="E14" s="23">
        <f>PRIX!D13*'C'!D14</f>
        <v>0</v>
      </c>
      <c r="F14" s="18">
        <f>PRIX!E13*'C'!E14</f>
        <v>0</v>
      </c>
      <c r="G14" s="23">
        <f>PRIX!F13*'C'!F14</f>
        <v>0</v>
      </c>
      <c r="H14" s="19">
        <f>PRIX!G13*'C'!G14</f>
        <v>0</v>
      </c>
      <c r="I14" s="23">
        <f>PRIX!H13*'C'!H14</f>
        <v>0</v>
      </c>
      <c r="J14" s="12"/>
      <c r="K14" s="9" t="s">
        <v>62</v>
      </c>
      <c r="L14" s="21"/>
      <c r="M14" s="23">
        <f>PRIX!L14*'C'!L14</f>
        <v>0</v>
      </c>
      <c r="N14" s="18"/>
      <c r="O14" s="23">
        <f>PRIX!N14*'C'!N14</f>
        <v>0</v>
      </c>
      <c r="P14" s="18"/>
      <c r="Q14" s="23">
        <f>PRIX!P14*'C'!P14</f>
        <v>0</v>
      </c>
    </row>
    <row r="15" spans="1:17" x14ac:dyDescent="0.25">
      <c r="A15" s="2" t="s">
        <v>12</v>
      </c>
      <c r="B15" s="15">
        <v>4</v>
      </c>
      <c r="C15" s="23">
        <f>PRIX!B14*'C'!B15</f>
        <v>10.8</v>
      </c>
      <c r="D15" s="18">
        <v>4</v>
      </c>
      <c r="E15" s="23">
        <f>PRIX!D14*'C'!D15</f>
        <v>21.6</v>
      </c>
      <c r="F15" s="26"/>
      <c r="G15" s="28"/>
      <c r="H15" s="27"/>
      <c r="I15" s="28"/>
      <c r="J15" s="12"/>
      <c r="K15" s="9" t="s">
        <v>26</v>
      </c>
      <c r="L15" s="21"/>
      <c r="M15" s="23">
        <f>PRIX!L15*'C'!L15</f>
        <v>0</v>
      </c>
      <c r="N15" s="18">
        <v>6</v>
      </c>
      <c r="O15" s="23">
        <f>PRIX!N15*'C'!N15</f>
        <v>65.400000000000006</v>
      </c>
      <c r="P15" s="18"/>
      <c r="Q15" s="23">
        <f>PRIX!P15*'C'!P15</f>
        <v>0</v>
      </c>
    </row>
    <row r="16" spans="1:17" x14ac:dyDescent="0.25">
      <c r="A16" s="2" t="s">
        <v>13</v>
      </c>
      <c r="B16" s="15">
        <v>4</v>
      </c>
      <c r="C16" s="23">
        <f>PRIX!B15*'C'!B16</f>
        <v>11.6</v>
      </c>
      <c r="D16" s="18"/>
      <c r="E16" s="23">
        <f>PRIX!D15*'C'!D16</f>
        <v>0</v>
      </c>
      <c r="F16" s="26"/>
      <c r="G16" s="28"/>
      <c r="H16" s="27"/>
      <c r="I16" s="28"/>
      <c r="J16" s="12"/>
      <c r="K16" s="9" t="s">
        <v>27</v>
      </c>
      <c r="L16" s="21"/>
      <c r="M16" s="23">
        <f>PRIX!L16*'C'!L16</f>
        <v>0</v>
      </c>
      <c r="N16" s="18">
        <v>4</v>
      </c>
      <c r="O16" s="23">
        <f>PRIX!N16*'C'!N16</f>
        <v>43.6</v>
      </c>
      <c r="P16" s="18">
        <v>2</v>
      </c>
      <c r="Q16" s="23">
        <f>PRIX!P16*'C'!P16</f>
        <v>27.8</v>
      </c>
    </row>
    <row r="17" spans="1:17" x14ac:dyDescent="0.25">
      <c r="A17" s="2" t="s">
        <v>14</v>
      </c>
      <c r="B17" s="15">
        <v>2</v>
      </c>
      <c r="C17" s="23">
        <f>PRIX!B16*'C'!B17</f>
        <v>5.8</v>
      </c>
      <c r="D17" s="26"/>
      <c r="E17" s="28"/>
      <c r="F17" s="26"/>
      <c r="G17" s="28"/>
      <c r="H17" s="27"/>
      <c r="I17" s="28"/>
      <c r="J17" s="12"/>
      <c r="K17" s="9" t="s">
        <v>28</v>
      </c>
      <c r="L17" s="21"/>
      <c r="M17" s="23">
        <f>PRIX!L17*'C'!L17</f>
        <v>0</v>
      </c>
      <c r="N17" s="18">
        <v>2</v>
      </c>
      <c r="O17" s="23">
        <f>PRIX!N17*'C'!N17</f>
        <v>21.8</v>
      </c>
      <c r="P17" s="18">
        <v>2</v>
      </c>
      <c r="Q17" s="23">
        <f>PRIX!P17*'C'!P17</f>
        <v>27.8</v>
      </c>
    </row>
    <row r="18" spans="1:17" x14ac:dyDescent="0.25">
      <c r="A18" s="2" t="s">
        <v>15</v>
      </c>
      <c r="B18" s="15">
        <v>12</v>
      </c>
      <c r="C18" s="23">
        <f>PRIX!B17*'C'!B18</f>
        <v>26.400000000000002</v>
      </c>
      <c r="D18" s="18">
        <v>6</v>
      </c>
      <c r="E18" s="23">
        <f>PRIX!D17*'C'!D18</f>
        <v>26.400000000000002</v>
      </c>
      <c r="F18" s="18">
        <v>4</v>
      </c>
      <c r="G18" s="23">
        <f>PRIX!F17*'C'!F18</f>
        <v>9.1999999999999993</v>
      </c>
      <c r="H18" s="19">
        <v>4</v>
      </c>
      <c r="I18" s="23">
        <f>PRIX!H17*'C'!H18</f>
        <v>18</v>
      </c>
      <c r="J18" s="12"/>
      <c r="K18" s="9" t="s">
        <v>29</v>
      </c>
      <c r="L18" s="21"/>
      <c r="M18" s="23">
        <f>PRIX!L18*'C'!L18</f>
        <v>0</v>
      </c>
      <c r="N18" s="18"/>
      <c r="O18" s="23">
        <f>PRIX!N18*'C'!N18</f>
        <v>0</v>
      </c>
      <c r="P18" s="18"/>
      <c r="Q18" s="23">
        <f>PRIX!P18*'C'!P18</f>
        <v>0</v>
      </c>
    </row>
    <row r="19" spans="1:17" x14ac:dyDescent="0.25">
      <c r="A19" s="2" t="s">
        <v>16</v>
      </c>
      <c r="B19" s="15">
        <v>4</v>
      </c>
      <c r="C19" s="23">
        <f>PRIX!B18*'C'!B19</f>
        <v>8.8000000000000007</v>
      </c>
      <c r="D19" s="18">
        <v>2</v>
      </c>
      <c r="E19" s="23">
        <f>PRIX!D18*'C'!D19</f>
        <v>8.8000000000000007</v>
      </c>
      <c r="F19" s="18">
        <f>PRIX!E18*'C'!E19</f>
        <v>0</v>
      </c>
      <c r="G19" s="23">
        <f>PRIX!F18*'C'!F19</f>
        <v>0</v>
      </c>
      <c r="H19" s="19">
        <f>PRIX!G18*'C'!G19</f>
        <v>0</v>
      </c>
      <c r="I19" s="23">
        <f>PRIX!H18*'C'!H19</f>
        <v>0</v>
      </c>
      <c r="J19" s="12"/>
      <c r="K19" s="9" t="s">
        <v>30</v>
      </c>
      <c r="L19" s="21"/>
      <c r="M19" s="23">
        <f>PRIX!L19*'C'!L19</f>
        <v>0</v>
      </c>
      <c r="N19" s="18">
        <v>2</v>
      </c>
      <c r="O19" s="23">
        <f>PRIX!N19*'C'!N19</f>
        <v>21.8</v>
      </c>
      <c r="P19" s="18">
        <v>2</v>
      </c>
      <c r="Q19" s="23">
        <f>PRIX!P19*'C'!P19</f>
        <v>27.8</v>
      </c>
    </row>
    <row r="20" spans="1:17" x14ac:dyDescent="0.25">
      <c r="A20" s="2" t="s">
        <v>17</v>
      </c>
      <c r="B20" s="15">
        <v>4</v>
      </c>
      <c r="C20" s="23">
        <f>PRIX!B19*'C'!B20</f>
        <v>8.8000000000000007</v>
      </c>
      <c r="D20" s="18"/>
      <c r="E20" s="23">
        <f>PRIX!D19*'C'!D20</f>
        <v>0</v>
      </c>
      <c r="F20" s="18">
        <f>PRIX!E19*'C'!E20</f>
        <v>0</v>
      </c>
      <c r="G20" s="23">
        <f>PRIX!F19*'C'!F20</f>
        <v>0</v>
      </c>
      <c r="H20" s="19">
        <f>PRIX!G19*'C'!G20</f>
        <v>0</v>
      </c>
      <c r="I20" s="23">
        <f>PRIX!H19*'C'!H20</f>
        <v>0</v>
      </c>
      <c r="J20" s="12"/>
      <c r="K20" s="9" t="s">
        <v>31</v>
      </c>
      <c r="L20" s="21"/>
      <c r="M20" s="23">
        <f>PRIX!L20*'C'!L20</f>
        <v>0</v>
      </c>
      <c r="N20" s="18">
        <v>2</v>
      </c>
      <c r="O20" s="23">
        <f>PRIX!N20*'C'!N20</f>
        <v>21.8</v>
      </c>
      <c r="P20" s="18">
        <v>2</v>
      </c>
      <c r="Q20" s="23">
        <f>PRIX!P20*'C'!P20</f>
        <v>27.8</v>
      </c>
    </row>
    <row r="21" spans="1:17" x14ac:dyDescent="0.25">
      <c r="A21" s="2" t="s">
        <v>18</v>
      </c>
      <c r="B21" s="15">
        <v>4</v>
      </c>
      <c r="C21" s="23">
        <f>PRIX!B20*'C'!B21</f>
        <v>11.2</v>
      </c>
      <c r="D21" s="18"/>
      <c r="E21" s="23">
        <f>PRIX!D20*'C'!D21</f>
        <v>0</v>
      </c>
      <c r="F21" s="26"/>
      <c r="G21" s="28"/>
      <c r="H21" s="27"/>
      <c r="I21" s="28"/>
      <c r="J21" s="12"/>
      <c r="K21" s="7" t="s">
        <v>32</v>
      </c>
      <c r="L21" s="20"/>
      <c r="M21" s="23">
        <f>PRIX!L21*'C'!L21</f>
        <v>0</v>
      </c>
      <c r="N21" s="18"/>
      <c r="O21" s="23">
        <f>PRIX!N21*'C'!N21</f>
        <v>0</v>
      </c>
      <c r="P21" s="18"/>
      <c r="Q21" s="23">
        <f>PRIX!P21*'C'!P21</f>
        <v>0</v>
      </c>
    </row>
    <row r="22" spans="1:17" x14ac:dyDescent="0.25">
      <c r="A22" s="2" t="s">
        <v>19</v>
      </c>
      <c r="B22" s="15">
        <v>4</v>
      </c>
      <c r="C22" s="23">
        <f>PRIX!B21*'C'!B22</f>
        <v>10.8</v>
      </c>
      <c r="D22" s="18"/>
      <c r="E22" s="23">
        <f>PRIX!D21*'C'!D22</f>
        <v>0</v>
      </c>
      <c r="F22" s="26"/>
      <c r="G22" s="28"/>
      <c r="H22" s="27"/>
      <c r="I22" s="28"/>
      <c r="J22" s="12"/>
      <c r="K22" s="9" t="s">
        <v>33</v>
      </c>
      <c r="L22" s="21">
        <v>1</v>
      </c>
      <c r="M22" s="23">
        <f>PRIX!L22*'C'!L22</f>
        <v>7.9</v>
      </c>
      <c r="N22" s="18">
        <v>2</v>
      </c>
      <c r="O22" s="23">
        <f>PRIX!N22*'C'!N22</f>
        <v>22.8</v>
      </c>
      <c r="P22" s="18">
        <v>2</v>
      </c>
      <c r="Q22" s="23">
        <f>PRIX!P22*'C'!P22</f>
        <v>29.8</v>
      </c>
    </row>
    <row r="23" spans="1:17" x14ac:dyDescent="0.25">
      <c r="A23" s="5" t="s">
        <v>20</v>
      </c>
      <c r="B23" s="16"/>
      <c r="C23" s="23">
        <f>PRIX!B22*'C'!B23</f>
        <v>0</v>
      </c>
      <c r="D23" s="18"/>
      <c r="E23" s="23">
        <f>PRIX!D22*'C'!D23</f>
        <v>0</v>
      </c>
      <c r="F23" s="18">
        <f>PRIX!E22*'C'!E23</f>
        <v>0</v>
      </c>
      <c r="G23" s="23">
        <f>PRIX!F22*'C'!F23</f>
        <v>0</v>
      </c>
      <c r="H23" s="19">
        <f>PRIX!G22*'C'!G23</f>
        <v>0</v>
      </c>
      <c r="I23" s="23">
        <f>PRIX!H22*'C'!H23</f>
        <v>0</v>
      </c>
      <c r="J23" s="12"/>
      <c r="K23" s="9" t="s">
        <v>34</v>
      </c>
      <c r="L23" s="21">
        <v>1</v>
      </c>
      <c r="M23" s="23">
        <f>PRIX!L23*'C'!L23</f>
        <v>7.9</v>
      </c>
      <c r="N23" s="18">
        <v>2</v>
      </c>
      <c r="O23" s="23">
        <f>PRIX!N23*'C'!N23</f>
        <v>22.8</v>
      </c>
      <c r="P23" s="18">
        <v>2</v>
      </c>
      <c r="Q23" s="23">
        <f>PRIX!P23*'C'!P23</f>
        <v>29.8</v>
      </c>
    </row>
    <row r="24" spans="1:17" x14ac:dyDescent="0.25">
      <c r="A24" s="4" t="s">
        <v>21</v>
      </c>
      <c r="B24" s="17"/>
      <c r="C24" s="23">
        <f>PRIX!B23*'C'!B24</f>
        <v>0</v>
      </c>
      <c r="D24" s="18"/>
      <c r="E24" s="23">
        <f>PRIX!D23*'C'!D24</f>
        <v>0</v>
      </c>
      <c r="F24" s="18">
        <f>PRIX!E23*'C'!E24</f>
        <v>0</v>
      </c>
      <c r="G24" s="23">
        <f>PRIX!F23*'C'!F24</f>
        <v>0</v>
      </c>
      <c r="H24" s="19">
        <f>PRIX!G23*'C'!G24</f>
        <v>0</v>
      </c>
      <c r="I24" s="23">
        <f>PRIX!H23*'C'!H24</f>
        <v>0</v>
      </c>
      <c r="J24" s="12"/>
      <c r="K24" s="9" t="s">
        <v>35</v>
      </c>
      <c r="L24" s="21"/>
      <c r="M24" s="23">
        <f>PRIX!L24*'C'!L24</f>
        <v>0</v>
      </c>
      <c r="N24" s="18"/>
      <c r="O24" s="23">
        <f>PRIX!N24*'C'!N24</f>
        <v>0</v>
      </c>
      <c r="P24" s="18"/>
      <c r="Q24" s="23">
        <f>PRIX!P24*'C'!P24</f>
        <v>0</v>
      </c>
    </row>
    <row r="25" spans="1:17" x14ac:dyDescent="0.25">
      <c r="A25" s="2" t="s">
        <v>22</v>
      </c>
      <c r="B25" s="15">
        <v>4</v>
      </c>
      <c r="C25" s="23">
        <f>PRIX!B24*'C'!B25</f>
        <v>13.2</v>
      </c>
      <c r="D25" s="18">
        <v>2</v>
      </c>
      <c r="E25" s="23">
        <f>PRIX!D24*'C'!D25</f>
        <v>13</v>
      </c>
      <c r="F25" s="26"/>
      <c r="G25" s="28"/>
      <c r="H25" s="27"/>
      <c r="I25" s="28"/>
      <c r="J25" s="12"/>
      <c r="K25" s="9" t="s">
        <v>36</v>
      </c>
      <c r="L25" s="21">
        <v>1</v>
      </c>
      <c r="M25" s="23">
        <f>PRIX!L25*'C'!L25</f>
        <v>7.9</v>
      </c>
      <c r="N25" s="18">
        <v>2</v>
      </c>
      <c r="O25" s="23">
        <f>PRIX!N25*'C'!N25</f>
        <v>22.8</v>
      </c>
      <c r="P25" s="18">
        <v>2</v>
      </c>
      <c r="Q25" s="23">
        <f>PRIX!P25*'C'!P25</f>
        <v>29.8</v>
      </c>
    </row>
    <row r="26" spans="1:17" x14ac:dyDescent="0.25">
      <c r="A26" s="2" t="s">
        <v>23</v>
      </c>
      <c r="B26" s="15">
        <v>4</v>
      </c>
      <c r="C26" s="23">
        <f>PRIX!B25*'C'!B26</f>
        <v>13.2</v>
      </c>
      <c r="D26" s="18">
        <v>2</v>
      </c>
      <c r="E26" s="23">
        <f>PRIX!D25*'C'!D26</f>
        <v>13</v>
      </c>
      <c r="F26" s="26"/>
      <c r="G26" s="28"/>
      <c r="H26" s="27"/>
      <c r="I26" s="28"/>
      <c r="J26" s="12"/>
      <c r="K26" s="9" t="s">
        <v>37</v>
      </c>
      <c r="L26" s="21"/>
      <c r="M26" s="23">
        <f>PRIX!L26*'C'!L26</f>
        <v>0</v>
      </c>
      <c r="N26" s="18"/>
      <c r="O26" s="23">
        <f>PRIX!N26*'C'!N26</f>
        <v>0</v>
      </c>
      <c r="P26" s="18"/>
      <c r="Q26" s="23">
        <f>PRIX!P26*'C'!P26</f>
        <v>0</v>
      </c>
    </row>
    <row r="27" spans="1:17" x14ac:dyDescent="0.25">
      <c r="A27" s="2" t="s">
        <v>24</v>
      </c>
      <c r="B27" s="15">
        <v>4</v>
      </c>
      <c r="C27" s="23">
        <f>PRIX!B26*'C'!B27</f>
        <v>13.2</v>
      </c>
      <c r="D27" s="18"/>
      <c r="E27" s="23">
        <f>PRIX!D26*'C'!D27</f>
        <v>0</v>
      </c>
      <c r="F27" s="26"/>
      <c r="G27" s="28"/>
      <c r="H27" s="27"/>
      <c r="I27" s="28"/>
      <c r="J27" s="12"/>
      <c r="K27" s="7" t="s">
        <v>41</v>
      </c>
      <c r="L27" s="20"/>
      <c r="M27" s="23">
        <f>PRIX!L27*'C'!L27</f>
        <v>0</v>
      </c>
      <c r="N27" s="18"/>
      <c r="O27" s="23">
        <f>PRIX!N27*'C'!N27</f>
        <v>0</v>
      </c>
      <c r="P27" s="18"/>
      <c r="Q27" s="23">
        <f>PRIX!P27*'C'!P27</f>
        <v>0</v>
      </c>
    </row>
    <row r="28" spans="1:17" x14ac:dyDescent="0.25">
      <c r="A28" s="2" t="s">
        <v>25</v>
      </c>
      <c r="B28" s="15">
        <v>6</v>
      </c>
      <c r="C28" s="23">
        <f>PRIX!B27*'C'!B28</f>
        <v>18</v>
      </c>
      <c r="D28" s="18"/>
      <c r="E28" s="23">
        <f>PRIX!D27*'C'!D28</f>
        <v>0</v>
      </c>
      <c r="F28" s="26"/>
      <c r="G28" s="28"/>
      <c r="H28" s="27"/>
      <c r="I28" s="28"/>
      <c r="J28" s="12"/>
      <c r="K28" s="9" t="s">
        <v>42</v>
      </c>
      <c r="L28" s="21">
        <v>1</v>
      </c>
      <c r="M28" s="23">
        <f>PRIX!L28*'C'!L28</f>
        <v>7.9</v>
      </c>
      <c r="N28" s="18">
        <v>2</v>
      </c>
      <c r="O28" s="23">
        <f>PRIX!N28*'C'!N28</f>
        <v>22.8</v>
      </c>
      <c r="P28" s="18">
        <v>1</v>
      </c>
      <c r="Q28" s="23">
        <f>PRIX!P28*'C'!P28</f>
        <v>14.9</v>
      </c>
    </row>
    <row r="29" spans="1:17" x14ac:dyDescent="0.25">
      <c r="A29" s="2" t="s">
        <v>26</v>
      </c>
      <c r="B29" s="15">
        <v>4</v>
      </c>
      <c r="C29" s="23">
        <f>PRIX!B28*'C'!B29</f>
        <v>13.2</v>
      </c>
      <c r="D29" s="18"/>
      <c r="E29" s="23">
        <f>PRIX!D28*'C'!D29</f>
        <v>0</v>
      </c>
      <c r="F29" s="26"/>
      <c r="G29" s="28"/>
      <c r="H29" s="27"/>
      <c r="I29" s="28"/>
      <c r="J29" s="12"/>
      <c r="K29" s="9" t="s">
        <v>43</v>
      </c>
      <c r="L29" s="21">
        <v>1</v>
      </c>
      <c r="M29" s="23">
        <f>PRIX!L29*'C'!L29</f>
        <v>7.9</v>
      </c>
      <c r="N29" s="18">
        <v>2</v>
      </c>
      <c r="O29" s="23">
        <f>PRIX!N29*'C'!N29</f>
        <v>22.8</v>
      </c>
      <c r="P29" s="18">
        <v>1</v>
      </c>
      <c r="Q29" s="23">
        <f>PRIX!P29*'C'!P29</f>
        <v>14.9</v>
      </c>
    </row>
    <row r="30" spans="1:17" x14ac:dyDescent="0.25">
      <c r="A30" s="2" t="s">
        <v>27</v>
      </c>
      <c r="B30" s="15">
        <v>4</v>
      </c>
      <c r="C30" s="23">
        <f>PRIX!B29*'C'!B30</f>
        <v>12</v>
      </c>
      <c r="D30" s="18"/>
      <c r="E30" s="23">
        <f>PRIX!D29*'C'!D30</f>
        <v>0</v>
      </c>
      <c r="F30" s="26"/>
      <c r="G30" s="28"/>
      <c r="H30" s="27"/>
      <c r="I30" s="28"/>
      <c r="J30" s="12"/>
      <c r="K30" s="9" t="s">
        <v>44</v>
      </c>
      <c r="L30" s="21">
        <v>1</v>
      </c>
      <c r="M30" s="23">
        <f>PRIX!L30*'C'!L30</f>
        <v>7.9</v>
      </c>
      <c r="N30" s="18">
        <v>2</v>
      </c>
      <c r="O30" s="23">
        <f>PRIX!N30*'C'!N30</f>
        <v>22.8</v>
      </c>
      <c r="P30" s="18">
        <v>1</v>
      </c>
      <c r="Q30" s="23">
        <f>PRIX!P30*'C'!P30</f>
        <v>14.9</v>
      </c>
    </row>
    <row r="31" spans="1:17" x14ac:dyDescent="0.25">
      <c r="A31" s="2" t="s">
        <v>28</v>
      </c>
      <c r="B31" s="15">
        <v>4</v>
      </c>
      <c r="C31" s="23">
        <f>PRIX!B30*'C'!B31</f>
        <v>10.8</v>
      </c>
      <c r="D31" s="26"/>
      <c r="E31" s="28"/>
      <c r="F31" s="26"/>
      <c r="G31" s="28"/>
      <c r="H31" s="27"/>
      <c r="I31" s="28"/>
      <c r="J31" s="12"/>
      <c r="K31" s="9" t="s">
        <v>45</v>
      </c>
      <c r="L31" s="21"/>
      <c r="M31" s="23">
        <f>PRIX!L31*'C'!L31</f>
        <v>0</v>
      </c>
      <c r="N31" s="18">
        <v>4</v>
      </c>
      <c r="O31" s="23">
        <f>PRIX!N31*'C'!N31</f>
        <v>45.6</v>
      </c>
      <c r="P31" s="18"/>
      <c r="Q31" s="23">
        <f>PRIX!P31*'C'!P31</f>
        <v>0</v>
      </c>
    </row>
    <row r="32" spans="1:17" x14ac:dyDescent="0.25">
      <c r="A32" s="2" t="s">
        <v>29</v>
      </c>
      <c r="B32" s="15">
        <v>4</v>
      </c>
      <c r="C32" s="23">
        <f>PRIX!B31*'C'!B32</f>
        <v>15.2</v>
      </c>
      <c r="D32" s="26"/>
      <c r="E32" s="28"/>
      <c r="F32" s="26"/>
      <c r="G32" s="28"/>
      <c r="H32" s="27"/>
      <c r="I32" s="28"/>
      <c r="J32" s="12"/>
      <c r="K32" s="9" t="s">
        <v>46</v>
      </c>
      <c r="L32" s="21"/>
      <c r="M32" s="23">
        <f>PRIX!L32*'C'!L32</f>
        <v>0</v>
      </c>
      <c r="N32" s="18"/>
      <c r="O32" s="23">
        <f>PRIX!N32*'C'!N32</f>
        <v>0</v>
      </c>
      <c r="P32" s="18"/>
      <c r="Q32" s="23">
        <f>PRIX!P32*'C'!P32</f>
        <v>0</v>
      </c>
    </row>
    <row r="33" spans="1:17" x14ac:dyDescent="0.25">
      <c r="A33" s="2" t="s">
        <v>30</v>
      </c>
      <c r="B33" s="15">
        <v>4</v>
      </c>
      <c r="C33" s="23">
        <f>PRIX!B32*'C'!B33</f>
        <v>13.2</v>
      </c>
      <c r="D33" s="18"/>
      <c r="E33" s="23">
        <f>PRIX!D32*'C'!D33</f>
        <v>0</v>
      </c>
      <c r="F33" s="18">
        <f>PRIX!E32*'C'!E33</f>
        <v>0</v>
      </c>
      <c r="G33" s="23">
        <f>PRIX!F32*'C'!F33</f>
        <v>0</v>
      </c>
      <c r="H33" s="19">
        <f>PRIX!G32*'C'!G33</f>
        <v>0</v>
      </c>
      <c r="I33" s="23">
        <f>PRIX!H32*'C'!H33</f>
        <v>0</v>
      </c>
      <c r="J33" s="12"/>
      <c r="K33" s="9" t="s">
        <v>47</v>
      </c>
      <c r="L33" s="21">
        <v>1</v>
      </c>
      <c r="M33" s="23">
        <f>PRIX!L33*'C'!L33</f>
        <v>7.9</v>
      </c>
      <c r="N33" s="18">
        <v>1</v>
      </c>
      <c r="O33" s="23">
        <f>PRIX!N33*'C'!N33</f>
        <v>11.4</v>
      </c>
      <c r="P33" s="18">
        <v>1</v>
      </c>
      <c r="Q33" s="23">
        <f>PRIX!P33*'C'!P33</f>
        <v>14.9</v>
      </c>
    </row>
    <row r="34" spans="1:17" x14ac:dyDescent="0.25">
      <c r="A34" s="2" t="s">
        <v>31</v>
      </c>
      <c r="B34" s="15">
        <v>4</v>
      </c>
      <c r="C34" s="23">
        <f>PRIX!B33*'C'!B34</f>
        <v>13.2</v>
      </c>
      <c r="D34" s="18"/>
      <c r="E34" s="23">
        <f>PRIX!D33*'C'!D34</f>
        <v>0</v>
      </c>
      <c r="F34" s="18">
        <f>PRIX!E33*'C'!E34</f>
        <v>0</v>
      </c>
      <c r="G34" s="23">
        <f>PRIX!F33*'C'!F34</f>
        <v>0</v>
      </c>
      <c r="H34" s="19">
        <f>PRIX!G33*'C'!G34</f>
        <v>0</v>
      </c>
      <c r="I34" s="23">
        <f>PRIX!H33*'C'!H34</f>
        <v>0</v>
      </c>
      <c r="J34" s="12"/>
      <c r="K34" s="9"/>
      <c r="L34" s="21"/>
      <c r="M34" s="23">
        <f>PRIX!L34*'C'!L34</f>
        <v>0</v>
      </c>
      <c r="N34" s="15"/>
      <c r="O34" s="23">
        <f>PRIX!N34*'C'!N34</f>
        <v>0</v>
      </c>
      <c r="P34" s="18"/>
      <c r="Q34" s="23">
        <f>PRIX!P34*'C'!P34</f>
        <v>0</v>
      </c>
    </row>
    <row r="35" spans="1:17" x14ac:dyDescent="0.25">
      <c r="A35" s="1" t="s">
        <v>32</v>
      </c>
      <c r="B35" s="14"/>
      <c r="C35" s="23">
        <f>PRIX!B34*'C'!B35</f>
        <v>0</v>
      </c>
      <c r="D35" s="18"/>
      <c r="E35" s="23">
        <f>PRIX!D34*'C'!D35</f>
        <v>0</v>
      </c>
      <c r="F35" s="18">
        <f>PRIX!E34*'C'!E35</f>
        <v>0</v>
      </c>
      <c r="G35" s="23">
        <f>PRIX!F34*'C'!F35</f>
        <v>0</v>
      </c>
      <c r="H35" s="19">
        <f>PRIX!G34*'C'!G35</f>
        <v>0</v>
      </c>
      <c r="I35" s="23">
        <f>PRIX!H34*'C'!H35</f>
        <v>0</v>
      </c>
      <c r="J35" s="12"/>
      <c r="K35" s="9"/>
      <c r="L35" s="21"/>
      <c r="M35" s="23">
        <f>PRIX!L35*'C'!L35</f>
        <v>0</v>
      </c>
      <c r="N35" s="15"/>
      <c r="O35" s="23">
        <f>PRIX!N35*'C'!N35</f>
        <v>0</v>
      </c>
      <c r="P35" s="18"/>
      <c r="Q35" s="23">
        <f>PRIX!P35*'C'!P35</f>
        <v>0</v>
      </c>
    </row>
    <row r="36" spans="1:17" x14ac:dyDescent="0.25">
      <c r="A36" s="2" t="s">
        <v>33</v>
      </c>
      <c r="B36" s="15">
        <v>3</v>
      </c>
      <c r="C36" s="23">
        <f>PRIX!B35*'C'!B36</f>
        <v>9.8999999999999986</v>
      </c>
      <c r="D36" s="18">
        <v>2</v>
      </c>
      <c r="E36" s="23">
        <f>PRIX!D35*'C'!D36</f>
        <v>13</v>
      </c>
      <c r="F36" s="18">
        <v>2</v>
      </c>
      <c r="G36" s="23">
        <f>PRIX!F35*'C'!F36</f>
        <v>6.8</v>
      </c>
      <c r="H36" s="19">
        <v>2</v>
      </c>
      <c r="I36" s="23">
        <f>PRIX!H35*'C'!H36</f>
        <v>13.2</v>
      </c>
      <c r="J36" s="12"/>
      <c r="K36" s="9"/>
      <c r="L36" s="21"/>
      <c r="M36" s="23">
        <f>PRIX!L36*'C'!L36</f>
        <v>0</v>
      </c>
      <c r="N36" s="15"/>
      <c r="O36" s="23">
        <f>PRIX!N36*'C'!N36</f>
        <v>0</v>
      </c>
      <c r="P36" s="18"/>
      <c r="Q36" s="23">
        <f>PRIX!P36*'C'!P36</f>
        <v>0</v>
      </c>
    </row>
    <row r="37" spans="1:17" x14ac:dyDescent="0.25">
      <c r="A37" s="2" t="s">
        <v>34</v>
      </c>
      <c r="B37" s="15">
        <v>3</v>
      </c>
      <c r="C37" s="23">
        <f>PRIX!B36*'C'!B37</f>
        <v>9.8999999999999986</v>
      </c>
      <c r="D37" s="18">
        <v>2</v>
      </c>
      <c r="E37" s="23">
        <f>PRIX!D36*'C'!D37</f>
        <v>13</v>
      </c>
      <c r="F37" s="18">
        <f>PRIX!E36*'C'!E37</f>
        <v>0</v>
      </c>
      <c r="G37" s="23">
        <f>PRIX!F36*'C'!F37</f>
        <v>0</v>
      </c>
      <c r="H37" s="19">
        <f>PRIX!G36*'C'!G37</f>
        <v>0</v>
      </c>
      <c r="I37" s="23">
        <f>PRIX!H36*'C'!H37</f>
        <v>0</v>
      </c>
      <c r="J37" s="12"/>
      <c r="K37" s="9"/>
      <c r="L37" s="21"/>
      <c r="M37" s="5"/>
      <c r="N37" s="15"/>
      <c r="O37" s="5"/>
      <c r="P37" s="15"/>
      <c r="Q37" s="5"/>
    </row>
    <row r="38" spans="1:17" x14ac:dyDescent="0.25">
      <c r="A38" s="2" t="s">
        <v>35</v>
      </c>
      <c r="B38" s="15">
        <v>3</v>
      </c>
      <c r="C38" s="23">
        <f>PRIX!B37*'C'!B38</f>
        <v>9.8999999999999986</v>
      </c>
      <c r="D38" s="18">
        <v>2</v>
      </c>
      <c r="E38" s="23">
        <f>PRIX!D37*'C'!D38</f>
        <v>13</v>
      </c>
      <c r="F38" s="18">
        <f>PRIX!E37*'C'!E38</f>
        <v>0</v>
      </c>
      <c r="G38" s="23">
        <f>PRIX!F37*'C'!F38</f>
        <v>0</v>
      </c>
      <c r="H38" s="19">
        <f>PRIX!G37*'C'!G38</f>
        <v>0</v>
      </c>
      <c r="I38" s="23">
        <f>PRIX!H37*'C'!H38</f>
        <v>0</v>
      </c>
      <c r="J38" s="12"/>
      <c r="K38" s="9"/>
      <c r="L38" s="21"/>
      <c r="M38" s="5"/>
      <c r="N38" s="15"/>
      <c r="O38" s="5"/>
      <c r="P38" s="15"/>
      <c r="Q38" s="5"/>
    </row>
    <row r="39" spans="1:17" x14ac:dyDescent="0.25">
      <c r="A39" s="2" t="s">
        <v>36</v>
      </c>
      <c r="B39" s="15">
        <v>3</v>
      </c>
      <c r="C39" s="23">
        <f>PRIX!B38*'C'!B39</f>
        <v>9.8999999999999986</v>
      </c>
      <c r="D39" s="18">
        <v>2</v>
      </c>
      <c r="E39" s="23">
        <f>PRIX!D38*'C'!D39</f>
        <v>13</v>
      </c>
      <c r="F39" s="18">
        <f>PRIX!E38*'C'!E39</f>
        <v>0</v>
      </c>
      <c r="G39" s="23">
        <f>PRIX!F38*'C'!F39</f>
        <v>0</v>
      </c>
      <c r="H39" s="19">
        <f>PRIX!G38*'C'!G39</f>
        <v>0</v>
      </c>
      <c r="I39" s="23">
        <f>PRIX!H38*'C'!H39</f>
        <v>0</v>
      </c>
      <c r="J39" s="12"/>
      <c r="K39" s="9"/>
      <c r="L39" s="21"/>
      <c r="M39" s="5"/>
      <c r="N39" s="15"/>
      <c r="O39" s="5"/>
      <c r="P39" s="15"/>
      <c r="Q39" s="5"/>
    </row>
    <row r="40" spans="1:17" x14ac:dyDescent="0.25">
      <c r="A40" s="2" t="s">
        <v>37</v>
      </c>
      <c r="B40" s="15"/>
      <c r="C40" s="23">
        <f>PRIX!B39*'C'!B40</f>
        <v>0</v>
      </c>
      <c r="D40" s="18"/>
      <c r="E40" s="23">
        <f>PRIX!D39*'C'!D40</f>
        <v>0</v>
      </c>
      <c r="F40" s="18">
        <f>PRIX!E39*'C'!E40</f>
        <v>0</v>
      </c>
      <c r="G40" s="23">
        <f>PRIX!F39*'C'!F40</f>
        <v>0</v>
      </c>
      <c r="H40" s="19">
        <f>PRIX!G39*'C'!G40</f>
        <v>0</v>
      </c>
      <c r="I40" s="23">
        <f>PRIX!H39*'C'!H40</f>
        <v>0</v>
      </c>
      <c r="J40" s="12"/>
      <c r="K40" s="9"/>
      <c r="L40" s="21"/>
      <c r="M40" s="5"/>
      <c r="N40" s="15"/>
      <c r="O40" s="5"/>
      <c r="P40" s="15"/>
      <c r="Q40" s="5"/>
    </row>
    <row r="41" spans="1:17" x14ac:dyDescent="0.25">
      <c r="A41" s="2" t="s">
        <v>38</v>
      </c>
      <c r="B41" s="15">
        <v>3</v>
      </c>
      <c r="C41" s="23">
        <f>PRIX!B40*'C'!B41</f>
        <v>9.8999999999999986</v>
      </c>
      <c r="D41" s="18"/>
      <c r="E41" s="23">
        <f>PRIX!D40*'C'!D41</f>
        <v>0</v>
      </c>
      <c r="F41" s="18">
        <f>PRIX!E40*'C'!E41</f>
        <v>0</v>
      </c>
      <c r="G41" s="23">
        <f>PRIX!F40*'C'!F41</f>
        <v>0</v>
      </c>
      <c r="H41" s="19">
        <f>PRIX!G40*'C'!G41</f>
        <v>0</v>
      </c>
      <c r="I41" s="23">
        <f>PRIX!H40*'C'!H41</f>
        <v>0</v>
      </c>
      <c r="J41" s="12"/>
      <c r="K41" s="9"/>
      <c r="L41" s="21"/>
      <c r="M41" s="5"/>
      <c r="N41" s="15"/>
      <c r="O41" s="5"/>
      <c r="P41" s="15"/>
      <c r="Q41" s="5"/>
    </row>
    <row r="42" spans="1:17" x14ac:dyDescent="0.25">
      <c r="A42" s="2" t="s">
        <v>39</v>
      </c>
      <c r="B42" s="15">
        <v>3</v>
      </c>
      <c r="C42" s="23">
        <f>PRIX!B41*'C'!B42</f>
        <v>9.8999999999999986</v>
      </c>
      <c r="D42" s="18"/>
      <c r="E42" s="23">
        <f>PRIX!D41*'C'!D42</f>
        <v>0</v>
      </c>
      <c r="F42" s="18">
        <f>PRIX!E41*'C'!E42</f>
        <v>0</v>
      </c>
      <c r="G42" s="23">
        <f>PRIX!F41*'C'!F42</f>
        <v>0</v>
      </c>
      <c r="H42" s="19">
        <f>PRIX!G41*'C'!G42</f>
        <v>0</v>
      </c>
      <c r="I42" s="23">
        <f>PRIX!H41*'C'!H42</f>
        <v>0</v>
      </c>
      <c r="J42" s="12"/>
      <c r="K42" s="9"/>
      <c r="L42" s="21"/>
      <c r="M42" s="5"/>
      <c r="N42" s="15"/>
      <c r="O42" s="5"/>
      <c r="P42" s="15"/>
      <c r="Q42" s="5"/>
    </row>
    <row r="43" spans="1:17" x14ac:dyDescent="0.25">
      <c r="A43" s="2" t="s">
        <v>40</v>
      </c>
      <c r="B43" s="15">
        <v>3</v>
      </c>
      <c r="C43" s="23">
        <f>PRIX!B42*'C'!B43</f>
        <v>9.8999999999999986</v>
      </c>
      <c r="D43" s="18"/>
      <c r="E43" s="23">
        <f>PRIX!D42*'C'!D43</f>
        <v>0</v>
      </c>
      <c r="F43" s="18">
        <f>PRIX!E42*'C'!E43</f>
        <v>0</v>
      </c>
      <c r="G43" s="23">
        <f>PRIX!F42*'C'!F43</f>
        <v>0</v>
      </c>
      <c r="H43" s="19">
        <f>PRIX!G42*'C'!G43</f>
        <v>0</v>
      </c>
      <c r="I43" s="23">
        <f>PRIX!H42*'C'!H43</f>
        <v>0</v>
      </c>
      <c r="J43" s="12"/>
      <c r="K43" s="9"/>
      <c r="L43" s="21"/>
      <c r="M43" s="5"/>
      <c r="N43" s="15"/>
      <c r="O43" s="5"/>
      <c r="P43" s="15"/>
      <c r="Q43" s="5"/>
    </row>
    <row r="44" spans="1:17" x14ac:dyDescent="0.25">
      <c r="A44" s="1" t="s">
        <v>41</v>
      </c>
      <c r="B44" s="14"/>
      <c r="C44" s="23">
        <f>PRIX!B43*'C'!B44</f>
        <v>0</v>
      </c>
      <c r="D44" s="18"/>
      <c r="E44" s="23">
        <f>PRIX!D43*'C'!D44</f>
        <v>0</v>
      </c>
      <c r="F44" s="18">
        <f>PRIX!E43*'C'!E44</f>
        <v>0</v>
      </c>
      <c r="G44" s="23">
        <f>PRIX!F43*'C'!F44</f>
        <v>0</v>
      </c>
      <c r="H44" s="19">
        <f>PRIX!G43*'C'!G44</f>
        <v>0</v>
      </c>
      <c r="I44" s="23">
        <f>PRIX!H43*'C'!H44</f>
        <v>0</v>
      </c>
      <c r="J44" s="12"/>
      <c r="K44" s="9"/>
      <c r="L44" s="21"/>
      <c r="M44" s="5"/>
      <c r="N44" s="15"/>
      <c r="O44" s="5"/>
      <c r="P44" s="15"/>
      <c r="Q44" s="5"/>
    </row>
    <row r="45" spans="1:17" x14ac:dyDescent="0.25">
      <c r="A45" s="2" t="s">
        <v>42</v>
      </c>
      <c r="B45" s="15">
        <v>4</v>
      </c>
      <c r="C45" s="23">
        <f>PRIX!B44*'C'!B45</f>
        <v>13.6</v>
      </c>
      <c r="D45" s="18">
        <v>2</v>
      </c>
      <c r="E45" s="23">
        <f>PRIX!D44*'C'!D45</f>
        <v>13.2</v>
      </c>
      <c r="F45" s="18">
        <f>PRIX!E44*'C'!E45</f>
        <v>0</v>
      </c>
      <c r="G45" s="23">
        <f>PRIX!F44*'C'!F45</f>
        <v>0</v>
      </c>
      <c r="H45" s="19">
        <f>PRIX!G44*'C'!G45</f>
        <v>0</v>
      </c>
      <c r="I45" s="23">
        <f>PRIX!H44*'C'!H45</f>
        <v>0</v>
      </c>
      <c r="J45" s="12"/>
      <c r="K45" s="9"/>
      <c r="L45" s="21"/>
      <c r="M45" s="5"/>
      <c r="N45" s="15"/>
      <c r="O45" s="5"/>
      <c r="P45" s="15"/>
      <c r="Q45" s="5"/>
    </row>
    <row r="46" spans="1:17" x14ac:dyDescent="0.25">
      <c r="A46" s="2" t="s">
        <v>43</v>
      </c>
      <c r="B46" s="15">
        <v>4</v>
      </c>
      <c r="C46" s="23">
        <f>PRIX!B45*'C'!B46</f>
        <v>13.6</v>
      </c>
      <c r="D46" s="18">
        <v>2</v>
      </c>
      <c r="E46" s="23">
        <f>PRIX!D45*'C'!D46</f>
        <v>13.2</v>
      </c>
      <c r="F46" s="18">
        <f>PRIX!E45*'C'!E46</f>
        <v>0</v>
      </c>
      <c r="G46" s="23">
        <f>PRIX!F45*'C'!F46</f>
        <v>0</v>
      </c>
      <c r="H46" s="19">
        <f>PRIX!G45*'C'!G46</f>
        <v>0</v>
      </c>
      <c r="I46" s="23">
        <f>PRIX!H45*'C'!H46</f>
        <v>0</v>
      </c>
      <c r="J46" s="12"/>
      <c r="K46" s="9"/>
      <c r="L46" s="21"/>
      <c r="M46" s="5"/>
      <c r="N46" s="15"/>
      <c r="O46" s="5"/>
      <c r="P46" s="15"/>
      <c r="Q46" s="5"/>
    </row>
    <row r="47" spans="1:17" x14ac:dyDescent="0.25">
      <c r="A47" s="2" t="s">
        <v>44</v>
      </c>
      <c r="B47" s="15">
        <v>4</v>
      </c>
      <c r="C47" s="23">
        <f>PRIX!B46*'C'!B47</f>
        <v>13.6</v>
      </c>
      <c r="D47" s="18">
        <v>2</v>
      </c>
      <c r="E47" s="23">
        <f>PRIX!D46*'C'!D47</f>
        <v>13.2</v>
      </c>
      <c r="F47" s="18">
        <f>PRIX!E46*'C'!E47</f>
        <v>0</v>
      </c>
      <c r="G47" s="23">
        <f>PRIX!F46*'C'!F47</f>
        <v>0</v>
      </c>
      <c r="H47" s="19">
        <f>PRIX!G46*'C'!G47</f>
        <v>0</v>
      </c>
      <c r="I47" s="23">
        <f>PRIX!H46*'C'!H47</f>
        <v>0</v>
      </c>
      <c r="J47" s="12"/>
      <c r="K47" s="9"/>
      <c r="L47" s="21"/>
      <c r="M47" s="5"/>
      <c r="N47" s="15"/>
      <c r="O47" s="5"/>
      <c r="P47" s="15"/>
      <c r="Q47" s="5"/>
    </row>
    <row r="48" spans="1:17" x14ac:dyDescent="0.25">
      <c r="A48" s="2" t="s">
        <v>45</v>
      </c>
      <c r="B48" s="15">
        <v>4</v>
      </c>
      <c r="C48" s="23">
        <f>PRIX!B47*'C'!B48</f>
        <v>13.6</v>
      </c>
      <c r="D48" s="18">
        <v>2</v>
      </c>
      <c r="E48" s="23">
        <f>PRIX!D47*'C'!D48</f>
        <v>13.2</v>
      </c>
      <c r="F48" s="18">
        <f>PRIX!E47*'C'!E48</f>
        <v>0</v>
      </c>
      <c r="G48" s="23">
        <f>PRIX!F47*'C'!F48</f>
        <v>0</v>
      </c>
      <c r="H48" s="19">
        <f>PRIX!G47*'C'!G48</f>
        <v>0</v>
      </c>
      <c r="I48" s="23">
        <f>PRIX!H47*'C'!H48</f>
        <v>0</v>
      </c>
      <c r="J48" s="12"/>
      <c r="K48" s="9"/>
      <c r="L48" s="21"/>
      <c r="M48" s="5"/>
      <c r="N48" s="15"/>
      <c r="O48" s="5"/>
      <c r="P48" s="15"/>
      <c r="Q48" s="5"/>
    </row>
    <row r="49" spans="1:17" x14ac:dyDescent="0.25">
      <c r="A49" s="2" t="s">
        <v>46</v>
      </c>
      <c r="B49" s="15"/>
      <c r="C49" s="23">
        <f>PRIX!B48*'C'!B49</f>
        <v>0</v>
      </c>
      <c r="D49" s="18"/>
      <c r="E49" s="23">
        <f>PRIX!D48*'C'!D49</f>
        <v>0</v>
      </c>
      <c r="F49" s="18">
        <f>PRIX!E48*'C'!E49</f>
        <v>0</v>
      </c>
      <c r="G49" s="23">
        <f>PRIX!F48*'C'!F49</f>
        <v>0</v>
      </c>
      <c r="H49" s="19">
        <f>PRIX!G48*'C'!G49</f>
        <v>0</v>
      </c>
      <c r="I49" s="23">
        <f>PRIX!H48*'C'!H49</f>
        <v>0</v>
      </c>
      <c r="J49" s="12"/>
      <c r="K49" s="9"/>
      <c r="L49" s="21"/>
      <c r="M49" s="5"/>
      <c r="N49" s="15"/>
      <c r="O49" s="5"/>
      <c r="P49" s="15"/>
      <c r="Q49" s="5"/>
    </row>
    <row r="50" spans="1:17" ht="18.75" customHeight="1" x14ac:dyDescent="0.25">
      <c r="A50" s="2" t="s">
        <v>47</v>
      </c>
      <c r="B50" s="15">
        <v>4</v>
      </c>
      <c r="C50" s="23">
        <f>PRIX!B49*'C'!B50</f>
        <v>13.6</v>
      </c>
      <c r="D50" s="18">
        <v>2</v>
      </c>
      <c r="E50" s="23">
        <f>PRIX!D49*'C'!D50</f>
        <v>13.2</v>
      </c>
      <c r="F50" s="18">
        <f>PRIX!E49*'C'!E50</f>
        <v>0</v>
      </c>
      <c r="G50" s="23">
        <f>PRIX!F49*'C'!F50</f>
        <v>0</v>
      </c>
      <c r="H50" s="19">
        <f>PRIX!G49*'C'!G50</f>
        <v>0</v>
      </c>
      <c r="I50" s="23">
        <f>PRIX!H49*'C'!H50</f>
        <v>0</v>
      </c>
      <c r="J50">
        <f>SUM(J4:J49)</f>
        <v>0</v>
      </c>
      <c r="K50">
        <f t="shared" ref="K50:Q50" si="0">SUM(K4:K49)</f>
        <v>0</v>
      </c>
      <c r="L50">
        <f t="shared" si="0"/>
        <v>7</v>
      </c>
      <c r="M50">
        <f t="shared" si="0"/>
        <v>55.3</v>
      </c>
      <c r="N50">
        <f t="shared" si="0"/>
        <v>69</v>
      </c>
      <c r="O50">
        <f t="shared" si="0"/>
        <v>683.99999999999989</v>
      </c>
      <c r="P50">
        <f t="shared" si="0"/>
        <v>23</v>
      </c>
      <c r="Q50">
        <f t="shared" si="0"/>
        <v>323.89999999999992</v>
      </c>
    </row>
    <row r="51" spans="1:17" ht="19.5" customHeight="1" x14ac:dyDescent="0.25">
      <c r="B51">
        <f t="shared" ref="B51:I51" si="1">SUM(B4:B50)</f>
        <v>159</v>
      </c>
      <c r="C51">
        <f t="shared" si="1"/>
        <v>458.89999999999992</v>
      </c>
      <c r="D51">
        <f t="shared" si="1"/>
        <v>46</v>
      </c>
      <c r="E51">
        <f t="shared" si="1"/>
        <v>251.79999999999995</v>
      </c>
      <c r="F51">
        <f t="shared" si="1"/>
        <v>12</v>
      </c>
      <c r="G51">
        <f t="shared" si="1"/>
        <v>30.000000000000004</v>
      </c>
      <c r="H51">
        <f t="shared" si="1"/>
        <v>12</v>
      </c>
      <c r="I51">
        <f t="shared" si="1"/>
        <v>57.2</v>
      </c>
    </row>
    <row r="53" spans="1:17" x14ac:dyDescent="0.25">
      <c r="E53" t="s">
        <v>66</v>
      </c>
      <c r="G53" t="s">
        <v>67</v>
      </c>
    </row>
    <row r="54" spans="1:17" x14ac:dyDescent="0.25">
      <c r="C54" s="25">
        <f>C51+E51+G51+I51+M50+O50+Q50</f>
        <v>1861.0999999999997</v>
      </c>
      <c r="E54">
        <f>B51+D51+F51+H51</f>
        <v>229</v>
      </c>
      <c r="G54">
        <f>L50+N50+P50</f>
        <v>99</v>
      </c>
    </row>
  </sheetData>
  <mergeCells count="1">
    <mergeCell ref="B1:I1"/>
  </mergeCells>
  <conditionalFormatting sqref="J4:Q49 B4:I50">
    <cfRule type="cellIs" dxfId="1" priority="1" operator="equal">
      <formula>0</formula>
    </cfRule>
  </conditionalFormatting>
  <pageMargins left="0.7" right="0.7" top="0.75" bottom="0.75" header="0.3" footer="0.3"/>
  <pageSetup paperSize="9" orientation="portrait" horizontalDpi="4294967293"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Q54"/>
  <sheetViews>
    <sheetView workbookViewId="0">
      <selection activeCell="H23" sqref="H23"/>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8</v>
      </c>
      <c r="C4" s="23">
        <f>PRIX!B4*D!B4</f>
        <v>16.399999999999999</v>
      </c>
      <c r="D4" s="18">
        <v>4</v>
      </c>
      <c r="E4" s="23">
        <f>PRIX!D4*D!D4</f>
        <v>15.2</v>
      </c>
      <c r="F4" s="23">
        <v>2</v>
      </c>
      <c r="G4" s="23">
        <f>PRIX!F4*D!F4</f>
        <v>4.2</v>
      </c>
      <c r="H4" s="23">
        <v>2</v>
      </c>
      <c r="I4" s="23">
        <f>PRIX!H4*D!H4</f>
        <v>7.8</v>
      </c>
      <c r="J4" s="12"/>
      <c r="K4" s="9" t="s">
        <v>57</v>
      </c>
      <c r="L4" s="21"/>
      <c r="M4" s="23">
        <f>PRIX!L4*D!L4</f>
        <v>0</v>
      </c>
      <c r="N4" s="18"/>
      <c r="O4" s="23">
        <f>PRIX!N4*D!N4</f>
        <v>0</v>
      </c>
      <c r="P4" s="18"/>
      <c r="Q4" s="23">
        <f>PRIX!P4*D!P4</f>
        <v>0</v>
      </c>
    </row>
    <row r="5" spans="1:17" x14ac:dyDescent="0.25">
      <c r="A5" s="2" t="s">
        <v>2</v>
      </c>
      <c r="B5" s="15">
        <v>8</v>
      </c>
      <c r="C5" s="23">
        <f>PRIX!B5*D!B5</f>
        <v>16.399999999999999</v>
      </c>
      <c r="D5" s="18">
        <v>4</v>
      </c>
      <c r="E5" s="23">
        <f>PRIX!D5*D!D5</f>
        <v>15.2</v>
      </c>
      <c r="F5" s="18">
        <f>PRIX!E5*D!E5</f>
        <v>0</v>
      </c>
      <c r="G5" s="23">
        <f>PRIX!F5*D!F5</f>
        <v>0</v>
      </c>
      <c r="H5" s="19">
        <f>PRIX!G5*D!G5</f>
        <v>0</v>
      </c>
      <c r="I5" s="23">
        <f>PRIX!H5*D!H5</f>
        <v>0</v>
      </c>
      <c r="J5" s="12"/>
      <c r="K5" s="9" t="s">
        <v>58</v>
      </c>
      <c r="L5" s="21"/>
      <c r="M5" s="23">
        <f>PRIX!L5*D!L5</f>
        <v>0</v>
      </c>
      <c r="N5" s="18">
        <v>4</v>
      </c>
      <c r="O5" s="23">
        <f>PRIX!N5*D!N5</f>
        <v>45.6</v>
      </c>
      <c r="P5" s="18">
        <v>2</v>
      </c>
      <c r="Q5" s="23">
        <f>PRIX!P5*D!P5</f>
        <v>29.8</v>
      </c>
    </row>
    <row r="6" spans="1:17" x14ac:dyDescent="0.25">
      <c r="A6" s="2" t="s">
        <v>3</v>
      </c>
      <c r="B6" s="15">
        <v>8</v>
      </c>
      <c r="C6" s="23">
        <f>PRIX!B6*D!B6</f>
        <v>21.2</v>
      </c>
      <c r="D6" s="18">
        <v>4</v>
      </c>
      <c r="E6" s="23">
        <f>PRIX!D6*D!D6</f>
        <v>20.2</v>
      </c>
      <c r="F6" s="18">
        <v>2</v>
      </c>
      <c r="G6" s="23">
        <f>PRIX!F6*D!F6</f>
        <v>5.4</v>
      </c>
      <c r="H6" s="19">
        <v>2</v>
      </c>
      <c r="I6" s="23">
        <f>PRIX!H6*D!H6</f>
        <v>10.199999999999999</v>
      </c>
      <c r="J6" s="12"/>
      <c r="K6" s="7" t="s">
        <v>11</v>
      </c>
      <c r="L6" s="20"/>
      <c r="M6" s="23">
        <f>PRIX!L6*D!L6</f>
        <v>0</v>
      </c>
      <c r="N6" s="18"/>
      <c r="O6" s="23">
        <f>PRIX!N6*D!N6</f>
        <v>0</v>
      </c>
      <c r="P6" s="18"/>
      <c r="Q6" s="23">
        <f>PRIX!P6*D!P6</f>
        <v>0</v>
      </c>
    </row>
    <row r="7" spans="1:17" x14ac:dyDescent="0.25">
      <c r="A7" s="2" t="s">
        <v>4</v>
      </c>
      <c r="B7" s="15">
        <v>8</v>
      </c>
      <c r="C7" s="23">
        <f>PRIX!B7*D!B7</f>
        <v>21.2</v>
      </c>
      <c r="D7" s="18">
        <v>4</v>
      </c>
      <c r="E7" s="23">
        <f>PRIX!D7*D!D7</f>
        <v>20.2</v>
      </c>
      <c r="F7" s="18">
        <f>PRIX!E7*D!E7</f>
        <v>0</v>
      </c>
      <c r="G7" s="23">
        <f>PRIX!F7*D!F7</f>
        <v>0</v>
      </c>
      <c r="H7" s="19">
        <f>PRIX!G7*D!G7</f>
        <v>0</v>
      </c>
      <c r="I7" s="23">
        <f>PRIX!H7*D!H7</f>
        <v>0</v>
      </c>
      <c r="J7" s="12"/>
      <c r="K7" s="9" t="s">
        <v>12</v>
      </c>
      <c r="L7" s="21"/>
      <c r="M7" s="23">
        <f>PRIX!L7*D!L7</f>
        <v>0</v>
      </c>
      <c r="N7" s="18">
        <v>6</v>
      </c>
      <c r="O7" s="23">
        <f>PRIX!N7*D!N7</f>
        <v>45</v>
      </c>
      <c r="P7" s="18">
        <v>2</v>
      </c>
      <c r="Q7" s="23">
        <f>PRIX!P7*D!P7</f>
        <v>21</v>
      </c>
    </row>
    <row r="8" spans="1:17" x14ac:dyDescent="0.25">
      <c r="A8" s="2" t="s">
        <v>5</v>
      </c>
      <c r="B8" s="15">
        <v>4</v>
      </c>
      <c r="C8" s="23">
        <f>PRIX!B8*D!B8</f>
        <v>8.4</v>
      </c>
      <c r="D8" s="18">
        <v>2</v>
      </c>
      <c r="E8" s="23">
        <f>PRIX!D8*D!D8</f>
        <v>7.8</v>
      </c>
      <c r="F8" s="18">
        <f>PRIX!E8*D!E8</f>
        <v>0</v>
      </c>
      <c r="G8" s="23">
        <f>PRIX!F8*D!F8</f>
        <v>0</v>
      </c>
      <c r="H8" s="19">
        <f>PRIX!G8*D!G8</f>
        <v>0</v>
      </c>
      <c r="I8" s="23">
        <f>PRIX!H8*D!H8</f>
        <v>0</v>
      </c>
      <c r="J8" s="12"/>
      <c r="K8" s="9" t="s">
        <v>15</v>
      </c>
      <c r="L8" s="21"/>
      <c r="M8" s="23">
        <f>PRIX!L8*D!L8</f>
        <v>0</v>
      </c>
      <c r="N8" s="18">
        <v>12</v>
      </c>
      <c r="O8" s="23">
        <f>PRIX!N8*D!N8</f>
        <v>90</v>
      </c>
      <c r="P8" s="18"/>
      <c r="Q8" s="23">
        <f>PRIX!P8*D!P8</f>
        <v>0</v>
      </c>
    </row>
    <row r="9" spans="1:17" x14ac:dyDescent="0.25">
      <c r="A9" s="2" t="s">
        <v>6</v>
      </c>
      <c r="B9" s="15">
        <v>4</v>
      </c>
      <c r="C9" s="23">
        <f>PRIX!B9*D!B9</f>
        <v>8.4</v>
      </c>
      <c r="D9" s="18">
        <v>2</v>
      </c>
      <c r="E9" s="23">
        <f>PRIX!D9*D!D9</f>
        <v>7.8</v>
      </c>
      <c r="F9" s="18">
        <v>2</v>
      </c>
      <c r="G9" s="23">
        <f>PRIX!F9*D!F9</f>
        <v>4.4000000000000004</v>
      </c>
      <c r="H9" s="19">
        <v>2</v>
      </c>
      <c r="I9" s="23">
        <f>PRIX!H9*D!H9</f>
        <v>8</v>
      </c>
      <c r="J9" s="12"/>
      <c r="K9" s="9" t="s">
        <v>59</v>
      </c>
      <c r="L9" s="30"/>
      <c r="M9" s="28"/>
      <c r="N9" s="18">
        <v>10</v>
      </c>
      <c r="O9" s="23">
        <f>PRIX!N9*D!N9</f>
        <v>79</v>
      </c>
      <c r="P9" s="26"/>
      <c r="Q9" s="28"/>
    </row>
    <row r="10" spans="1:17" x14ac:dyDescent="0.25">
      <c r="A10" s="2" t="s">
        <v>7</v>
      </c>
      <c r="B10" s="15">
        <v>6</v>
      </c>
      <c r="C10" s="23">
        <f>PRIX!B10*D!B10</f>
        <v>16.200000000000003</v>
      </c>
      <c r="D10" s="18"/>
      <c r="E10" s="23">
        <f>PRIX!D10*D!D10</f>
        <v>0</v>
      </c>
      <c r="F10" s="18">
        <f>PRIX!E10*D!E10</f>
        <v>0</v>
      </c>
      <c r="G10" s="23">
        <f>PRIX!F10*D!F10</f>
        <v>0</v>
      </c>
      <c r="H10" s="19">
        <f>PRIX!G10*D!G10</f>
        <v>0</v>
      </c>
      <c r="I10" s="23">
        <f>PRIX!H10*D!H10</f>
        <v>0</v>
      </c>
      <c r="J10" s="12"/>
      <c r="K10" s="7" t="s">
        <v>60</v>
      </c>
      <c r="L10" s="20"/>
      <c r="M10" s="23">
        <f>PRIX!L10*D!L10</f>
        <v>0</v>
      </c>
      <c r="N10" s="18"/>
      <c r="O10" s="23">
        <f>PRIX!N10*D!N10</f>
        <v>0</v>
      </c>
      <c r="P10" s="18"/>
      <c r="Q10" s="23">
        <f>PRIX!P10*D!P10</f>
        <v>0</v>
      </c>
    </row>
    <row r="11" spans="1:17" x14ac:dyDescent="0.25">
      <c r="A11" s="2" t="s">
        <v>8</v>
      </c>
      <c r="B11" s="15">
        <v>6</v>
      </c>
      <c r="C11" s="23">
        <f>PRIX!B11*D!B11</f>
        <v>16.200000000000003</v>
      </c>
      <c r="D11" s="18"/>
      <c r="E11" s="23">
        <f>PRIX!D11*D!D11</f>
        <v>0</v>
      </c>
      <c r="F11" s="18">
        <f>PRIX!E11*D!E11</f>
        <v>0</v>
      </c>
      <c r="G11" s="23">
        <f>PRIX!F11*D!F11</f>
        <v>0</v>
      </c>
      <c r="H11" s="19">
        <f>PRIX!G11*D!G11</f>
        <v>0</v>
      </c>
      <c r="I11" s="23">
        <f>PRIX!H11*D!H11</f>
        <v>0</v>
      </c>
      <c r="J11" s="12"/>
      <c r="K11" s="10" t="s">
        <v>21</v>
      </c>
      <c r="L11" s="22"/>
      <c r="M11" s="23">
        <f>PRIX!L11*D!L11</f>
        <v>0</v>
      </c>
      <c r="N11" s="18"/>
      <c r="O11" s="23">
        <f>PRIX!N11*D!N11</f>
        <v>0</v>
      </c>
      <c r="P11" s="18"/>
      <c r="Q11" s="23">
        <f>PRIX!P11*D!P11</f>
        <v>0</v>
      </c>
    </row>
    <row r="12" spans="1:17" x14ac:dyDescent="0.25">
      <c r="A12" s="2" t="s">
        <v>9</v>
      </c>
      <c r="B12" s="15">
        <v>6</v>
      </c>
      <c r="C12" s="23">
        <f>PRIX!B12*D!B12</f>
        <v>16.200000000000003</v>
      </c>
      <c r="D12" s="18"/>
      <c r="E12" s="23">
        <f>PRIX!D12*D!D12</f>
        <v>0</v>
      </c>
      <c r="F12" s="26"/>
      <c r="G12" s="28"/>
      <c r="H12" s="27"/>
      <c r="I12" s="28"/>
      <c r="J12" s="12"/>
      <c r="K12" s="9" t="s">
        <v>61</v>
      </c>
      <c r="L12" s="21"/>
      <c r="M12" s="23">
        <f>PRIX!L12*D!L12</f>
        <v>0</v>
      </c>
      <c r="N12" s="18">
        <v>4</v>
      </c>
      <c r="O12" s="23">
        <f>PRIX!N12*D!N12</f>
        <v>43.6</v>
      </c>
      <c r="P12" s="18">
        <v>2</v>
      </c>
      <c r="Q12" s="23">
        <f>PRIX!P12*D!P12</f>
        <v>27.8</v>
      </c>
    </row>
    <row r="13" spans="1:17" x14ac:dyDescent="0.25">
      <c r="A13" s="2"/>
      <c r="B13" s="15"/>
      <c r="C13" s="23"/>
      <c r="D13" s="18"/>
      <c r="E13" s="23"/>
      <c r="F13" s="26"/>
      <c r="G13" s="28"/>
      <c r="H13" s="27"/>
      <c r="I13" s="28"/>
      <c r="J13" s="12"/>
      <c r="K13" s="9" t="s">
        <v>25</v>
      </c>
      <c r="L13" s="21"/>
      <c r="M13" s="23">
        <f>PRIX!L13*D!L13</f>
        <v>0</v>
      </c>
      <c r="N13" s="18">
        <v>10</v>
      </c>
      <c r="O13" s="23">
        <f>PRIX!N13*D!N13</f>
        <v>109</v>
      </c>
      <c r="P13" s="18"/>
      <c r="Q13" s="23">
        <f>PRIX!P13*D!P13</f>
        <v>0</v>
      </c>
    </row>
    <row r="14" spans="1:17" x14ac:dyDescent="0.25">
      <c r="A14" s="1" t="s">
        <v>11</v>
      </c>
      <c r="B14" s="14"/>
      <c r="C14" s="23">
        <f>PRIX!B13*D!B14</f>
        <v>0</v>
      </c>
      <c r="D14" s="18"/>
      <c r="E14" s="23">
        <f>PRIX!D13*D!D14</f>
        <v>0</v>
      </c>
      <c r="F14" s="18">
        <f>PRIX!E13*D!E14</f>
        <v>0</v>
      </c>
      <c r="G14" s="23">
        <f>PRIX!F13*D!F14</f>
        <v>0</v>
      </c>
      <c r="H14" s="19">
        <f>PRIX!G13*D!G14</f>
        <v>0</v>
      </c>
      <c r="I14" s="23">
        <f>PRIX!H13*D!H14</f>
        <v>0</v>
      </c>
      <c r="J14" s="12"/>
      <c r="K14" s="9" t="s">
        <v>62</v>
      </c>
      <c r="L14" s="21"/>
      <c r="M14" s="23">
        <f>PRIX!L14*D!L14</f>
        <v>0</v>
      </c>
      <c r="N14" s="18"/>
      <c r="O14" s="23">
        <f>PRIX!N14*D!N14</f>
        <v>0</v>
      </c>
      <c r="P14" s="18"/>
      <c r="Q14" s="23">
        <f>PRIX!P14*D!P14</f>
        <v>0</v>
      </c>
    </row>
    <row r="15" spans="1:17" x14ac:dyDescent="0.25">
      <c r="A15" s="2" t="s">
        <v>12</v>
      </c>
      <c r="B15" s="15">
        <v>8</v>
      </c>
      <c r="C15" s="23">
        <f>PRIX!B14*D!B15</f>
        <v>21.6</v>
      </c>
      <c r="D15" s="18">
        <v>4</v>
      </c>
      <c r="E15" s="23">
        <f>PRIX!D14*D!D15</f>
        <v>21.6</v>
      </c>
      <c r="F15" s="26"/>
      <c r="G15" s="28"/>
      <c r="H15" s="27"/>
      <c r="I15" s="28"/>
      <c r="J15" s="12"/>
      <c r="K15" s="9" t="s">
        <v>26</v>
      </c>
      <c r="L15" s="21"/>
      <c r="M15" s="23">
        <f>PRIX!L15*D!L15</f>
        <v>0</v>
      </c>
      <c r="N15" s="18">
        <v>6</v>
      </c>
      <c r="O15" s="23">
        <f>PRIX!N15*D!N15</f>
        <v>65.400000000000006</v>
      </c>
      <c r="P15" s="18"/>
      <c r="Q15" s="23">
        <f>PRIX!P15*D!P15</f>
        <v>0</v>
      </c>
    </row>
    <row r="16" spans="1:17" x14ac:dyDescent="0.25">
      <c r="A16" s="2" t="s">
        <v>13</v>
      </c>
      <c r="B16" s="15">
        <v>4</v>
      </c>
      <c r="C16" s="23">
        <f>PRIX!B15*D!B16</f>
        <v>11.6</v>
      </c>
      <c r="D16" s="18"/>
      <c r="E16" s="23">
        <f>PRIX!D15*D!D16</f>
        <v>0</v>
      </c>
      <c r="F16" s="26"/>
      <c r="G16" s="28"/>
      <c r="H16" s="27"/>
      <c r="I16" s="28"/>
      <c r="J16" s="12"/>
      <c r="K16" s="9" t="s">
        <v>27</v>
      </c>
      <c r="L16" s="21"/>
      <c r="M16" s="23">
        <f>PRIX!L16*D!L16</f>
        <v>0</v>
      </c>
      <c r="N16" s="18">
        <v>4</v>
      </c>
      <c r="O16" s="23">
        <f>PRIX!N16*D!N16</f>
        <v>43.6</v>
      </c>
      <c r="P16" s="18">
        <v>2</v>
      </c>
      <c r="Q16" s="23">
        <f>PRIX!P16*D!P16</f>
        <v>27.8</v>
      </c>
    </row>
    <row r="17" spans="1:17" x14ac:dyDescent="0.25">
      <c r="A17" s="2" t="s">
        <v>14</v>
      </c>
      <c r="B17" s="15">
        <v>2</v>
      </c>
      <c r="C17" s="23">
        <f>PRIX!B16*D!B17</f>
        <v>5.8</v>
      </c>
      <c r="D17" s="26"/>
      <c r="E17" s="28"/>
      <c r="F17" s="26"/>
      <c r="G17" s="28"/>
      <c r="H17" s="27"/>
      <c r="I17" s="28"/>
      <c r="J17" s="12"/>
      <c r="K17" s="9" t="s">
        <v>28</v>
      </c>
      <c r="L17" s="21"/>
      <c r="M17" s="23">
        <f>PRIX!L17*D!L17</f>
        <v>0</v>
      </c>
      <c r="N17" s="18">
        <v>4</v>
      </c>
      <c r="O17" s="23">
        <f>PRIX!N17*D!N17</f>
        <v>43.6</v>
      </c>
      <c r="P17" s="18">
        <v>2</v>
      </c>
      <c r="Q17" s="23">
        <f>PRIX!P17*D!P17</f>
        <v>27.8</v>
      </c>
    </row>
    <row r="18" spans="1:17" x14ac:dyDescent="0.25">
      <c r="A18" s="2" t="s">
        <v>15</v>
      </c>
      <c r="B18" s="15">
        <v>16</v>
      </c>
      <c r="C18" s="23">
        <f>PRIX!B17*D!B18</f>
        <v>35.200000000000003</v>
      </c>
      <c r="D18" s="18">
        <v>8</v>
      </c>
      <c r="E18" s="23">
        <f>PRIX!D17*D!D18</f>
        <v>35.200000000000003</v>
      </c>
      <c r="F18" s="18">
        <v>4</v>
      </c>
      <c r="G18" s="23">
        <f>PRIX!F17*D!F18</f>
        <v>9.1999999999999993</v>
      </c>
      <c r="H18" s="19">
        <v>4</v>
      </c>
      <c r="I18" s="23">
        <f>PRIX!H17*D!H18</f>
        <v>18</v>
      </c>
      <c r="J18" s="12"/>
      <c r="K18" s="9" t="s">
        <v>29</v>
      </c>
      <c r="L18" s="21"/>
      <c r="M18" s="23">
        <f>PRIX!L18*D!L18</f>
        <v>0</v>
      </c>
      <c r="N18" s="18">
        <v>2</v>
      </c>
      <c r="O18" s="23">
        <f>PRIX!N18*D!N18</f>
        <v>21.8</v>
      </c>
      <c r="P18" s="18"/>
      <c r="Q18" s="23">
        <f>PRIX!P18*D!P18</f>
        <v>0</v>
      </c>
    </row>
    <row r="19" spans="1:17" x14ac:dyDescent="0.25">
      <c r="A19" s="2" t="s">
        <v>16</v>
      </c>
      <c r="B19" s="15">
        <v>4</v>
      </c>
      <c r="C19" s="23">
        <f>PRIX!B18*D!B19</f>
        <v>8.8000000000000007</v>
      </c>
      <c r="D19" s="18">
        <v>2</v>
      </c>
      <c r="E19" s="23">
        <f>PRIX!D18*D!D19</f>
        <v>8.8000000000000007</v>
      </c>
      <c r="F19" s="18">
        <f>PRIX!E18*D!E19</f>
        <v>0</v>
      </c>
      <c r="G19" s="23">
        <f>PRIX!F18*D!F19</f>
        <v>0</v>
      </c>
      <c r="H19" s="19">
        <f>PRIX!G18*D!G19</f>
        <v>0</v>
      </c>
      <c r="I19" s="23">
        <f>PRIX!H18*D!H19</f>
        <v>0</v>
      </c>
      <c r="J19" s="12"/>
      <c r="K19" s="9" t="s">
        <v>30</v>
      </c>
      <c r="L19" s="21"/>
      <c r="M19" s="23">
        <f>PRIX!L19*D!L19</f>
        <v>0</v>
      </c>
      <c r="N19" s="18">
        <v>2</v>
      </c>
      <c r="O19" s="23">
        <f>PRIX!N19*D!N19</f>
        <v>21.8</v>
      </c>
      <c r="P19" s="18">
        <v>2</v>
      </c>
      <c r="Q19" s="23">
        <f>PRIX!P19*D!P19</f>
        <v>27.8</v>
      </c>
    </row>
    <row r="20" spans="1:17" x14ac:dyDescent="0.25">
      <c r="A20" s="2" t="s">
        <v>17</v>
      </c>
      <c r="B20" s="15">
        <v>4</v>
      </c>
      <c r="C20" s="23">
        <f>PRIX!B19*D!B20</f>
        <v>8.8000000000000007</v>
      </c>
      <c r="D20" s="18"/>
      <c r="E20" s="23">
        <f>PRIX!D19*D!D20</f>
        <v>0</v>
      </c>
      <c r="F20" s="18">
        <f>PRIX!E19*D!E20</f>
        <v>0</v>
      </c>
      <c r="G20" s="23">
        <f>PRIX!F19*D!F20</f>
        <v>0</v>
      </c>
      <c r="H20" s="19">
        <f>PRIX!G19*D!G20</f>
        <v>0</v>
      </c>
      <c r="I20" s="23">
        <f>PRIX!H19*D!H20</f>
        <v>0</v>
      </c>
      <c r="J20" s="12"/>
      <c r="K20" s="9" t="s">
        <v>31</v>
      </c>
      <c r="L20" s="21"/>
      <c r="M20" s="23">
        <f>PRIX!L20*D!L20</f>
        <v>0</v>
      </c>
      <c r="N20" s="18">
        <v>2</v>
      </c>
      <c r="O20" s="23">
        <f>PRIX!N20*D!N20</f>
        <v>21.8</v>
      </c>
      <c r="P20" s="18">
        <v>2</v>
      </c>
      <c r="Q20" s="23">
        <f>PRIX!P20*D!P20</f>
        <v>27.8</v>
      </c>
    </row>
    <row r="21" spans="1:17" x14ac:dyDescent="0.25">
      <c r="A21" s="2" t="s">
        <v>18</v>
      </c>
      <c r="B21" s="15">
        <v>4</v>
      </c>
      <c r="C21" s="23">
        <f>PRIX!B20*D!B21</f>
        <v>11.2</v>
      </c>
      <c r="D21" s="18"/>
      <c r="E21" s="23">
        <f>PRIX!D20*D!D21</f>
        <v>0</v>
      </c>
      <c r="F21" s="26"/>
      <c r="G21" s="28"/>
      <c r="H21" s="27"/>
      <c r="I21" s="28"/>
      <c r="J21" s="12"/>
      <c r="K21" s="7" t="s">
        <v>32</v>
      </c>
      <c r="L21" s="20"/>
      <c r="M21" s="23">
        <f>PRIX!L21*D!L21</f>
        <v>0</v>
      </c>
      <c r="N21" s="18"/>
      <c r="O21" s="23">
        <f>PRIX!N21*D!N21</f>
        <v>0</v>
      </c>
      <c r="P21" s="18"/>
      <c r="Q21" s="23">
        <f>PRIX!P21*D!P21</f>
        <v>0</v>
      </c>
    </row>
    <row r="22" spans="1:17" x14ac:dyDescent="0.25">
      <c r="A22" s="2" t="s">
        <v>19</v>
      </c>
      <c r="B22" s="15">
        <v>4</v>
      </c>
      <c r="C22" s="23">
        <f>PRIX!B21*D!B22</f>
        <v>10.8</v>
      </c>
      <c r="D22" s="18"/>
      <c r="E22" s="23">
        <f>PRIX!D21*D!D22</f>
        <v>0</v>
      </c>
      <c r="F22" s="26"/>
      <c r="G22" s="28"/>
      <c r="H22" s="27"/>
      <c r="I22" s="28"/>
      <c r="J22" s="12"/>
      <c r="K22" s="9" t="s">
        <v>33</v>
      </c>
      <c r="L22" s="21">
        <v>1</v>
      </c>
      <c r="M22" s="23">
        <f>PRIX!L22*D!L22</f>
        <v>7.9</v>
      </c>
      <c r="N22" s="18">
        <v>3</v>
      </c>
      <c r="O22" s="23">
        <f>PRIX!N22*D!N22</f>
        <v>34.200000000000003</v>
      </c>
      <c r="P22" s="18">
        <v>2</v>
      </c>
      <c r="Q22" s="23">
        <f>PRIX!P22*D!P22</f>
        <v>29.8</v>
      </c>
    </row>
    <row r="23" spans="1:17" x14ac:dyDescent="0.25">
      <c r="A23" s="5" t="s">
        <v>20</v>
      </c>
      <c r="B23" s="16"/>
      <c r="C23" s="23">
        <f>PRIX!B22*D!B23</f>
        <v>0</v>
      </c>
      <c r="D23" s="18"/>
      <c r="E23" s="23">
        <f>PRIX!D22*D!D23</f>
        <v>0</v>
      </c>
      <c r="F23" s="18">
        <f>PRIX!E22*D!E23</f>
        <v>0</v>
      </c>
      <c r="G23" s="23">
        <f>PRIX!F22*D!F23</f>
        <v>0</v>
      </c>
      <c r="H23" s="19">
        <f>PRIX!G22*D!G23</f>
        <v>0</v>
      </c>
      <c r="I23" s="23">
        <f>PRIX!H22*D!H23</f>
        <v>0</v>
      </c>
      <c r="J23" s="12"/>
      <c r="K23" s="9" t="s">
        <v>34</v>
      </c>
      <c r="L23" s="21">
        <v>1</v>
      </c>
      <c r="M23" s="23">
        <f>PRIX!L23*D!L23</f>
        <v>7.9</v>
      </c>
      <c r="N23" s="18">
        <v>3</v>
      </c>
      <c r="O23" s="23">
        <f>PRIX!N23*D!N23</f>
        <v>34.200000000000003</v>
      </c>
      <c r="P23" s="18">
        <v>2</v>
      </c>
      <c r="Q23" s="23">
        <f>PRIX!P23*D!P23</f>
        <v>29.8</v>
      </c>
    </row>
    <row r="24" spans="1:17" x14ac:dyDescent="0.25">
      <c r="A24" s="4" t="s">
        <v>21</v>
      </c>
      <c r="B24" s="17"/>
      <c r="C24" s="23">
        <f>PRIX!B23*D!B24</f>
        <v>0</v>
      </c>
      <c r="D24" s="18"/>
      <c r="E24" s="23">
        <f>PRIX!D23*D!D24</f>
        <v>0</v>
      </c>
      <c r="F24" s="18">
        <f>PRIX!E23*D!E24</f>
        <v>0</v>
      </c>
      <c r="G24" s="23">
        <f>PRIX!F23*D!F24</f>
        <v>0</v>
      </c>
      <c r="H24" s="19">
        <f>PRIX!G23*D!G24</f>
        <v>0</v>
      </c>
      <c r="I24" s="23">
        <f>PRIX!H23*D!H24</f>
        <v>0</v>
      </c>
      <c r="J24" s="12"/>
      <c r="K24" s="9" t="s">
        <v>35</v>
      </c>
      <c r="L24" s="21"/>
      <c r="M24" s="23">
        <f>PRIX!L24*D!L24</f>
        <v>0</v>
      </c>
      <c r="N24" s="18"/>
      <c r="O24" s="23">
        <f>PRIX!N24*D!N24</f>
        <v>0</v>
      </c>
      <c r="P24" s="18"/>
      <c r="Q24" s="23">
        <f>PRIX!P24*D!P24</f>
        <v>0</v>
      </c>
    </row>
    <row r="25" spans="1:17" x14ac:dyDescent="0.25">
      <c r="A25" s="2" t="s">
        <v>22</v>
      </c>
      <c r="B25" s="15">
        <v>4</v>
      </c>
      <c r="C25" s="23">
        <f>PRIX!B24*D!B25</f>
        <v>13.2</v>
      </c>
      <c r="D25" s="18">
        <v>2</v>
      </c>
      <c r="E25" s="23">
        <f>PRIX!D24*D!D25</f>
        <v>13</v>
      </c>
      <c r="F25" s="26"/>
      <c r="G25" s="28"/>
      <c r="H25" s="27"/>
      <c r="I25" s="28"/>
      <c r="J25" s="12"/>
      <c r="K25" s="9" t="s">
        <v>36</v>
      </c>
      <c r="L25" s="21">
        <v>1</v>
      </c>
      <c r="M25" s="23">
        <f>PRIX!L25*D!L25</f>
        <v>7.9</v>
      </c>
      <c r="N25" s="18">
        <v>3</v>
      </c>
      <c r="O25" s="23">
        <f>PRIX!N25*D!N25</f>
        <v>34.200000000000003</v>
      </c>
      <c r="P25" s="18">
        <v>2</v>
      </c>
      <c r="Q25" s="23">
        <f>PRIX!P25*D!P25</f>
        <v>29.8</v>
      </c>
    </row>
    <row r="26" spans="1:17" x14ac:dyDescent="0.25">
      <c r="A26" s="2" t="s">
        <v>23</v>
      </c>
      <c r="B26" s="15">
        <v>4</v>
      </c>
      <c r="C26" s="23">
        <f>PRIX!B25*D!B26</f>
        <v>13.2</v>
      </c>
      <c r="D26" s="18">
        <v>2</v>
      </c>
      <c r="E26" s="23">
        <f>PRIX!D25*D!D26</f>
        <v>13</v>
      </c>
      <c r="F26" s="26"/>
      <c r="G26" s="28"/>
      <c r="H26" s="27"/>
      <c r="I26" s="28"/>
      <c r="J26" s="12"/>
      <c r="K26" s="9" t="s">
        <v>37</v>
      </c>
      <c r="L26" s="21"/>
      <c r="M26" s="23">
        <f>PRIX!L26*D!L26</f>
        <v>0</v>
      </c>
      <c r="N26" s="18"/>
      <c r="O26" s="23">
        <f>PRIX!N26*D!N26</f>
        <v>0</v>
      </c>
      <c r="P26" s="18"/>
      <c r="Q26" s="23">
        <f>PRIX!P26*D!P26</f>
        <v>0</v>
      </c>
    </row>
    <row r="27" spans="1:17" x14ac:dyDescent="0.25">
      <c r="A27" s="2" t="s">
        <v>24</v>
      </c>
      <c r="B27" s="15">
        <v>4</v>
      </c>
      <c r="C27" s="23">
        <f>PRIX!B26*D!B27</f>
        <v>13.2</v>
      </c>
      <c r="D27" s="18"/>
      <c r="E27" s="23">
        <f>PRIX!D26*D!D27</f>
        <v>0</v>
      </c>
      <c r="F27" s="26"/>
      <c r="G27" s="28"/>
      <c r="H27" s="27"/>
      <c r="I27" s="28"/>
      <c r="J27" s="12"/>
      <c r="K27" s="7" t="s">
        <v>41</v>
      </c>
      <c r="L27" s="20"/>
      <c r="M27" s="23">
        <f>PRIX!L27*D!L27</f>
        <v>0</v>
      </c>
      <c r="N27" s="18"/>
      <c r="O27" s="23">
        <f>PRIX!N27*D!N27</f>
        <v>0</v>
      </c>
      <c r="P27" s="18"/>
      <c r="Q27" s="23">
        <f>PRIX!P27*D!P27</f>
        <v>0</v>
      </c>
    </row>
    <row r="28" spans="1:17" x14ac:dyDescent="0.25">
      <c r="A28" s="2" t="s">
        <v>25</v>
      </c>
      <c r="B28" s="15">
        <v>10</v>
      </c>
      <c r="C28" s="23">
        <f>PRIX!B27*D!B28</f>
        <v>30</v>
      </c>
      <c r="D28" s="18"/>
      <c r="E28" s="23">
        <f>PRIX!D27*D!D28</f>
        <v>0</v>
      </c>
      <c r="F28" s="26"/>
      <c r="G28" s="28"/>
      <c r="H28" s="27"/>
      <c r="I28" s="28"/>
      <c r="J28" s="12"/>
      <c r="K28" s="9" t="s">
        <v>42</v>
      </c>
      <c r="L28" s="21">
        <v>1</v>
      </c>
      <c r="M28" s="23">
        <f>PRIX!L28*D!L28</f>
        <v>7.9</v>
      </c>
      <c r="N28" s="18">
        <v>3</v>
      </c>
      <c r="O28" s="23">
        <f>PRIX!N28*D!N28</f>
        <v>34.200000000000003</v>
      </c>
      <c r="P28" s="18">
        <v>1</v>
      </c>
      <c r="Q28" s="23">
        <f>PRIX!P28*D!P28</f>
        <v>14.9</v>
      </c>
    </row>
    <row r="29" spans="1:17" x14ac:dyDescent="0.25">
      <c r="A29" s="2" t="s">
        <v>26</v>
      </c>
      <c r="B29" s="15">
        <v>4</v>
      </c>
      <c r="C29" s="23">
        <f>PRIX!B28*D!B29</f>
        <v>13.2</v>
      </c>
      <c r="D29" s="18"/>
      <c r="E29" s="23">
        <f>PRIX!D28*D!D29</f>
        <v>0</v>
      </c>
      <c r="F29" s="26"/>
      <c r="G29" s="28"/>
      <c r="H29" s="27"/>
      <c r="I29" s="28"/>
      <c r="J29" s="12"/>
      <c r="K29" s="9" t="s">
        <v>43</v>
      </c>
      <c r="L29" s="21">
        <v>1</v>
      </c>
      <c r="M29" s="23">
        <f>PRIX!L29*D!L29</f>
        <v>7.9</v>
      </c>
      <c r="N29" s="18">
        <v>3</v>
      </c>
      <c r="O29" s="23">
        <f>PRIX!N29*D!N29</f>
        <v>34.200000000000003</v>
      </c>
      <c r="P29" s="18">
        <v>1</v>
      </c>
      <c r="Q29" s="23">
        <f>PRIX!P29*D!P29</f>
        <v>14.9</v>
      </c>
    </row>
    <row r="30" spans="1:17" x14ac:dyDescent="0.25">
      <c r="A30" s="2" t="s">
        <v>27</v>
      </c>
      <c r="B30" s="15">
        <v>6</v>
      </c>
      <c r="C30" s="23">
        <f>PRIX!B29*D!B30</f>
        <v>18</v>
      </c>
      <c r="D30" s="18"/>
      <c r="E30" s="23">
        <f>PRIX!D29*D!D30</f>
        <v>0</v>
      </c>
      <c r="F30" s="26"/>
      <c r="G30" s="28"/>
      <c r="H30" s="27"/>
      <c r="I30" s="28"/>
      <c r="J30" s="12"/>
      <c r="K30" s="9" t="s">
        <v>44</v>
      </c>
      <c r="L30" s="21">
        <v>1</v>
      </c>
      <c r="M30" s="23">
        <f>PRIX!L30*D!L30</f>
        <v>7.9</v>
      </c>
      <c r="N30" s="18">
        <v>3</v>
      </c>
      <c r="O30" s="23">
        <f>PRIX!N30*D!N30</f>
        <v>34.200000000000003</v>
      </c>
      <c r="P30" s="18">
        <v>1</v>
      </c>
      <c r="Q30" s="23">
        <f>PRIX!P30*D!P30</f>
        <v>14.9</v>
      </c>
    </row>
    <row r="31" spans="1:17" x14ac:dyDescent="0.25">
      <c r="A31" s="2" t="s">
        <v>28</v>
      </c>
      <c r="B31" s="15">
        <v>6</v>
      </c>
      <c r="C31" s="23">
        <f>PRIX!B30*D!B31</f>
        <v>16.200000000000003</v>
      </c>
      <c r="D31" s="26"/>
      <c r="E31" s="28"/>
      <c r="F31" s="26"/>
      <c r="G31" s="28"/>
      <c r="H31" s="27"/>
      <c r="I31" s="28"/>
      <c r="J31" s="12"/>
      <c r="K31" s="9" t="s">
        <v>45</v>
      </c>
      <c r="L31" s="21"/>
      <c r="M31" s="23">
        <f>PRIX!L31*D!L31</f>
        <v>0</v>
      </c>
      <c r="N31" s="18">
        <v>4</v>
      </c>
      <c r="O31" s="23">
        <f>PRIX!N31*D!N31</f>
        <v>45.6</v>
      </c>
      <c r="P31" s="18"/>
      <c r="Q31" s="23">
        <f>PRIX!P31*D!P31</f>
        <v>0</v>
      </c>
    </row>
    <row r="32" spans="1:17" x14ac:dyDescent="0.25">
      <c r="A32" s="2" t="s">
        <v>29</v>
      </c>
      <c r="B32" s="15">
        <v>4</v>
      </c>
      <c r="C32" s="23">
        <f>PRIX!B31*D!B32</f>
        <v>15.2</v>
      </c>
      <c r="D32" s="26"/>
      <c r="E32" s="28"/>
      <c r="F32" s="26"/>
      <c r="G32" s="28"/>
      <c r="H32" s="27"/>
      <c r="I32" s="28"/>
      <c r="J32" s="12"/>
      <c r="K32" s="9" t="s">
        <v>46</v>
      </c>
      <c r="L32" s="21"/>
      <c r="M32" s="23">
        <f>PRIX!L32*D!L32</f>
        <v>0</v>
      </c>
      <c r="N32" s="18">
        <v>2</v>
      </c>
      <c r="O32" s="23">
        <f>PRIX!N32*D!N32</f>
        <v>22.8</v>
      </c>
      <c r="P32" s="18"/>
      <c r="Q32" s="23">
        <f>PRIX!P32*D!P32</f>
        <v>0</v>
      </c>
    </row>
    <row r="33" spans="1:17" x14ac:dyDescent="0.25">
      <c r="A33" s="2" t="s">
        <v>30</v>
      </c>
      <c r="B33" s="15">
        <v>4</v>
      </c>
      <c r="C33" s="23">
        <f>PRIX!B32*D!B33</f>
        <v>13.2</v>
      </c>
      <c r="D33" s="18"/>
      <c r="E33" s="23">
        <f>PRIX!D32*D!D33</f>
        <v>0</v>
      </c>
      <c r="F33" s="18">
        <f>PRIX!E32*D!E33</f>
        <v>0</v>
      </c>
      <c r="G33" s="23">
        <f>PRIX!F32*D!F33</f>
        <v>0</v>
      </c>
      <c r="H33" s="19">
        <f>PRIX!G32*D!G33</f>
        <v>0</v>
      </c>
      <c r="I33" s="23">
        <f>PRIX!H32*D!H33</f>
        <v>0</v>
      </c>
      <c r="J33" s="12"/>
      <c r="K33" s="9" t="s">
        <v>47</v>
      </c>
      <c r="L33" s="21">
        <v>1</v>
      </c>
      <c r="M33" s="23">
        <f>PRIX!L33*D!L33</f>
        <v>7.9</v>
      </c>
      <c r="N33" s="18">
        <v>3</v>
      </c>
      <c r="O33" s="23">
        <f>PRIX!N33*D!N33</f>
        <v>34.200000000000003</v>
      </c>
      <c r="P33" s="18">
        <v>1</v>
      </c>
      <c r="Q33" s="23">
        <f>PRIX!P33*D!P33</f>
        <v>14.9</v>
      </c>
    </row>
    <row r="34" spans="1:17" x14ac:dyDescent="0.25">
      <c r="A34" s="2" t="s">
        <v>31</v>
      </c>
      <c r="B34" s="15">
        <v>4</v>
      </c>
      <c r="C34" s="23">
        <f>PRIX!B33*D!B34</f>
        <v>13.2</v>
      </c>
      <c r="D34" s="18"/>
      <c r="E34" s="23">
        <f>PRIX!D33*D!D34</f>
        <v>0</v>
      </c>
      <c r="F34" s="18">
        <f>PRIX!E33*D!E34</f>
        <v>0</v>
      </c>
      <c r="G34" s="23">
        <f>PRIX!F33*D!F34</f>
        <v>0</v>
      </c>
      <c r="H34" s="19">
        <f>PRIX!G33*D!G34</f>
        <v>0</v>
      </c>
      <c r="I34" s="23">
        <f>PRIX!H33*D!H34</f>
        <v>0</v>
      </c>
      <c r="J34" s="12"/>
      <c r="K34" s="9"/>
      <c r="L34" s="21"/>
      <c r="M34" s="23">
        <f>PRIX!L34*D!L34</f>
        <v>0</v>
      </c>
      <c r="N34" s="15"/>
      <c r="O34" s="23">
        <f>PRIX!N34*D!N34</f>
        <v>0</v>
      </c>
      <c r="P34" s="18"/>
      <c r="Q34" s="23">
        <f>PRIX!P34*D!P34</f>
        <v>0</v>
      </c>
    </row>
    <row r="35" spans="1:17" x14ac:dyDescent="0.25">
      <c r="A35" s="1" t="s">
        <v>32</v>
      </c>
      <c r="B35" s="14"/>
      <c r="C35" s="23">
        <f>PRIX!B34*D!B35</f>
        <v>0</v>
      </c>
      <c r="D35" s="18"/>
      <c r="E35" s="23">
        <f>PRIX!D34*D!D35</f>
        <v>0</v>
      </c>
      <c r="F35" s="18">
        <f>PRIX!E34*D!E35</f>
        <v>0</v>
      </c>
      <c r="G35" s="23">
        <f>PRIX!F34*D!F35</f>
        <v>0</v>
      </c>
      <c r="H35" s="19">
        <f>PRIX!G34*D!G35</f>
        <v>0</v>
      </c>
      <c r="I35" s="23">
        <f>PRIX!H34*D!H35</f>
        <v>0</v>
      </c>
      <c r="J35" s="12"/>
      <c r="K35" s="9"/>
      <c r="L35" s="21"/>
      <c r="M35" s="23">
        <f>PRIX!L35*D!L35</f>
        <v>0</v>
      </c>
      <c r="N35" s="15"/>
      <c r="O35" s="23">
        <f>PRIX!N35*D!N35</f>
        <v>0</v>
      </c>
      <c r="P35" s="18"/>
      <c r="Q35" s="23">
        <f>PRIX!P35*D!P35</f>
        <v>0</v>
      </c>
    </row>
    <row r="36" spans="1:17" x14ac:dyDescent="0.25">
      <c r="A36" s="2" t="s">
        <v>33</v>
      </c>
      <c r="B36" s="15">
        <v>3</v>
      </c>
      <c r="C36" s="23">
        <f>PRIX!B35*D!B36</f>
        <v>9.8999999999999986</v>
      </c>
      <c r="D36" s="18">
        <v>2</v>
      </c>
      <c r="E36" s="23">
        <f>PRIX!D35*D!D36</f>
        <v>13</v>
      </c>
      <c r="F36" s="18">
        <v>2</v>
      </c>
      <c r="G36" s="23">
        <f>PRIX!F35*D!F36</f>
        <v>6.8</v>
      </c>
      <c r="H36" s="19">
        <v>2</v>
      </c>
      <c r="I36" s="23">
        <f>PRIX!H35*D!H36</f>
        <v>13.2</v>
      </c>
      <c r="J36" s="12"/>
      <c r="K36" s="9"/>
      <c r="L36" s="21"/>
      <c r="M36" s="23">
        <f>PRIX!L36*D!L36</f>
        <v>0</v>
      </c>
      <c r="N36" s="15"/>
      <c r="O36" s="23">
        <f>PRIX!N36*D!N36</f>
        <v>0</v>
      </c>
      <c r="P36" s="18"/>
      <c r="Q36" s="23">
        <f>PRIX!P36*D!P36</f>
        <v>0</v>
      </c>
    </row>
    <row r="37" spans="1:17" x14ac:dyDescent="0.25">
      <c r="A37" s="2" t="s">
        <v>34</v>
      </c>
      <c r="B37" s="15">
        <v>3</v>
      </c>
      <c r="C37" s="23">
        <f>PRIX!B36*D!B37</f>
        <v>9.8999999999999986</v>
      </c>
      <c r="D37" s="18">
        <v>2</v>
      </c>
      <c r="E37" s="23">
        <f>PRIX!D36*D!D37</f>
        <v>13</v>
      </c>
      <c r="F37" s="18">
        <f>PRIX!E36*D!E37</f>
        <v>0</v>
      </c>
      <c r="G37" s="23">
        <f>PRIX!F36*D!F37</f>
        <v>0</v>
      </c>
      <c r="H37" s="19">
        <f>PRIX!G36*D!G37</f>
        <v>0</v>
      </c>
      <c r="I37" s="23">
        <f>PRIX!H36*D!H37</f>
        <v>0</v>
      </c>
      <c r="J37" s="12"/>
      <c r="K37" s="9"/>
      <c r="L37" s="21"/>
      <c r="M37" s="5"/>
      <c r="N37" s="15"/>
      <c r="O37" s="5"/>
      <c r="P37" s="15"/>
      <c r="Q37" s="5"/>
    </row>
    <row r="38" spans="1:17" x14ac:dyDescent="0.25">
      <c r="A38" s="2" t="s">
        <v>35</v>
      </c>
      <c r="B38" s="15">
        <v>3</v>
      </c>
      <c r="C38" s="23">
        <f>PRIX!B37*D!B38</f>
        <v>9.8999999999999986</v>
      </c>
      <c r="D38" s="18">
        <v>2</v>
      </c>
      <c r="E38" s="23">
        <f>PRIX!D37*D!D38</f>
        <v>13</v>
      </c>
      <c r="F38" s="18">
        <f>PRIX!E37*D!E38</f>
        <v>0</v>
      </c>
      <c r="G38" s="23">
        <f>PRIX!F37*D!F38</f>
        <v>0</v>
      </c>
      <c r="H38" s="19">
        <f>PRIX!G37*D!G38</f>
        <v>0</v>
      </c>
      <c r="I38" s="23">
        <f>PRIX!H37*D!H38</f>
        <v>0</v>
      </c>
      <c r="J38" s="12"/>
      <c r="K38" s="9"/>
      <c r="L38" s="21"/>
      <c r="M38" s="5"/>
      <c r="N38" s="15"/>
      <c r="O38" s="5"/>
      <c r="P38" s="15"/>
      <c r="Q38" s="5"/>
    </row>
    <row r="39" spans="1:17" x14ac:dyDescent="0.25">
      <c r="A39" s="2" t="s">
        <v>36</v>
      </c>
      <c r="B39" s="15">
        <v>3</v>
      </c>
      <c r="C39" s="23">
        <f>PRIX!B38*D!B39</f>
        <v>9.8999999999999986</v>
      </c>
      <c r="D39" s="18">
        <v>2</v>
      </c>
      <c r="E39" s="23">
        <f>PRIX!D38*D!D39</f>
        <v>13</v>
      </c>
      <c r="F39" s="18">
        <f>PRIX!E38*D!E39</f>
        <v>0</v>
      </c>
      <c r="G39" s="23">
        <f>PRIX!F38*D!F39</f>
        <v>0</v>
      </c>
      <c r="H39" s="19">
        <f>PRIX!G38*D!G39</f>
        <v>0</v>
      </c>
      <c r="I39" s="23">
        <f>PRIX!H38*D!H39</f>
        <v>0</v>
      </c>
      <c r="J39" s="12"/>
      <c r="K39" s="9"/>
      <c r="L39" s="21"/>
      <c r="M39" s="5"/>
      <c r="N39" s="15"/>
      <c r="O39" s="5"/>
      <c r="P39" s="15"/>
      <c r="Q39" s="5"/>
    </row>
    <row r="40" spans="1:17" x14ac:dyDescent="0.25">
      <c r="A40" s="2" t="s">
        <v>37</v>
      </c>
      <c r="B40" s="15"/>
      <c r="C40" s="23">
        <f>PRIX!B39*D!B40</f>
        <v>0</v>
      </c>
      <c r="D40" s="18"/>
      <c r="E40" s="23">
        <f>PRIX!D39*D!D40</f>
        <v>0</v>
      </c>
      <c r="F40" s="18">
        <f>PRIX!E39*D!E40</f>
        <v>0</v>
      </c>
      <c r="G40" s="23">
        <f>PRIX!F39*D!F40</f>
        <v>0</v>
      </c>
      <c r="H40" s="19">
        <f>PRIX!G39*D!G40</f>
        <v>0</v>
      </c>
      <c r="I40" s="23">
        <f>PRIX!H39*D!H40</f>
        <v>0</v>
      </c>
      <c r="J40" s="12"/>
      <c r="K40" s="9"/>
      <c r="L40" s="21"/>
      <c r="M40" s="5"/>
      <c r="N40" s="15"/>
      <c r="O40" s="5"/>
      <c r="P40" s="15"/>
      <c r="Q40" s="5"/>
    </row>
    <row r="41" spans="1:17" x14ac:dyDescent="0.25">
      <c r="A41" s="2" t="s">
        <v>38</v>
      </c>
      <c r="B41" s="15">
        <v>3</v>
      </c>
      <c r="C41" s="23">
        <f>PRIX!B40*D!B41</f>
        <v>9.8999999999999986</v>
      </c>
      <c r="D41" s="26"/>
      <c r="E41" s="28"/>
      <c r="F41" s="18">
        <v>2</v>
      </c>
      <c r="G41" s="23">
        <f>PRIX!F40*D!F41</f>
        <v>6.8</v>
      </c>
      <c r="H41" s="19">
        <f>PRIX!G40*D!G41</f>
        <v>0</v>
      </c>
      <c r="I41" s="23">
        <f>PRIX!H40*D!H41</f>
        <v>0</v>
      </c>
      <c r="J41" s="12"/>
      <c r="K41" s="9"/>
      <c r="L41" s="21"/>
      <c r="M41" s="5"/>
      <c r="N41" s="15"/>
      <c r="O41" s="5"/>
      <c r="P41" s="15"/>
      <c r="Q41" s="5"/>
    </row>
    <row r="42" spans="1:17" x14ac:dyDescent="0.25">
      <c r="A42" s="2" t="s">
        <v>39</v>
      </c>
      <c r="B42" s="15">
        <v>3</v>
      </c>
      <c r="C42" s="23">
        <f>PRIX!B41*D!B42</f>
        <v>9.8999999999999986</v>
      </c>
      <c r="D42" s="26"/>
      <c r="E42" s="28"/>
      <c r="F42" s="18">
        <f>PRIX!E41*D!E42</f>
        <v>0</v>
      </c>
      <c r="G42" s="23">
        <f>PRIX!F41*D!F42</f>
        <v>0</v>
      </c>
      <c r="H42" s="19">
        <f>PRIX!G41*D!G42</f>
        <v>0</v>
      </c>
      <c r="I42" s="23">
        <f>PRIX!H41*D!H42</f>
        <v>0</v>
      </c>
      <c r="J42" s="12"/>
      <c r="K42" s="9"/>
      <c r="L42" s="21"/>
      <c r="M42" s="5"/>
      <c r="N42" s="15"/>
      <c r="O42" s="5"/>
      <c r="P42" s="15"/>
      <c r="Q42" s="5"/>
    </row>
    <row r="43" spans="1:17" x14ac:dyDescent="0.25">
      <c r="A43" s="2" t="s">
        <v>40</v>
      </c>
      <c r="B43" s="15">
        <v>3</v>
      </c>
      <c r="C43" s="23">
        <f>PRIX!B42*D!B43</f>
        <v>9.8999999999999986</v>
      </c>
      <c r="D43" s="26"/>
      <c r="E43" s="28"/>
      <c r="F43" s="18">
        <f>PRIX!E42*D!E43</f>
        <v>0</v>
      </c>
      <c r="G43" s="23">
        <f>PRIX!F42*D!F43</f>
        <v>0</v>
      </c>
      <c r="H43" s="19">
        <f>PRIX!G42*D!G43</f>
        <v>0</v>
      </c>
      <c r="I43" s="23">
        <f>PRIX!H42*D!H43</f>
        <v>0</v>
      </c>
      <c r="J43" s="12"/>
      <c r="K43" s="9"/>
      <c r="L43" s="21"/>
      <c r="M43" s="5"/>
      <c r="N43" s="15"/>
      <c r="O43" s="5"/>
      <c r="P43" s="15"/>
      <c r="Q43" s="5"/>
    </row>
    <row r="44" spans="1:17" x14ac:dyDescent="0.25">
      <c r="A44" s="1" t="s">
        <v>41</v>
      </c>
      <c r="B44" s="14"/>
      <c r="C44" s="23">
        <f>PRIX!B43*D!B44</f>
        <v>0</v>
      </c>
      <c r="D44" s="18"/>
      <c r="E44" s="23">
        <f>PRIX!D43*D!D44</f>
        <v>0</v>
      </c>
      <c r="F44" s="18">
        <f>PRIX!E43*D!E44</f>
        <v>0</v>
      </c>
      <c r="G44" s="23">
        <f>PRIX!F43*D!F44</f>
        <v>0</v>
      </c>
      <c r="H44" s="19">
        <f>PRIX!G43*D!G44</f>
        <v>0</v>
      </c>
      <c r="I44" s="23">
        <f>PRIX!H43*D!H44</f>
        <v>0</v>
      </c>
      <c r="J44" s="12"/>
      <c r="K44" s="9"/>
      <c r="L44" s="21"/>
      <c r="M44" s="5"/>
      <c r="N44" s="15"/>
      <c r="O44" s="5"/>
      <c r="P44" s="15"/>
      <c r="Q44" s="5"/>
    </row>
    <row r="45" spans="1:17" x14ac:dyDescent="0.25">
      <c r="A45" s="2" t="s">
        <v>42</v>
      </c>
      <c r="B45" s="15">
        <v>4</v>
      </c>
      <c r="C45" s="23">
        <f>PRIX!B44*D!B45</f>
        <v>13.6</v>
      </c>
      <c r="D45" s="18">
        <v>2</v>
      </c>
      <c r="E45" s="23">
        <f>PRIX!D44*D!D45</f>
        <v>13.2</v>
      </c>
      <c r="F45" s="18">
        <f>PRIX!E44*D!E45</f>
        <v>0</v>
      </c>
      <c r="G45" s="23">
        <f>PRIX!F44*D!F45</f>
        <v>0</v>
      </c>
      <c r="H45" s="19">
        <f>PRIX!G44*D!G45</f>
        <v>0</v>
      </c>
      <c r="I45" s="23">
        <f>PRIX!H44*D!H45</f>
        <v>0</v>
      </c>
      <c r="J45" s="12"/>
      <c r="K45" s="9"/>
      <c r="L45" s="21"/>
      <c r="M45" s="5"/>
      <c r="N45" s="15"/>
      <c r="O45" s="5"/>
      <c r="P45" s="15"/>
      <c r="Q45" s="5"/>
    </row>
    <row r="46" spans="1:17" x14ac:dyDescent="0.25">
      <c r="A46" s="2" t="s">
        <v>43</v>
      </c>
      <c r="B46" s="15">
        <v>4</v>
      </c>
      <c r="C46" s="23">
        <f>PRIX!B45*D!B46</f>
        <v>13.6</v>
      </c>
      <c r="D46" s="18">
        <v>2</v>
      </c>
      <c r="E46" s="23">
        <f>PRIX!D45*D!D46</f>
        <v>13.2</v>
      </c>
      <c r="F46" s="18">
        <f>PRIX!E45*D!E46</f>
        <v>0</v>
      </c>
      <c r="G46" s="23">
        <f>PRIX!F45*D!F46</f>
        <v>0</v>
      </c>
      <c r="H46" s="19">
        <f>PRIX!G45*D!G46</f>
        <v>0</v>
      </c>
      <c r="I46" s="23">
        <f>PRIX!H45*D!H46</f>
        <v>0</v>
      </c>
      <c r="J46" s="12"/>
      <c r="K46" s="9"/>
      <c r="L46" s="21"/>
      <c r="M46" s="5"/>
      <c r="N46" s="15"/>
      <c r="O46" s="5"/>
      <c r="P46" s="15"/>
      <c r="Q46" s="5"/>
    </row>
    <row r="47" spans="1:17" x14ac:dyDescent="0.25">
      <c r="A47" s="2" t="s">
        <v>44</v>
      </c>
      <c r="B47" s="15">
        <v>4</v>
      </c>
      <c r="C47" s="23">
        <f>PRIX!B46*D!B47</f>
        <v>13.6</v>
      </c>
      <c r="D47" s="18">
        <v>2</v>
      </c>
      <c r="E47" s="23">
        <f>PRIX!D46*D!D47</f>
        <v>13.2</v>
      </c>
      <c r="F47" s="18">
        <f>PRIX!E46*D!E47</f>
        <v>0</v>
      </c>
      <c r="G47" s="23">
        <f>PRIX!F46*D!F47</f>
        <v>0</v>
      </c>
      <c r="H47" s="19">
        <f>PRIX!G46*D!G47</f>
        <v>0</v>
      </c>
      <c r="I47" s="23">
        <f>PRIX!H46*D!H47</f>
        <v>0</v>
      </c>
      <c r="J47" s="12"/>
      <c r="K47" s="9"/>
      <c r="L47" s="21"/>
      <c r="M47" s="5"/>
      <c r="N47" s="15"/>
      <c r="O47" s="5"/>
      <c r="P47" s="15"/>
      <c r="Q47" s="5"/>
    </row>
    <row r="48" spans="1:17" x14ac:dyDescent="0.25">
      <c r="A48" s="2" t="s">
        <v>45</v>
      </c>
      <c r="B48" s="15">
        <v>4</v>
      </c>
      <c r="C48" s="23">
        <f>PRIX!B47*D!B48</f>
        <v>13.6</v>
      </c>
      <c r="D48" s="18">
        <v>2</v>
      </c>
      <c r="E48" s="23">
        <f>PRIX!D47*D!D48</f>
        <v>13.2</v>
      </c>
      <c r="F48" s="18">
        <f>PRIX!E47*D!E48</f>
        <v>0</v>
      </c>
      <c r="G48" s="23">
        <f>PRIX!F47*D!F48</f>
        <v>0</v>
      </c>
      <c r="H48" s="19">
        <f>PRIX!G47*D!G48</f>
        <v>0</v>
      </c>
      <c r="I48" s="23">
        <f>PRIX!H47*D!H48</f>
        <v>0</v>
      </c>
      <c r="J48" s="12"/>
      <c r="K48" s="9"/>
      <c r="L48" s="21"/>
      <c r="M48" s="5"/>
      <c r="N48" s="15"/>
      <c r="O48" s="5"/>
      <c r="P48" s="15"/>
      <c r="Q48" s="5"/>
    </row>
    <row r="49" spans="1:17" x14ac:dyDescent="0.25">
      <c r="A49" s="2" t="s">
        <v>46</v>
      </c>
      <c r="B49" s="15">
        <v>4</v>
      </c>
      <c r="C49" s="23">
        <f>PRIX!B48*D!B49</f>
        <v>13.6</v>
      </c>
      <c r="D49" s="18">
        <v>2</v>
      </c>
      <c r="E49" s="23">
        <f>PRIX!D48*D!D49</f>
        <v>13.2</v>
      </c>
      <c r="F49" s="18">
        <f>PRIX!E48*D!E49</f>
        <v>0</v>
      </c>
      <c r="G49" s="23">
        <f>PRIX!F48*D!F49</f>
        <v>0</v>
      </c>
      <c r="H49" s="19">
        <f>PRIX!G48*D!G49</f>
        <v>0</v>
      </c>
      <c r="I49" s="23">
        <f>PRIX!H48*D!H49</f>
        <v>0</v>
      </c>
      <c r="J49" s="12"/>
      <c r="K49" s="9"/>
      <c r="L49" s="21"/>
      <c r="M49" s="5"/>
      <c r="N49" s="15"/>
      <c r="O49" s="5"/>
      <c r="P49" s="15"/>
      <c r="Q49" s="5"/>
    </row>
    <row r="50" spans="1:17" ht="18.75" customHeight="1" x14ac:dyDescent="0.25">
      <c r="A50" s="2" t="s">
        <v>47</v>
      </c>
      <c r="B50" s="15">
        <v>4</v>
      </c>
      <c r="C50" s="23">
        <f>PRIX!B49*D!B50</f>
        <v>13.6</v>
      </c>
      <c r="D50" s="18">
        <v>2</v>
      </c>
      <c r="E50" s="23">
        <f>PRIX!D49*D!D50</f>
        <v>13.2</v>
      </c>
      <c r="F50" s="18">
        <f>PRIX!E49*D!E50</f>
        <v>0</v>
      </c>
      <c r="G50" s="23">
        <f>PRIX!F49*D!F50</f>
        <v>0</v>
      </c>
      <c r="H50" s="19">
        <f>PRIX!G49*D!G50</f>
        <v>0</v>
      </c>
      <c r="I50" s="23">
        <f>PRIX!H49*D!H50</f>
        <v>0</v>
      </c>
      <c r="J50">
        <f>SUM(J4:J49)</f>
        <v>0</v>
      </c>
      <c r="K50">
        <f t="shared" ref="K50:Q50" si="0">SUM(K4:K49)</f>
        <v>0</v>
      </c>
      <c r="L50">
        <f t="shared" si="0"/>
        <v>7</v>
      </c>
      <c r="M50">
        <f t="shared" si="0"/>
        <v>55.3</v>
      </c>
      <c r="N50">
        <f t="shared" si="0"/>
        <v>93</v>
      </c>
      <c r="O50">
        <f t="shared" si="0"/>
        <v>938.00000000000023</v>
      </c>
      <c r="P50">
        <f t="shared" si="0"/>
        <v>24</v>
      </c>
      <c r="Q50">
        <f t="shared" si="0"/>
        <v>338.79999999999995</v>
      </c>
    </row>
    <row r="51" spans="1:17" ht="19.5" customHeight="1" x14ac:dyDescent="0.25">
      <c r="B51">
        <f t="shared" ref="B51:I51" si="1">SUM(B4:B50)</f>
        <v>199</v>
      </c>
      <c r="C51">
        <f t="shared" si="1"/>
        <v>563.89999999999986</v>
      </c>
      <c r="D51">
        <f t="shared" si="1"/>
        <v>58</v>
      </c>
      <c r="E51">
        <f t="shared" si="1"/>
        <v>309.19999999999993</v>
      </c>
      <c r="F51">
        <f t="shared" si="1"/>
        <v>14</v>
      </c>
      <c r="G51">
        <f t="shared" si="1"/>
        <v>36.800000000000004</v>
      </c>
      <c r="H51">
        <f t="shared" si="1"/>
        <v>12</v>
      </c>
      <c r="I51">
        <f t="shared" si="1"/>
        <v>57.2</v>
      </c>
    </row>
    <row r="53" spans="1:17" x14ac:dyDescent="0.25">
      <c r="E53" t="s">
        <v>66</v>
      </c>
      <c r="G53" t="s">
        <v>67</v>
      </c>
    </row>
    <row r="54" spans="1:17" x14ac:dyDescent="0.25">
      <c r="C54" s="25">
        <f>C51+E51+G51+I51+M50+O50+Q50</f>
        <v>2299.1999999999998</v>
      </c>
      <c r="E54">
        <f>B51+D51+F51+H51</f>
        <v>283</v>
      </c>
      <c r="G54">
        <f>L50+N50+P50</f>
        <v>124</v>
      </c>
    </row>
  </sheetData>
  <mergeCells count="1">
    <mergeCell ref="B1:I1"/>
  </mergeCells>
  <conditionalFormatting sqref="J4:Q49 B4:I50">
    <cfRule type="cellIs" dxfId="0" priority="1" operator="equal">
      <formula>0</formula>
    </cfRule>
  </conditionalFormatting>
  <pageMargins left="0.7" right="0.7" top="0.75" bottom="0.75" header="0.3" footer="0.3"/>
  <pageSetup paperSize="9" orientation="portrait" horizontalDpi="4294967293"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E28"/>
  <sheetViews>
    <sheetView workbookViewId="0">
      <selection activeCell="G30" sqref="G30"/>
    </sheetView>
  </sheetViews>
  <sheetFormatPr baseColWidth="10" defaultRowHeight="15" x14ac:dyDescent="0.25"/>
  <cols>
    <col min="1" max="1" width="31.7109375" customWidth="1"/>
    <col min="257" max="257" width="31.7109375" customWidth="1"/>
    <col min="513" max="513" width="31.7109375" customWidth="1"/>
    <col min="769" max="769" width="31.7109375" customWidth="1"/>
    <col min="1025" max="1025" width="31.7109375" customWidth="1"/>
    <col min="1281" max="1281" width="31.7109375" customWidth="1"/>
    <col min="1537" max="1537" width="31.7109375" customWidth="1"/>
    <col min="1793" max="1793" width="31.7109375" customWidth="1"/>
    <col min="2049" max="2049" width="31.7109375" customWidth="1"/>
    <col min="2305" max="2305" width="31.7109375" customWidth="1"/>
    <col min="2561" max="2561" width="31.7109375" customWidth="1"/>
    <col min="2817" max="2817" width="31.7109375" customWidth="1"/>
    <col min="3073" max="3073" width="31.7109375" customWidth="1"/>
    <col min="3329" max="3329" width="31.7109375" customWidth="1"/>
    <col min="3585" max="3585" width="31.7109375" customWidth="1"/>
    <col min="3841" max="3841" width="31.7109375" customWidth="1"/>
    <col min="4097" max="4097" width="31.7109375" customWidth="1"/>
    <col min="4353" max="4353" width="31.7109375" customWidth="1"/>
    <col min="4609" max="4609" width="31.7109375" customWidth="1"/>
    <col min="4865" max="4865" width="31.7109375" customWidth="1"/>
    <col min="5121" max="5121" width="31.7109375" customWidth="1"/>
    <col min="5377" max="5377" width="31.7109375" customWidth="1"/>
    <col min="5633" max="5633" width="31.7109375" customWidth="1"/>
    <col min="5889" max="5889" width="31.7109375" customWidth="1"/>
    <col min="6145" max="6145" width="31.7109375" customWidth="1"/>
    <col min="6401" max="6401" width="31.7109375" customWidth="1"/>
    <col min="6657" max="6657" width="31.7109375" customWidth="1"/>
    <col min="6913" max="6913" width="31.7109375" customWidth="1"/>
    <col min="7169" max="7169" width="31.7109375" customWidth="1"/>
    <col min="7425" max="7425" width="31.7109375" customWidth="1"/>
    <col min="7681" max="7681" width="31.7109375" customWidth="1"/>
    <col min="7937" max="7937" width="31.7109375" customWidth="1"/>
    <col min="8193" max="8193" width="31.7109375" customWidth="1"/>
    <col min="8449" max="8449" width="31.7109375" customWidth="1"/>
    <col min="8705" max="8705" width="31.7109375" customWidth="1"/>
    <col min="8961" max="8961" width="31.7109375" customWidth="1"/>
    <col min="9217" max="9217" width="31.7109375" customWidth="1"/>
    <col min="9473" max="9473" width="31.7109375" customWidth="1"/>
    <col min="9729" max="9729" width="31.7109375" customWidth="1"/>
    <col min="9985" max="9985" width="31.7109375" customWidth="1"/>
    <col min="10241" max="10241" width="31.7109375" customWidth="1"/>
    <col min="10497" max="10497" width="31.7109375" customWidth="1"/>
    <col min="10753" max="10753" width="31.7109375" customWidth="1"/>
    <col min="11009" max="11009" width="31.7109375" customWidth="1"/>
    <col min="11265" max="11265" width="31.7109375" customWidth="1"/>
    <col min="11521" max="11521" width="31.7109375" customWidth="1"/>
    <col min="11777" max="11777" width="31.7109375" customWidth="1"/>
    <col min="12033" max="12033" width="31.7109375" customWidth="1"/>
    <col min="12289" max="12289" width="31.7109375" customWidth="1"/>
    <col min="12545" max="12545" width="31.7109375" customWidth="1"/>
    <col min="12801" max="12801" width="31.7109375" customWidth="1"/>
    <col min="13057" max="13057" width="31.7109375" customWidth="1"/>
    <col min="13313" max="13313" width="31.7109375" customWidth="1"/>
    <col min="13569" max="13569" width="31.7109375" customWidth="1"/>
    <col min="13825" max="13825" width="31.7109375" customWidth="1"/>
    <col min="14081" max="14081" width="31.7109375" customWidth="1"/>
    <col min="14337" max="14337" width="31.7109375" customWidth="1"/>
    <col min="14593" max="14593" width="31.7109375" customWidth="1"/>
    <col min="14849" max="14849" width="31.7109375" customWidth="1"/>
    <col min="15105" max="15105" width="31.7109375" customWidth="1"/>
    <col min="15361" max="15361" width="31.7109375" customWidth="1"/>
    <col min="15617" max="15617" width="31.7109375" customWidth="1"/>
    <col min="15873" max="15873" width="31.7109375" customWidth="1"/>
    <col min="16129" max="16129" width="31.7109375" customWidth="1"/>
  </cols>
  <sheetData>
    <row r="1" spans="1:5" ht="26.25" x14ac:dyDescent="0.4">
      <c r="A1" s="42" t="s">
        <v>123</v>
      </c>
      <c r="B1" s="39"/>
      <c r="C1" s="43" t="s">
        <v>124</v>
      </c>
      <c r="D1" s="44"/>
      <c r="E1" s="36"/>
    </row>
    <row r="2" spans="1:5" ht="18.75" x14ac:dyDescent="0.3">
      <c r="A2" s="40"/>
      <c r="B2" s="41"/>
      <c r="C2" s="41"/>
      <c r="D2" s="41"/>
      <c r="E2" s="37"/>
    </row>
    <row r="3" spans="1:5" ht="18.75" x14ac:dyDescent="0.3">
      <c r="A3" s="40" t="s">
        <v>87</v>
      </c>
      <c r="B3" s="41">
        <v>1</v>
      </c>
      <c r="C3" s="41" t="s">
        <v>79</v>
      </c>
      <c r="D3" s="41"/>
      <c r="E3" s="37"/>
    </row>
    <row r="4" spans="1:5" ht="18.75" x14ac:dyDescent="0.3">
      <c r="A4" s="40" t="s">
        <v>88</v>
      </c>
      <c r="B4" s="41">
        <v>0.4</v>
      </c>
      <c r="C4" s="41" t="s">
        <v>79</v>
      </c>
      <c r="D4" s="41"/>
      <c r="E4" s="37"/>
    </row>
    <row r="5" spans="1:5" ht="18.75" x14ac:dyDescent="0.3">
      <c r="A5" s="40" t="s">
        <v>89</v>
      </c>
      <c r="B5" s="41">
        <v>20</v>
      </c>
      <c r="C5" s="41" t="s">
        <v>90</v>
      </c>
      <c r="D5" s="41"/>
      <c r="E5" s="37"/>
    </row>
    <row r="6" spans="1:5" ht="18.75" x14ac:dyDescent="0.3">
      <c r="A6" s="40" t="s">
        <v>91</v>
      </c>
      <c r="B6" s="41" t="s">
        <v>92</v>
      </c>
      <c r="C6" s="41" t="s">
        <v>78</v>
      </c>
      <c r="D6" s="41"/>
      <c r="E6" s="37"/>
    </row>
    <row r="7" spans="1:5" ht="18.75" x14ac:dyDescent="0.3">
      <c r="A7" s="40" t="s">
        <v>93</v>
      </c>
      <c r="B7" s="41">
        <v>2</v>
      </c>
      <c r="C7" s="41"/>
      <c r="D7" s="41"/>
      <c r="E7" s="37"/>
    </row>
    <row r="8" spans="1:5" ht="18.75" x14ac:dyDescent="0.3">
      <c r="A8" s="40"/>
      <c r="B8" s="41"/>
      <c r="C8" s="41"/>
      <c r="D8" s="41"/>
      <c r="E8" s="37"/>
    </row>
    <row r="9" spans="1:5" ht="18.75" x14ac:dyDescent="0.3">
      <c r="A9" s="40"/>
      <c r="B9" s="41"/>
      <c r="C9" s="41"/>
      <c r="D9" s="41"/>
      <c r="E9" s="37"/>
    </row>
    <row r="10" spans="1:5" ht="18.75" x14ac:dyDescent="0.3">
      <c r="A10" s="40"/>
      <c r="B10" s="41"/>
      <c r="C10" s="41"/>
      <c r="D10" s="41"/>
      <c r="E10" s="37"/>
    </row>
    <row r="11" spans="1:5" ht="18.75" x14ac:dyDescent="0.3">
      <c r="A11" s="40"/>
      <c r="B11" s="41"/>
      <c r="C11" s="41"/>
      <c r="D11" s="41"/>
      <c r="E11" s="37"/>
    </row>
    <row r="12" spans="1:5" ht="18.75" x14ac:dyDescent="0.3">
      <c r="A12" s="40"/>
      <c r="B12" s="41"/>
      <c r="C12" s="41"/>
      <c r="D12" s="41"/>
      <c r="E12" s="37"/>
    </row>
    <row r="13" spans="1:5" ht="18.75" x14ac:dyDescent="0.3">
      <c r="A13" s="40"/>
      <c r="B13" s="41"/>
      <c r="C13" s="41"/>
      <c r="D13" s="41"/>
      <c r="E13" s="37"/>
    </row>
    <row r="14" spans="1:5" ht="18.75" x14ac:dyDescent="0.3">
      <c r="A14" s="40"/>
      <c r="B14" s="41"/>
      <c r="C14" s="41"/>
      <c r="D14" s="41"/>
      <c r="E14" s="37"/>
    </row>
    <row r="15" spans="1:5" ht="18.75" x14ac:dyDescent="0.3">
      <c r="A15" s="40"/>
      <c r="B15" s="41"/>
      <c r="C15" s="41"/>
      <c r="D15" s="41"/>
      <c r="E15" s="37"/>
    </row>
    <row r="16" spans="1:5" ht="18.75" x14ac:dyDescent="0.3">
      <c r="A16" s="40"/>
      <c r="B16" s="41"/>
      <c r="C16" s="41"/>
      <c r="D16" s="41"/>
      <c r="E16" s="37"/>
    </row>
    <row r="17" spans="1:5" ht="18.75" x14ac:dyDescent="0.3">
      <c r="A17" s="52" t="s">
        <v>125</v>
      </c>
      <c r="B17" s="52"/>
      <c r="C17" s="52"/>
      <c r="D17" s="41"/>
      <c r="E17" s="37"/>
    </row>
    <row r="18" spans="1:5" ht="18.75" x14ac:dyDescent="0.3">
      <c r="A18" s="52"/>
      <c r="B18" s="52"/>
      <c r="C18" s="52"/>
      <c r="D18" s="41"/>
      <c r="E18" s="37"/>
    </row>
    <row r="19" spans="1:5" ht="18.75" customHeight="1" x14ac:dyDescent="0.3">
      <c r="A19" s="52"/>
      <c r="B19" s="52"/>
      <c r="C19" s="52"/>
      <c r="D19" s="41"/>
      <c r="E19" s="37"/>
    </row>
    <row r="20" spans="1:5" ht="18.75" customHeight="1" x14ac:dyDescent="0.3">
      <c r="A20" s="52"/>
      <c r="B20" s="52"/>
      <c r="C20" s="52"/>
      <c r="D20" s="41"/>
      <c r="E20" s="37"/>
    </row>
    <row r="21" spans="1:5" ht="18.75" customHeight="1" x14ac:dyDescent="0.3">
      <c r="A21" s="52"/>
      <c r="B21" s="52"/>
      <c r="C21" s="52"/>
      <c r="D21" s="41"/>
      <c r="E21" s="37"/>
    </row>
    <row r="22" spans="1:5" ht="18.75" customHeight="1" x14ac:dyDescent="0.3">
      <c r="A22" s="52"/>
      <c r="B22" s="52"/>
      <c r="C22" s="52"/>
      <c r="D22" s="41"/>
      <c r="E22" s="37"/>
    </row>
    <row r="23" spans="1:5" ht="18.75" x14ac:dyDescent="0.3">
      <c r="A23" s="52"/>
      <c r="B23" s="52"/>
      <c r="C23" s="52"/>
      <c r="D23" s="41"/>
      <c r="E23" s="37"/>
    </row>
    <row r="24" spans="1:5" ht="18.75" x14ac:dyDescent="0.3">
      <c r="A24" s="52"/>
      <c r="B24" s="52"/>
      <c r="C24" s="52"/>
      <c r="D24" s="41"/>
      <c r="E24" s="37"/>
    </row>
    <row r="25" spans="1:5" ht="18.75" x14ac:dyDescent="0.3">
      <c r="A25" s="40"/>
      <c r="B25" s="41"/>
      <c r="C25" s="41"/>
      <c r="D25" s="41"/>
      <c r="E25" s="37"/>
    </row>
    <row r="26" spans="1:5" ht="18.75" x14ac:dyDescent="0.3">
      <c r="A26" s="40"/>
      <c r="B26" s="41"/>
      <c r="C26" s="41"/>
      <c r="D26" s="41"/>
      <c r="E26" s="37"/>
    </row>
    <row r="27" spans="1:5" ht="18.75" x14ac:dyDescent="0.3">
      <c r="A27" s="40"/>
      <c r="B27" s="41"/>
      <c r="C27" s="41"/>
      <c r="D27" s="33"/>
    </row>
    <row r="28" spans="1:5" ht="18.75" x14ac:dyDescent="0.3">
      <c r="A28" s="40"/>
      <c r="B28" s="41"/>
      <c r="C28" s="41"/>
      <c r="D28" s="33"/>
    </row>
  </sheetData>
  <mergeCells count="1">
    <mergeCell ref="A17:C24"/>
  </mergeCells>
  <pageMargins left="0.7" right="0.7" top="0.75" bottom="0.75" header="0.3" footer="0.3"/>
  <pageSetup paperSize="9"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E30"/>
  <sheetViews>
    <sheetView workbookViewId="0">
      <selection sqref="A1:D22"/>
    </sheetView>
  </sheetViews>
  <sheetFormatPr baseColWidth="10" defaultRowHeight="15" x14ac:dyDescent="0.25"/>
  <cols>
    <col min="1" max="1" width="29.5703125" customWidth="1"/>
    <col min="3" max="3" width="11" customWidth="1"/>
    <col min="4" max="4" width="11.42578125" hidden="1" customWidth="1"/>
  </cols>
  <sheetData>
    <row r="1" spans="1:5" ht="26.25" x14ac:dyDescent="0.4">
      <c r="A1" s="35" t="s">
        <v>96</v>
      </c>
      <c r="B1" s="36"/>
      <c r="C1" s="37" t="s">
        <v>121</v>
      </c>
      <c r="D1" s="36"/>
    </row>
    <row r="2" spans="1:5" ht="18.75" x14ac:dyDescent="0.3">
      <c r="A2" s="37"/>
      <c r="B2" s="37"/>
      <c r="C2" s="37"/>
      <c r="D2" s="37"/>
      <c r="E2" s="37"/>
    </row>
    <row r="3" spans="1:5" ht="18.75" x14ac:dyDescent="0.3">
      <c r="A3" s="37" t="s">
        <v>98</v>
      </c>
      <c r="B3" s="37">
        <v>1.5</v>
      </c>
      <c r="C3" s="37" t="s">
        <v>79</v>
      </c>
      <c r="D3" s="37"/>
      <c r="E3" s="37"/>
    </row>
    <row r="4" spans="1:5" ht="18.75" x14ac:dyDescent="0.3">
      <c r="A4" s="37"/>
      <c r="B4" s="37"/>
      <c r="C4" s="37"/>
      <c r="D4" s="37"/>
      <c r="E4" s="37"/>
    </row>
    <row r="5" spans="1:5" ht="18.75" x14ac:dyDescent="0.3">
      <c r="A5" s="37" t="s">
        <v>99</v>
      </c>
      <c r="B5" s="37"/>
      <c r="C5" s="37"/>
      <c r="D5" s="37"/>
      <c r="E5" s="37"/>
    </row>
    <row r="6" spans="1:5" ht="18.75" x14ac:dyDescent="0.3">
      <c r="A6" s="37" t="s">
        <v>100</v>
      </c>
      <c r="B6" s="37">
        <v>0.9</v>
      </c>
      <c r="C6" s="37" t="s">
        <v>79</v>
      </c>
      <c r="D6" s="37"/>
      <c r="E6" s="37"/>
    </row>
    <row r="7" spans="1:5" ht="18.75" x14ac:dyDescent="0.3">
      <c r="A7" s="37" t="s">
        <v>101</v>
      </c>
      <c r="B7" s="37">
        <v>0.25</v>
      </c>
      <c r="C7" s="37" t="s">
        <v>102</v>
      </c>
      <c r="D7" s="37"/>
      <c r="E7" s="37"/>
    </row>
    <row r="8" spans="1:5" ht="18.75" x14ac:dyDescent="0.3">
      <c r="A8" s="37" t="s">
        <v>103</v>
      </c>
      <c r="B8" s="37">
        <v>2.2000000000000002</v>
      </c>
      <c r="C8" s="37" t="s">
        <v>102</v>
      </c>
      <c r="D8" s="37"/>
      <c r="E8" s="37"/>
    </row>
    <row r="9" spans="1:5" ht="18.75" x14ac:dyDescent="0.3">
      <c r="A9" s="37"/>
      <c r="B9" s="37"/>
      <c r="C9" s="37"/>
      <c r="D9" s="37"/>
      <c r="E9" s="37"/>
    </row>
    <row r="10" spans="1:5" ht="18.75" x14ac:dyDescent="0.3">
      <c r="A10" s="37" t="s">
        <v>104</v>
      </c>
      <c r="B10" s="37">
        <v>1</v>
      </c>
      <c r="C10" s="37"/>
      <c r="D10" s="37"/>
      <c r="E10" s="37"/>
    </row>
    <row r="11" spans="1:5" ht="18.75" x14ac:dyDescent="0.3">
      <c r="A11" s="37"/>
      <c r="B11" s="37"/>
      <c r="C11" s="37"/>
      <c r="D11" s="37"/>
      <c r="E11" s="37"/>
    </row>
    <row r="12" spans="1:5" ht="18.75" x14ac:dyDescent="0.3">
      <c r="A12" s="37"/>
      <c r="B12" s="37"/>
      <c r="C12" s="37"/>
      <c r="D12" s="37"/>
      <c r="E12" s="37"/>
    </row>
    <row r="13" spans="1:5" ht="18.75" x14ac:dyDescent="0.3">
      <c r="A13" s="37"/>
      <c r="B13" s="37"/>
      <c r="C13" s="37"/>
      <c r="D13" s="37"/>
      <c r="E13" s="37"/>
    </row>
    <row r="14" spans="1:5" ht="18.75" x14ac:dyDescent="0.3">
      <c r="A14" s="37"/>
      <c r="B14" s="37"/>
      <c r="C14" s="37"/>
      <c r="D14" s="37"/>
      <c r="E14" s="37"/>
    </row>
    <row r="15" spans="1:5" ht="18.75" x14ac:dyDescent="0.3">
      <c r="A15" s="37"/>
      <c r="B15" s="37"/>
      <c r="C15" s="37"/>
      <c r="D15" s="37"/>
      <c r="E15" s="37"/>
    </row>
    <row r="16" spans="1:5" ht="18.75" x14ac:dyDescent="0.3">
      <c r="A16" s="37"/>
      <c r="B16" s="37"/>
      <c r="C16" s="37"/>
      <c r="D16" s="37"/>
      <c r="E16" s="37"/>
    </row>
    <row r="17" spans="1:5" ht="18.75" x14ac:dyDescent="0.3">
      <c r="A17" s="53" t="s">
        <v>122</v>
      </c>
      <c r="B17" s="53"/>
      <c r="C17" s="53"/>
      <c r="D17" s="53"/>
      <c r="E17" s="37"/>
    </row>
    <row r="18" spans="1:5" ht="18.75" x14ac:dyDescent="0.3">
      <c r="A18" s="53"/>
      <c r="B18" s="53"/>
      <c r="C18" s="53"/>
      <c r="D18" s="53"/>
      <c r="E18" s="37"/>
    </row>
    <row r="19" spans="1:5" ht="18.75" x14ac:dyDescent="0.3">
      <c r="A19" s="53"/>
      <c r="B19" s="53"/>
      <c r="C19" s="53"/>
      <c r="D19" s="53"/>
      <c r="E19" s="37"/>
    </row>
    <row r="20" spans="1:5" ht="18.75" x14ac:dyDescent="0.3">
      <c r="A20" s="53"/>
      <c r="B20" s="53"/>
      <c r="C20" s="53"/>
      <c r="D20" s="53"/>
      <c r="E20" s="37"/>
    </row>
    <row r="21" spans="1:5" ht="18.75" x14ac:dyDescent="0.3">
      <c r="A21" s="53"/>
      <c r="B21" s="53"/>
      <c r="C21" s="53"/>
      <c r="D21" s="53"/>
      <c r="E21" s="37"/>
    </row>
    <row r="22" spans="1:5" ht="18.75" x14ac:dyDescent="0.3">
      <c r="A22" s="53"/>
      <c r="B22" s="53"/>
      <c r="C22" s="53"/>
      <c r="D22" s="53"/>
      <c r="E22" s="37"/>
    </row>
    <row r="26" spans="1:5" ht="18.75" x14ac:dyDescent="0.3">
      <c r="A26" s="37"/>
      <c r="B26" s="37"/>
      <c r="C26" s="37"/>
    </row>
    <row r="27" spans="1:5" ht="18.75" x14ac:dyDescent="0.3">
      <c r="A27" s="38"/>
      <c r="B27" s="37"/>
      <c r="C27" s="37"/>
    </row>
    <row r="28" spans="1:5" ht="18.75" x14ac:dyDescent="0.3">
      <c r="A28" s="37"/>
      <c r="B28" s="37"/>
      <c r="C28" s="37"/>
    </row>
    <row r="29" spans="1:5" ht="18.75" x14ac:dyDescent="0.3">
      <c r="A29" s="37"/>
      <c r="B29" s="37"/>
      <c r="C29" s="37"/>
    </row>
    <row r="30" spans="1:5" ht="18.75" x14ac:dyDescent="0.3">
      <c r="A30" s="37"/>
      <c r="B30" s="37"/>
      <c r="C30" s="37"/>
    </row>
  </sheetData>
  <mergeCells count="1">
    <mergeCell ref="A17:D22"/>
  </mergeCells>
  <pageMargins left="0.7" right="0.7" top="0.75" bottom="0.75" header="0.3" footer="0.3"/>
  <pageSetup paperSize="9" orientation="portrait" horizontalDpi="4294967293"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E25"/>
  <sheetViews>
    <sheetView workbookViewId="0">
      <selection activeCell="H23" sqref="H23"/>
    </sheetView>
  </sheetViews>
  <sheetFormatPr baseColWidth="10" defaultRowHeight="15" x14ac:dyDescent="0.25"/>
  <cols>
    <col min="1" max="1" width="34.28515625" customWidth="1"/>
  </cols>
  <sheetData>
    <row r="1" spans="1:5" ht="26.25" x14ac:dyDescent="0.4">
      <c r="A1" s="35" t="s">
        <v>106</v>
      </c>
      <c r="B1" s="35"/>
      <c r="C1" s="37" t="s">
        <v>97</v>
      </c>
      <c r="D1" s="36"/>
      <c r="E1" s="36"/>
    </row>
    <row r="2" spans="1:5" ht="18.75" x14ac:dyDescent="0.3">
      <c r="A2" s="37"/>
      <c r="B2" s="37"/>
      <c r="C2" s="37"/>
      <c r="D2" s="37"/>
      <c r="E2" s="37"/>
    </row>
    <row r="3" spans="1:5" ht="18.75" x14ac:dyDescent="0.3">
      <c r="A3" s="37" t="s">
        <v>107</v>
      </c>
      <c r="B3" s="37"/>
      <c r="C3" s="37"/>
      <c r="D3" s="37"/>
      <c r="E3" s="37"/>
    </row>
    <row r="4" spans="1:5" ht="18.75" x14ac:dyDescent="0.3">
      <c r="A4" s="37" t="s">
        <v>108</v>
      </c>
      <c r="B4" s="37">
        <v>0.75</v>
      </c>
      <c r="C4" s="37"/>
      <c r="D4" s="37"/>
      <c r="E4" s="37"/>
    </row>
    <row r="5" spans="1:5" ht="18.75" x14ac:dyDescent="0.3">
      <c r="A5" s="37" t="s">
        <v>88</v>
      </c>
      <c r="B5" s="37">
        <v>0.25</v>
      </c>
      <c r="C5" s="37"/>
      <c r="D5" s="37"/>
      <c r="E5" s="37"/>
    </row>
    <row r="6" spans="1:5" ht="18.75" x14ac:dyDescent="0.3">
      <c r="A6" s="37" t="s">
        <v>89</v>
      </c>
      <c r="B6" s="37" t="s">
        <v>109</v>
      </c>
      <c r="C6" s="37"/>
      <c r="D6" s="37"/>
      <c r="E6" s="37"/>
    </row>
    <row r="7" spans="1:5" ht="18.75" x14ac:dyDescent="0.3">
      <c r="A7" s="37" t="s">
        <v>91</v>
      </c>
      <c r="B7" s="37">
        <v>1.2</v>
      </c>
      <c r="C7" s="37"/>
      <c r="D7" s="37"/>
      <c r="E7" s="37"/>
    </row>
    <row r="8" spans="1:5" ht="18.75" x14ac:dyDescent="0.3">
      <c r="A8" s="37"/>
      <c r="B8" s="37"/>
      <c r="C8" s="37"/>
      <c r="D8" s="37"/>
      <c r="E8" s="37"/>
    </row>
    <row r="9" spans="1:5" ht="18.75" x14ac:dyDescent="0.3">
      <c r="A9" s="37" t="s">
        <v>110</v>
      </c>
      <c r="B9" s="37"/>
      <c r="C9" s="37"/>
      <c r="D9" s="37"/>
      <c r="E9" s="37"/>
    </row>
    <row r="10" spans="1:5" ht="18.75" x14ac:dyDescent="0.3">
      <c r="A10" s="37" t="s">
        <v>111</v>
      </c>
      <c r="B10" s="37">
        <v>0.7</v>
      </c>
      <c r="C10" s="37"/>
      <c r="D10" s="37"/>
      <c r="E10" s="37"/>
    </row>
    <row r="11" spans="1:5" ht="18.75" x14ac:dyDescent="0.3">
      <c r="A11" s="37" t="s">
        <v>112</v>
      </c>
      <c r="B11" s="37">
        <v>0.3</v>
      </c>
      <c r="C11" s="37"/>
      <c r="D11" s="37"/>
      <c r="E11" s="37"/>
    </row>
    <row r="12" spans="1:5" ht="18.75" x14ac:dyDescent="0.3">
      <c r="A12" s="37" t="s">
        <v>89</v>
      </c>
      <c r="B12" s="37" t="s">
        <v>109</v>
      </c>
      <c r="C12" s="37"/>
      <c r="D12" s="37"/>
      <c r="E12" s="37"/>
    </row>
    <row r="13" spans="1:5" ht="18.75" x14ac:dyDescent="0.3">
      <c r="A13" s="37" t="s">
        <v>113</v>
      </c>
      <c r="B13" s="37" t="s">
        <v>114</v>
      </c>
      <c r="C13" s="37"/>
      <c r="D13" s="37"/>
      <c r="E13" s="37"/>
    </row>
    <row r="14" spans="1:5" ht="18.75" x14ac:dyDescent="0.3">
      <c r="A14" s="37"/>
      <c r="B14" s="37"/>
      <c r="C14" s="37"/>
      <c r="D14" s="37"/>
      <c r="E14" s="37"/>
    </row>
    <row r="15" spans="1:5" ht="18.75" x14ac:dyDescent="0.3">
      <c r="A15" s="37" t="s">
        <v>115</v>
      </c>
      <c r="B15" s="37">
        <v>2</v>
      </c>
      <c r="C15" s="37"/>
      <c r="D15" s="37"/>
      <c r="E15" s="37"/>
    </row>
    <row r="16" spans="1:5" ht="18.75" x14ac:dyDescent="0.3">
      <c r="A16" s="37"/>
      <c r="B16" s="37"/>
      <c r="C16" s="37"/>
      <c r="D16" s="37"/>
      <c r="E16" s="37"/>
    </row>
    <row r="17" spans="1:5" ht="18.75" x14ac:dyDescent="0.3">
      <c r="A17" s="37"/>
      <c r="B17" s="37"/>
      <c r="C17" s="37"/>
      <c r="D17" s="37"/>
      <c r="E17" s="37"/>
    </row>
    <row r="18" spans="1:5" ht="18.75" x14ac:dyDescent="0.3">
      <c r="A18" s="37"/>
      <c r="B18" s="37"/>
      <c r="C18" s="37"/>
      <c r="D18" s="37"/>
      <c r="E18" s="37"/>
    </row>
    <row r="19" spans="1:5" ht="18.75" x14ac:dyDescent="0.3">
      <c r="A19" s="37" t="s">
        <v>94</v>
      </c>
      <c r="B19" s="37"/>
      <c r="C19" s="37"/>
      <c r="D19" s="37"/>
      <c r="E19" s="37"/>
    </row>
    <row r="20" spans="1:5" ht="18.75" x14ac:dyDescent="0.3">
      <c r="A20" s="37" t="s">
        <v>95</v>
      </c>
      <c r="B20" s="37"/>
      <c r="C20" s="37"/>
      <c r="D20" s="37"/>
      <c r="E20" s="37"/>
    </row>
    <row r="21" spans="1:5" ht="18.75" x14ac:dyDescent="0.3">
      <c r="A21" s="37" t="s">
        <v>116</v>
      </c>
      <c r="B21" s="37"/>
      <c r="C21" s="37"/>
      <c r="D21" s="37"/>
      <c r="E21" s="37"/>
    </row>
    <row r="22" spans="1:5" ht="18.75" x14ac:dyDescent="0.3">
      <c r="A22" s="37" t="s">
        <v>117</v>
      </c>
      <c r="B22" s="37"/>
      <c r="C22" s="37"/>
      <c r="D22" s="37"/>
      <c r="E22" s="37"/>
    </row>
    <row r="23" spans="1:5" ht="18.75" x14ac:dyDescent="0.3">
      <c r="A23" s="37" t="s">
        <v>118</v>
      </c>
      <c r="B23" s="37"/>
      <c r="C23" s="37"/>
      <c r="D23" s="37"/>
      <c r="E23" s="37"/>
    </row>
    <row r="24" spans="1:5" ht="18.75" x14ac:dyDescent="0.3">
      <c r="A24" s="37" t="s">
        <v>119</v>
      </c>
      <c r="B24" s="37"/>
      <c r="C24" s="37"/>
      <c r="D24" s="37"/>
      <c r="E24" s="37"/>
    </row>
    <row r="25" spans="1:5" ht="18.75" x14ac:dyDescent="0.3">
      <c r="A25" s="37" t="s">
        <v>120</v>
      </c>
      <c r="B25" s="37"/>
      <c r="C25" s="37"/>
      <c r="D25" s="37"/>
      <c r="E25" s="3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COMMANDE</vt:lpstr>
      <vt:lpstr>PRIX</vt:lpstr>
      <vt:lpstr>A</vt:lpstr>
      <vt:lpstr>B</vt:lpstr>
      <vt:lpstr>C</vt:lpstr>
      <vt:lpstr>D</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bureau patissier</dc:creator>
  <cp:lastModifiedBy>Kilian Spieczny</cp:lastModifiedBy>
  <cp:lastPrinted>2017-12-29T15:18:56Z</cp:lastPrinted>
  <dcterms:created xsi:type="dcterms:W3CDTF">2017-12-03T15:01:43Z</dcterms:created>
  <dcterms:modified xsi:type="dcterms:W3CDTF">2018-01-02T08:17:59Z</dcterms:modified>
</cp:coreProperties>
</file>