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ea45a0b0a12f0f1/aglm/"/>
    </mc:Choice>
  </mc:AlternateContent>
  <xr:revisionPtr revIDLastSave="19" documentId="8_{BE505294-43DD-4ADC-9D0F-7067E7D7E428}" xr6:coauthVersionLast="28" xr6:coauthVersionMax="28" xr10:uidLastSave="{CB5AF692-6BED-41D9-B437-FBE1AF8BBD79}"/>
  <bookViews>
    <workbookView xWindow="0" yWindow="0" windowWidth="24000" windowHeight="10245" xr2:uid="{00000000-000D-0000-FFFF-FFFF00000000}"/>
  </bookViews>
  <sheets>
    <sheet name="MS  VA (3)" sheetId="2" r:id="rId1"/>
  </sheets>
  <externalReferences>
    <externalReference r:id="rId2"/>
  </externalReferences>
  <definedNames>
    <definedName name="Année" localSheetId="0">'MS  VA (3)'!$E$17:$E$24</definedName>
    <definedName name="Année">#REF!</definedName>
    <definedName name="août" localSheetId="0">'MS  VA (3)'!$M$17:$M$25</definedName>
    <definedName name="août">#REF!</definedName>
    <definedName name="aoutloc" localSheetId="0">'MS  VA (3)'!$B$15</definedName>
    <definedName name="aoutserv" localSheetId="0">'MS  VA (3)'!$B$29</definedName>
    <definedName name="avril" localSheetId="0">'MS  VA (3)'!$I$17:$I$25</definedName>
    <definedName name="avril">#REF!</definedName>
    <definedName name="avrilloc" localSheetId="0">'MS  VA (3)'!$B$11</definedName>
    <definedName name="avrilserv" localSheetId="0">'MS  VA (3)'!$B$25</definedName>
    <definedName name="décembre" localSheetId="0">'MS  VA (3)'!$Q$17:$Q$25</definedName>
    <definedName name="décembre">#REF!</definedName>
    <definedName name="decloc" localSheetId="0">'MS  VA (3)'!$B$19</definedName>
    <definedName name="decserv" localSheetId="0">'MS  VA (3)'!$B$33</definedName>
    <definedName name="fevloc" localSheetId="0">'MS  VA (3)'!$B$9</definedName>
    <definedName name="février" localSheetId="0">'MS  VA (3)'!$G$17:$G$25</definedName>
    <definedName name="février">#REF!</definedName>
    <definedName name="fevserv" localSheetId="0">'MS  VA (3)'!$B$23</definedName>
    <definedName name="janserv" localSheetId="0">'MS  VA (3)'!$B$21</definedName>
    <definedName name="janvier" localSheetId="0">'MS  VA (3)'!$F$17:$F$25</definedName>
    <definedName name="janvier">#REF!</definedName>
    <definedName name="janvloc" localSheetId="0">'MS  VA (3)'!$B$8</definedName>
    <definedName name="janvserv" localSheetId="0">'MS  VA (3)'!$B$22</definedName>
    <definedName name="juillet" localSheetId="0">'MS  VA (3)'!$L$17:$L$25</definedName>
    <definedName name="juillet">#REF!</definedName>
    <definedName name="juilloc" localSheetId="0">'MS  VA (3)'!$B$14</definedName>
    <definedName name="juilserv" localSheetId="0">'MS  VA (3)'!$B$28</definedName>
    <definedName name="juin" localSheetId="0">'MS  VA (3)'!$K$17:$K$25</definedName>
    <definedName name="juin">#REF!</definedName>
    <definedName name="juinloc" localSheetId="0">'MS  VA (3)'!$B$13</definedName>
    <definedName name="juinserv" localSheetId="0">'MS  VA (3)'!$B$27</definedName>
    <definedName name="mai" localSheetId="0">'MS  VA (3)'!$J$17:$J$25</definedName>
    <definedName name="mai">#REF!</definedName>
    <definedName name="mailoc" localSheetId="0">'MS  VA (3)'!$B$12</definedName>
    <definedName name="maiserv" localSheetId="0">'MS  VA (3)'!$B$26</definedName>
    <definedName name="mars" localSheetId="0">'MS  VA (3)'!$H$17:$H$25</definedName>
    <definedName name="mars">#REF!</definedName>
    <definedName name="marserv" localSheetId="0">'MS  VA (3)'!$B$24</definedName>
    <definedName name="marsloc" localSheetId="0">'MS  VA (3)'!$B$10</definedName>
    <definedName name="Mois" localSheetId="0">'MS  VA (3)'!$F$16:$Q$16</definedName>
    <definedName name="Mois">#REF!</definedName>
    <definedName name="mstts2011">'[1]MS CA'!$C$6</definedName>
    <definedName name="mstts2012">'[1]MS CA'!$C$7</definedName>
    <definedName name="mstts2013">'[1]MS CA'!$C$8</definedName>
    <definedName name="mstts2014">'[1]MS CA'!$C$9</definedName>
    <definedName name="mstts2015">'[1]MS CA'!$C$10</definedName>
    <definedName name="mstts2016">'[1]MS CA'!$C$11</definedName>
    <definedName name="novembre" localSheetId="0">'MS  VA (3)'!$P$17:$P$25</definedName>
    <definedName name="novembre">#REF!</definedName>
    <definedName name="novloc" localSheetId="0">'MS  VA (3)'!$B$18</definedName>
    <definedName name="novserv" localSheetId="0">'MS  VA (3)'!$B$32</definedName>
    <definedName name="octloc" localSheetId="0">'MS  VA (3)'!$B$17</definedName>
    <definedName name="octobre" localSheetId="0">'MS  VA (3)'!$O$17:$O$25</definedName>
    <definedName name="octobre">#REF!</definedName>
    <definedName name="octserv" localSheetId="0">'MS  VA (3)'!$B$31</definedName>
    <definedName name="septembre" localSheetId="0">'MS  VA (3)'!$N$17:$N$25</definedName>
    <definedName name="septembre">#REF!</definedName>
    <definedName name="septloc" localSheetId="0">'MS  VA (3)'!$B$16</definedName>
    <definedName name="septserv" localSheetId="0">'MS  VA (3)'!$B$30</definedName>
    <definedName name="Tloc2011">'[1]MS CA'!$B$6</definedName>
    <definedName name="Tloc2012">'[1]MS CA'!$B$7</definedName>
    <definedName name="Tloc2013">'[1]MS CA'!$B$8</definedName>
    <definedName name="Tloc2014">'[1]MS CA'!$B$9</definedName>
    <definedName name="Tloc2015">'[1]MS CA'!$B$10</definedName>
    <definedName name="Tloc2016">'[1]MS CA'!$B$11</definedName>
    <definedName name="Tserv2011">'[1]MS CA'!$B$13</definedName>
    <definedName name="Tserv2012">'[1]MS CA'!$B$14</definedName>
    <definedName name="Tserv2013">'[1]MS CA'!$B$15</definedName>
    <definedName name="Tserv2014">'[1]MS CA'!$B$16</definedName>
    <definedName name="Tserv2015">'[1]MS CA'!$B$17</definedName>
    <definedName name="Tserv2016">'[1]MS CA'!$B$18</definedName>
    <definedName name="ttsaout" localSheetId="0">'MS  VA (3)'!$C$15</definedName>
    <definedName name="ttsavril" localSheetId="0">'MS  VA (3)'!$C$11</definedName>
    <definedName name="ttsdec" localSheetId="0">'MS  VA (3)'!$C$19</definedName>
    <definedName name="ttsfev" localSheetId="0">'MS  VA (3)'!$C$9</definedName>
    <definedName name="ttsjanv" localSheetId="0">'MS  VA (3)'!$C$8</definedName>
    <definedName name="ttsjuil" localSheetId="0">'MS  VA (3)'!$C$14</definedName>
    <definedName name="ttsjuin" localSheetId="0">'MS  VA (3)'!$C$13</definedName>
    <definedName name="ttsmai" localSheetId="0">'MS  VA (3)'!$C$12</definedName>
    <definedName name="ttsmars" localSheetId="0">'MS  VA (3)'!$C$10</definedName>
    <definedName name="ttsnov" localSheetId="0">'MS  VA (3)'!$C$18</definedName>
    <definedName name="ttsoct" localSheetId="0">'MS  VA (3)'!$C$17</definedName>
    <definedName name="ttssept" localSheetId="0">'MS  VA (3)'!$C$16</definedName>
    <definedName name="var" localSheetId="0">'MS  VA (3)'!$F$25:$Q$25</definedName>
    <definedName name="var">#REF!</definedName>
    <definedName name="_xlnm.Print_Area" localSheetId="0">'MS  VA (3)'!$E$5:$Q$46</definedName>
  </definedNames>
  <calcPr calcId="171027"/>
</workbook>
</file>

<file path=xl/calcChain.xml><?xml version="1.0" encoding="utf-8"?>
<calcChain xmlns="http://schemas.openxmlformats.org/spreadsheetml/2006/main">
  <c r="F32" i="2" l="1"/>
  <c r="G24" i="2" l="1"/>
  <c r="F24" i="2"/>
  <c r="Q23" i="2"/>
  <c r="P23" i="2"/>
  <c r="O23" i="2"/>
  <c r="N23" i="2"/>
  <c r="M23" i="2"/>
  <c r="L23" i="2"/>
  <c r="K23" i="2"/>
  <c r="J23" i="2"/>
  <c r="I23" i="2"/>
  <c r="H23" i="2"/>
  <c r="G23" i="2"/>
  <c r="F23" i="2"/>
  <c r="Q22" i="2"/>
  <c r="P22" i="2"/>
  <c r="O22" i="2"/>
  <c r="N22" i="2"/>
  <c r="M22" i="2"/>
  <c r="L22" i="2"/>
  <c r="K22" i="2"/>
  <c r="J22" i="2"/>
  <c r="I22" i="2"/>
  <c r="H22" i="2"/>
  <c r="G22" i="2"/>
  <c r="F22" i="2"/>
  <c r="Q21" i="2"/>
  <c r="F28" i="2" s="1"/>
  <c r="P21" i="2"/>
  <c r="O21" i="2"/>
  <c r="N21" i="2"/>
  <c r="M21" i="2"/>
  <c r="L21" i="2"/>
  <c r="K21" i="2"/>
  <c r="J21" i="2"/>
  <c r="I21" i="2"/>
  <c r="H21" i="2"/>
  <c r="G21" i="2"/>
  <c r="F21" i="2"/>
  <c r="Q20" i="2"/>
  <c r="P20" i="2"/>
  <c r="O20" i="2"/>
  <c r="N20" i="2"/>
  <c r="M20" i="2"/>
  <c r="L20" i="2"/>
  <c r="K20" i="2"/>
  <c r="J20" i="2"/>
  <c r="I20" i="2"/>
  <c r="H20" i="2"/>
  <c r="G20" i="2"/>
  <c r="F20" i="2"/>
  <c r="Q19" i="2"/>
  <c r="P19" i="2"/>
  <c r="O19" i="2"/>
  <c r="N19" i="2"/>
  <c r="M19" i="2"/>
  <c r="L19" i="2"/>
  <c r="K19" i="2"/>
  <c r="J19" i="2"/>
  <c r="I19" i="2"/>
  <c r="H19" i="2"/>
  <c r="G19" i="2"/>
  <c r="F19" i="2"/>
  <c r="Q18" i="2"/>
  <c r="P18" i="2"/>
  <c r="O18" i="2"/>
  <c r="N18" i="2"/>
  <c r="M18" i="2"/>
  <c r="L18" i="2"/>
  <c r="K18" i="2"/>
  <c r="J18" i="2"/>
  <c r="I18" i="2"/>
  <c r="H18" i="2"/>
  <c r="G18" i="2"/>
  <c r="F18" i="2"/>
  <c r="Q17" i="2"/>
  <c r="P17" i="2"/>
  <c r="O17" i="2"/>
  <c r="N17" i="2"/>
  <c r="M17" i="2"/>
  <c r="L17" i="2"/>
  <c r="K17" i="2"/>
  <c r="J17" i="2"/>
  <c r="I17" i="2"/>
  <c r="H17" i="2"/>
  <c r="G17" i="2"/>
  <c r="F17" i="2"/>
  <c r="G25" i="2" l="1"/>
  <c r="K25" i="2"/>
  <c r="O25" i="2"/>
  <c r="H25" i="2"/>
  <c r="L25" i="2"/>
  <c r="P25" i="2"/>
  <c r="I25" i="2"/>
  <c r="M25" i="2"/>
  <c r="Q25" i="2"/>
  <c r="J25" i="2"/>
  <c r="N25" i="2"/>
  <c r="F25" i="2"/>
  <c r="F34" i="2"/>
  <c r="I28" i="2"/>
  <c r="F3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FDL</author>
    <author>administrateur</author>
  </authors>
  <commentList>
    <comment ref="N6" authorId="0" shapeId="0" xr:uid="{8CDF7B3C-0751-4A2B-9BCF-DBB08709B598}">
      <text>
        <r>
          <rPr>
            <b/>
            <sz val="9"/>
            <color indexed="81"/>
            <rFont val="Tahoma"/>
            <family val="2"/>
          </rPr>
          <t>FDL:</t>
        </r>
        <r>
          <rPr>
            <sz val="9"/>
            <color indexed="81"/>
            <rFont val="Tahoma"/>
            <family val="2"/>
          </rPr>
          <t xml:space="preserve">
Parce que taux 1ere année avec peu de personnel mais service pourri.</t>
        </r>
      </text>
    </comment>
    <comment ref="E16" authorId="1" shapeId="0" xr:uid="{1CBD878D-2F71-451C-A458-6097F477E603}">
      <text>
        <r>
          <rPr>
            <b/>
            <sz val="8"/>
            <color indexed="81"/>
            <rFont val="Tahoma"/>
            <family val="2"/>
          </rPr>
          <t>administrateur:</t>
        </r>
        <r>
          <rPr>
            <sz val="8"/>
            <color indexed="81"/>
            <rFont val="Tahoma"/>
            <family val="2"/>
          </rPr>
          <t xml:space="preserve">
Calcul : Coût TTS/(Loc105+Serv400)
</t>
        </r>
      </text>
    </comment>
  </commentList>
</comments>
</file>

<file path=xl/sharedStrings.xml><?xml version="1.0" encoding="utf-8"?>
<sst xmlns="http://schemas.openxmlformats.org/spreadsheetml/2006/main" count="23" uniqueCount="22">
  <si>
    <t>MS TTS / CA LOC</t>
  </si>
  <si>
    <t>NORME = 23,1%</t>
  </si>
  <si>
    <t>NORME =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</si>
  <si>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</si>
  <si>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</si>
  <si>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</si>
  <si>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</si>
  <si>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</si>
  <si>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</si>
  <si>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</si>
  <si>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</si>
  <si>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</si>
  <si>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</si>
  <si>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</si>
  <si>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</si>
  <si>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var</t>
  </si>
  <si>
    <t>MS TTS</t>
  </si>
  <si>
    <t>Année</t>
  </si>
  <si>
    <t>Mois</t>
  </si>
  <si>
    <t>MS TTS Insatisfaisant</t>
  </si>
  <si>
    <t>MS TTS à améliorer</t>
  </si>
  <si>
    <t>MS TTS Satisfaisant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</si>
</sst>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6">
    <xf numFmtId="0" fontId="0" fillId="0" borderId="0" xfId="0"/>
    <xf numFmtId="164" fontId="2" fillId="2" borderId="1" xfId="1" applyNumberFormat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164" fontId="2" fillId="4" borderId="1" xfId="1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3" fontId="0" fillId="0" borderId="0" xfId="0" applyNumberFormat="1"/>
    <xf numFmtId="0" fontId="2" fillId="0" borderId="0" xfId="0" applyFont="1" applyAlignment="1">
      <alignment horizontal="center"/>
    </xf>
    <xf numFmtId="17" fontId="2" fillId="0" borderId="1" xfId="0" applyNumberFormat="1" applyFont="1" applyBorder="1" applyAlignment="1">
      <alignment horizontal="center" wrapText="1"/>
    </xf>
    <xf numFmtId="10" fontId="2" fillId="2" borderId="1" xfId="1" applyNumberFormat="1" applyFont="1" applyFill="1" applyBorder="1" applyAlignment="1">
      <alignment horizontal="center"/>
    </xf>
    <xf numFmtId="10" fontId="2" fillId="3" borderId="1" xfId="1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>
      <alignment horizontal="center"/>
    </xf>
    <xf numFmtId="9" fontId="2" fillId="5" borderId="0" xfId="1" applyFont="1" applyFill="1" applyBorder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164" fontId="2" fillId="4" borderId="0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64" fontId="2" fillId="6" borderId="1" xfId="1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/>
    <xf numFmtId="0" fontId="0" fillId="0" borderId="0" xfId="0" applyFill="1" applyBorder="1"/>
    <xf numFmtId="9" fontId="0" fillId="0" borderId="0" xfId="0" applyNumberFormat="1"/>
    <xf numFmtId="0" fontId="2" fillId="0" borderId="1" xfId="0" applyFont="1" applyBorder="1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3">
    <cellStyle name="Milliers 2" xfId="2" xr:uid="{00000000-0005-0000-0000-000001000000}"/>
    <cellStyle name="Normal" xfId="0" builtinId="0"/>
    <cellStyle name="Pourcentage" xfId="1" builtinId="5"/>
  </cellStyles>
  <dxfs count="6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220-4589-ACBD-A7A9447488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220-4589-ACBD-A7A94474880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220-4589-ACBD-A7A94474880A}"/>
              </c:ext>
            </c:extLst>
          </c:dPt>
          <c:val>
            <c:numRef>
              <c:f>'MS  VA (3)'!$F$32:$F$34</c:f>
              <c:numCache>
                <c:formatCode>0%</c:formatCode>
                <c:ptCount val="3"/>
                <c:pt idx="0">
                  <c:v>0.2296812878275187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0-4589-ACBD-A7A944748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26</xdr:row>
      <xdr:rowOff>179294</xdr:rowOff>
    </xdr:from>
    <xdr:to>
      <xdr:col>12</xdr:col>
      <xdr:colOff>571499</xdr:colOff>
      <xdr:row>38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BA80758-3785-433F-B2E1-CB0039F8EB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99\direction\PERSONNEL\PAYE\PRIMES%20CALCUL%20ANNEE%202017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 Martin 2018"/>
      <sheetName val="MS CA"/>
      <sheetName val="RecapSalaires+Charges"/>
      <sheetName val="Feuil1"/>
      <sheetName val="BDD"/>
      <sheetName val="MS  VA (2)"/>
      <sheetName val="MS  VA"/>
      <sheetName val="Prime PAB-2018"/>
      <sheetName val="PRIME STEEVE R"/>
      <sheetName val="PRIME SIMON"/>
      <sheetName val="PRIME BENOIT"/>
      <sheetName val="Prime Kelly-2018"/>
      <sheetName val="PRIME REGIS"/>
      <sheetName val="Prime Kelly-2017"/>
      <sheetName val="Prime PAB-2017"/>
      <sheetName val="Prime PAB-2016"/>
      <sheetName val="Prop Prime Elisabeth"/>
      <sheetName val="PRIMES ALICIA"/>
      <sheetName val="PrimeDominique"/>
      <sheetName val="PRIME DIDIER"/>
      <sheetName val="BDD (2)"/>
      <sheetName val="PRIME PATRICK"/>
      <sheetName val="PRIME SYLVIAN"/>
      <sheetName val="Prime anaelle"/>
    </sheetNames>
    <sheetDataSet>
      <sheetData sheetId="0"/>
      <sheetData sheetId="1">
        <row r="6">
          <cell r="B6">
            <v>284668.40999999997</v>
          </cell>
          <cell r="C6">
            <v>164941.5</v>
          </cell>
        </row>
        <row r="7">
          <cell r="B7">
            <v>265858.82</v>
          </cell>
          <cell r="C7">
            <v>186040.0275</v>
          </cell>
        </row>
        <row r="8">
          <cell r="B8">
            <v>304371.76999999996</v>
          </cell>
          <cell r="C8">
            <v>210452.5575</v>
          </cell>
        </row>
        <row r="9">
          <cell r="B9">
            <v>342746.74</v>
          </cell>
          <cell r="C9">
            <v>211407.40800000002</v>
          </cell>
        </row>
        <row r="10">
          <cell r="B10">
            <v>698644.73</v>
          </cell>
          <cell r="C10">
            <v>193253.59000000003</v>
          </cell>
        </row>
        <row r="11">
          <cell r="B11">
            <v>725965.01</v>
          </cell>
          <cell r="C11">
            <v>224322.13</v>
          </cell>
        </row>
        <row r="13">
          <cell r="B13">
            <v>164740.06</v>
          </cell>
        </row>
        <row r="14">
          <cell r="B14">
            <v>370274.26999999996</v>
          </cell>
        </row>
        <row r="15">
          <cell r="B15">
            <v>14108.06</v>
          </cell>
        </row>
        <row r="16">
          <cell r="B16">
            <v>25108.13</v>
          </cell>
        </row>
        <row r="17">
          <cell r="B17">
            <v>50559.909999999989</v>
          </cell>
        </row>
        <row r="18">
          <cell r="B18">
            <v>65650.24000000002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4C125-19A7-4240-A086-DFDCD48CE120}">
  <sheetPr>
    <pageSetUpPr fitToPage="1"/>
  </sheetPr>
  <dimension ref="B2:R529"/>
  <sheetViews>
    <sheetView tabSelected="1" topLeftCell="A8" zoomScale="85" zoomScaleNormal="85" workbookViewId="0">
      <selection activeCell="H32" sqref="H32"/>
    </sheetView>
  </sheetViews>
  <sheetFormatPr baseColWidth="10" defaultRowHeight="15" x14ac:dyDescent="0.25"/>
  <cols>
    <col min="1" max="1" width="20.85546875" customWidth="1"/>
    <col min="2" max="2" width="16.85546875" style="31" customWidth="1"/>
    <col min="3" max="3" width="11.42578125" customWidth="1"/>
    <col min="4" max="4" width="8" customWidth="1"/>
    <col min="5" max="5" width="21" bestFit="1" customWidth="1"/>
    <col min="6" max="6" width="11.28515625" style="31" bestFit="1" customWidth="1"/>
    <col min="7" max="7" width="8.140625" style="31" bestFit="1" customWidth="1"/>
    <col min="8" max="8" width="12.140625" style="31" bestFit="1" customWidth="1"/>
    <col min="9" max="9" width="8.140625" style="31" bestFit="1" customWidth="1"/>
    <col min="10" max="11" width="11.140625" style="31" bestFit="1" customWidth="1"/>
    <col min="12" max="12" width="10.140625" style="31" bestFit="1" customWidth="1"/>
    <col min="13" max="13" width="9.140625" style="31" bestFit="1" customWidth="1"/>
    <col min="14" max="14" width="10.140625" style="31" customWidth="1"/>
    <col min="15" max="15" width="8.5703125" style="31" customWidth="1"/>
    <col min="16" max="17" width="9.5703125" style="31" customWidth="1"/>
    <col min="18" max="18" width="7.5703125" bestFit="1" customWidth="1"/>
  </cols>
  <sheetData>
    <row r="2" spans="2:18" x14ac:dyDescent="0.25">
      <c r="B2"/>
    </row>
    <row r="3" spans="2:18" ht="31.5" customHeight="1" x14ac:dyDescent="0.25">
      <c r="B3"/>
    </row>
    <row r="4" spans="2:18" x14ac:dyDescent="0.25">
      <c r="B4"/>
      <c r="F4"/>
      <c r="G4"/>
      <c r="H4"/>
      <c r="I4"/>
      <c r="J4"/>
      <c r="K4"/>
      <c r="L4"/>
    </row>
    <row r="5" spans="2:18" ht="15.75" thickBot="1" x14ac:dyDescent="0.3">
      <c r="B5"/>
      <c r="F5"/>
      <c r="G5"/>
      <c r="H5"/>
      <c r="I5"/>
      <c r="J5"/>
      <c r="K5"/>
      <c r="L5"/>
    </row>
    <row r="6" spans="2:18" ht="15.75" thickBot="1" x14ac:dyDescent="0.3">
      <c r="B6"/>
      <c r="F6"/>
      <c r="G6"/>
      <c r="H6"/>
      <c r="I6"/>
      <c r="J6"/>
      <c r="K6"/>
      <c r="L6"/>
      <c r="N6" s="4" t="s">
        <v>1</v>
      </c>
      <c r="O6" s="5"/>
      <c r="R6" s="31"/>
    </row>
    <row r="7" spans="2:18" x14ac:dyDescent="0.25">
      <c r="B7"/>
      <c r="D7" s="6"/>
      <c r="F7"/>
      <c r="G7"/>
      <c r="H7"/>
      <c r="I7"/>
      <c r="J7"/>
      <c r="K7"/>
      <c r="L7"/>
      <c r="R7" s="31"/>
    </row>
    <row r="8" spans="2:18" x14ac:dyDescent="0.25">
      <c r="B8"/>
      <c r="D8" s="6"/>
      <c r="F8"/>
      <c r="G8"/>
      <c r="H8"/>
      <c r="I8"/>
      <c r="J8"/>
      <c r="K8"/>
      <c r="L8"/>
      <c r="R8" s="31"/>
    </row>
    <row r="9" spans="2:18" x14ac:dyDescent="0.25">
      <c r="B9"/>
      <c r="D9" s="6"/>
      <c r="F9"/>
      <c r="G9"/>
      <c r="H9"/>
      <c r="I9"/>
      <c r="J9"/>
      <c r="K9"/>
      <c r="L9"/>
      <c r="N9" s="31" t="s">
        <v>2</v>
      </c>
      <c r="R9" s="31"/>
    </row>
    <row r="10" spans="2:18" x14ac:dyDescent="0.25">
      <c r="B10"/>
      <c r="D10" s="6"/>
      <c r="F10"/>
      <c r="G10"/>
      <c r="H10"/>
      <c r="I10"/>
      <c r="J10"/>
      <c r="K10"/>
      <c r="L10"/>
    </row>
    <row r="11" spans="2:18" x14ac:dyDescent="0.25">
      <c r="B11"/>
      <c r="D11" s="6"/>
      <c r="F11"/>
      <c r="G11"/>
      <c r="H11"/>
      <c r="I11"/>
      <c r="J11"/>
      <c r="K11"/>
      <c r="L11"/>
      <c r="M11" s="7"/>
    </row>
    <row r="12" spans="2:18" x14ac:dyDescent="0.25">
      <c r="B12"/>
      <c r="D12" s="6"/>
      <c r="F12"/>
      <c r="G12"/>
      <c r="H12"/>
      <c r="I12"/>
      <c r="J12"/>
      <c r="K12"/>
      <c r="L12"/>
      <c r="M12" s="7"/>
    </row>
    <row r="13" spans="2:18" x14ac:dyDescent="0.25">
      <c r="B13"/>
      <c r="D13" s="6"/>
      <c r="F13"/>
      <c r="G13"/>
      <c r="H13"/>
      <c r="I13"/>
      <c r="J13"/>
      <c r="K13"/>
      <c r="L13"/>
      <c r="M13" s="7"/>
    </row>
    <row r="14" spans="2:18" x14ac:dyDescent="0.25">
      <c r="B14"/>
      <c r="D14" s="6"/>
      <c r="F14"/>
      <c r="G14"/>
      <c r="H14"/>
      <c r="I14"/>
      <c r="J14"/>
      <c r="K14"/>
      <c r="L14"/>
    </row>
    <row r="15" spans="2:18" ht="14.45" customHeight="1" x14ac:dyDescent="0.25">
      <c r="B15"/>
      <c r="D15" s="6"/>
      <c r="F15" s="33" t="s">
        <v>0</v>
      </c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2:18" ht="21" customHeight="1" x14ac:dyDescent="0.25">
      <c r="B16"/>
      <c r="D16" s="6"/>
      <c r="F16" s="8" t="s">
        <v>3</v>
      </c>
      <c r="G16" s="8" t="s">
        <v>4</v>
      </c>
      <c r="H16" s="8" t="s">
        <v>5</v>
      </c>
      <c r="I16" s="8" t="s">
        <v>6</v>
      </c>
      <c r="J16" s="8" t="s">
        <v>7</v>
      </c>
      <c r="K16" s="8" t="s">
        <v>8</v>
      </c>
      <c r="L16" s="8" t="s">
        <v>9</v>
      </c>
      <c r="M16" s="8" t="s">
        <v>10</v>
      </c>
      <c r="N16" s="8" t="s">
        <v>11</v>
      </c>
      <c r="O16" s="8" t="s">
        <v>12</v>
      </c>
      <c r="P16" s="8" t="s">
        <v>13</v>
      </c>
      <c r="Q16" s="8" t="s">
        <v>14</v>
      </c>
    </row>
    <row r="17" spans="2:17" x14ac:dyDescent="0.25">
      <c r="B17"/>
      <c r="D17" s="6"/>
      <c r="E17" s="28">
        <v>2011</v>
      </c>
      <c r="F17" s="2">
        <f>11336/52271</f>
        <v>0.21686977482734213</v>
      </c>
      <c r="G17" s="1">
        <f>11163/39623</f>
        <v>0.28173030815435479</v>
      </c>
      <c r="H17" s="3">
        <f>11471/48331</f>
        <v>0.23734249239618466</v>
      </c>
      <c r="I17" s="3">
        <f>18387/74338</f>
        <v>0.24734321612096102</v>
      </c>
      <c r="J17" s="2">
        <f>14262/100024.52</f>
        <v>0.14258503814864595</v>
      </c>
      <c r="K17" s="2">
        <f>13762/63367.78</f>
        <v>0.21717661562390225</v>
      </c>
      <c r="L17" s="2">
        <f>14150/71710</f>
        <v>0.19732254915632408</v>
      </c>
      <c r="M17" s="9">
        <f>9887/35908</f>
        <v>0.27534254205191044</v>
      </c>
      <c r="N17" s="9">
        <f>10404/37542</f>
        <v>0.27712961483138887</v>
      </c>
      <c r="O17" s="10">
        <f>15992/77946</f>
        <v>0.20516768018884868</v>
      </c>
      <c r="P17" s="9">
        <f>((967*11.4)+(2000))/(33227+17130)</f>
        <v>0.25862938618265585</v>
      </c>
      <c r="Q17" s="9">
        <f>21555.2/64174</f>
        <v>0.33588680774145291</v>
      </c>
    </row>
    <row r="18" spans="2:17" x14ac:dyDescent="0.25">
      <c r="B18"/>
      <c r="D18" s="6"/>
      <c r="E18" s="28">
        <v>2012</v>
      </c>
      <c r="F18" s="2">
        <f>15053/82820</f>
        <v>0.18175561458584882</v>
      </c>
      <c r="G18" s="3">
        <f>8904/43828</f>
        <v>0.20315779866751849</v>
      </c>
      <c r="H18" s="2">
        <f>14996/81803</f>
        <v>0.18331846020317102</v>
      </c>
      <c r="I18" s="1">
        <f>12821.92/29018</f>
        <v>0.44186091391550075</v>
      </c>
      <c r="J18" s="1">
        <f>14033.16/52750</f>
        <v>0.26603146919431281</v>
      </c>
      <c r="K18" s="2">
        <f>16018/86136</f>
        <v>0.18596173493080709</v>
      </c>
      <c r="L18" s="1">
        <f>18497/59743</f>
        <v>0.30960949399929699</v>
      </c>
      <c r="M18" s="1">
        <f>18109.25/49217</f>
        <v>0.36794705081577506</v>
      </c>
      <c r="N18" s="3">
        <f>12406.5/51884</f>
        <v>0.23911995991056972</v>
      </c>
      <c r="O18" s="2">
        <f>17686.25/102013</f>
        <v>0.17337251134659309</v>
      </c>
      <c r="P18" s="1">
        <f>10072.25/20731</f>
        <v>0.48585451738941682</v>
      </c>
      <c r="Q18" s="2">
        <f>23443/95890</f>
        <v>0.24447804776306184</v>
      </c>
    </row>
    <row r="19" spans="2:17" x14ac:dyDescent="0.25">
      <c r="B19"/>
      <c r="D19" s="6"/>
      <c r="E19" s="28">
        <v>2013</v>
      </c>
      <c r="F19" s="2">
        <f>26710/114378</f>
        <v>0.23352392942698771</v>
      </c>
      <c r="G19" s="1">
        <f>12140/24190</f>
        <v>0.50186027284001655</v>
      </c>
      <c r="H19" s="2">
        <f>14908.43/90415</f>
        <v>0.16488890117790189</v>
      </c>
      <c r="I19" s="2">
        <f>10272/42939</f>
        <v>0.2392230839097324</v>
      </c>
      <c r="J19" s="1">
        <f>18908/62281</f>
        <v>0.30359178561680128</v>
      </c>
      <c r="K19" s="2">
        <f>12439/86261</f>
        <v>0.14420189888825774</v>
      </c>
      <c r="L19" s="1">
        <f>23209/74640</f>
        <v>0.31094587352625935</v>
      </c>
      <c r="M19" s="1">
        <f>16993/56063</f>
        <v>0.30310543495710185</v>
      </c>
      <c r="N19" s="1">
        <f>14203/47581</f>
        <v>0.29850150270065784</v>
      </c>
      <c r="O19" s="2">
        <f>16012/78712</f>
        <v>0.20342514483179186</v>
      </c>
      <c r="P19" s="2">
        <f>19949/76286</f>
        <v>0.26150276590724381</v>
      </c>
      <c r="Q19" s="2">
        <f>24707/142180</f>
        <v>0.17377268251512168</v>
      </c>
    </row>
    <row r="20" spans="2:17" x14ac:dyDescent="0.25">
      <c r="B20"/>
      <c r="D20" s="6"/>
      <c r="E20" s="28">
        <v>2014</v>
      </c>
      <c r="F20" s="11">
        <f>24134/104543</f>
        <v>0.23085237653405777</v>
      </c>
      <c r="G20" s="11">
        <f>15816/70132</f>
        <v>0.22551759539154737</v>
      </c>
      <c r="H20" s="11">
        <f>17313/75449</f>
        <v>0.22946626197828998</v>
      </c>
      <c r="I20" s="12">
        <f>19303/94614</f>
        <v>0.20401843279007334</v>
      </c>
      <c r="J20" s="1">
        <f>13412/46487</f>
        <v>0.28851076645083573</v>
      </c>
      <c r="K20" s="12">
        <f>19999/85205</f>
        <v>0.23471627251921837</v>
      </c>
      <c r="L20" s="13">
        <f>21802/78641</f>
        <v>0.27723452143284039</v>
      </c>
      <c r="M20" s="11">
        <f>16673/72084</f>
        <v>0.23129959491704122</v>
      </c>
      <c r="N20" s="12">
        <f>14293/53586</f>
        <v>0.26673011607509423</v>
      </c>
      <c r="O20" s="12">
        <f>15447/70649</f>
        <v>0.21864428371243755</v>
      </c>
      <c r="P20" s="12">
        <f>13424/61571</f>
        <v>0.21802471942960161</v>
      </c>
      <c r="Q20" s="2">
        <f>19791/120732</f>
        <v>0.16392505715137659</v>
      </c>
    </row>
    <row r="21" spans="2:17" x14ac:dyDescent="0.25">
      <c r="B21"/>
      <c r="D21" s="6"/>
      <c r="E21" s="28">
        <v>2015</v>
      </c>
      <c r="F21" s="14">
        <f>17810.44/(79216.39+4567.12)</f>
        <v>0.2125769140013351</v>
      </c>
      <c r="G21" s="15">
        <f>9371.89/(32555.35+1934.4)</f>
        <v>0.27172971679991881</v>
      </c>
      <c r="H21" s="15">
        <f>16203.72/(65575.15+3311.7)</f>
        <v>0.23522225214246262</v>
      </c>
      <c r="I21" s="15">
        <f>15965.46/(56537.5+4706.37)</f>
        <v>0.2606866613752527</v>
      </c>
      <c r="J21" s="16">
        <f>12582.37/(41226.68+5297.6)</f>
        <v>0.27044738790154305</v>
      </c>
      <c r="K21" s="14">
        <f>14221.64/(63944.75+3936)</f>
        <v>0.20950917601823785</v>
      </c>
      <c r="L21" s="15">
        <f>17805.88/(56306.8+4811.9)</f>
        <v>0.29133276722181589</v>
      </c>
      <c r="M21" s="15">
        <f>18569.96/(67646.9+2108)</f>
        <v>0.26621728366035935</v>
      </c>
      <c r="N21" s="17">
        <f>14748.43/(41667.64+2351.9)</f>
        <v>0.33504280144681203</v>
      </c>
      <c r="O21" s="18">
        <f>18539.95/(60800.94+4528.5)</f>
        <v>0.28379165656402383</v>
      </c>
      <c r="P21" s="18">
        <f>16127.13/(45391.17+6065.12)</f>
        <v>0.31341416180606879</v>
      </c>
      <c r="Q21" s="19">
        <f>21306.72/(87775.46+4991)</f>
        <v>0.2296812878275187</v>
      </c>
    </row>
    <row r="22" spans="2:17" x14ac:dyDescent="0.25">
      <c r="B22"/>
      <c r="D22" s="6"/>
      <c r="E22" s="28">
        <v>2016</v>
      </c>
      <c r="F22" s="11">
        <f>16964/(62247+6477)</f>
        <v>0.24684244223269891</v>
      </c>
      <c r="G22" s="13">
        <f>14725/(49756+12500)</f>
        <v>0.23652338730403497</v>
      </c>
      <c r="H22" s="11">
        <f>14732/(65697+5893)</f>
        <v>0.20578293057689623</v>
      </c>
      <c r="I22" s="12">
        <f>19996/(104494+5566)</f>
        <v>0.18168271851717246</v>
      </c>
      <c r="J22" s="1">
        <f>21311/(63716+5122)</f>
        <v>0.3095819169644673</v>
      </c>
      <c r="K22" s="13">
        <f>20003/(55178+3200)</f>
        <v>0.34264620233649662</v>
      </c>
      <c r="L22" s="13">
        <f>21072/(56982+1451)</f>
        <v>0.36061814385706709</v>
      </c>
      <c r="M22" s="20">
        <f>18916/(52121+5273)</f>
        <v>0.32958148935428788</v>
      </c>
      <c r="N22" s="20">
        <f>15841/(31359+2078)</f>
        <v>0.47375661692137455</v>
      </c>
      <c r="O22" s="13">
        <f>16380/(50384+6511)</f>
        <v>0.28789876087529659</v>
      </c>
      <c r="P22" s="13">
        <f>17837/(54037+3980)</f>
        <v>0.30744436975369288</v>
      </c>
      <c r="Q22" s="13">
        <f>26548/(79994+6468)</f>
        <v>0.30704818301681663</v>
      </c>
    </row>
    <row r="23" spans="2:17" x14ac:dyDescent="0.25">
      <c r="B23"/>
      <c r="D23" s="6"/>
      <c r="E23" s="28">
        <v>2017</v>
      </c>
      <c r="F23" s="11">
        <f>18598/71445.52</f>
        <v>0.26031023358777428</v>
      </c>
      <c r="G23" s="13">
        <f>19466/(60626+17176)</f>
        <v>0.25019922367034264</v>
      </c>
      <c r="H23" s="12">
        <f>18369/(60278+4487)</f>
        <v>0.28362541496178489</v>
      </c>
      <c r="I23" s="12">
        <f>16222/(78036+9625)</f>
        <v>0.18505378674667183</v>
      </c>
      <c r="J23" s="1">
        <f>17638/48607.7</f>
        <v>0.36286431985055867</v>
      </c>
      <c r="K23" s="13">
        <f>26234/(82650+7749)</f>
        <v>0.29020232524696071</v>
      </c>
      <c r="L23" s="13">
        <f>24379/(74501+5344)</f>
        <v>0.30532907508297324</v>
      </c>
      <c r="M23" s="20">
        <f>19521/(50322+4483)</f>
        <v>0.35619012863789801</v>
      </c>
      <c r="N23" s="20">
        <f>16031/(25686+6533)</f>
        <v>0.49756354945839409</v>
      </c>
      <c r="O23" s="13">
        <f>23320/(73661+7462)</f>
        <v>0.28746471407615598</v>
      </c>
      <c r="P23" s="13">
        <f>24884/(67448+4367)</f>
        <v>0.3465014272784237</v>
      </c>
      <c r="Q23" s="13">
        <f>27772/(66036+7106)</f>
        <v>0.37969976210658718</v>
      </c>
    </row>
    <row r="24" spans="2:17" x14ac:dyDescent="0.25">
      <c r="B24"/>
      <c r="D24" s="6"/>
      <c r="E24" s="28">
        <v>2018</v>
      </c>
      <c r="F24" s="21">
        <f>34278/(106125+10230)</f>
        <v>0.29459842722702073</v>
      </c>
      <c r="G24" s="21">
        <f>22118/(58615+5847)</f>
        <v>0.34311687505817379</v>
      </c>
      <c r="H24" s="21"/>
      <c r="I24" s="21"/>
      <c r="J24" s="22"/>
      <c r="K24" s="21"/>
      <c r="L24" s="21"/>
      <c r="M24" s="21"/>
      <c r="N24" s="21"/>
      <c r="O24" s="21"/>
      <c r="P24" s="21"/>
      <c r="Q24" s="21"/>
    </row>
    <row r="25" spans="2:17" x14ac:dyDescent="0.25">
      <c r="B25"/>
      <c r="D25" s="6"/>
      <c r="E25" s="28" t="s">
        <v>15</v>
      </c>
      <c r="F25" s="11">
        <f>(F24-F22)/F22</f>
        <v>0.19346747894068456</v>
      </c>
      <c r="G25" s="11">
        <f t="shared" ref="G25:Q25" si="0">(G23-G22)/G22</f>
        <v>5.7820228782400722E-2</v>
      </c>
      <c r="H25" s="11">
        <f t="shared" si="0"/>
        <v>0.37827473914703907</v>
      </c>
      <c r="I25" s="11">
        <f t="shared" si="0"/>
        <v>1.8554699406816387E-2</v>
      </c>
      <c r="J25" s="11">
        <f t="shared" si="0"/>
        <v>0.17211083712039596</v>
      </c>
      <c r="K25" s="11">
        <f t="shared" si="0"/>
        <v>-0.15305547451546905</v>
      </c>
      <c r="L25" s="11">
        <f t="shared" si="0"/>
        <v>-0.15331749030356043</v>
      </c>
      <c r="M25" s="11">
        <f t="shared" si="0"/>
        <v>8.0734629046496073E-2</v>
      </c>
      <c r="N25" s="11">
        <f t="shared" si="0"/>
        <v>5.0251398474864116E-2</v>
      </c>
      <c r="O25" s="11">
        <f t="shared" si="0"/>
        <v>-1.5076369131321679E-3</v>
      </c>
      <c r="P25" s="11">
        <f t="shared" si="0"/>
        <v>0.12703780380177765</v>
      </c>
      <c r="Q25" s="11">
        <f t="shared" si="0"/>
        <v>0.23661295883907416</v>
      </c>
    </row>
    <row r="26" spans="2:17" x14ac:dyDescent="0.25">
      <c r="B26"/>
      <c r="D26" s="6"/>
      <c r="E26" s="23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</row>
    <row r="27" spans="2:17" x14ac:dyDescent="0.25">
      <c r="B27"/>
      <c r="D27" s="6"/>
    </row>
    <row r="28" spans="2:17" x14ac:dyDescent="0.25">
      <c r="B28"/>
      <c r="E28" s="25" t="s">
        <v>16</v>
      </c>
      <c r="F28" s="32">
        <f>INDEX(E16:Q24,MATCH(F29,E16:E24,0),MATCH(F30,E16:Q16,0))</f>
        <v>0.2296812878275187</v>
      </c>
      <c r="I28" s="34">
        <f>$F$28</f>
        <v>0.2296812878275187</v>
      </c>
      <c r="J28" s="35"/>
      <c r="K28" s="35"/>
      <c r="L28" s="35"/>
      <c r="M28" s="35"/>
    </row>
    <row r="29" spans="2:17" x14ac:dyDescent="0.25">
      <c r="B29"/>
      <c r="E29" t="s">
        <v>17</v>
      </c>
      <c r="F29" s="31">
        <v>2015</v>
      </c>
      <c r="I29" s="35"/>
      <c r="J29" s="35"/>
      <c r="K29" s="35"/>
      <c r="L29" s="35"/>
      <c r="M29" s="35"/>
    </row>
    <row r="30" spans="2:17" x14ac:dyDescent="0.25">
      <c r="B30"/>
      <c r="D30" s="27">
        <v>0</v>
      </c>
      <c r="E30" s="26" t="s">
        <v>18</v>
      </c>
      <c r="F30" s="31" t="s">
        <v>14</v>
      </c>
      <c r="I30" s="35"/>
      <c r="J30" s="35"/>
      <c r="K30" s="35"/>
      <c r="L30" s="35"/>
      <c r="M30" s="35"/>
    </row>
    <row r="31" spans="2:17" x14ac:dyDescent="0.25">
      <c r="B31"/>
      <c r="I31" s="35"/>
      <c r="J31" s="35"/>
      <c r="K31" s="35"/>
      <c r="L31" s="35"/>
      <c r="M31" s="35"/>
    </row>
    <row r="32" spans="2:17" x14ac:dyDescent="0.25">
      <c r="B32"/>
      <c r="D32" s="27">
        <v>0.48</v>
      </c>
      <c r="E32" t="s">
        <v>19</v>
      </c>
      <c r="F32" s="29">
        <f>IF(AND($F$30&lt;&gt;"",$F$28&gt;=D30,$F$28&lt;D32),$F$28,"")</f>
        <v>0.2296812878275187</v>
      </c>
      <c r="I32" s="35"/>
      <c r="J32" s="35"/>
      <c r="K32" s="35"/>
      <c r="L32" s="35"/>
      <c r="M32" s="35"/>
    </row>
    <row r="33" spans="2:13" x14ac:dyDescent="0.25">
      <c r="B33"/>
      <c r="D33" s="27">
        <v>0.28999999999999998</v>
      </c>
      <c r="E33" t="s">
        <v>20</v>
      </c>
      <c r="F33" s="29"/>
      <c r="I33" s="35"/>
      <c r="J33" s="35"/>
      <c r="K33" s="35"/>
      <c r="L33" s="35"/>
      <c r="M33" s="35"/>
    </row>
    <row r="34" spans="2:13" x14ac:dyDescent="0.25">
      <c r="B34"/>
      <c r="D34" s="27">
        <v>0.23</v>
      </c>
      <c r="E34" t="s">
        <v>21</v>
      </c>
      <c r="F34" s="29" t="str">
        <f>IF(AND($F$30&lt;&gt;"",$F$28&gt;=D32,$F$28&lt;D34),$F$28,"")</f>
        <v/>
      </c>
      <c r="I34" s="35"/>
      <c r="J34" s="35"/>
      <c r="K34" s="35"/>
      <c r="L34" s="35"/>
      <c r="M34" s="35"/>
    </row>
    <row r="35" spans="2:13" x14ac:dyDescent="0.25">
      <c r="B35"/>
      <c r="F35" s="30">
        <f>IFERROR(100%-SUM(F32:F34),"")</f>
        <v>0.77031871217248127</v>
      </c>
      <c r="I35" s="35"/>
      <c r="J35" s="35"/>
      <c r="K35" s="35"/>
      <c r="L35" s="35"/>
      <c r="M35" s="35"/>
    </row>
    <row r="36" spans="2:13" x14ac:dyDescent="0.25">
      <c r="B36"/>
      <c r="I36" s="35"/>
      <c r="J36" s="35"/>
      <c r="K36" s="35"/>
      <c r="L36" s="35"/>
      <c r="M36" s="35"/>
    </row>
    <row r="37" spans="2:13" x14ac:dyDescent="0.25">
      <c r="B37"/>
      <c r="I37" s="35"/>
      <c r="J37" s="35"/>
      <c r="K37" s="35"/>
      <c r="L37" s="35"/>
      <c r="M37" s="35"/>
    </row>
    <row r="38" spans="2:13" x14ac:dyDescent="0.25">
      <c r="B38"/>
      <c r="I38" s="35"/>
      <c r="J38" s="35"/>
      <c r="K38" s="35"/>
      <c r="L38" s="35"/>
      <c r="M38" s="35"/>
    </row>
    <row r="39" spans="2:13" x14ac:dyDescent="0.25">
      <c r="B39"/>
    </row>
    <row r="40" spans="2:13" x14ac:dyDescent="0.25">
      <c r="B40"/>
    </row>
    <row r="41" spans="2:13" x14ac:dyDescent="0.25">
      <c r="B41"/>
    </row>
    <row r="42" spans="2:13" x14ac:dyDescent="0.25">
      <c r="B42"/>
    </row>
    <row r="43" spans="2:13" x14ac:dyDescent="0.25">
      <c r="B43"/>
    </row>
    <row r="44" spans="2:13" x14ac:dyDescent="0.25">
      <c r="B44"/>
    </row>
    <row r="45" spans="2:13" x14ac:dyDescent="0.25">
      <c r="B45"/>
    </row>
    <row r="46" spans="2:13" x14ac:dyDescent="0.25">
      <c r="B46"/>
    </row>
    <row r="47" spans="2:13" x14ac:dyDescent="0.25">
      <c r="B47"/>
    </row>
    <row r="48" spans="2:13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</sheetData>
  <mergeCells count="2">
    <mergeCell ref="F15:Q15"/>
    <mergeCell ref="I28:M38"/>
  </mergeCells>
  <conditionalFormatting sqref="F17:Q24">
    <cfRule type="cellIs" dxfId="5" priority="4" operator="greaterThan">
      <formula>0.236</formula>
    </cfRule>
    <cfRule type="cellIs" dxfId="4" priority="5" operator="lessThan">
      <formula>0.225</formula>
    </cfRule>
    <cfRule type="cellIs" dxfId="3" priority="6" operator="between">
      <formula>0.226</formula>
      <formula>0.236</formula>
    </cfRule>
  </conditionalFormatting>
  <conditionalFormatting sqref="I28:M38">
    <cfRule type="expression" dxfId="2" priority="1">
      <formula>$F$34</formula>
    </cfRule>
    <cfRule type="expression" dxfId="1" priority="2">
      <formula>$F$33</formula>
    </cfRule>
    <cfRule type="expression" dxfId="0" priority="3">
      <formula>$F$32</formula>
    </cfRule>
  </conditionalFormatting>
  <dataValidations count="2">
    <dataValidation type="list" allowBlank="1" showInputMessage="1" showErrorMessage="1" sqref="F29" xr:uid="{4A95FFA4-4350-45E3-8F11-657E0A916DAD}">
      <formula1>$E$17:$E$24</formula1>
    </dataValidation>
    <dataValidation type="list" allowBlank="1" showInputMessage="1" showErrorMessage="1" sqref="F30" xr:uid="{F680BFB9-BA07-464D-974F-732CABE80EA9}">
      <formula1>$F$16:$Q$16</formula1>
    </dataValidation>
  </dataValidations>
  <pageMargins left="0.7" right="0.7" top="0.75" bottom="0.75" header="0.3" footer="0.3"/>
  <pageSetup paperSize="9" scale="80" fitToWidth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53</vt:i4>
      </vt:variant>
    </vt:vector>
  </HeadingPairs>
  <TitlesOfParts>
    <vt:vector size="54" baseType="lpstr">
      <vt:lpstr>MS  VA (3)</vt:lpstr>
      <vt:lpstr>'MS  VA (3)'!Année</vt:lpstr>
      <vt:lpstr>'MS  VA (3)'!août</vt:lpstr>
      <vt:lpstr>'MS  VA (3)'!aoutloc</vt:lpstr>
      <vt:lpstr>'MS  VA (3)'!aoutserv</vt:lpstr>
      <vt:lpstr>'MS  VA (3)'!avril</vt:lpstr>
      <vt:lpstr>'MS  VA (3)'!avrilloc</vt:lpstr>
      <vt:lpstr>'MS  VA (3)'!avrilserv</vt:lpstr>
      <vt:lpstr>'MS  VA (3)'!décembre</vt:lpstr>
      <vt:lpstr>'MS  VA (3)'!decloc</vt:lpstr>
      <vt:lpstr>'MS  VA (3)'!decserv</vt:lpstr>
      <vt:lpstr>'MS  VA (3)'!fevloc</vt:lpstr>
      <vt:lpstr>'MS  VA (3)'!février</vt:lpstr>
      <vt:lpstr>'MS  VA (3)'!fevserv</vt:lpstr>
      <vt:lpstr>'MS  VA (3)'!janserv</vt:lpstr>
      <vt:lpstr>'MS  VA (3)'!janvier</vt:lpstr>
      <vt:lpstr>'MS  VA (3)'!janvloc</vt:lpstr>
      <vt:lpstr>'MS  VA (3)'!janvserv</vt:lpstr>
      <vt:lpstr>'MS  VA (3)'!juillet</vt:lpstr>
      <vt:lpstr>'MS  VA (3)'!juilloc</vt:lpstr>
      <vt:lpstr>'MS  VA (3)'!juilserv</vt:lpstr>
      <vt:lpstr>'MS  VA (3)'!juin</vt:lpstr>
      <vt:lpstr>'MS  VA (3)'!juinloc</vt:lpstr>
      <vt:lpstr>'MS  VA (3)'!juinserv</vt:lpstr>
      <vt:lpstr>'MS  VA (3)'!mai</vt:lpstr>
      <vt:lpstr>'MS  VA (3)'!mailoc</vt:lpstr>
      <vt:lpstr>'MS  VA (3)'!maiserv</vt:lpstr>
      <vt:lpstr>'MS  VA (3)'!mars</vt:lpstr>
      <vt:lpstr>'MS  VA (3)'!marserv</vt:lpstr>
      <vt:lpstr>'MS  VA (3)'!marsloc</vt:lpstr>
      <vt:lpstr>'MS  VA (3)'!Mois</vt:lpstr>
      <vt:lpstr>'MS  VA (3)'!novembre</vt:lpstr>
      <vt:lpstr>'MS  VA (3)'!novloc</vt:lpstr>
      <vt:lpstr>'MS  VA (3)'!novserv</vt:lpstr>
      <vt:lpstr>'MS  VA (3)'!octloc</vt:lpstr>
      <vt:lpstr>'MS  VA (3)'!octobre</vt:lpstr>
      <vt:lpstr>'MS  VA (3)'!octserv</vt:lpstr>
      <vt:lpstr>'MS  VA (3)'!septembre</vt:lpstr>
      <vt:lpstr>'MS  VA (3)'!septloc</vt:lpstr>
      <vt:lpstr>'MS  VA (3)'!septserv</vt:lpstr>
      <vt:lpstr>'MS  VA (3)'!ttsaout</vt:lpstr>
      <vt:lpstr>'MS  VA (3)'!ttsavril</vt:lpstr>
      <vt:lpstr>'MS  VA (3)'!ttsdec</vt:lpstr>
      <vt:lpstr>'MS  VA (3)'!ttsfev</vt:lpstr>
      <vt:lpstr>'MS  VA (3)'!ttsjanv</vt:lpstr>
      <vt:lpstr>'MS  VA (3)'!ttsjuil</vt:lpstr>
      <vt:lpstr>'MS  VA (3)'!ttsjuin</vt:lpstr>
      <vt:lpstr>'MS  VA (3)'!ttsmai</vt:lpstr>
      <vt:lpstr>'MS  VA (3)'!ttsmars</vt:lpstr>
      <vt:lpstr>'MS  VA (3)'!ttsnov</vt:lpstr>
      <vt:lpstr>'MS  VA (3)'!ttsoct</vt:lpstr>
      <vt:lpstr>'MS  VA (3)'!ttssept</vt:lpstr>
      <vt:lpstr>'MS  VA (3)'!var</vt:lpstr>
      <vt:lpstr>'MS  VA (3)'!Zone_d_impression</vt:lpstr>
    </vt:vector>
  </TitlesOfParts>
  <Company>AGL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Agnst</cp:lastModifiedBy>
  <dcterms:created xsi:type="dcterms:W3CDTF">2018-03-27T20:00:01Z</dcterms:created>
  <dcterms:modified xsi:type="dcterms:W3CDTF">2018-03-30T00:14:13Z</dcterms:modified>
</cp:coreProperties>
</file>