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drawings/drawing7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updateLinks="always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Rom18\Desktop\abouti\"/>
    </mc:Choice>
  </mc:AlternateContent>
  <bookViews>
    <workbookView xWindow="0" yWindow="0" windowWidth="28800" windowHeight="12210" tabRatio="932" firstSheet="2" activeTab="3"/>
  </bookViews>
  <sheets>
    <sheet name="Accueil" sheetId="32" r:id="rId1"/>
    <sheet name="Crédit Mutuel" sheetId="40" r:id="rId2"/>
    <sheet name="Devis" sheetId="55" r:id="rId3"/>
    <sheet name="Carnet de commande" sheetId="56" r:id="rId4"/>
    <sheet name="Dépenses" sheetId="30" r:id="rId5"/>
    <sheet name="Ecart objectif" sheetId="39" r:id="rId6"/>
    <sheet name="Echeances fournisseurs mat 1ère" sheetId="58" r:id="rId7"/>
    <sheet name="calcul cout de revient" sheetId="45" r:id="rId8"/>
    <sheet name="Plan de Sauvegarde" sheetId="36" r:id="rId9"/>
    <sheet name="Passé" sheetId="34" r:id="rId10"/>
    <sheet name="Emprunt" sheetId="8" r:id="rId11"/>
    <sheet name="Bibliothèque" sheetId="57" r:id="rId12"/>
  </sheets>
  <externalReferences>
    <externalReference r:id="rId13"/>
  </externalReferences>
  <definedNames>
    <definedName name="AGBTP">Bibliothèque!$L$3:$L$4</definedName>
    <definedName name="Assurance">Bibliothèque!$M$3:$M$10</definedName>
    <definedName name="Autres_achats_et_charges_externes">Bibliothèque!$N$3:$N$34</definedName>
    <definedName name="Caisse_congés_payés">Bibliothèque!$O$3:$O$4</definedName>
    <definedName name="Categorie">Bibliothèque!$Q$3:$Q$28</definedName>
    <definedName name="Classification">Bibliothèque!$L$1:$AH$1</definedName>
    <definedName name="Expert_comptable">Bibliothèque!$P$3:$P$5</definedName>
    <definedName name="Fournisseurs_Mat_1ères">Bibliothèque!$Q$3:$Q$30</definedName>
    <definedName name="Generali">Bibliothèque!$R$3:$R$5</definedName>
    <definedName name="Locaux">Bibliothèque!$S$3:$S$10</definedName>
    <definedName name="Médecine_du_travail">Bibliothèque!$U$3:$U$3</definedName>
    <definedName name="Mutuelle">Bibliothèque!$T$3:$T$4</definedName>
    <definedName name="Note">Bibliothèque!$AI$3:$AI$27</definedName>
    <definedName name="Ordre">Bibliothèque!$K$3:$K$8</definedName>
    <definedName name="Photocopieur">Bibliothèque!$V$3:$V$5</definedName>
    <definedName name="Pro_BTP">Bibliothèque!$W$3:$W$4</definedName>
    <definedName name="Pub">Bibliothèque!$X$3:$X$5</definedName>
    <definedName name="Recettes">Bibliothèque!$Y$3:$Y$41</definedName>
    <definedName name="RSI">Bibliothèque!$Z$3:$Z$4</definedName>
    <definedName name="Salaire">Bibliothèque!$AA$3:$AA$10</definedName>
    <definedName name="Sauvegarde">Bibliothèque!$AB$3:$AB$6</definedName>
    <definedName name="Sous_traitance">Bibliothèque!$AC$3:$AC$12</definedName>
    <definedName name="TVA">Bibliothèque!$AD$3:$AD$5</definedName>
    <definedName name="URSSAF">Bibliothèque!$AE$3:$AE$6</definedName>
    <definedName name="Vehicule">Bibliothèque!$AF$3:$AF$8</definedName>
    <definedName name="Véhicule_crédit">Bibliothèque!$AG$3:$AG$5</definedName>
  </definedNames>
  <calcPr calcId="162913"/>
</workbook>
</file>

<file path=xl/calcChain.xml><?xml version="1.0" encoding="utf-8"?>
<calcChain xmlns="http://schemas.openxmlformats.org/spreadsheetml/2006/main">
  <c r="O8" i="56" l="1"/>
  <c r="L8" i="56"/>
  <c r="K8" i="56"/>
  <c r="N13" i="55"/>
  <c r="L13" i="55"/>
  <c r="K13" i="55"/>
  <c r="J13" i="55"/>
  <c r="I13" i="55"/>
  <c r="H13" i="55"/>
  <c r="G13" i="55"/>
  <c r="F13" i="55"/>
  <c r="E13" i="55"/>
  <c r="D13" i="55"/>
  <c r="N7" i="40" l="1"/>
  <c r="N8" i="40"/>
  <c r="N9" i="40"/>
  <c r="N10" i="40"/>
  <c r="N11" i="40"/>
  <c r="N12" i="40"/>
  <c r="N13" i="40"/>
  <c r="N14" i="40"/>
  <c r="N15" i="40"/>
  <c r="N16" i="40"/>
  <c r="N17" i="40"/>
  <c r="N18" i="40"/>
  <c r="N19" i="40"/>
  <c r="N20" i="40"/>
  <c r="N21" i="40"/>
  <c r="N22" i="40"/>
  <c r="N23" i="40"/>
  <c r="N24" i="40"/>
  <c r="N25" i="40"/>
  <c r="N26" i="40"/>
  <c r="N27" i="40"/>
  <c r="N28" i="40"/>
  <c r="N29" i="40"/>
  <c r="N30" i="40"/>
  <c r="N31" i="40"/>
  <c r="N32" i="40"/>
  <c r="N33" i="40"/>
  <c r="N34" i="40"/>
  <c r="N35" i="40"/>
  <c r="N36" i="40"/>
  <c r="N37" i="40"/>
  <c r="N38" i="40"/>
  <c r="N39" i="40"/>
  <c r="N40" i="40"/>
  <c r="N41" i="40"/>
  <c r="N42" i="40"/>
  <c r="N43" i="40"/>
  <c r="N44" i="40"/>
  <c r="N45" i="40"/>
  <c r="N46" i="40"/>
  <c r="N47" i="40"/>
  <c r="N48" i="40"/>
  <c r="N49" i="40"/>
  <c r="N50" i="40"/>
  <c r="N51" i="40"/>
  <c r="N52" i="40"/>
  <c r="N53" i="40"/>
  <c r="N54" i="40"/>
  <c r="N55" i="40"/>
  <c r="N56" i="40"/>
  <c r="N57" i="40"/>
  <c r="N58" i="40"/>
  <c r="N59" i="40"/>
  <c r="N60" i="40"/>
  <c r="N61" i="40"/>
  <c r="N62" i="40"/>
  <c r="N63" i="40"/>
  <c r="N64" i="40"/>
  <c r="N65" i="40"/>
  <c r="N66" i="40"/>
  <c r="N67" i="40"/>
  <c r="N68" i="40"/>
  <c r="N69" i="40"/>
  <c r="N70" i="40"/>
  <c r="N71" i="40"/>
  <c r="N72" i="40"/>
  <c r="N73" i="40"/>
  <c r="N74" i="40"/>
  <c r="N75" i="40"/>
  <c r="N76" i="40"/>
  <c r="N77" i="40"/>
  <c r="N78" i="40"/>
  <c r="N79" i="40"/>
  <c r="N80" i="40"/>
  <c r="N81" i="40"/>
  <c r="N82" i="40"/>
  <c r="N83" i="40"/>
  <c r="N84" i="40"/>
  <c r="N85" i="40"/>
  <c r="N86" i="40"/>
  <c r="N87" i="40"/>
  <c r="N88" i="40"/>
  <c r="N89" i="40"/>
  <c r="N90" i="40"/>
  <c r="N91" i="40"/>
  <c r="N92" i="40"/>
  <c r="N93" i="40"/>
  <c r="N94" i="40"/>
  <c r="N95" i="40"/>
  <c r="N96" i="40"/>
  <c r="N97" i="40"/>
  <c r="N98" i="40"/>
  <c r="N99" i="40"/>
  <c r="N100" i="40"/>
  <c r="N101" i="40"/>
  <c r="N102" i="40"/>
  <c r="N103" i="40"/>
  <c r="N104" i="40"/>
  <c r="N105" i="40"/>
  <c r="N106" i="40"/>
  <c r="N107" i="40"/>
  <c r="N108" i="40"/>
  <c r="N109" i="40"/>
  <c r="N110" i="40"/>
  <c r="N111" i="40"/>
  <c r="N112" i="40"/>
  <c r="N113" i="40"/>
  <c r="N114" i="40"/>
  <c r="N115" i="40"/>
  <c r="N116" i="40"/>
  <c r="N117" i="40"/>
  <c r="N118" i="40"/>
  <c r="N119" i="40"/>
  <c r="N120" i="40"/>
  <c r="N121" i="40"/>
  <c r="N122" i="40"/>
  <c r="N123" i="40"/>
  <c r="N124" i="40"/>
  <c r="N125" i="40"/>
  <c r="N126" i="40"/>
  <c r="N127" i="40"/>
  <c r="N128" i="40"/>
  <c r="N129" i="40"/>
  <c r="M7" i="40"/>
  <c r="M8" i="40"/>
  <c r="M9" i="40"/>
  <c r="M10" i="40"/>
  <c r="M11" i="40"/>
  <c r="M12" i="40"/>
  <c r="M13" i="40"/>
  <c r="M14" i="40"/>
  <c r="M15" i="40"/>
  <c r="M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39" i="40"/>
  <c r="M40" i="40"/>
  <c r="M41" i="40"/>
  <c r="M42" i="40"/>
  <c r="M43" i="40"/>
  <c r="M44" i="40"/>
  <c r="M45" i="40"/>
  <c r="M46" i="40"/>
  <c r="M47" i="40"/>
  <c r="M48" i="40"/>
  <c r="M49" i="40"/>
  <c r="M50" i="40"/>
  <c r="M51" i="40"/>
  <c r="M52" i="40"/>
  <c r="M53" i="40"/>
  <c r="M54" i="40"/>
  <c r="M55" i="40"/>
  <c r="M56" i="40"/>
  <c r="M57" i="40"/>
  <c r="M58" i="40"/>
  <c r="M59" i="40"/>
  <c r="M60" i="40"/>
  <c r="M61" i="40"/>
  <c r="M62" i="40"/>
  <c r="M63" i="40"/>
  <c r="M64" i="40"/>
  <c r="M65" i="40"/>
  <c r="M66" i="40"/>
  <c r="M67" i="40"/>
  <c r="M68" i="40"/>
  <c r="M69" i="40"/>
  <c r="M70" i="40"/>
  <c r="M71" i="40"/>
  <c r="M72" i="40"/>
  <c r="M73" i="40"/>
  <c r="M74" i="40"/>
  <c r="M75" i="40"/>
  <c r="M76" i="40"/>
  <c r="M77" i="40"/>
  <c r="M78" i="40"/>
  <c r="M79" i="40"/>
  <c r="M80" i="40"/>
  <c r="M81" i="40"/>
  <c r="M82" i="40"/>
  <c r="M83" i="40"/>
  <c r="M84" i="40"/>
  <c r="M85" i="40"/>
  <c r="M86" i="40"/>
  <c r="M87" i="40"/>
  <c r="M88" i="40"/>
  <c r="M89" i="40"/>
  <c r="M90" i="40"/>
  <c r="M91" i="40"/>
  <c r="M92" i="40"/>
  <c r="M93" i="40"/>
  <c r="M94" i="40"/>
  <c r="M95" i="40"/>
  <c r="M96" i="40"/>
  <c r="M97" i="40"/>
  <c r="M98" i="40"/>
  <c r="M99" i="40"/>
  <c r="M100" i="40"/>
  <c r="M101" i="40"/>
  <c r="M102" i="40"/>
  <c r="M103" i="40"/>
  <c r="M104" i="40"/>
  <c r="M105" i="40"/>
  <c r="M106" i="40"/>
  <c r="M107" i="40"/>
  <c r="M108" i="40"/>
  <c r="M109" i="40"/>
  <c r="M110" i="40"/>
  <c r="M111" i="40"/>
  <c r="M112" i="40"/>
  <c r="M113" i="40"/>
  <c r="M114" i="40"/>
  <c r="M115" i="40"/>
  <c r="M116" i="40"/>
  <c r="M117" i="40"/>
  <c r="M118" i="40"/>
  <c r="M119" i="40"/>
  <c r="M120" i="40"/>
  <c r="M121" i="40"/>
  <c r="M122" i="40"/>
  <c r="M123" i="40"/>
  <c r="M124" i="40"/>
  <c r="M125" i="40"/>
  <c r="M126" i="40"/>
  <c r="M127" i="40"/>
  <c r="M128" i="40"/>
  <c r="M129" i="40"/>
  <c r="K7" i="40"/>
  <c r="K8" i="40"/>
  <c r="K9" i="40" s="1"/>
  <c r="K10" i="40" s="1"/>
  <c r="K11" i="40" s="1"/>
  <c r="K12" i="40" s="1"/>
  <c r="K13" i="40" s="1"/>
  <c r="K14" i="40" s="1"/>
  <c r="K15" i="40" s="1"/>
  <c r="K16" i="40" s="1"/>
  <c r="K17" i="40" s="1"/>
  <c r="K18" i="40" s="1"/>
  <c r="K19" i="40" s="1"/>
  <c r="K20" i="40" s="1"/>
  <c r="K21" i="40" s="1"/>
  <c r="K22" i="40" s="1"/>
  <c r="K23" i="40" s="1"/>
  <c r="K24" i="40" s="1"/>
  <c r="K25" i="40" s="1"/>
  <c r="K26" i="40" s="1"/>
  <c r="K27" i="40" s="1"/>
  <c r="K28" i="40" s="1"/>
  <c r="K29" i="40" s="1"/>
  <c r="K30" i="40" s="1"/>
  <c r="K31" i="40" s="1"/>
  <c r="K32" i="40" s="1"/>
  <c r="K33" i="40" s="1"/>
  <c r="K34" i="40" s="1"/>
  <c r="K35" i="40" s="1"/>
  <c r="K36" i="40" s="1"/>
  <c r="K37" i="40" s="1"/>
  <c r="K38" i="40" s="1"/>
  <c r="K39" i="40" s="1"/>
  <c r="K40" i="40" s="1"/>
  <c r="K41" i="40" s="1"/>
  <c r="K42" i="40" s="1"/>
  <c r="K43" i="40" s="1"/>
  <c r="K44" i="40" s="1"/>
  <c r="K45" i="40" s="1"/>
  <c r="K46" i="40" s="1"/>
  <c r="K47" i="40" s="1"/>
  <c r="K48" i="40" s="1"/>
  <c r="K49" i="40" s="1"/>
  <c r="K50" i="40" s="1"/>
  <c r="K51" i="40" s="1"/>
  <c r="K52" i="40" s="1"/>
  <c r="K53" i="40" s="1"/>
  <c r="K54" i="40" s="1"/>
  <c r="K55" i="40" s="1"/>
  <c r="K56" i="40" s="1"/>
  <c r="K57" i="40" s="1"/>
  <c r="K58" i="40" s="1"/>
  <c r="K59" i="40" s="1"/>
  <c r="K60" i="40" s="1"/>
  <c r="K61" i="40" s="1"/>
  <c r="K62" i="40" s="1"/>
  <c r="K63" i="40" s="1"/>
  <c r="K64" i="40" s="1"/>
  <c r="K65" i="40" s="1"/>
  <c r="K66" i="40" s="1"/>
  <c r="K67" i="40" s="1"/>
  <c r="K68" i="40" s="1"/>
  <c r="K69" i="40" s="1"/>
  <c r="K70" i="40" s="1"/>
  <c r="K71" i="40" s="1"/>
  <c r="K72" i="40" s="1"/>
  <c r="K73" i="40" s="1"/>
  <c r="K74" i="40" s="1"/>
  <c r="K75" i="40" s="1"/>
  <c r="K76" i="40" s="1"/>
  <c r="K77" i="40" s="1"/>
  <c r="K78" i="40" s="1"/>
  <c r="K79" i="40" s="1"/>
  <c r="K80" i="40" s="1"/>
  <c r="K81" i="40" s="1"/>
  <c r="K82" i="40" s="1"/>
  <c r="K83" i="40" s="1"/>
  <c r="K84" i="40" s="1"/>
  <c r="K85" i="40" s="1"/>
  <c r="K86" i="40" s="1"/>
  <c r="K87" i="40" s="1"/>
  <c r="K88" i="40" s="1"/>
  <c r="K89" i="40" s="1"/>
  <c r="K90" i="40" s="1"/>
  <c r="K91" i="40" s="1"/>
  <c r="K92" i="40" s="1"/>
  <c r="K93" i="40" s="1"/>
  <c r="K94" i="40" s="1"/>
  <c r="K95" i="40" s="1"/>
  <c r="K96" i="40" s="1"/>
  <c r="K97" i="40" s="1"/>
  <c r="K98" i="40" s="1"/>
  <c r="K99" i="40" s="1"/>
  <c r="K100" i="40" s="1"/>
  <c r="K101" i="40" s="1"/>
  <c r="K102" i="40" s="1"/>
  <c r="K103" i="40" s="1"/>
  <c r="K104" i="40" s="1"/>
  <c r="K105" i="40" s="1"/>
  <c r="K106" i="40" s="1"/>
  <c r="K107" i="40" s="1"/>
  <c r="K108" i="40" s="1"/>
  <c r="K109" i="40" s="1"/>
  <c r="K110" i="40" s="1"/>
  <c r="K111" i="40" s="1"/>
  <c r="K112" i="40" s="1"/>
  <c r="K113" i="40" s="1"/>
  <c r="K114" i="40" s="1"/>
  <c r="K115" i="40" s="1"/>
  <c r="K116" i="40" s="1"/>
  <c r="K117" i="40" s="1"/>
  <c r="K118" i="40" s="1"/>
  <c r="K119" i="40" s="1"/>
  <c r="K120" i="40" s="1"/>
  <c r="K121" i="40" s="1"/>
  <c r="K122" i="40" s="1"/>
  <c r="K123" i="40" s="1"/>
  <c r="K124" i="40" s="1"/>
  <c r="K125" i="40" s="1"/>
  <c r="K126" i="40" s="1"/>
  <c r="K127" i="40" s="1"/>
  <c r="K128" i="40" s="1"/>
  <c r="K129" i="40" s="1"/>
  <c r="AA5" i="58" l="1"/>
  <c r="R15" i="30" s="1"/>
  <c r="AB5" i="58"/>
  <c r="AD5" i="58"/>
  <c r="T15" i="30" s="1"/>
  <c r="AE5" i="58"/>
  <c r="AG5" i="58"/>
  <c r="V15" i="30" s="1"/>
  <c r="AH5" i="58"/>
  <c r="AJ5" i="58"/>
  <c r="X15" i="30" s="1"/>
  <c r="AK5" i="58"/>
  <c r="O5" i="58"/>
  <c r="J15" i="30" s="1"/>
  <c r="P5" i="58"/>
  <c r="R5" i="58"/>
  <c r="L15" i="30" s="1"/>
  <c r="S5" i="58"/>
  <c r="U5" i="58"/>
  <c r="N15" i="30" s="1"/>
  <c r="V5" i="58"/>
  <c r="X5" i="58"/>
  <c r="P15" i="30" s="1"/>
  <c r="Y5" i="58"/>
  <c r="I5" i="58"/>
  <c r="F15" i="30" s="1"/>
  <c r="J5" i="58"/>
  <c r="L5" i="58"/>
  <c r="H15" i="30" s="1"/>
  <c r="M5" i="58"/>
  <c r="F5" i="58"/>
  <c r="D15" i="30" s="1"/>
  <c r="G5" i="58"/>
  <c r="D5" i="58" l="1"/>
  <c r="C5" i="58"/>
  <c r="B15" i="30" s="1"/>
  <c r="N8" i="55" l="1"/>
  <c r="K12" i="32" s="1"/>
  <c r="F23" i="32"/>
  <c r="F17" i="32"/>
  <c r="N7" i="55"/>
  <c r="N3" i="55"/>
  <c r="N4" i="55"/>
  <c r="N5" i="55"/>
  <c r="N6" i="55" l="1"/>
  <c r="A3" i="57"/>
  <c r="O12" i="56"/>
  <c r="K12" i="56"/>
  <c r="L12" i="56" s="1"/>
  <c r="O6" i="56"/>
  <c r="F19" i="32" s="1"/>
  <c r="K6" i="56"/>
  <c r="L6" i="56" s="1"/>
  <c r="A3" i="56"/>
  <c r="K19" i="39" l="1"/>
  <c r="K18" i="39"/>
  <c r="K17" i="39"/>
  <c r="K16" i="39"/>
  <c r="K15" i="39"/>
  <c r="K14" i="39"/>
  <c r="K13" i="39"/>
  <c r="K12" i="39"/>
  <c r="K11" i="39"/>
  <c r="K10" i="39"/>
  <c r="K9" i="39"/>
  <c r="J19" i="39"/>
  <c r="J18" i="39"/>
  <c r="J17" i="39"/>
  <c r="J16" i="39"/>
  <c r="J15" i="39"/>
  <c r="J14" i="39"/>
  <c r="J13" i="39"/>
  <c r="J12" i="39"/>
  <c r="J11" i="39"/>
  <c r="J10" i="39"/>
  <c r="J9" i="39"/>
  <c r="H19" i="39"/>
  <c r="Y12" i="30"/>
  <c r="W12" i="30"/>
  <c r="U12" i="30"/>
  <c r="S12" i="30"/>
  <c r="Q12" i="30"/>
  <c r="O12" i="30"/>
  <c r="M12" i="30"/>
  <c r="K12" i="30"/>
  <c r="I12" i="30"/>
  <c r="I11" i="30"/>
  <c r="G12" i="30"/>
  <c r="E12" i="30"/>
  <c r="C12" i="30"/>
  <c r="AA12" i="30" l="1"/>
  <c r="M93" i="45"/>
  <c r="M71" i="45"/>
  <c r="M76" i="45" s="1"/>
  <c r="M59" i="45"/>
  <c r="M63" i="45" s="1"/>
  <c r="M75" i="45" s="1"/>
  <c r="M58" i="45"/>
  <c r="M44" i="45"/>
  <c r="M31" i="45"/>
  <c r="M35" i="45" s="1"/>
  <c r="M52" i="45" s="1"/>
  <c r="M78" i="45" s="1"/>
  <c r="M10" i="45"/>
  <c r="M21" i="45" s="1"/>
  <c r="C22" i="39"/>
  <c r="F10" i="39"/>
  <c r="F11" i="39" s="1"/>
  <c r="F12" i="39" s="1"/>
  <c r="F13" i="39" s="1"/>
  <c r="F14" i="39" s="1"/>
  <c r="F15" i="39" s="1"/>
  <c r="F16" i="39" s="1"/>
  <c r="F17" i="39" s="1"/>
  <c r="F18" i="39" s="1"/>
  <c r="F19" i="39" s="1"/>
  <c r="F9" i="39"/>
  <c r="F8" i="39"/>
  <c r="F22" i="39" s="1"/>
  <c r="B8" i="39"/>
  <c r="D8" i="39" s="1"/>
  <c r="B19" i="39"/>
  <c r="D19" i="39" s="1"/>
  <c r="B18" i="39"/>
  <c r="D18" i="39" s="1"/>
  <c r="B17" i="39"/>
  <c r="D17" i="39" s="1"/>
  <c r="B16" i="39"/>
  <c r="D16" i="39" s="1"/>
  <c r="B15" i="39"/>
  <c r="D15" i="39" s="1"/>
  <c r="B14" i="39"/>
  <c r="D14" i="39" s="1"/>
  <c r="B13" i="39"/>
  <c r="D13" i="39" s="1"/>
  <c r="B12" i="39"/>
  <c r="D12" i="39" s="1"/>
  <c r="B11" i="39"/>
  <c r="D11" i="39" s="1"/>
  <c r="B10" i="39"/>
  <c r="D10" i="39" s="1"/>
  <c r="B9" i="39"/>
  <c r="D9" i="39" s="1"/>
  <c r="G7" i="30"/>
  <c r="M81" i="45" l="1"/>
  <c r="M77" i="45"/>
  <c r="M105" i="45"/>
  <c r="M103" i="45" s="1"/>
  <c r="M36" i="45"/>
  <c r="M101" i="45"/>
  <c r="M104" i="45"/>
  <c r="M99" i="45"/>
  <c r="B20" i="39"/>
  <c r="K13" i="32" s="1"/>
  <c r="D22" i="39"/>
  <c r="B22" i="39"/>
  <c r="Y9" i="30"/>
  <c r="W9" i="30"/>
  <c r="U9" i="30"/>
  <c r="S9" i="30"/>
  <c r="Q9" i="30"/>
  <c r="O9" i="30"/>
  <c r="M9" i="30"/>
  <c r="K9" i="30"/>
  <c r="I9" i="30"/>
  <c r="G9" i="30"/>
  <c r="E9" i="30"/>
  <c r="C9" i="30"/>
  <c r="AA9" i="30" l="1"/>
  <c r="Y28" i="30"/>
  <c r="W28" i="30"/>
  <c r="U28" i="30"/>
  <c r="S28" i="30"/>
  <c r="Q28" i="30"/>
  <c r="O28" i="30"/>
  <c r="M28" i="30"/>
  <c r="K28" i="30"/>
  <c r="G28" i="30"/>
  <c r="Y27" i="30"/>
  <c r="W27" i="30"/>
  <c r="U27" i="30"/>
  <c r="S27" i="30"/>
  <c r="Q27" i="30"/>
  <c r="O27" i="30"/>
  <c r="M27" i="30"/>
  <c r="K27" i="30"/>
  <c r="G27" i="30"/>
  <c r="Y26" i="30"/>
  <c r="W26" i="30"/>
  <c r="U26" i="30"/>
  <c r="S26" i="30"/>
  <c r="Q26" i="30"/>
  <c r="O26" i="30"/>
  <c r="M26" i="30"/>
  <c r="K26" i="30"/>
  <c r="E26" i="30"/>
  <c r="Y25" i="30"/>
  <c r="W25" i="30"/>
  <c r="I18" i="39" s="1"/>
  <c r="U25" i="30"/>
  <c r="I17" i="39" s="1"/>
  <c r="S25" i="30"/>
  <c r="I16" i="39" s="1"/>
  <c r="Q25" i="30"/>
  <c r="I15" i="39" s="1"/>
  <c r="O25" i="30"/>
  <c r="I14" i="39" s="1"/>
  <c r="M25" i="30"/>
  <c r="I13" i="39" s="1"/>
  <c r="K25" i="30"/>
  <c r="I12" i="39" s="1"/>
  <c r="E25" i="30"/>
  <c r="I9" i="39" s="1"/>
  <c r="Y24" i="30"/>
  <c r="W24" i="30"/>
  <c r="U24" i="30"/>
  <c r="S24" i="30"/>
  <c r="Q24" i="30"/>
  <c r="O24" i="30"/>
  <c r="M24" i="30"/>
  <c r="K24" i="30"/>
  <c r="E24" i="30"/>
  <c r="Y23" i="30"/>
  <c r="W23" i="30"/>
  <c r="U23" i="30"/>
  <c r="S23" i="30"/>
  <c r="Q23" i="30"/>
  <c r="O23" i="30"/>
  <c r="M23" i="30"/>
  <c r="K23" i="30"/>
  <c r="I23" i="30"/>
  <c r="Y22" i="30"/>
  <c r="W22" i="30"/>
  <c r="U22" i="30"/>
  <c r="S22" i="30"/>
  <c r="Q22" i="30"/>
  <c r="O22" i="30"/>
  <c r="M22" i="30"/>
  <c r="K22" i="30"/>
  <c r="I22" i="30"/>
  <c r="Y21" i="30"/>
  <c r="W21" i="30"/>
  <c r="U21" i="30"/>
  <c r="S21" i="30"/>
  <c r="Q21" i="30"/>
  <c r="O21" i="30"/>
  <c r="M21" i="30"/>
  <c r="K21" i="30"/>
  <c r="I21" i="30"/>
  <c r="Y20" i="30"/>
  <c r="W20" i="30"/>
  <c r="U20" i="30"/>
  <c r="S20" i="30"/>
  <c r="Q20" i="30"/>
  <c r="O20" i="30"/>
  <c r="M20" i="30"/>
  <c r="K20" i="30"/>
  <c r="I20" i="30"/>
  <c r="Y19" i="30"/>
  <c r="W19" i="30"/>
  <c r="U19" i="30"/>
  <c r="S19" i="30"/>
  <c r="Q19" i="30"/>
  <c r="O19" i="30"/>
  <c r="M19" i="30"/>
  <c r="K19" i="30"/>
  <c r="I19" i="30"/>
  <c r="Y18" i="30"/>
  <c r="W18" i="30"/>
  <c r="U18" i="30"/>
  <c r="S18" i="30"/>
  <c r="Q18" i="30"/>
  <c r="O18" i="30"/>
  <c r="M18" i="30"/>
  <c r="K18" i="30"/>
  <c r="I18" i="30"/>
  <c r="Y17" i="30"/>
  <c r="W17" i="30"/>
  <c r="U17" i="30"/>
  <c r="S17" i="30"/>
  <c r="Q17" i="30"/>
  <c r="O17" i="30"/>
  <c r="M17" i="30"/>
  <c r="K17" i="30"/>
  <c r="I17" i="30"/>
  <c r="Y16" i="30"/>
  <c r="W16" i="30"/>
  <c r="U16" i="30"/>
  <c r="S16" i="30"/>
  <c r="Q16" i="30"/>
  <c r="O16" i="30"/>
  <c r="M16" i="30"/>
  <c r="K16" i="30"/>
  <c r="I16" i="30"/>
  <c r="Y15" i="30"/>
  <c r="W15" i="30"/>
  <c r="H18" i="39" s="1"/>
  <c r="U15" i="30"/>
  <c r="H17" i="39" s="1"/>
  <c r="S15" i="30"/>
  <c r="H16" i="39" s="1"/>
  <c r="Q15" i="30"/>
  <c r="H15" i="39" s="1"/>
  <c r="O15" i="30"/>
  <c r="H14" i="39" s="1"/>
  <c r="M15" i="30"/>
  <c r="H13" i="39" s="1"/>
  <c r="K15" i="30"/>
  <c r="H12" i="39" s="1"/>
  <c r="I15" i="30"/>
  <c r="H11" i="39" s="1"/>
  <c r="Y14" i="30"/>
  <c r="W14" i="30"/>
  <c r="U14" i="30"/>
  <c r="S14" i="30"/>
  <c r="Q14" i="30"/>
  <c r="O14" i="30"/>
  <c r="M14" i="30"/>
  <c r="K14" i="30"/>
  <c r="I14" i="30"/>
  <c r="Y13" i="30"/>
  <c r="W13" i="30"/>
  <c r="M18" i="39" s="1"/>
  <c r="U13" i="30"/>
  <c r="M17" i="39" s="1"/>
  <c r="S13" i="30"/>
  <c r="M16" i="39" s="1"/>
  <c r="Q13" i="30"/>
  <c r="M15" i="39" s="1"/>
  <c r="O13" i="30"/>
  <c r="M14" i="39" s="1"/>
  <c r="M13" i="30"/>
  <c r="M13" i="39" s="1"/>
  <c r="K13" i="30"/>
  <c r="M12" i="39" s="1"/>
  <c r="I13" i="30"/>
  <c r="M11" i="39" s="1"/>
  <c r="Y11" i="30"/>
  <c r="W11" i="30"/>
  <c r="U11" i="30"/>
  <c r="S11" i="30"/>
  <c r="Q11" i="30"/>
  <c r="O11" i="30"/>
  <c r="Y10" i="30"/>
  <c r="W10" i="30"/>
  <c r="U10" i="30"/>
  <c r="S10" i="30"/>
  <c r="Q10" i="30"/>
  <c r="O10" i="30"/>
  <c r="M10" i="30"/>
  <c r="I10" i="30"/>
  <c r="Y8" i="30"/>
  <c r="W8" i="30"/>
  <c r="U8" i="30"/>
  <c r="S8" i="30"/>
  <c r="Q8" i="30"/>
  <c r="O8" i="30"/>
  <c r="M8" i="30"/>
  <c r="I8" i="30"/>
  <c r="Y7" i="30"/>
  <c r="W7" i="30"/>
  <c r="U7" i="30"/>
  <c r="Q7" i="30"/>
  <c r="O7" i="30"/>
  <c r="S7" i="30"/>
  <c r="M11" i="30"/>
  <c r="K11" i="30"/>
  <c r="K10" i="30"/>
  <c r="K8" i="30"/>
  <c r="M7" i="30"/>
  <c r="K7" i="30"/>
  <c r="I28" i="30"/>
  <c r="I27" i="30"/>
  <c r="I26" i="30"/>
  <c r="G26" i="30"/>
  <c r="I25" i="30"/>
  <c r="I11" i="39" s="1"/>
  <c r="G25" i="30"/>
  <c r="I10" i="39" s="1"/>
  <c r="I24" i="30"/>
  <c r="G24" i="30"/>
  <c r="G23" i="30"/>
  <c r="G22" i="30"/>
  <c r="G21" i="30"/>
  <c r="G20" i="30"/>
  <c r="G19" i="30"/>
  <c r="G18" i="30"/>
  <c r="G17" i="30"/>
  <c r="G16" i="30"/>
  <c r="G15" i="30"/>
  <c r="H10" i="39" s="1"/>
  <c r="G14" i="30"/>
  <c r="G13" i="30"/>
  <c r="M10" i="39" s="1"/>
  <c r="G11" i="30"/>
  <c r="G10" i="30"/>
  <c r="G8" i="30"/>
  <c r="I7" i="30"/>
  <c r="E27" i="30"/>
  <c r="C27" i="30"/>
  <c r="E23" i="30"/>
  <c r="E22" i="30"/>
  <c r="E21" i="30"/>
  <c r="E20" i="30"/>
  <c r="E19" i="30"/>
  <c r="E18" i="30"/>
  <c r="E17" i="30"/>
  <c r="E16" i="30"/>
  <c r="E15" i="30"/>
  <c r="H9" i="39" s="1"/>
  <c r="E14" i="30"/>
  <c r="E13" i="30"/>
  <c r="M9" i="39" s="1"/>
  <c r="E11" i="30"/>
  <c r="E10" i="30"/>
  <c r="E8" i="30"/>
  <c r="E28" i="30"/>
  <c r="E7" i="30"/>
  <c r="M19" i="39" l="1"/>
  <c r="I19" i="39"/>
  <c r="AA27" i="30"/>
  <c r="C28" i="30"/>
  <c r="AA28" i="30" s="1"/>
  <c r="C26" i="30"/>
  <c r="AA26" i="30" s="1"/>
  <c r="C25" i="30"/>
  <c r="I8" i="39" s="1"/>
  <c r="C24" i="30"/>
  <c r="AA24" i="30" s="1"/>
  <c r="C23" i="30"/>
  <c r="AA23" i="30" s="1"/>
  <c r="C22" i="30"/>
  <c r="AA22" i="30" s="1"/>
  <c r="C21" i="30"/>
  <c r="AA21" i="30" s="1"/>
  <c r="C20" i="30"/>
  <c r="AA20" i="30" s="1"/>
  <c r="C19" i="30"/>
  <c r="AA19" i="30" s="1"/>
  <c r="C18" i="30"/>
  <c r="AA18" i="30" s="1"/>
  <c r="C17" i="30"/>
  <c r="AA17" i="30" s="1"/>
  <c r="C16" i="30"/>
  <c r="AA16" i="30" s="1"/>
  <c r="C15" i="30"/>
  <c r="C14" i="30"/>
  <c r="C13" i="30"/>
  <c r="M8" i="39" s="1"/>
  <c r="C11" i="30"/>
  <c r="AA11" i="30" s="1"/>
  <c r="C10" i="30"/>
  <c r="AA10" i="30" s="1"/>
  <c r="C8" i="30"/>
  <c r="AA8" i="30" s="1"/>
  <c r="C7" i="30"/>
  <c r="K6" i="40"/>
  <c r="I3" i="40"/>
  <c r="G3" i="40"/>
  <c r="M6" i="40"/>
  <c r="N6" i="40"/>
  <c r="D5" i="30"/>
  <c r="E5" i="30"/>
  <c r="F5" i="30"/>
  <c r="G5" i="30"/>
  <c r="H5" i="30"/>
  <c r="I5" i="30"/>
  <c r="J5" i="30"/>
  <c r="L5" i="30"/>
  <c r="N5" i="30"/>
  <c r="O5" i="30"/>
  <c r="P5" i="30"/>
  <c r="Q5" i="30"/>
  <c r="R5" i="30"/>
  <c r="S5" i="30"/>
  <c r="T5" i="30"/>
  <c r="U5" i="30"/>
  <c r="V5" i="30"/>
  <c r="W5" i="30"/>
  <c r="X5" i="30"/>
  <c r="Y5" i="30"/>
  <c r="B5" i="30"/>
  <c r="AA14" i="30" l="1"/>
  <c r="K8" i="39"/>
  <c r="K22" i="39" s="1"/>
  <c r="AA7" i="30"/>
  <c r="J8" i="39"/>
  <c r="J22" i="39" s="1"/>
  <c r="AA15" i="30"/>
  <c r="H8" i="39"/>
  <c r="AA13" i="30"/>
  <c r="M20" i="39"/>
  <c r="M22" i="39"/>
  <c r="I22" i="39"/>
  <c r="AA25" i="30"/>
  <c r="H22" i="39"/>
  <c r="M5" i="30"/>
  <c r="M3" i="40"/>
  <c r="N3" i="40"/>
  <c r="C5" i="30"/>
  <c r="AA5" i="30" l="1"/>
  <c r="K3" i="40"/>
  <c r="P3" i="40" l="1"/>
  <c r="F15" i="32" s="1"/>
  <c r="K5" i="30" l="1"/>
  <c r="B5" i="8"/>
  <c r="F2" i="8"/>
  <c r="E2" i="8"/>
  <c r="M5" i="34"/>
  <c r="L5" i="34"/>
  <c r="K5" i="34"/>
  <c r="J5" i="34"/>
  <c r="I5" i="34"/>
  <c r="H5" i="34"/>
  <c r="G5" i="34"/>
  <c r="F5" i="34"/>
  <c r="E5" i="34"/>
  <c r="D5" i="34"/>
  <c r="C7" i="36"/>
  <c r="L5" i="36"/>
  <c r="K5" i="36"/>
  <c r="J5" i="36"/>
  <c r="I5" i="36"/>
  <c r="H5" i="36"/>
  <c r="G5" i="36"/>
  <c r="F5" i="36"/>
  <c r="E5" i="36"/>
  <c r="D5" i="36"/>
  <c r="L4" i="36"/>
  <c r="K4" i="36"/>
  <c r="J4" i="36"/>
  <c r="I4" i="36"/>
  <c r="H4" i="36"/>
  <c r="G4" i="36"/>
  <c r="F4" i="36"/>
  <c r="E4" i="36"/>
  <c r="D4" i="36"/>
  <c r="C4" i="36"/>
  <c r="F3" i="36"/>
  <c r="D3" i="36"/>
  <c r="Q93" i="45"/>
  <c r="O93" i="45"/>
  <c r="K89" i="45"/>
  <c r="K93" i="45" s="1"/>
  <c r="Q71" i="45"/>
  <c r="Q76" i="45" s="1"/>
  <c r="O71" i="45"/>
  <c r="O76" i="45" s="1"/>
  <c r="K71" i="45"/>
  <c r="K76" i="45" s="1"/>
  <c r="Q58" i="45"/>
  <c r="Q59" i="45" s="1"/>
  <c r="Q63" i="45" s="1"/>
  <c r="Q75" i="45" s="1"/>
  <c r="O58" i="45"/>
  <c r="O59" i="45" s="1"/>
  <c r="O63" i="45" s="1"/>
  <c r="O75" i="45" s="1"/>
  <c r="O77" i="45" s="1"/>
  <c r="K58" i="45"/>
  <c r="K59" i="45" s="1"/>
  <c r="K63" i="45" s="1"/>
  <c r="K75" i="45" s="1"/>
  <c r="Q44" i="45"/>
  <c r="O44" i="45"/>
  <c r="K44" i="45"/>
  <c r="Q31" i="45"/>
  <c r="Q36" i="45" s="1"/>
  <c r="O31" i="45"/>
  <c r="O36" i="45" s="1"/>
  <c r="K31" i="45"/>
  <c r="K36" i="45" s="1"/>
  <c r="Q15" i="45"/>
  <c r="Q10" i="45"/>
  <c r="K10" i="45"/>
  <c r="K21" i="45" s="1"/>
  <c r="K20" i="39"/>
  <c r="J20" i="39"/>
  <c r="I20" i="39"/>
  <c r="H20" i="39"/>
  <c r="L19" i="39"/>
  <c r="N19" i="39" s="1"/>
  <c r="L18" i="39"/>
  <c r="N18" i="39" s="1"/>
  <c r="L17" i="39"/>
  <c r="N17" i="39" s="1"/>
  <c r="L16" i="39"/>
  <c r="N16" i="39" s="1"/>
  <c r="L15" i="39"/>
  <c r="N15" i="39" s="1"/>
  <c r="L14" i="39"/>
  <c r="N14" i="39" s="1"/>
  <c r="L13" i="39"/>
  <c r="N13" i="39" s="1"/>
  <c r="L12" i="39"/>
  <c r="N12" i="39" s="1"/>
  <c r="L11" i="39"/>
  <c r="N11" i="39" s="1"/>
  <c r="L10" i="39"/>
  <c r="N10" i="39" s="1"/>
  <c r="L9" i="39"/>
  <c r="N9" i="39" s="1"/>
  <c r="L8" i="39"/>
  <c r="E8" i="39"/>
  <c r="O11" i="45" l="1"/>
  <c r="O10" i="45" s="1"/>
  <c r="O21" i="45" s="1"/>
  <c r="E88" i="8"/>
  <c r="E5" i="8"/>
  <c r="H5" i="8" s="1"/>
  <c r="E7" i="8"/>
  <c r="E9" i="8"/>
  <c r="E11" i="8"/>
  <c r="E13" i="8"/>
  <c r="E15" i="8"/>
  <c r="E17" i="8"/>
  <c r="E19" i="8"/>
  <c r="E21" i="8"/>
  <c r="E23" i="8"/>
  <c r="E25" i="8"/>
  <c r="E27" i="8"/>
  <c r="E29" i="8"/>
  <c r="E31" i="8"/>
  <c r="E33" i="8"/>
  <c r="E35" i="8"/>
  <c r="E37" i="8"/>
  <c r="E39" i="8"/>
  <c r="E41" i="8"/>
  <c r="E43" i="8"/>
  <c r="E45" i="8"/>
  <c r="E47" i="8"/>
  <c r="E49" i="8"/>
  <c r="E51" i="8"/>
  <c r="E53" i="8"/>
  <c r="E55" i="8"/>
  <c r="E57" i="8"/>
  <c r="E59" i="8"/>
  <c r="E61" i="8"/>
  <c r="E63" i="8"/>
  <c r="E65" i="8"/>
  <c r="E67" i="8"/>
  <c r="E69" i="8"/>
  <c r="E71" i="8"/>
  <c r="E73" i="8"/>
  <c r="E75" i="8"/>
  <c r="E77" i="8"/>
  <c r="E79" i="8"/>
  <c r="E81" i="8"/>
  <c r="E83" i="8"/>
  <c r="E85" i="8"/>
  <c r="E87" i="8"/>
  <c r="E6" i="8"/>
  <c r="E8" i="8"/>
  <c r="E10" i="8"/>
  <c r="E12" i="8"/>
  <c r="E14" i="8"/>
  <c r="E16" i="8"/>
  <c r="E18" i="8"/>
  <c r="E20" i="8"/>
  <c r="E22" i="8"/>
  <c r="E24" i="8"/>
  <c r="E26" i="8"/>
  <c r="E28" i="8"/>
  <c r="E30" i="8"/>
  <c r="E32" i="8"/>
  <c r="E34" i="8"/>
  <c r="E36" i="8"/>
  <c r="E38" i="8"/>
  <c r="E40" i="8"/>
  <c r="E42" i="8"/>
  <c r="E44" i="8"/>
  <c r="E46" i="8"/>
  <c r="E48" i="8"/>
  <c r="E50" i="8"/>
  <c r="E52" i="8"/>
  <c r="E54" i="8"/>
  <c r="E56" i="8"/>
  <c r="E58" i="8"/>
  <c r="E60" i="8"/>
  <c r="E62" i="8"/>
  <c r="E64" i="8"/>
  <c r="E66" i="8"/>
  <c r="E68" i="8"/>
  <c r="E70" i="8"/>
  <c r="E72" i="8"/>
  <c r="E74" i="8"/>
  <c r="E76" i="8"/>
  <c r="E78" i="8"/>
  <c r="E80" i="8"/>
  <c r="E82" i="8"/>
  <c r="E84" i="8"/>
  <c r="E86" i="8"/>
  <c r="C5" i="8"/>
  <c r="G5" i="8" s="1"/>
  <c r="N8" i="39"/>
  <c r="L22" i="39"/>
  <c r="O104" i="45"/>
  <c r="Q21" i="45"/>
  <c r="Q104" i="45" s="1"/>
  <c r="K77" i="45"/>
  <c r="Q77" i="45"/>
  <c r="K35" i="45"/>
  <c r="K52" i="45" s="1"/>
  <c r="K78" i="45" s="1"/>
  <c r="K81" i="45" s="1"/>
  <c r="K101" i="45"/>
  <c r="K104" i="45"/>
  <c r="O35" i="45"/>
  <c r="N20" i="39"/>
  <c r="F12" i="32" s="1"/>
  <c r="L20" i="39"/>
  <c r="E9" i="39"/>
  <c r="G8" i="39"/>
  <c r="D5" i="8" l="1"/>
  <c r="F5" i="8" s="1"/>
  <c r="B6" i="8" s="1"/>
  <c r="H6" i="8"/>
  <c r="H7" i="8" s="1"/>
  <c r="H8" i="8" s="1"/>
  <c r="H9" i="8" s="1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4" i="8" s="1"/>
  <c r="H35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H47" i="8" s="1"/>
  <c r="H48" i="8" s="1"/>
  <c r="H49" i="8" s="1"/>
  <c r="H50" i="8" s="1"/>
  <c r="H51" i="8" s="1"/>
  <c r="H52" i="8" s="1"/>
  <c r="H53" i="8" s="1"/>
  <c r="H54" i="8" s="1"/>
  <c r="H55" i="8" s="1"/>
  <c r="H56" i="8" s="1"/>
  <c r="H57" i="8" s="1"/>
  <c r="H58" i="8" s="1"/>
  <c r="H59" i="8" s="1"/>
  <c r="H60" i="8" s="1"/>
  <c r="H61" i="8" s="1"/>
  <c r="H62" i="8" s="1"/>
  <c r="H63" i="8" s="1"/>
  <c r="H64" i="8" s="1"/>
  <c r="H65" i="8" s="1"/>
  <c r="H66" i="8" s="1"/>
  <c r="H67" i="8" s="1"/>
  <c r="H68" i="8" s="1"/>
  <c r="H69" i="8" s="1"/>
  <c r="H70" i="8" s="1"/>
  <c r="H71" i="8" s="1"/>
  <c r="H72" i="8" s="1"/>
  <c r="H73" i="8" s="1"/>
  <c r="H74" i="8" s="1"/>
  <c r="H75" i="8" s="1"/>
  <c r="H76" i="8" s="1"/>
  <c r="H77" i="8" s="1"/>
  <c r="H78" i="8" s="1"/>
  <c r="H79" i="8" s="1"/>
  <c r="H80" i="8" s="1"/>
  <c r="H81" i="8" s="1"/>
  <c r="H82" i="8" s="1"/>
  <c r="H83" i="8" s="1"/>
  <c r="H84" i="8" s="1"/>
  <c r="H85" i="8" s="1"/>
  <c r="H86" i="8" s="1"/>
  <c r="H87" i="8" s="1"/>
  <c r="H88" i="8" s="1"/>
  <c r="C6" i="8"/>
  <c r="D6" i="8" s="1"/>
  <c r="F6" i="8" s="1"/>
  <c r="B7" i="8" s="1"/>
  <c r="K99" i="45"/>
  <c r="K105" i="45"/>
  <c r="K103" i="45" s="1"/>
  <c r="O52" i="45"/>
  <c r="Q35" i="45"/>
  <c r="Q52" i="45" s="1"/>
  <c r="E10" i="39"/>
  <c r="G9" i="39"/>
  <c r="G6" i="8" l="1"/>
  <c r="C7" i="8"/>
  <c r="D7" i="8" s="1"/>
  <c r="F7" i="8" s="1"/>
  <c r="B8" i="8" s="1"/>
  <c r="Q78" i="45"/>
  <c r="Q81" i="45" s="1"/>
  <c r="Q105" i="45"/>
  <c r="Q103" i="45" s="1"/>
  <c r="Q101" i="45"/>
  <c r="Q99" i="45"/>
  <c r="O105" i="45"/>
  <c r="O99" i="45"/>
  <c r="O78" i="45"/>
  <c r="O81" i="45" s="1"/>
  <c r="O101" i="45"/>
  <c r="G10" i="39"/>
  <c r="E11" i="39"/>
  <c r="C8" i="8" l="1"/>
  <c r="D8" i="8" s="1"/>
  <c r="F8" i="8" s="1"/>
  <c r="B9" i="8" s="1"/>
  <c r="G7" i="8"/>
  <c r="O103" i="45"/>
  <c r="G11" i="39"/>
  <c r="E12" i="39"/>
  <c r="G8" i="8" l="1"/>
  <c r="C9" i="8"/>
  <c r="D9" i="8" s="1"/>
  <c r="F9" i="8" s="1"/>
  <c r="B10" i="8" s="1"/>
  <c r="G12" i="39"/>
  <c r="E13" i="39"/>
  <c r="C10" i="8" l="1"/>
  <c r="D10" i="8" s="1"/>
  <c r="F10" i="8" s="1"/>
  <c r="B11" i="8" s="1"/>
  <c r="G9" i="8"/>
  <c r="G13" i="39"/>
  <c r="E14" i="39"/>
  <c r="G10" i="8" l="1"/>
  <c r="C11" i="8"/>
  <c r="D11" i="8" s="1"/>
  <c r="F11" i="8" s="1"/>
  <c r="B12" i="8" s="1"/>
  <c r="G14" i="39"/>
  <c r="E15" i="39"/>
  <c r="C12" i="8" l="1"/>
  <c r="D12" i="8" s="1"/>
  <c r="F12" i="8" s="1"/>
  <c r="B13" i="8" s="1"/>
  <c r="G11" i="8"/>
  <c r="G15" i="39"/>
  <c r="E16" i="39"/>
  <c r="G12" i="8" l="1"/>
  <c r="C13" i="8"/>
  <c r="D13" i="8" s="1"/>
  <c r="F13" i="8" s="1"/>
  <c r="B14" i="8" s="1"/>
  <c r="G16" i="39"/>
  <c r="E17" i="39"/>
  <c r="C14" i="8" l="1"/>
  <c r="D14" i="8" s="1"/>
  <c r="F14" i="8" s="1"/>
  <c r="B15" i="8" s="1"/>
  <c r="G13" i="8"/>
  <c r="G17" i="39"/>
  <c r="E18" i="39"/>
  <c r="G14" i="8" l="1"/>
  <c r="C15" i="8"/>
  <c r="D15" i="8" s="1"/>
  <c r="F15" i="8" s="1"/>
  <c r="B16" i="8" s="1"/>
  <c r="G18" i="39"/>
  <c r="E19" i="39"/>
  <c r="C16" i="8" l="1"/>
  <c r="D16" i="8" s="1"/>
  <c r="F16" i="8" s="1"/>
  <c r="B17" i="8" s="1"/>
  <c r="G15" i="8"/>
  <c r="G19" i="39"/>
  <c r="G22" i="39" s="1"/>
  <c r="E22" i="39"/>
  <c r="G16" i="8" l="1"/>
  <c r="C17" i="8"/>
  <c r="D17" i="8" s="1"/>
  <c r="F17" i="8" s="1"/>
  <c r="B18" i="8" s="1"/>
  <c r="C18" i="8" l="1"/>
  <c r="D18" i="8" s="1"/>
  <c r="F18" i="8" s="1"/>
  <c r="B19" i="8" s="1"/>
  <c r="G17" i="8"/>
  <c r="G18" i="8" l="1"/>
  <c r="C19" i="8"/>
  <c r="D19" i="8" s="1"/>
  <c r="F19" i="8" s="1"/>
  <c r="B20" i="8" s="1"/>
  <c r="C20" i="8" l="1"/>
  <c r="D20" i="8" s="1"/>
  <c r="F20" i="8" s="1"/>
  <c r="B21" i="8" s="1"/>
  <c r="G19" i="8"/>
  <c r="G20" i="8" l="1"/>
  <c r="C21" i="8"/>
  <c r="D21" i="8" s="1"/>
  <c r="F21" i="8" s="1"/>
  <c r="B22" i="8" s="1"/>
  <c r="G21" i="8" l="1"/>
  <c r="C22" i="8"/>
  <c r="D22" i="8" s="1"/>
  <c r="F22" i="8" s="1"/>
  <c r="B23" i="8" s="1"/>
  <c r="G22" i="8" l="1"/>
  <c r="C23" i="8"/>
  <c r="D23" i="8" s="1"/>
  <c r="F23" i="8" s="1"/>
  <c r="B24" i="8" s="1"/>
  <c r="C24" i="8" l="1"/>
  <c r="D24" i="8" s="1"/>
  <c r="F24" i="8" s="1"/>
  <c r="B25" i="8" s="1"/>
  <c r="G23" i="8"/>
  <c r="G24" i="8" l="1"/>
  <c r="C25" i="8"/>
  <c r="D25" i="8" s="1"/>
  <c r="F25" i="8" s="1"/>
  <c r="B26" i="8" s="1"/>
  <c r="G25" i="8" l="1"/>
  <c r="C26" i="8"/>
  <c r="D26" i="8" s="1"/>
  <c r="F26" i="8" s="1"/>
  <c r="B27" i="8" s="1"/>
  <c r="G26" i="8" l="1"/>
  <c r="C27" i="8"/>
  <c r="D27" i="8" s="1"/>
  <c r="F27" i="8" s="1"/>
  <c r="B28" i="8" s="1"/>
  <c r="C28" i="8" l="1"/>
  <c r="D28" i="8" s="1"/>
  <c r="F28" i="8" s="1"/>
  <c r="B29" i="8" s="1"/>
  <c r="G27" i="8"/>
  <c r="G28" i="8" l="1"/>
  <c r="C29" i="8"/>
  <c r="D29" i="8" s="1"/>
  <c r="F29" i="8" s="1"/>
  <c r="B30" i="8" s="1"/>
  <c r="C30" i="8" l="1"/>
  <c r="D30" i="8" s="1"/>
  <c r="F30" i="8" s="1"/>
  <c r="B31" i="8" s="1"/>
  <c r="G29" i="8"/>
  <c r="G30" i="8" l="1"/>
  <c r="C31" i="8"/>
  <c r="D31" i="8" s="1"/>
  <c r="F31" i="8" s="1"/>
  <c r="B32" i="8" s="1"/>
  <c r="C32" i="8" l="1"/>
  <c r="D32" i="8" s="1"/>
  <c r="F32" i="8" s="1"/>
  <c r="B33" i="8" s="1"/>
  <c r="G31" i="8"/>
  <c r="G32" i="8" l="1"/>
  <c r="C33" i="8"/>
  <c r="D33" i="8" l="1"/>
  <c r="F33" i="8" s="1"/>
  <c r="B34" i="8" s="1"/>
  <c r="G33" i="8"/>
  <c r="C34" i="8" l="1"/>
  <c r="D34" i="8" l="1"/>
  <c r="F34" i="8" s="1"/>
  <c r="B35" i="8" s="1"/>
  <c r="G34" i="8"/>
  <c r="C35" i="8" l="1"/>
  <c r="D35" i="8" l="1"/>
  <c r="F35" i="8" s="1"/>
  <c r="B36" i="8" s="1"/>
  <c r="G35" i="8"/>
  <c r="C36" i="8" l="1"/>
  <c r="D36" i="8" l="1"/>
  <c r="F36" i="8" s="1"/>
  <c r="B37" i="8" s="1"/>
  <c r="G36" i="8"/>
  <c r="C37" i="8" l="1"/>
  <c r="D37" i="8" l="1"/>
  <c r="F37" i="8" s="1"/>
  <c r="B38" i="8" s="1"/>
  <c r="G37" i="8"/>
  <c r="C38" i="8" l="1"/>
  <c r="D38" i="8" s="1"/>
  <c r="F38" i="8" s="1"/>
  <c r="B39" i="8" s="1"/>
  <c r="C39" i="8" l="1"/>
  <c r="D39" i="8" s="1"/>
  <c r="F39" i="8" s="1"/>
  <c r="B40" i="8" s="1"/>
  <c r="G38" i="8"/>
  <c r="G39" i="8" l="1"/>
  <c r="C40" i="8"/>
  <c r="D40" i="8" s="1"/>
  <c r="F40" i="8" s="1"/>
  <c r="B41" i="8" s="1"/>
  <c r="G40" i="8" l="1"/>
  <c r="C41" i="8"/>
  <c r="D41" i="8" s="1"/>
  <c r="F41" i="8" s="1"/>
  <c r="B42" i="8" s="1"/>
  <c r="G41" i="8" l="1"/>
  <c r="F42" i="8"/>
  <c r="B43" i="8" s="1"/>
  <c r="C42" i="8"/>
  <c r="D42" i="8" s="1"/>
  <c r="G42" i="8"/>
  <c r="C43" i="8" l="1"/>
  <c r="D43" i="8" s="1"/>
  <c r="F43" i="8" s="1"/>
  <c r="B44" i="8" s="1"/>
  <c r="G43" i="8" l="1"/>
  <c r="F44" i="8"/>
  <c r="B45" i="8" s="1"/>
  <c r="C44" i="8"/>
  <c r="D44" i="8" s="1"/>
  <c r="G44" i="8"/>
  <c r="C45" i="8" l="1"/>
  <c r="G45" i="8" s="1"/>
  <c r="D45" i="8" l="1"/>
  <c r="F45" i="8" s="1"/>
  <c r="B46" i="8" s="1"/>
  <c r="C46" i="8" l="1"/>
  <c r="D46" i="8" l="1"/>
  <c r="F46" i="8" s="1"/>
  <c r="B47" i="8" s="1"/>
  <c r="G46" i="8"/>
  <c r="C47" i="8" l="1"/>
  <c r="D47" i="8" s="1"/>
  <c r="F47" i="8" s="1"/>
  <c r="B48" i="8" s="1"/>
  <c r="G47" i="8" l="1"/>
  <c r="C48" i="8"/>
  <c r="D48" i="8" s="1"/>
  <c r="F48" i="8" s="1"/>
  <c r="B49" i="8" s="1"/>
  <c r="G48" i="8" l="1"/>
  <c r="G49" i="8" s="1"/>
  <c r="C49" i="8"/>
  <c r="D49" i="8" s="1"/>
  <c r="F49" i="8" s="1"/>
  <c r="B50" i="8" s="1"/>
  <c r="C50" i="8" l="1"/>
  <c r="D50" i="8" s="1"/>
  <c r="F50" i="8" s="1"/>
  <c r="B51" i="8" s="1"/>
  <c r="G50" i="8" l="1"/>
  <c r="G51" i="8"/>
  <c r="C51" i="8"/>
  <c r="D51" i="8" s="1"/>
  <c r="F51" i="8"/>
  <c r="B52" i="8" s="1"/>
  <c r="C52" i="8" l="1"/>
  <c r="D52" i="8" s="1"/>
  <c r="F52" i="8" s="1"/>
  <c r="B53" i="8" s="1"/>
  <c r="G52" i="8" l="1"/>
  <c r="G53" i="8"/>
  <c r="C53" i="8"/>
  <c r="D53" i="8" s="1"/>
  <c r="F53" i="8"/>
  <c r="B54" i="8" s="1"/>
  <c r="C54" i="8" l="1"/>
  <c r="D54" i="8" s="1"/>
  <c r="F54" i="8" s="1"/>
  <c r="B55" i="8" s="1"/>
  <c r="G54" i="8" l="1"/>
  <c r="G55" i="8"/>
  <c r="C55" i="8"/>
  <c r="D55" i="8" s="1"/>
  <c r="F55" i="8"/>
  <c r="B56" i="8" s="1"/>
  <c r="C56" i="8" l="1"/>
  <c r="D56" i="8" s="1"/>
  <c r="F56" i="8" s="1"/>
  <c r="B57" i="8" s="1"/>
  <c r="G56" i="8" l="1"/>
  <c r="G57" i="8"/>
  <c r="C57" i="8"/>
  <c r="D57" i="8" s="1"/>
  <c r="F57" i="8"/>
  <c r="B58" i="8" s="1"/>
  <c r="C58" i="8" l="1"/>
  <c r="D58" i="8" s="1"/>
  <c r="F58" i="8" s="1"/>
  <c r="B59" i="8" s="1"/>
  <c r="G58" i="8" l="1"/>
  <c r="G59" i="8"/>
  <c r="C59" i="8"/>
  <c r="D59" i="8" s="1"/>
  <c r="F59" i="8"/>
  <c r="B60" i="8" s="1"/>
  <c r="C60" i="8" l="1"/>
  <c r="D60" i="8" s="1"/>
  <c r="F60" i="8" s="1"/>
  <c r="B61" i="8" s="1"/>
  <c r="G60" i="8" l="1"/>
  <c r="G61" i="8"/>
  <c r="C61" i="8"/>
  <c r="D61" i="8" s="1"/>
  <c r="F61" i="8"/>
  <c r="B62" i="8" s="1"/>
  <c r="C62" i="8" l="1"/>
  <c r="D62" i="8" s="1"/>
  <c r="F62" i="8" s="1"/>
  <c r="B63" i="8" s="1"/>
  <c r="G62" i="8" l="1"/>
  <c r="G63" i="8"/>
  <c r="C63" i="8"/>
  <c r="D63" i="8" s="1"/>
  <c r="F63" i="8"/>
  <c r="B64" i="8" s="1"/>
  <c r="C64" i="8" l="1"/>
  <c r="D64" i="8" s="1"/>
  <c r="F64" i="8" s="1"/>
  <c r="B65" i="8" s="1"/>
  <c r="G64" i="8" l="1"/>
  <c r="G65" i="8"/>
  <c r="C65" i="8"/>
  <c r="D65" i="8" s="1"/>
  <c r="F65" i="8"/>
  <c r="B66" i="8" s="1"/>
  <c r="C66" i="8" l="1"/>
  <c r="D66" i="8" s="1"/>
  <c r="F66" i="8" s="1"/>
  <c r="B67" i="8" s="1"/>
  <c r="G66" i="8" l="1"/>
  <c r="G67" i="8"/>
  <c r="C67" i="8"/>
  <c r="D67" i="8" s="1"/>
  <c r="F67" i="8"/>
  <c r="B68" i="8" s="1"/>
  <c r="C68" i="8" l="1"/>
  <c r="D68" i="8" s="1"/>
  <c r="F68" i="8" s="1"/>
  <c r="B69" i="8" s="1"/>
  <c r="G68" i="8" l="1"/>
  <c r="G69" i="8"/>
  <c r="C69" i="8"/>
  <c r="D69" i="8" s="1"/>
  <c r="F69" i="8"/>
  <c r="B70" i="8" s="1"/>
  <c r="C70" i="8" l="1"/>
  <c r="D70" i="8" s="1"/>
  <c r="F70" i="8" s="1"/>
  <c r="B71" i="8" s="1"/>
  <c r="G70" i="8" l="1"/>
  <c r="G71" i="8"/>
  <c r="C71" i="8"/>
  <c r="D71" i="8" s="1"/>
  <c r="F71" i="8"/>
  <c r="B72" i="8" s="1"/>
  <c r="C72" i="8" l="1"/>
  <c r="D72" i="8" s="1"/>
  <c r="F72" i="8" s="1"/>
  <c r="B73" i="8" s="1"/>
  <c r="G72" i="8" l="1"/>
  <c r="G73" i="8"/>
  <c r="C73" i="8"/>
  <c r="D73" i="8" s="1"/>
  <c r="F73" i="8"/>
  <c r="B74" i="8" s="1"/>
  <c r="C74" i="8" l="1"/>
  <c r="D74" i="8" s="1"/>
  <c r="F74" i="8" s="1"/>
  <c r="B75" i="8" s="1"/>
  <c r="G74" i="8" l="1"/>
  <c r="G75" i="8"/>
  <c r="C75" i="8"/>
  <c r="D75" i="8" s="1"/>
  <c r="F75" i="8"/>
  <c r="B76" i="8" s="1"/>
  <c r="C76" i="8" l="1"/>
  <c r="D76" i="8" s="1"/>
  <c r="F76" i="8" s="1"/>
  <c r="B77" i="8" s="1"/>
  <c r="G76" i="8" l="1"/>
  <c r="G77" i="8"/>
  <c r="C77" i="8"/>
  <c r="D77" i="8" s="1"/>
  <c r="F77" i="8"/>
  <c r="B78" i="8" s="1"/>
  <c r="C78" i="8" l="1"/>
  <c r="D78" i="8" s="1"/>
  <c r="F78" i="8" s="1"/>
  <c r="B79" i="8" s="1"/>
  <c r="G78" i="8" l="1"/>
  <c r="G79" i="8"/>
  <c r="C79" i="8"/>
  <c r="D79" i="8" s="1"/>
  <c r="F79" i="8"/>
  <c r="B80" i="8" s="1"/>
  <c r="C80" i="8" l="1"/>
  <c r="D80" i="8" s="1"/>
  <c r="F80" i="8" s="1"/>
  <c r="B81" i="8" s="1"/>
  <c r="G80" i="8" l="1"/>
  <c r="G81" i="8"/>
  <c r="C81" i="8"/>
  <c r="D81" i="8" s="1"/>
  <c r="F81" i="8"/>
  <c r="B82" i="8" s="1"/>
  <c r="C82" i="8" l="1"/>
  <c r="D82" i="8" s="1"/>
  <c r="F82" i="8" s="1"/>
  <c r="B83" i="8" s="1"/>
  <c r="G82" i="8" l="1"/>
  <c r="G83" i="8"/>
  <c r="C83" i="8"/>
  <c r="D83" i="8" s="1"/>
  <c r="F83" i="8"/>
  <c r="B84" i="8" s="1"/>
  <c r="C84" i="8" l="1"/>
  <c r="D84" i="8" s="1"/>
  <c r="F84" i="8" s="1"/>
  <c r="B85" i="8" s="1"/>
  <c r="G84" i="8" l="1"/>
  <c r="G85" i="8"/>
  <c r="C85" i="8"/>
  <c r="D85" i="8" s="1"/>
  <c r="F85" i="8"/>
  <c r="B86" i="8" s="1"/>
  <c r="C86" i="8" l="1"/>
  <c r="D86" i="8" s="1"/>
  <c r="F86" i="8" s="1"/>
  <c r="B87" i="8" s="1"/>
  <c r="G86" i="8" l="1"/>
  <c r="G87" i="8"/>
  <c r="C87" i="8"/>
  <c r="D87" i="8" s="1"/>
  <c r="F87" i="8"/>
  <c r="B88" i="8" s="1"/>
  <c r="C88" i="8" l="1"/>
  <c r="D88" i="8" s="1"/>
  <c r="F88" i="8" s="1"/>
  <c r="G88" i="8" l="1"/>
</calcChain>
</file>

<file path=xl/comments1.xml><?xml version="1.0" encoding="utf-8"?>
<comments xmlns="http://schemas.openxmlformats.org/spreadsheetml/2006/main">
  <authors>
    <author>Romain Pintadu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2ème click qui génère le numero de devis</t>
        </r>
      </text>
    </comment>
    <comment ref="G23" authorId="0" shapeId="0">
      <text>
        <r>
          <rPr>
            <b/>
            <sz val="9"/>
            <color indexed="81"/>
            <rFont val="Tahoma"/>
            <family val="2"/>
          </rPr>
          <t>3ème click qui récupère les infos du formulaire</t>
        </r>
      </text>
    </comment>
  </commentList>
</comments>
</file>

<file path=xl/comments2.xml><?xml version="1.0" encoding="utf-8"?>
<comments xmlns="http://schemas.openxmlformats.org/spreadsheetml/2006/main">
  <authors>
    <author>Romain Pintadu</author>
  </authors>
  <commentList>
    <comment ref="I16" authorId="0" shapeId="0">
      <text>
        <r>
          <rPr>
            <b/>
            <sz val="9"/>
            <color indexed="81"/>
            <rFont val="Tahoma"/>
            <family val="2"/>
          </rPr>
          <t>5 eme click pour récuperer l'accompte</t>
        </r>
      </text>
    </comment>
  </commentList>
</comments>
</file>

<file path=xl/comments3.xml><?xml version="1.0" encoding="utf-8"?>
<comments xmlns="http://schemas.openxmlformats.org/spreadsheetml/2006/main">
  <authors>
    <author>Romain Pintadu</author>
  </authors>
  <commentList>
    <comment ref="H6" authorId="0" shapeId="0">
      <text>
        <r>
          <rPr>
            <b/>
            <sz val="9"/>
            <color indexed="81"/>
            <rFont val="Tahoma"/>
            <family val="2"/>
          </rPr>
          <t>Les achats comprennent:</t>
        </r>
        <r>
          <rPr>
            <sz val="9"/>
            <color indexed="81"/>
            <rFont val="Tahoma"/>
            <family val="2"/>
          </rPr>
          <t xml:space="preserve">
Sous traitance+Fournisseurs mat 1ères+Autres achats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 xml:space="preserve">Les Salaires Comprennent:
</t>
        </r>
        <r>
          <rPr>
            <sz val="9"/>
            <color indexed="81"/>
            <rFont val="Tahoma"/>
            <family val="2"/>
          </rPr>
          <t>Salaires</t>
        </r>
      </text>
    </comment>
    <comment ref="J6" authorId="0" shapeId="0">
      <text>
        <r>
          <rPr>
            <b/>
            <sz val="9"/>
            <color indexed="81"/>
            <rFont val="Tahoma"/>
            <family val="2"/>
          </rPr>
          <t xml:space="preserve">Charges variables:
Tva27+Pro btp22+Médecine du travail19+vehicules11+caisse congés payés10+Assurances8+Agbtp7+pub23
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</rPr>
          <t>Charges fixes:
Mutuelle20+photocopieur21+Expert comptable14+Générali santé16 et retraite17+locaux18+Rsi24+Urssaf28+vehicule crédit12</t>
        </r>
      </text>
    </comment>
  </commentList>
</comments>
</file>

<file path=xl/sharedStrings.xml><?xml version="1.0" encoding="utf-8"?>
<sst xmlns="http://schemas.openxmlformats.org/spreadsheetml/2006/main" count="566" uniqueCount="421">
  <si>
    <t>Impôts et taxes</t>
  </si>
  <si>
    <t>TOTAL</t>
  </si>
  <si>
    <t>Charges financières</t>
  </si>
  <si>
    <t>Taux d'intérêt</t>
  </si>
  <si>
    <t>Nombre d'années</t>
  </si>
  <si>
    <t>Total</t>
  </si>
  <si>
    <t>URSSAF</t>
  </si>
  <si>
    <t>Montant de l'emprunt</t>
  </si>
  <si>
    <t>Nombre de périodes par an</t>
  </si>
  <si>
    <t>Taux périodique</t>
  </si>
  <si>
    <t>Nombre total de période</t>
  </si>
  <si>
    <t>Période</t>
  </si>
  <si>
    <t>Montant du prêt</t>
  </si>
  <si>
    <t>Intérêts</t>
  </si>
  <si>
    <t>Principal</t>
  </si>
  <si>
    <t>Mensualité</t>
  </si>
  <si>
    <t>Capital restant dû</t>
  </si>
  <si>
    <t>Intérêts cumulés</t>
  </si>
  <si>
    <t>Autres achats et charges externes</t>
  </si>
  <si>
    <t>Mensualités cumuléées</t>
  </si>
  <si>
    <t>Autres achats</t>
  </si>
  <si>
    <t>Salaires</t>
  </si>
  <si>
    <t>TTC</t>
  </si>
  <si>
    <t>Autres</t>
  </si>
  <si>
    <t>RSI</t>
  </si>
  <si>
    <t>Loyer</t>
  </si>
  <si>
    <t>Chiffre d'affaires</t>
  </si>
  <si>
    <t>Excédent brut d'exploitation (EBE)</t>
  </si>
  <si>
    <t>Résultat net</t>
  </si>
  <si>
    <t>Sous traitance</t>
  </si>
  <si>
    <t>Photocopieur</t>
  </si>
  <si>
    <t>Expert comptable</t>
  </si>
  <si>
    <t>Mutuelle</t>
  </si>
  <si>
    <t>Acompte</t>
  </si>
  <si>
    <t>mairie boen</t>
  </si>
  <si>
    <t>Fournisseurs Mat 1ères</t>
  </si>
  <si>
    <t>2017</t>
  </si>
  <si>
    <t>Échéances Plan de Sauvegarde</t>
  </si>
  <si>
    <t>Échéances/mois</t>
  </si>
  <si>
    <t>2015</t>
  </si>
  <si>
    <t>Evolution du CA</t>
  </si>
  <si>
    <t>Evolution</t>
  </si>
  <si>
    <t>Reste à rembourser en novembre 2015</t>
  </si>
  <si>
    <t>AGBTP</t>
  </si>
  <si>
    <t>Médecine du travail</t>
  </si>
  <si>
    <t>Pro BTP</t>
  </si>
  <si>
    <t>Caisse congés payés</t>
  </si>
  <si>
    <t>TVA</t>
  </si>
  <si>
    <t>Generali Retraite</t>
  </si>
  <si>
    <t>Generali Prévoyance Santé</t>
  </si>
  <si>
    <t>recette</t>
  </si>
  <si>
    <t>CUMUL</t>
  </si>
  <si>
    <t>total depense</t>
  </si>
  <si>
    <t>resultat cumule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</si>
  <si>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</si>
  <si>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</si>
  <si>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</si>
  <si>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</si>
  <si>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</si>
  <si>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</si>
  <si>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</si>
  <si>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</si>
  <si>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</si>
  <si>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</si>
  <si>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</si>
  <si>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 xml:space="preserve">mars </t>
  </si>
  <si>
    <t>moyenne</t>
  </si>
  <si>
    <t>mars</t>
  </si>
  <si>
    <t>Dépenses</t>
  </si>
  <si>
    <t>Recettes</t>
  </si>
  <si>
    <t>Solde en €</t>
  </si>
  <si>
    <t xml:space="preserve">à sortir </t>
  </si>
  <si>
    <t>à rentrer</t>
  </si>
  <si>
    <t>la poste (timbres)</t>
  </si>
  <si>
    <t>mairie leigneux</t>
  </si>
  <si>
    <t>codep</t>
  </si>
  <si>
    <t>sagra</t>
  </si>
  <si>
    <t>total</t>
  </si>
  <si>
    <t>vilvert matériaux</t>
  </si>
  <si>
    <t>reca</t>
  </si>
  <si>
    <t>metalis</t>
  </si>
  <si>
    <t>tereva</t>
  </si>
  <si>
    <t>brossette</t>
  </si>
  <si>
    <t>orange (tél)</t>
  </si>
  <si>
    <t>aex &amp; co</t>
  </si>
  <si>
    <t>william</t>
  </si>
  <si>
    <t>HEI</t>
  </si>
  <si>
    <t>bureau vallee</t>
  </si>
  <si>
    <t>sograma</t>
  </si>
  <si>
    <t>frisquet</t>
  </si>
  <si>
    <t>pum</t>
  </si>
  <si>
    <t>bg energie</t>
  </si>
  <si>
    <t>robiplaine</t>
  </si>
  <si>
    <t>laiterie du forez</t>
  </si>
  <si>
    <t>serv'elite</t>
  </si>
  <si>
    <t>vilvert menuiserie</t>
  </si>
  <si>
    <t>de dietrich</t>
  </si>
  <si>
    <t>bouygues télécom</t>
  </si>
  <si>
    <t>assainissement</t>
  </si>
  <si>
    <t>cabinet marcel humbert</t>
  </si>
  <si>
    <t>AXA decenale et multirisque</t>
  </si>
  <si>
    <t>airopta</t>
  </si>
  <si>
    <t>Compte TONIC</t>
  </si>
  <si>
    <t>buro +</t>
  </si>
  <si>
    <t>axalta</t>
  </si>
  <si>
    <t xml:space="preserve">orange (fax) </t>
  </si>
  <si>
    <t>cja</t>
  </si>
  <si>
    <t>vinci autoroutes</t>
  </si>
  <si>
    <t>LCR</t>
  </si>
  <si>
    <t>berner</t>
  </si>
  <si>
    <t xml:space="preserve">AXA CONNECT 4091277304 </t>
  </si>
  <si>
    <t>AXA BOXER 4503258504</t>
  </si>
  <si>
    <t>AXA BIPPER 4104833104</t>
  </si>
  <si>
    <t>AXA TRANSIT Grand 4382884104</t>
  </si>
  <si>
    <t>urssaf</t>
  </si>
  <si>
    <t>couleur forez mag</t>
  </si>
  <si>
    <t>WEISHAUPT</t>
  </si>
  <si>
    <t>selpa</t>
  </si>
  <si>
    <t>vilvert carrelage</t>
  </si>
  <si>
    <t>CICE</t>
  </si>
  <si>
    <t>mairie st bonnet le courreau</t>
  </si>
  <si>
    <t>AXA LEXUS</t>
  </si>
  <si>
    <t>free</t>
  </si>
  <si>
    <t>eau</t>
  </si>
  <si>
    <t>rexel</t>
  </si>
  <si>
    <t>LE PRIX DE REVIENT</t>
  </si>
  <si>
    <t>CALCULS DES COUTS DIRECTS ET INDIRECTS : Renseignez les cases roses</t>
  </si>
  <si>
    <t>L I B E L L E S</t>
  </si>
  <si>
    <t>PREVISION (N+1)</t>
  </si>
  <si>
    <t>L E S    C O U T S    D I R E C T S</t>
  </si>
  <si>
    <t>LE DEBOURSE DE FOURNITURE</t>
  </si>
  <si>
    <t>COUT D'ACHAT DES MATIERES PREMIERES ET FOURNITURES CONSOMMEES</t>
  </si>
  <si>
    <t>+</t>
  </si>
  <si>
    <t>Achats de matières premières et fournitures</t>
  </si>
  <si>
    <t xml:space="preserve"> variation des stocks</t>
  </si>
  <si>
    <t>SOUS TRAITANCE DIRECTE</t>
  </si>
  <si>
    <t xml:space="preserve">FRAIS ANNEXES </t>
  </si>
  <si>
    <t>LE DEBOURSE DE MAIN D'ŒUVRE PRODUCTIVE</t>
  </si>
  <si>
    <t>LE COUT DU CHEF D'ENTREPRISE</t>
  </si>
  <si>
    <t>Rémunération du dirigeant</t>
  </si>
  <si>
    <t>Charges sociales du dirigeant</t>
  </si>
  <si>
    <t>LA REPARTITION DU TEMPS DU CHEF D'ENTREPRISE</t>
  </si>
  <si>
    <t>%</t>
  </si>
  <si>
    <t>Nombre</t>
  </si>
  <si>
    <t>Productif</t>
  </si>
  <si>
    <t>Gestionnaire</t>
  </si>
  <si>
    <t>LES SALARIES PRODUCTIFS</t>
  </si>
  <si>
    <t>Rémunération brute des salariés productifs (hors gérant salarié)</t>
  </si>
  <si>
    <t>Charges sociales des salariés productifs (dont congés payés)</t>
  </si>
  <si>
    <t>DEBOURSE DE MAIN D'ŒUVRE (Salariés productifs)</t>
  </si>
  <si>
    <t>SYNTHESE DU DEBOURSE DE MAIN D'ŒUVRE PRODUCTIVE</t>
  </si>
  <si>
    <t>TOTAL DU DEBOURSE ANNUEL DE MAIN D'ŒUVRE PRODUCTIVE</t>
  </si>
  <si>
    <t>LES HEURES PRODUCTIVES ANNUELLES</t>
  </si>
  <si>
    <t>Nbr</t>
  </si>
  <si>
    <t>LES HEURES PRODUCTIVES DES SALARIES</t>
  </si>
  <si>
    <t>Durée totale moyenne de travail hebdomadaire</t>
  </si>
  <si>
    <t>Durée annuelle (Durée hebdo * Nombre semaines)</t>
  </si>
  <si>
    <t>Après application d'un coeff d'abattement pour temps perdu et aléa (ex: 90 %)</t>
  </si>
  <si>
    <t>Multiplié par le nombre de salariés</t>
  </si>
  <si>
    <t>TOTAL HEURES PRODUCTIVES DES SALARIES</t>
  </si>
  <si>
    <t>LES HEURES PRODUCTIVES DU CHEF D'ENTREPRISE</t>
  </si>
  <si>
    <t>Temps de travail productif hebdomadaire</t>
  </si>
  <si>
    <t>Nombre annuel de semaines</t>
  </si>
  <si>
    <t>TOTAL HEURES PRODUCTIVES DU CHEF D'ENTREPRISE</t>
  </si>
  <si>
    <t>LE COUT DE L'HEURE DE L'ENTREPRISE</t>
  </si>
  <si>
    <t>Heures productives des salariés</t>
  </si>
  <si>
    <t>Heures productives du chef d'entreprise</t>
  </si>
  <si>
    <t>TOTAL DES HEURES PRODUCTIVES</t>
  </si>
  <si>
    <t>DEBOURSE ANNUEL DE MAIN D'ŒUVRE</t>
  </si>
  <si>
    <t>COUT DE L'HEURE (COUT HORAIRE) = (II) / (I)</t>
  </si>
  <si>
    <t>LES COUTS INDIRECTS</t>
  </si>
  <si>
    <t>LES FRAIS GENERAUX OU FRAIS D'EXPLOITATION</t>
  </si>
  <si>
    <t>A)</t>
  </si>
  <si>
    <t>B)</t>
  </si>
  <si>
    <t>C)</t>
  </si>
  <si>
    <t>Coût des heures de gestion du chef d'entreprise</t>
  </si>
  <si>
    <t>D)</t>
  </si>
  <si>
    <t>Coût salarial du secrétariat (Salaire + Charges sociales)</t>
  </si>
  <si>
    <t>E)</t>
  </si>
  <si>
    <t>F)</t>
  </si>
  <si>
    <t>Dotations aux amortissements</t>
  </si>
  <si>
    <t>G)</t>
  </si>
  <si>
    <t>PRIX DE REVIENT HORAIRE</t>
  </si>
  <si>
    <t>Méthode des Frais généraux sur l'ensemble des déboursé</t>
  </si>
  <si>
    <t>Méthode des Frais généraux sur Main d'œuvre seule</t>
  </si>
  <si>
    <t>Méthode de la marge contributive</t>
  </si>
  <si>
    <t>Coefficient sur Achat Matières 1ères</t>
  </si>
  <si>
    <t>Coefficient sur Sous traitance</t>
  </si>
  <si>
    <t>Sauvegarde</t>
  </si>
  <si>
    <t>Salaire</t>
  </si>
  <si>
    <t>Classification</t>
  </si>
  <si>
    <t>Ecart/obj</t>
  </si>
  <si>
    <t>M1</t>
  </si>
  <si>
    <t>M2</t>
  </si>
  <si>
    <t>coefficient sur M/O</t>
  </si>
  <si>
    <t>HYPOTHÈSES</t>
  </si>
  <si>
    <t>EBP</t>
  </si>
  <si>
    <t>mairie cuzieu</t>
  </si>
  <si>
    <t>ouest isol &amp; ventil</t>
  </si>
  <si>
    <t>garage Robert</t>
  </si>
  <si>
    <t>Engie (Gaz)</t>
  </si>
  <si>
    <t>Engie (Elec)</t>
  </si>
  <si>
    <t>thinet roger construction</t>
  </si>
  <si>
    <t>rue du commerce</t>
  </si>
  <si>
    <t>renfouement  CCP</t>
  </si>
  <si>
    <t>Yves Gayraud (électricien)</t>
  </si>
  <si>
    <t>penalites</t>
  </si>
  <si>
    <t>kpa energie</t>
  </si>
  <si>
    <t>ab ramonage</t>
  </si>
  <si>
    <t>moitie</t>
  </si>
  <si>
    <t>baroux</t>
  </si>
  <si>
    <t>richard RG</t>
  </si>
  <si>
    <t>engie</t>
  </si>
  <si>
    <t>la poste (envoi colis)</t>
  </si>
  <si>
    <t>Compte LA BANQUE POSTALE</t>
  </si>
  <si>
    <t>mairie de boen</t>
  </si>
  <si>
    <t>taxe d'apprentissage</t>
  </si>
  <si>
    <t>renouvellement PG</t>
  </si>
  <si>
    <t>remises de chèques</t>
  </si>
  <si>
    <t>descours &amp; Cabaud</t>
  </si>
  <si>
    <t>huissier de justice</t>
  </si>
  <si>
    <t>engie (cotisation annuelle)</t>
  </si>
  <si>
    <t xml:space="preserve">erreur </t>
  </si>
  <si>
    <t>C.I.P 2016</t>
  </si>
  <si>
    <t xml:space="preserve">mestre </t>
  </si>
  <si>
    <t>relicat</t>
  </si>
  <si>
    <t>cotisation qualibat</t>
  </si>
  <si>
    <t>sauvegarde</t>
  </si>
  <si>
    <t>RESULTAT PROBABLE</t>
  </si>
  <si>
    <t xml:space="preserve">OBJECTIF </t>
  </si>
  <si>
    <t>photocopieurs</t>
  </si>
  <si>
    <t>taxe proffesionnelle</t>
  </si>
  <si>
    <t>loire-forez (décheterie)</t>
  </si>
  <si>
    <t>sra savac</t>
  </si>
  <si>
    <t>Bayet Benoit (archi)</t>
  </si>
  <si>
    <t>loc diffusion</t>
  </si>
  <si>
    <t>opposition</t>
  </si>
  <si>
    <t>RG ecole st bonnet le courreau</t>
  </si>
  <si>
    <t>GFI</t>
  </si>
  <si>
    <t>anne marie peurriere</t>
  </si>
  <si>
    <t>mairie genilac</t>
  </si>
  <si>
    <t>remboursement capital equipement</t>
  </si>
  <si>
    <t>college antoine guichard veauche</t>
  </si>
  <si>
    <t>qualibat (renouvellement)</t>
  </si>
  <si>
    <t>frais bancaire</t>
  </si>
  <si>
    <t>année 2015-2016</t>
  </si>
  <si>
    <t>PREVISION (2016-2017)</t>
  </si>
  <si>
    <t>PREVISION avril/juillet 2016</t>
  </si>
  <si>
    <t>remboursement partiel 1500</t>
  </si>
  <si>
    <t>SAS 2M</t>
  </si>
  <si>
    <t>mario meunier</t>
  </si>
  <si>
    <t>leonard de vinci</t>
  </si>
  <si>
    <t>solde</t>
  </si>
  <si>
    <t>opca de la construction constructys</t>
  </si>
  <si>
    <t>formation DD William</t>
  </si>
  <si>
    <t>mariani imprimeurs</t>
  </si>
  <si>
    <t>chambon Maisse</t>
  </si>
  <si>
    <t>synergie berthelot</t>
  </si>
  <si>
    <t>WOLF</t>
  </si>
  <si>
    <t>rives de giers</t>
  </si>
  <si>
    <t>com com boen</t>
  </si>
  <si>
    <t>SARETEC</t>
  </si>
  <si>
    <t>virement CCP pro</t>
  </si>
  <si>
    <t>fauchie solfea</t>
  </si>
  <si>
    <t>carreleur schizziarotto</t>
  </si>
  <si>
    <t>RYZ Solfea</t>
  </si>
  <si>
    <t>TVA remboursement</t>
  </si>
  <si>
    <t>Navaro Solfea</t>
  </si>
  <si>
    <t>fransbonhomme</t>
  </si>
  <si>
    <t>hestia</t>
  </si>
  <si>
    <t xml:space="preserve">caution </t>
  </si>
  <si>
    <t>De Dietrich voyage</t>
  </si>
  <si>
    <t>RG</t>
  </si>
  <si>
    <t>comper CCP</t>
  </si>
  <si>
    <t>Solde en banque crédit Mutuel</t>
  </si>
  <si>
    <t>Solde à encaisser Facturé</t>
  </si>
  <si>
    <t>Facturé HT</t>
  </si>
  <si>
    <t>Taux TVA</t>
  </si>
  <si>
    <t>Date</t>
  </si>
  <si>
    <t>Total TTC</t>
  </si>
  <si>
    <t>Marché initial HT</t>
  </si>
  <si>
    <t>Date de création</t>
  </si>
  <si>
    <t>En Attente</t>
  </si>
  <si>
    <t>Perdu</t>
  </si>
  <si>
    <t>Commande</t>
  </si>
  <si>
    <t>Chauffage</t>
  </si>
  <si>
    <t>Plomberie</t>
  </si>
  <si>
    <t>Salle de bain</t>
  </si>
  <si>
    <t>Ziguerie</t>
  </si>
  <si>
    <t>Vmc</t>
  </si>
  <si>
    <t>Rénovation</t>
  </si>
  <si>
    <t>Créateur</t>
  </si>
  <si>
    <t>Antoine</t>
  </si>
  <si>
    <t>Laurent</t>
  </si>
  <si>
    <t>Romain</t>
  </si>
  <si>
    <t>Chantier</t>
  </si>
  <si>
    <t>Terminé</t>
  </si>
  <si>
    <t>Tva</t>
  </si>
  <si>
    <t>Date de facturation</t>
  </si>
  <si>
    <t>Chèque n°</t>
  </si>
  <si>
    <t xml:space="preserve">Virement </t>
  </si>
  <si>
    <t>Tip</t>
  </si>
  <si>
    <t>Prelev</t>
  </si>
  <si>
    <t>Lcr</t>
  </si>
  <si>
    <t>N° D'ordre</t>
  </si>
  <si>
    <t xml:space="preserve">Els Chambon-Maisse </t>
  </si>
  <si>
    <t>Sous catégorie</t>
  </si>
  <si>
    <t>Ordre</t>
  </si>
  <si>
    <t xml:space="preserve">Assurance </t>
  </si>
  <si>
    <t>la poste (mailing)</t>
  </si>
  <si>
    <t>qualigaz (renouvellement)</t>
  </si>
  <si>
    <t>qualit'EnR (renouvellement)</t>
  </si>
  <si>
    <t>Retraite</t>
  </si>
  <si>
    <t xml:space="preserve">prévoyance sante </t>
  </si>
  <si>
    <t>Generali</t>
  </si>
  <si>
    <t>1er trim 2017</t>
  </si>
  <si>
    <t>3ème trim 2017</t>
  </si>
  <si>
    <t>4ème trim 2017</t>
  </si>
  <si>
    <t>2ème trim 2017</t>
  </si>
  <si>
    <t>Agbtp</t>
  </si>
  <si>
    <t xml:space="preserve">toshiba consommables </t>
  </si>
  <si>
    <t>toshiba location imprimantes</t>
  </si>
  <si>
    <t>Pro btp</t>
  </si>
  <si>
    <t>Apicil</t>
  </si>
  <si>
    <t>decompte reste</t>
  </si>
  <si>
    <t>Rsi</t>
  </si>
  <si>
    <t>temporis</t>
  </si>
  <si>
    <t>Leandre</t>
  </si>
  <si>
    <t>Pascale</t>
  </si>
  <si>
    <t xml:space="preserve">Romain </t>
  </si>
  <si>
    <t>Savino</t>
  </si>
  <si>
    <t>Remboursement</t>
  </si>
  <si>
    <t>Erreur</t>
  </si>
  <si>
    <t>Note</t>
  </si>
  <si>
    <t>Solde sur Compte Réel</t>
  </si>
  <si>
    <t>Autres_achats_et_charges_externes</t>
  </si>
  <si>
    <t>Caisse_congés_payés</t>
  </si>
  <si>
    <t>Expert_comptable</t>
  </si>
  <si>
    <t>Fournisseurs_Mat_1ères</t>
  </si>
  <si>
    <t>Médecine_du_travail</t>
  </si>
  <si>
    <t>Pro_BTP</t>
  </si>
  <si>
    <t>Sous_traitance</t>
  </si>
  <si>
    <t>Locaux</t>
  </si>
  <si>
    <t>Vehicule</t>
  </si>
  <si>
    <t>Locaux (eau, gaz, elect, tel fixe)</t>
  </si>
  <si>
    <t>Pub</t>
  </si>
  <si>
    <t>REELLES</t>
  </si>
  <si>
    <t>Assurance</t>
  </si>
  <si>
    <t>Crédit_LEXUS</t>
  </si>
  <si>
    <t>Crédit peugeot_BIPPER/BOXER</t>
  </si>
  <si>
    <t>Véhicules</t>
  </si>
  <si>
    <t xml:space="preserve">Salaire 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</si>
  <si>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</si>
  <si>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</si>
  <si>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</si>
  <si>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</si>
  <si>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</si>
  <si>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</si>
  <si>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</si>
  <si>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</si>
  <si>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</si>
  <si>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</si>
  <si>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</si>
  <si>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DESCEMBRE</t>
  </si>
  <si>
    <t>Ecart objectif 2017</t>
  </si>
  <si>
    <t>achats</t>
  </si>
  <si>
    <t>Résultat Probable</t>
  </si>
  <si>
    <t>Cumul depuis janvier 2017</t>
  </si>
  <si>
    <t>Charges Variables</t>
  </si>
  <si>
    <t>Charges FIXE</t>
  </si>
  <si>
    <t>Véhicules crédit</t>
  </si>
  <si>
    <t>Véhicule_crédit</t>
  </si>
  <si>
    <t>Total devis gagnés</t>
  </si>
  <si>
    <t>Total devis perdus</t>
  </si>
  <si>
    <t>Total devis en attente</t>
  </si>
  <si>
    <t>Total devis établis</t>
  </si>
  <si>
    <t>CA potentiel d'après devis</t>
  </si>
  <si>
    <t>CA réel</t>
  </si>
  <si>
    <t>Date de visite</t>
  </si>
  <si>
    <t>Désignation</t>
  </si>
  <si>
    <t>Nb d'heures estimées</t>
  </si>
  <si>
    <t>Taux de TVA</t>
  </si>
  <si>
    <t>Ville</t>
  </si>
  <si>
    <t>Canal</t>
  </si>
  <si>
    <t>Échéance</t>
  </si>
  <si>
    <t>Statut</t>
  </si>
  <si>
    <t>DECEMBRE</t>
  </si>
  <si>
    <t>Gagné</t>
  </si>
  <si>
    <t>C A R N E T  D E  C O M M A N D E</t>
  </si>
  <si>
    <t xml:space="preserve">                                                                                                  </t>
  </si>
  <si>
    <t>Facturier</t>
  </si>
  <si>
    <t>Mois</t>
  </si>
  <si>
    <t>Devis</t>
  </si>
  <si>
    <t>Préparation</t>
  </si>
  <si>
    <t>Estimation nbre. heures</t>
  </si>
  <si>
    <t>Statut chantier</t>
  </si>
  <si>
    <t>Statut facture</t>
  </si>
  <si>
    <t>Commande partielle</t>
  </si>
  <si>
    <t>A commander</t>
  </si>
  <si>
    <t>Désignation_devis</t>
  </si>
  <si>
    <t>En Cours/Terminé</t>
  </si>
  <si>
    <t>Réglé</t>
  </si>
  <si>
    <t>Dates</t>
  </si>
  <si>
    <t>En Cours</t>
  </si>
  <si>
    <t>WC</t>
  </si>
  <si>
    <t>Commande complète</t>
  </si>
  <si>
    <t>Pièce détachée</t>
  </si>
  <si>
    <t>Restant à Facturer HT</t>
  </si>
  <si>
    <t>Nombres d'heures  en commandes sans les chantiers en cours</t>
  </si>
  <si>
    <t>Heures</t>
  </si>
  <si>
    <t>CA Probable</t>
  </si>
  <si>
    <t>CA Réel</t>
  </si>
  <si>
    <t>Solde prévisionnel restant à Facturé</t>
  </si>
  <si>
    <t>Bricole</t>
  </si>
  <si>
    <t>Échéances Fournisseurs</t>
  </si>
  <si>
    <t>Prévisionnel</t>
  </si>
  <si>
    <t>Réel</t>
  </si>
  <si>
    <t>Date d'échéance</t>
  </si>
  <si>
    <t>16D/12-37</t>
  </si>
  <si>
    <t>16F/12-20</t>
  </si>
  <si>
    <t>18/12/16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</si>
</sst>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_-* #,##0\ &quot;€&quot;_-;\-* #,##0\ &quot;€&quot;_-;_-* &quot;-&quot;??\ &quot;€&quot;_-;_-@_-"/>
    <numFmt numFmtId="166" formatCode="0.0%"/>
    <numFmt numFmtId="167" formatCode="_-* #,##0.00\ _F_-;\-* #,##0.00\ _F_-;_-* &quot;-&quot;??\ _F_-;_-@_-"/>
    <numFmt numFmtId="168" formatCode="_-* #,##0\ _F_-;\-* #,##0\ _F_-;_-* &quot;-&quot;??\ _F_-;_-@_-"/>
    <numFmt numFmtId="169" formatCode="_-* #,##0.00\ [$€-1]_-;\-* #,##0.00\ [$€-1]_-;_-* &quot;-&quot;??\ [$€-1]_-"/>
    <numFmt numFmtId="170" formatCode="_-* #,##0.00\ &quot;F&quot;_-;\-* #,##0.00\ &quot;F&quot;_-;_-* &quot;-&quot;??\ &quot;F&quot;_-;_-@_-"/>
    <numFmt numFmtId="171" formatCode="0.000"/>
    <numFmt numFmtId="172" formatCode="_-* #,##0\ _€_-;\-* #,##0\ _€_-;_-* &quot;-&quot;??\ _€_-;_-@_-"/>
    <numFmt numFmtId="173" formatCode="#,##0.00\ &quot;€&quot;"/>
    <numFmt numFmtId="174" formatCode="dd/mm/yyyy;@"/>
    <numFmt numFmtId="175" formatCode="dd/mm/yy;@"/>
  </numFmts>
  <fonts count="5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Lato Regular"/>
    </font>
    <font>
      <b/>
      <sz val="9"/>
      <name val="Lato Regular"/>
    </font>
    <font>
      <sz val="9"/>
      <name val="Lato Regular"/>
    </font>
    <font>
      <b/>
      <sz val="9"/>
      <color theme="1"/>
      <name val="Lato Regular"/>
    </font>
    <font>
      <b/>
      <sz val="9"/>
      <color theme="0"/>
      <name val="Lato Regular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Lato Regular"/>
    </font>
    <font>
      <sz val="10"/>
      <name val="Arial Narrow"/>
      <family val="2"/>
    </font>
    <font>
      <b/>
      <sz val="10"/>
      <name val="Arial Narrow"/>
      <family val="2"/>
    </font>
    <font>
      <b/>
      <sz val="12"/>
      <name val="Arial"/>
      <family val="2"/>
    </font>
    <font>
      <b/>
      <sz val="11"/>
      <color theme="1"/>
      <name val="Lato Regular"/>
    </font>
    <font>
      <i/>
      <sz val="11"/>
      <color theme="1"/>
      <name val="Lato Regular"/>
    </font>
    <font>
      <b/>
      <i/>
      <sz val="11"/>
      <color theme="1"/>
      <name val="Lato Regular"/>
    </font>
    <font>
      <b/>
      <i/>
      <sz val="11"/>
      <color theme="9"/>
      <name val="Lato Regular"/>
    </font>
    <font>
      <i/>
      <sz val="11"/>
      <color theme="9"/>
      <name val="Calibri"/>
      <family val="2"/>
      <scheme val="minor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sz val="7"/>
      <name val="Arial"/>
      <family val="2"/>
    </font>
    <font>
      <sz val="7.5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u val="singleAccounting"/>
      <sz val="9"/>
      <name val="Arial Narrow"/>
      <family val="2"/>
    </font>
    <font>
      <b/>
      <sz val="9"/>
      <color rgb="FFFF0000"/>
      <name val="Arial Narrow"/>
      <family val="2"/>
    </font>
    <font>
      <b/>
      <sz val="1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0"/>
      <color theme="0"/>
      <name val="Arial Narrow"/>
      <family val="2"/>
    </font>
    <font>
      <b/>
      <sz val="11"/>
      <name val="Lato Regular"/>
    </font>
    <font>
      <sz val="14"/>
      <color theme="1"/>
      <name val="Calibri"/>
      <family val="2"/>
      <scheme val="minor"/>
    </font>
    <font>
      <b/>
      <sz val="10"/>
      <color rgb="FFC00000"/>
      <name val="Arial Narrow"/>
      <family val="2"/>
    </font>
    <font>
      <b/>
      <sz val="9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Arial"/>
      <family val="2"/>
    </font>
    <font>
      <b/>
      <sz val="10"/>
      <color theme="1"/>
      <name val="Arial Narrow"/>
      <family val="2"/>
    </font>
    <font>
      <b/>
      <sz val="10"/>
      <color theme="0"/>
      <name val="Arial"/>
      <family val="2"/>
    </font>
    <font>
      <b/>
      <sz val="28"/>
      <name val="Felix Titling"/>
      <family val="5"/>
    </font>
    <font>
      <b/>
      <sz val="22"/>
      <name val="Aharoni"/>
      <charset val="177"/>
    </font>
    <font>
      <b/>
      <sz val="9"/>
      <color theme="1"/>
      <name val="Arial"/>
      <family val="2"/>
    </font>
    <font>
      <sz val="10"/>
      <color theme="1"/>
      <name val="Arial Narrow"/>
      <family val="2"/>
    </font>
    <font>
      <b/>
      <u/>
      <sz val="12"/>
      <name val="Arial"/>
      <family val="2"/>
    </font>
    <font>
      <sz val="12"/>
      <color rgb="FFFF0000"/>
      <name val="Arial Narrow"/>
      <family val="2"/>
    </font>
    <font>
      <sz val="12"/>
      <name val="Arial Narrow"/>
      <family val="2"/>
    </font>
    <font>
      <sz val="12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CBA5A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465A5"/>
        <bgColor indexed="64"/>
      </patternFill>
    </fill>
    <fill>
      <patternFill patternType="solid">
        <fgColor rgb="FFE4DFEC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55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auto="1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/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indexed="55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8465A5"/>
      </left>
      <right style="thin">
        <color rgb="FF8465A5"/>
      </right>
      <top style="thin">
        <color rgb="FF8465A5"/>
      </top>
      <bottom style="thin">
        <color rgb="FF8465A5"/>
      </bottom>
      <diagonal/>
    </border>
    <border>
      <left style="thin">
        <color rgb="FF9CBA5A"/>
      </left>
      <right style="thin">
        <color rgb="FF9CBA5A"/>
      </right>
      <top style="thin">
        <color rgb="FF9CBA5A"/>
      </top>
      <bottom style="thin">
        <color rgb="FF9CBA5A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6" tint="-0.249977111117893"/>
      </right>
      <top style="medium">
        <color indexed="64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medium">
        <color indexed="64"/>
      </top>
      <bottom/>
      <diagonal/>
    </border>
    <border>
      <left style="thin">
        <color theme="6" tint="-0.24997711111789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theme="6" tint="-0.249977111117893"/>
      </top>
      <bottom style="medium">
        <color indexed="64"/>
      </bottom>
      <diagonal/>
    </border>
    <border>
      <left/>
      <right/>
      <top style="medium">
        <color theme="6" tint="-0.249977111117893"/>
      </top>
      <bottom style="medium">
        <color indexed="64"/>
      </bottom>
      <diagonal/>
    </border>
    <border>
      <left/>
      <right style="medium">
        <color indexed="64"/>
      </right>
      <top style="medium">
        <color theme="6" tint="-0.249977111117893"/>
      </top>
      <bottom style="medium">
        <color indexed="64"/>
      </bottom>
      <diagonal/>
    </border>
  </borders>
  <cellStyleXfs count="1432">
    <xf numFmtId="164" fontId="0" fillId="0" borderId="0"/>
    <xf numFmtId="9" fontId="2" fillId="0" borderId="0" applyFon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0" fontId="12" fillId="0" borderId="0"/>
    <xf numFmtId="167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70" fontId="12" fillId="0" borderId="0" applyFont="0" applyFill="0" applyBorder="0" applyAlignment="0" applyProtection="0"/>
    <xf numFmtId="0" fontId="2" fillId="0" borderId="0"/>
    <xf numFmtId="0" fontId="25" fillId="0" borderId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4" fillId="0" borderId="0" applyNumberFormat="0" applyFill="0" applyBorder="0" applyAlignment="0" applyProtection="0"/>
  </cellStyleXfs>
  <cellXfs count="512">
    <xf numFmtId="164" fontId="0" fillId="0" borderId="0" xfId="0"/>
    <xf numFmtId="164" fontId="5" fillId="0" borderId="0" xfId="0" applyFont="1"/>
    <xf numFmtId="164" fontId="5" fillId="0" borderId="0" xfId="0" applyFont="1" applyBorder="1"/>
    <xf numFmtId="165" fontId="5" fillId="0" borderId="1" xfId="0" applyNumberFormat="1" applyFont="1" applyBorder="1"/>
    <xf numFmtId="44" fontId="5" fillId="0" borderId="1" xfId="0" applyNumberFormat="1" applyFont="1" applyBorder="1"/>
    <xf numFmtId="0" fontId="5" fillId="0" borderId="1" xfId="0" applyNumberFormat="1" applyFont="1" applyBorder="1"/>
    <xf numFmtId="44" fontId="5" fillId="0" borderId="0" xfId="0" applyNumberFormat="1" applyFont="1"/>
    <xf numFmtId="164" fontId="9" fillId="7" borderId="1" xfId="0" applyFont="1" applyFill="1" applyBorder="1" applyAlignment="1">
      <alignment horizontal="center" vertical="center"/>
    </xf>
    <xf numFmtId="166" fontId="5" fillId="0" borderId="1" xfId="0" applyNumberFormat="1" applyFont="1" applyBorder="1"/>
    <xf numFmtId="10" fontId="5" fillId="0" borderId="1" xfId="0" applyNumberFormat="1" applyFont="1" applyBorder="1"/>
    <xf numFmtId="0" fontId="5" fillId="5" borderId="1" xfId="0" applyNumberFormat="1" applyFont="1" applyFill="1" applyBorder="1"/>
    <xf numFmtId="44" fontId="5" fillId="5" borderId="1" xfId="0" applyNumberFormat="1" applyFont="1" applyFill="1" applyBorder="1"/>
    <xf numFmtId="0" fontId="5" fillId="3" borderId="1" xfId="0" applyNumberFormat="1" applyFont="1" applyFill="1" applyBorder="1"/>
    <xf numFmtId="44" fontId="5" fillId="3" borderId="1" xfId="0" applyNumberFormat="1" applyFont="1" applyFill="1" applyBorder="1"/>
    <xf numFmtId="165" fontId="5" fillId="0" borderId="0" xfId="0" applyNumberFormat="1" applyFont="1" applyBorder="1"/>
    <xf numFmtId="164" fontId="7" fillId="0" borderId="0" xfId="0" applyFont="1" applyFill="1" applyBorder="1"/>
    <xf numFmtId="9" fontId="5" fillId="0" borderId="0" xfId="1" applyFont="1"/>
    <xf numFmtId="164" fontId="11" fillId="0" borderId="0" xfId="0" applyFont="1" applyAlignment="1">
      <alignment horizontal="center"/>
    </xf>
    <xf numFmtId="164" fontId="12" fillId="0" borderId="0" xfId="0" applyFont="1"/>
    <xf numFmtId="49" fontId="8" fillId="7" borderId="8" xfId="0" applyNumberFormat="1" applyFont="1" applyFill="1" applyBorder="1" applyAlignment="1">
      <alignment horizontal="left"/>
    </xf>
    <xf numFmtId="49" fontId="0" fillId="0" borderId="0" xfId="0" applyNumberFormat="1"/>
    <xf numFmtId="164" fontId="13" fillId="0" borderId="0" xfId="0" applyFont="1"/>
    <xf numFmtId="49" fontId="13" fillId="0" borderId="0" xfId="0" applyNumberFormat="1" applyFont="1" applyAlignment="1">
      <alignment horizontal="center"/>
    </xf>
    <xf numFmtId="0" fontId="11" fillId="0" borderId="0" xfId="962" applyFont="1"/>
    <xf numFmtId="167" fontId="0" fillId="0" borderId="0" xfId="963" applyFont="1" applyBorder="1"/>
    <xf numFmtId="167" fontId="0" fillId="0" borderId="0" xfId="963" applyFont="1"/>
    <xf numFmtId="0" fontId="12" fillId="0" borderId="0" xfId="962"/>
    <xf numFmtId="0" fontId="11" fillId="0" borderId="0" xfId="962" applyFont="1" applyAlignment="1">
      <alignment vertical="center"/>
    </xf>
    <xf numFmtId="0" fontId="12" fillId="0" borderId="0" xfId="962" applyAlignment="1">
      <alignment vertical="center"/>
    </xf>
    <xf numFmtId="0" fontId="15" fillId="0" borderId="0" xfId="962" applyFont="1"/>
    <xf numFmtId="0" fontId="14" fillId="0" borderId="0" xfId="962" applyFont="1"/>
    <xf numFmtId="0" fontId="12" fillId="0" borderId="0" xfId="962" applyBorder="1"/>
    <xf numFmtId="44" fontId="8" fillId="0" borderId="0" xfId="0" applyNumberFormat="1" applyFont="1"/>
    <xf numFmtId="0" fontId="8" fillId="0" borderId="0" xfId="0" applyNumberFormat="1" applyFont="1"/>
    <xf numFmtId="164" fontId="17" fillId="0" borderId="0" xfId="0" applyFont="1"/>
    <xf numFmtId="49" fontId="17" fillId="0" borderId="0" xfId="0" applyNumberFormat="1" applyFont="1" applyAlignment="1">
      <alignment horizontal="center"/>
    </xf>
    <xf numFmtId="9" fontId="18" fillId="0" borderId="0" xfId="1" applyFont="1"/>
    <xf numFmtId="9" fontId="19" fillId="0" borderId="0" xfId="1" applyFont="1"/>
    <xf numFmtId="9" fontId="20" fillId="0" borderId="0" xfId="1" applyFont="1"/>
    <xf numFmtId="9" fontId="21" fillId="0" borderId="0" xfId="1" applyFont="1"/>
    <xf numFmtId="44" fontId="8" fillId="0" borderId="0" xfId="0" applyNumberFormat="1" applyFont="1" applyAlignment="1">
      <alignment wrapText="1"/>
    </xf>
    <xf numFmtId="165" fontId="5" fillId="0" borderId="0" xfId="0" applyNumberFormat="1" applyFont="1"/>
    <xf numFmtId="0" fontId="25" fillId="0" borderId="0" xfId="1048"/>
    <xf numFmtId="0" fontId="25" fillId="0" borderId="7" xfId="1048" applyBorder="1"/>
    <xf numFmtId="0" fontId="25" fillId="0" borderId="2" xfId="1048" applyBorder="1"/>
    <xf numFmtId="0" fontId="22" fillId="0" borderId="15" xfId="1048" applyFont="1" applyBorder="1" applyAlignment="1">
      <alignment horizontal="center"/>
    </xf>
    <xf numFmtId="0" fontId="22" fillId="0" borderId="16" xfId="1048" applyFont="1" applyBorder="1" applyAlignment="1" applyProtection="1">
      <alignment horizontal="center"/>
      <protection locked="0"/>
    </xf>
    <xf numFmtId="0" fontId="25" fillId="0" borderId="4" xfId="1048" applyBorder="1"/>
    <xf numFmtId="0" fontId="22" fillId="0" borderId="0" xfId="1048" applyFont="1" applyBorder="1" applyAlignment="1">
      <alignment horizontal="center"/>
    </xf>
    <xf numFmtId="0" fontId="25" fillId="0" borderId="14" xfId="1048" applyBorder="1"/>
    <xf numFmtId="0" fontId="25" fillId="11" borderId="6" xfId="1048" applyFill="1" applyBorder="1"/>
    <xf numFmtId="0" fontId="25" fillId="11" borderId="0" xfId="1048" applyFill="1" applyBorder="1"/>
    <xf numFmtId="0" fontId="22" fillId="11" borderId="0" xfId="1048" applyFont="1" applyFill="1" applyBorder="1" applyAlignment="1">
      <alignment horizontal="left"/>
    </xf>
    <xf numFmtId="0" fontId="22" fillId="11" borderId="0" xfId="1048" applyFont="1" applyFill="1" applyBorder="1" applyAlignment="1">
      <alignment horizontal="center"/>
    </xf>
    <xf numFmtId="0" fontId="25" fillId="0" borderId="7" xfId="1048" applyFill="1" applyBorder="1"/>
    <xf numFmtId="0" fontId="25" fillId="0" borderId="2" xfId="1048" applyFill="1" applyBorder="1"/>
    <xf numFmtId="0" fontId="22" fillId="0" borderId="2" xfId="1048" applyFont="1" applyFill="1" applyBorder="1" applyAlignment="1">
      <alignment horizontal="left"/>
    </xf>
    <xf numFmtId="0" fontId="22" fillId="0" borderId="2" xfId="1048" applyFont="1" applyFill="1" applyBorder="1" applyAlignment="1">
      <alignment horizontal="center"/>
    </xf>
    <xf numFmtId="0" fontId="22" fillId="0" borderId="10" xfId="1048" applyFont="1" applyBorder="1" applyAlignment="1">
      <alignment horizontal="center"/>
    </xf>
    <xf numFmtId="0" fontId="22" fillId="0" borderId="6" xfId="1048" applyFont="1" applyBorder="1" applyAlignment="1">
      <alignment horizontal="left"/>
    </xf>
    <xf numFmtId="0" fontId="22" fillId="0" borderId="0" xfId="1048" applyFont="1" applyBorder="1"/>
    <xf numFmtId="0" fontId="25" fillId="0" borderId="0" xfId="1048" applyBorder="1"/>
    <xf numFmtId="4" fontId="22" fillId="0" borderId="14" xfId="1048" applyNumberFormat="1" applyFont="1" applyBorder="1"/>
    <xf numFmtId="49" fontId="22" fillId="0" borderId="6" xfId="1048" applyNumberFormat="1" applyFont="1" applyBorder="1" applyAlignment="1">
      <alignment horizontal="left"/>
    </xf>
    <xf numFmtId="49" fontId="22" fillId="0" borderId="0" xfId="1048" applyNumberFormat="1" applyFont="1" applyBorder="1" applyAlignment="1">
      <alignment horizontal="center"/>
    </xf>
    <xf numFmtId="4" fontId="25" fillId="12" borderId="17" xfId="1048" applyNumberFormat="1" applyFill="1" applyBorder="1" applyProtection="1">
      <protection locked="0"/>
    </xf>
    <xf numFmtId="4" fontId="25" fillId="0" borderId="18" xfId="1048" applyNumberFormat="1" applyBorder="1"/>
    <xf numFmtId="4" fontId="25" fillId="12" borderId="19" xfId="1048" applyNumberFormat="1" applyFill="1" applyBorder="1" applyProtection="1">
      <protection locked="0"/>
    </xf>
    <xf numFmtId="4" fontId="25" fillId="0" borderId="0" xfId="1048" applyNumberFormat="1" applyBorder="1"/>
    <xf numFmtId="49" fontId="22" fillId="0" borderId="9" xfId="1048" applyNumberFormat="1" applyFont="1" applyBorder="1" applyAlignment="1">
      <alignment horizontal="left"/>
    </xf>
    <xf numFmtId="49" fontId="22" fillId="0" borderId="13" xfId="1048" applyNumberFormat="1" applyFont="1" applyBorder="1" applyAlignment="1">
      <alignment horizontal="center"/>
    </xf>
    <xf numFmtId="0" fontId="25" fillId="0" borderId="13" xfId="1048" applyBorder="1"/>
    <xf numFmtId="4" fontId="25" fillId="0" borderId="13" xfId="1048" applyNumberFormat="1" applyBorder="1"/>
    <xf numFmtId="49" fontId="22" fillId="0" borderId="7" xfId="1048" applyNumberFormat="1" applyFont="1" applyBorder="1" applyAlignment="1">
      <alignment horizontal="left"/>
    </xf>
    <xf numFmtId="49" fontId="22" fillId="0" borderId="2" xfId="1048" applyNumberFormat="1" applyFont="1" applyBorder="1" applyAlignment="1">
      <alignment horizontal="center"/>
    </xf>
    <xf numFmtId="4" fontId="25" fillId="0" borderId="2" xfId="1048" applyNumberFormat="1" applyBorder="1"/>
    <xf numFmtId="4" fontId="22" fillId="0" borderId="15" xfId="1048" applyNumberFormat="1" applyFont="1" applyBorder="1"/>
    <xf numFmtId="0" fontId="22" fillId="0" borderId="13" xfId="1048" applyFont="1" applyBorder="1"/>
    <xf numFmtId="4" fontId="22" fillId="0" borderId="13" xfId="1048" applyNumberFormat="1" applyFont="1" applyBorder="1"/>
    <xf numFmtId="49" fontId="22" fillId="11" borderId="7" xfId="1048" applyNumberFormat="1" applyFont="1" applyFill="1" applyBorder="1" applyAlignment="1">
      <alignment horizontal="left"/>
    </xf>
    <xf numFmtId="49" fontId="22" fillId="11" borderId="2" xfId="1048" applyNumberFormat="1" applyFont="1" applyFill="1" applyBorder="1" applyAlignment="1">
      <alignment horizontal="center"/>
    </xf>
    <xf numFmtId="0" fontId="25" fillId="11" borderId="2" xfId="1048" applyFill="1" applyBorder="1"/>
    <xf numFmtId="4" fontId="25" fillId="11" borderId="2" xfId="1048" applyNumberFormat="1" applyFill="1" applyBorder="1"/>
    <xf numFmtId="49" fontId="22" fillId="11" borderId="6" xfId="1048" applyNumberFormat="1" applyFont="1" applyFill="1" applyBorder="1" applyAlignment="1">
      <alignment horizontal="left"/>
    </xf>
    <xf numFmtId="49" fontId="22" fillId="11" borderId="0" xfId="1048" applyNumberFormat="1" applyFont="1" applyFill="1" applyBorder="1" applyAlignment="1">
      <alignment horizontal="center"/>
    </xf>
    <xf numFmtId="0" fontId="22" fillId="11" borderId="0" xfId="1048" applyFont="1" applyFill="1" applyBorder="1"/>
    <xf numFmtId="4" fontId="22" fillId="11" borderId="15" xfId="1048" applyNumberFormat="1" applyFont="1" applyFill="1" applyBorder="1"/>
    <xf numFmtId="49" fontId="22" fillId="11" borderId="9" xfId="1048" applyNumberFormat="1" applyFont="1" applyFill="1" applyBorder="1" applyAlignment="1">
      <alignment horizontal="left"/>
    </xf>
    <xf numFmtId="49" fontId="22" fillId="11" borderId="13" xfId="1048" applyNumberFormat="1" applyFont="1" applyFill="1" applyBorder="1" applyAlignment="1">
      <alignment horizontal="center"/>
    </xf>
    <xf numFmtId="0" fontId="25" fillId="11" borderId="13" xfId="1048" applyFill="1" applyBorder="1"/>
    <xf numFmtId="4" fontId="25" fillId="11" borderId="13" xfId="1048" applyNumberFormat="1" applyFill="1" applyBorder="1"/>
    <xf numFmtId="0" fontId="22" fillId="0" borderId="14" xfId="1048" applyFont="1" applyBorder="1" applyAlignment="1">
      <alignment horizontal="center"/>
    </xf>
    <xf numFmtId="0" fontId="22" fillId="0" borderId="16" xfId="1048" applyFont="1" applyBorder="1" applyAlignment="1">
      <alignment horizontal="center"/>
    </xf>
    <xf numFmtId="0" fontId="25" fillId="0" borderId="6" xfId="1048" applyFill="1" applyBorder="1"/>
    <xf numFmtId="0" fontId="25" fillId="0" borderId="0" xfId="1048" applyFill="1" applyBorder="1"/>
    <xf numFmtId="0" fontId="22" fillId="0" borderId="0" xfId="1048" applyFont="1" applyFill="1" applyBorder="1" applyAlignment="1">
      <alignment horizontal="left"/>
    </xf>
    <xf numFmtId="0" fontId="22" fillId="0" borderId="0" xfId="1048" applyFont="1" applyFill="1" applyBorder="1" applyAlignment="1">
      <alignment horizontal="center"/>
    </xf>
    <xf numFmtId="4" fontId="22" fillId="0" borderId="15" xfId="1048" applyNumberFormat="1" applyFont="1" applyFill="1" applyBorder="1"/>
    <xf numFmtId="4" fontId="25" fillId="12" borderId="20" xfId="1048" applyNumberFormat="1" applyFill="1" applyBorder="1" applyProtection="1">
      <protection locked="0"/>
    </xf>
    <xf numFmtId="49" fontId="22" fillId="0" borderId="13" xfId="1048" applyNumberFormat="1" applyFont="1" applyBorder="1"/>
    <xf numFmtId="49" fontId="22" fillId="0" borderId="7" xfId="1048" applyNumberFormat="1" applyFont="1" applyFill="1" applyBorder="1" applyAlignment="1">
      <alignment horizontal="left"/>
    </xf>
    <xf numFmtId="49" fontId="22" fillId="0" borderId="2" xfId="1048" applyNumberFormat="1" applyFont="1" applyFill="1" applyBorder="1"/>
    <xf numFmtId="4" fontId="25" fillId="0" borderId="2" xfId="1048" applyNumberFormat="1" applyFill="1" applyBorder="1"/>
    <xf numFmtId="49" fontId="22" fillId="0" borderId="0" xfId="1048" applyNumberFormat="1" applyFont="1" applyBorder="1"/>
    <xf numFmtId="49" fontId="25" fillId="0" borderId="6" xfId="1048" applyNumberFormat="1" applyFont="1" applyBorder="1" applyAlignment="1">
      <alignment horizontal="left"/>
    </xf>
    <xf numFmtId="1" fontId="25" fillId="12" borderId="19" xfId="1048" applyNumberFormat="1" applyFill="1" applyBorder="1" applyProtection="1">
      <protection locked="0"/>
    </xf>
    <xf numFmtId="4" fontId="25" fillId="0" borderId="19" xfId="1048" applyNumberFormat="1" applyBorder="1"/>
    <xf numFmtId="49" fontId="22" fillId="0" borderId="9" xfId="1048" applyNumberFormat="1" applyFont="1" applyBorder="1"/>
    <xf numFmtId="49" fontId="22" fillId="0" borderId="7" xfId="1048" applyNumberFormat="1" applyFont="1" applyBorder="1"/>
    <xf numFmtId="49" fontId="22" fillId="0" borderId="2" xfId="1048" applyNumberFormat="1" applyFont="1" applyBorder="1"/>
    <xf numFmtId="49" fontId="22" fillId="0" borderId="6" xfId="1048" applyNumberFormat="1" applyFont="1" applyBorder="1"/>
    <xf numFmtId="49" fontId="22" fillId="11" borderId="7" xfId="1048" applyNumberFormat="1" applyFont="1" applyFill="1" applyBorder="1"/>
    <xf numFmtId="49" fontId="22" fillId="11" borderId="2" xfId="1048" applyNumberFormat="1" applyFont="1" applyFill="1" applyBorder="1"/>
    <xf numFmtId="49" fontId="22" fillId="11" borderId="6" xfId="1048" applyNumberFormat="1" applyFont="1" applyFill="1" applyBorder="1"/>
    <xf numFmtId="49" fontId="22" fillId="11" borderId="0" xfId="1048" applyNumberFormat="1" applyFont="1" applyFill="1" applyBorder="1"/>
    <xf numFmtId="4" fontId="22" fillId="11" borderId="14" xfId="1048" applyNumberFormat="1" applyFont="1" applyFill="1" applyBorder="1"/>
    <xf numFmtId="49" fontId="25" fillId="11" borderId="9" xfId="1048" applyNumberFormat="1" applyFill="1" applyBorder="1"/>
    <xf numFmtId="49" fontId="25" fillId="11" borderId="13" xfId="1048" applyNumberFormat="1" applyFill="1" applyBorder="1"/>
    <xf numFmtId="0" fontId="25" fillId="0" borderId="6" xfId="1048" applyBorder="1"/>
    <xf numFmtId="0" fontId="25" fillId="11" borderId="9" xfId="1048" applyFill="1" applyBorder="1"/>
    <xf numFmtId="0" fontId="22" fillId="11" borderId="13" xfId="1048" applyFont="1" applyFill="1" applyBorder="1"/>
    <xf numFmtId="0" fontId="22" fillId="0" borderId="2" xfId="1048" applyFont="1" applyFill="1" applyBorder="1"/>
    <xf numFmtId="0" fontId="25" fillId="0" borderId="9" xfId="1048" applyBorder="1"/>
    <xf numFmtId="0" fontId="25" fillId="11" borderId="7" xfId="1048" applyFill="1" applyBorder="1"/>
    <xf numFmtId="0" fontId="22" fillId="11" borderId="13" xfId="1048" applyFont="1" applyFill="1" applyBorder="1" applyAlignment="1">
      <alignment horizontal="left"/>
    </xf>
    <xf numFmtId="0" fontId="27" fillId="0" borderId="0" xfId="1048" applyFont="1" applyBorder="1" applyAlignment="1">
      <alignment horizontal="center"/>
    </xf>
    <xf numFmtId="0" fontId="25" fillId="0" borderId="0" xfId="1048" applyFont="1" applyBorder="1"/>
    <xf numFmtId="0" fontId="25" fillId="0" borderId="14" xfId="1048" applyFill="1" applyBorder="1"/>
    <xf numFmtId="4" fontId="25" fillId="0" borderId="19" xfId="1048" applyNumberFormat="1" applyFill="1" applyBorder="1"/>
    <xf numFmtId="4" fontId="22" fillId="0" borderId="19" xfId="1048" applyNumberFormat="1" applyFont="1" applyFill="1" applyBorder="1"/>
    <xf numFmtId="0" fontId="25" fillId="0" borderId="9" xfId="1048" applyFill="1" applyBorder="1"/>
    <xf numFmtId="0" fontId="25" fillId="0" borderId="13" xfId="1048" applyFill="1" applyBorder="1"/>
    <xf numFmtId="0" fontId="22" fillId="0" borderId="9" xfId="1048" applyFont="1" applyFill="1" applyBorder="1" applyAlignment="1">
      <alignment horizontal="left"/>
    </xf>
    <xf numFmtId="0" fontId="25" fillId="0" borderId="13" xfId="1048" applyFont="1" applyBorder="1"/>
    <xf numFmtId="0" fontId="22" fillId="0" borderId="7" xfId="1048" applyFont="1" applyBorder="1"/>
    <xf numFmtId="0" fontId="22" fillId="0" borderId="7" xfId="1048" applyFont="1" applyFill="1" applyBorder="1" applyAlignment="1">
      <alignment horizontal="left"/>
    </xf>
    <xf numFmtId="49" fontId="22" fillId="0" borderId="2" xfId="1048" applyNumberFormat="1" applyFont="1" applyFill="1" applyBorder="1" applyAlignment="1">
      <alignment horizontal="center"/>
    </xf>
    <xf numFmtId="0" fontId="22" fillId="11" borderId="6" xfId="1048" applyFont="1" applyFill="1" applyBorder="1" applyAlignment="1">
      <alignment horizontal="left"/>
    </xf>
    <xf numFmtId="0" fontId="22" fillId="0" borderId="4" xfId="1048" applyFont="1" applyFill="1" applyBorder="1" applyAlignment="1">
      <alignment horizontal="center"/>
    </xf>
    <xf numFmtId="0" fontId="22" fillId="0" borderId="14" xfId="1048" applyFont="1" applyFill="1" applyBorder="1" applyAlignment="1">
      <alignment horizontal="center"/>
    </xf>
    <xf numFmtId="49" fontId="22" fillId="0" borderId="13" xfId="1048" applyNumberFormat="1" applyFont="1" applyFill="1" applyBorder="1" applyAlignment="1">
      <alignment horizontal="left"/>
    </xf>
    <xf numFmtId="49" fontId="22" fillId="0" borderId="0" xfId="1048" applyNumberFormat="1" applyFont="1" applyFill="1" applyBorder="1" applyAlignment="1">
      <alignment horizontal="center"/>
    </xf>
    <xf numFmtId="49" fontId="22" fillId="0" borderId="8" xfId="1048" applyNumberFormat="1" applyFont="1" applyFill="1" applyBorder="1" applyAlignment="1">
      <alignment horizontal="left"/>
    </xf>
    <xf numFmtId="49" fontId="22" fillId="0" borderId="10" xfId="1048" applyNumberFormat="1" applyFont="1" applyFill="1" applyBorder="1" applyAlignment="1">
      <alignment horizontal="center"/>
    </xf>
    <xf numFmtId="0" fontId="25" fillId="0" borderId="10" xfId="1048" applyFill="1" applyBorder="1"/>
    <xf numFmtId="0" fontId="25" fillId="0" borderId="4" xfId="1048" applyBorder="1" applyAlignment="1">
      <alignment horizontal="center"/>
    </xf>
    <xf numFmtId="4" fontId="25" fillId="12" borderId="23" xfId="1048" applyNumberFormat="1" applyFill="1" applyBorder="1"/>
    <xf numFmtId="0" fontId="22" fillId="0" borderId="2" xfId="1048" applyFont="1" applyBorder="1" applyAlignment="1">
      <alignment horizontal="center"/>
    </xf>
    <xf numFmtId="0" fontId="25" fillId="0" borderId="24" xfId="1048" applyBorder="1"/>
    <xf numFmtId="4" fontId="22" fillId="0" borderId="24" xfId="1048" applyNumberFormat="1" applyFont="1" applyBorder="1"/>
    <xf numFmtId="4" fontId="22" fillId="12" borderId="24" xfId="1048" applyNumberFormat="1" applyFont="1" applyFill="1" applyBorder="1" applyProtection="1">
      <protection locked="0"/>
    </xf>
    <xf numFmtId="4" fontId="22" fillId="11" borderId="24" xfId="1048" applyNumberFormat="1" applyFont="1" applyFill="1" applyBorder="1"/>
    <xf numFmtId="0" fontId="22" fillId="0" borderId="24" xfId="1048" applyFont="1" applyBorder="1" applyAlignment="1">
      <alignment horizontal="center"/>
    </xf>
    <xf numFmtId="4" fontId="22" fillId="0" borderId="24" xfId="1048" applyNumberFormat="1" applyFont="1" applyFill="1" applyBorder="1"/>
    <xf numFmtId="4" fontId="22" fillId="0" borderId="24" xfId="1048" applyNumberFormat="1" applyFont="1" applyBorder="1" applyAlignment="1">
      <alignment horizontal="right"/>
    </xf>
    <xf numFmtId="4" fontId="22" fillId="11" borderId="24" xfId="1048" applyNumberFormat="1" applyFont="1" applyFill="1" applyBorder="1" applyAlignment="1">
      <alignment horizontal="right"/>
    </xf>
    <xf numFmtId="0" fontId="22" fillId="0" borderId="24" xfId="1048" applyFont="1" applyFill="1" applyBorder="1" applyAlignment="1">
      <alignment horizontal="center"/>
    </xf>
    <xf numFmtId="171" fontId="22" fillId="0" borderId="24" xfId="1048" applyNumberFormat="1" applyFont="1" applyFill="1" applyBorder="1" applyAlignment="1">
      <alignment horizontal="center"/>
    </xf>
    <xf numFmtId="171" fontId="25" fillId="0" borderId="24" xfId="1048" applyNumberFormat="1" applyFill="1" applyBorder="1" applyAlignment="1">
      <alignment horizontal="center"/>
    </xf>
    <xf numFmtId="0" fontId="22" fillId="12" borderId="21" xfId="1048" applyNumberFormat="1" applyFont="1" applyFill="1" applyBorder="1" applyProtection="1">
      <protection locked="0"/>
    </xf>
    <xf numFmtId="0" fontId="25" fillId="0" borderId="0" xfId="1048" applyFont="1"/>
    <xf numFmtId="0" fontId="25" fillId="12" borderId="22" xfId="1048" applyNumberFormat="1" applyFont="1" applyFill="1" applyBorder="1" applyProtection="1">
      <protection locked="0"/>
    </xf>
    <xf numFmtId="164" fontId="17" fillId="10" borderId="0" xfId="0" applyFont="1" applyFill="1"/>
    <xf numFmtId="164" fontId="0" fillId="0" borderId="0" xfId="0" applyAlignment="1">
      <alignment horizontal="center"/>
    </xf>
    <xf numFmtId="164" fontId="5" fillId="0" borderId="0" xfId="0" applyFont="1" applyAlignment="1">
      <alignment horizontal="center"/>
    </xf>
    <xf numFmtId="164" fontId="10" fillId="0" borderId="0" xfId="0" applyFont="1" applyAlignment="1">
      <alignment horizontal="center"/>
    </xf>
    <xf numFmtId="164" fontId="12" fillId="0" borderId="0" xfId="0" applyFont="1" applyAlignment="1">
      <alignment horizontal="center"/>
    </xf>
    <xf numFmtId="0" fontId="6" fillId="0" borderId="0" xfId="0" applyNumberFormat="1" applyFont="1" applyAlignment="1">
      <alignment horizontal="center"/>
    </xf>
    <xf numFmtId="0" fontId="28" fillId="0" borderId="0" xfId="962" applyFont="1" applyAlignment="1">
      <alignment horizontal="center"/>
    </xf>
    <xf numFmtId="0" fontId="28" fillId="0" borderId="0" xfId="962" applyFont="1"/>
    <xf numFmtId="0" fontId="29" fillId="0" borderId="0" xfId="962" applyFont="1"/>
    <xf numFmtId="0" fontId="29" fillId="9" borderId="0" xfId="962" applyFont="1" applyFill="1" applyAlignment="1">
      <alignment horizontal="center"/>
    </xf>
    <xf numFmtId="0" fontId="29" fillId="10" borderId="0" xfId="962" applyFont="1" applyFill="1" applyAlignment="1">
      <alignment horizontal="center"/>
    </xf>
    <xf numFmtId="0" fontId="29" fillId="0" borderId="0" xfId="962" applyFont="1" applyAlignment="1">
      <alignment horizontal="center"/>
    </xf>
    <xf numFmtId="167" fontId="29" fillId="8" borderId="0" xfId="963" applyFont="1" applyFill="1"/>
    <xf numFmtId="167" fontId="30" fillId="0" borderId="0" xfId="963" applyFont="1"/>
    <xf numFmtId="167" fontId="29" fillId="0" borderId="0" xfId="963" applyFont="1"/>
    <xf numFmtId="167" fontId="28" fillId="0" borderId="0" xfId="963" applyFont="1"/>
    <xf numFmtId="167" fontId="31" fillId="0" borderId="0" xfId="963" applyFont="1"/>
    <xf numFmtId="167" fontId="29" fillId="10" borderId="0" xfId="963" applyFont="1" applyFill="1"/>
    <xf numFmtId="167" fontId="28" fillId="10" borderId="0" xfId="963" applyFont="1" applyFill="1"/>
    <xf numFmtId="170" fontId="29" fillId="0" borderId="0" xfId="1046" applyFont="1"/>
    <xf numFmtId="43" fontId="28" fillId="0" borderId="0" xfId="962" applyNumberFormat="1" applyFont="1"/>
    <xf numFmtId="0" fontId="28" fillId="0" borderId="0" xfId="962" applyFont="1" applyAlignment="1">
      <alignment horizontal="right"/>
    </xf>
    <xf numFmtId="43" fontId="32" fillId="0" borderId="0" xfId="962" applyNumberFormat="1" applyFont="1"/>
    <xf numFmtId="0" fontId="22" fillId="0" borderId="2" xfId="1048" applyFont="1" applyBorder="1" applyAlignment="1">
      <alignment horizontal="center"/>
    </xf>
    <xf numFmtId="164" fontId="0" fillId="0" borderId="0" xfId="0" applyBorder="1"/>
    <xf numFmtId="0" fontId="11" fillId="0" borderId="0" xfId="962" applyFont="1" applyBorder="1" applyAlignment="1">
      <alignment horizontal="center" vertical="center"/>
    </xf>
    <xf numFmtId="0" fontId="15" fillId="0" borderId="0" xfId="962" applyFont="1" applyAlignment="1">
      <alignment horizontal="center" vertical="center"/>
    </xf>
    <xf numFmtId="167" fontId="15" fillId="0" borderId="0" xfId="963" applyFont="1" applyBorder="1" applyAlignment="1">
      <alignment horizontal="center" vertical="center"/>
    </xf>
    <xf numFmtId="10" fontId="15" fillId="0" borderId="0" xfId="963" applyNumberFormat="1" applyFont="1" applyBorder="1" applyAlignment="1">
      <alignment horizontal="center" vertical="center"/>
    </xf>
    <xf numFmtId="168" fontId="33" fillId="0" borderId="0" xfId="963" applyNumberFormat="1" applyFont="1" applyAlignment="1">
      <alignment horizontal="center" vertical="center"/>
    </xf>
    <xf numFmtId="168" fontId="33" fillId="0" borderId="0" xfId="963" applyNumberFormat="1" applyFont="1" applyBorder="1" applyAlignment="1">
      <alignment horizontal="center" vertical="center"/>
    </xf>
    <xf numFmtId="0" fontId="14" fillId="0" borderId="0" xfId="962" applyFont="1" applyFill="1" applyBorder="1" applyAlignment="1" applyProtection="1">
      <alignment wrapText="1"/>
      <protection locked="0"/>
    </xf>
    <xf numFmtId="1" fontId="14" fillId="0" borderId="0" xfId="962" applyNumberFormat="1" applyFont="1" applyFill="1" applyBorder="1"/>
    <xf numFmtId="0" fontId="14" fillId="0" borderId="0" xfId="962" applyFont="1" applyFill="1" applyBorder="1"/>
    <xf numFmtId="164" fontId="0" fillId="0" borderId="0" xfId="0" applyFont="1" applyBorder="1"/>
    <xf numFmtId="16" fontId="14" fillId="0" borderId="0" xfId="962" applyNumberFormat="1" applyFont="1" applyFill="1" applyBorder="1"/>
    <xf numFmtId="164" fontId="0" fillId="0" borderId="0" xfId="0" applyFill="1" applyBorder="1"/>
    <xf numFmtId="0" fontId="15" fillId="0" borderId="0" xfId="962" applyFont="1" applyFill="1" applyBorder="1"/>
    <xf numFmtId="170" fontId="15" fillId="0" borderId="0" xfId="1046" applyFont="1" applyFill="1" applyBorder="1"/>
    <xf numFmtId="164" fontId="1" fillId="0" borderId="0" xfId="0" applyFont="1" applyFill="1" applyBorder="1"/>
    <xf numFmtId="0" fontId="23" fillId="0" borderId="0" xfId="962" applyFont="1" applyFill="1" applyBorder="1"/>
    <xf numFmtId="0" fontId="24" fillId="0" borderId="0" xfId="962" applyFont="1" applyFill="1" applyBorder="1"/>
    <xf numFmtId="164" fontId="0" fillId="2" borderId="28" xfId="0" applyFill="1" applyBorder="1"/>
    <xf numFmtId="164" fontId="9" fillId="7" borderId="28" xfId="0" applyFont="1" applyFill="1" applyBorder="1" applyAlignment="1">
      <alignment horizontal="center" vertical="center" wrapText="1"/>
    </xf>
    <xf numFmtId="164" fontId="17" fillId="0" borderId="0" xfId="0" applyFont="1" applyFill="1"/>
    <xf numFmtId="164" fontId="6" fillId="0" borderId="0" xfId="0" applyNumberFormat="1" applyFont="1" applyFill="1" applyBorder="1"/>
    <xf numFmtId="164" fontId="36" fillId="0" borderId="0" xfId="0" applyFont="1" applyFill="1" applyBorder="1"/>
    <xf numFmtId="49" fontId="6" fillId="0" borderId="0" xfId="0" applyNumberFormat="1" applyFont="1" applyFill="1" applyBorder="1" applyAlignment="1">
      <alignment horizontal="left"/>
    </xf>
    <xf numFmtId="17" fontId="6" fillId="0" borderId="0" xfId="0" applyNumberFormat="1" applyFont="1" applyFill="1" applyBorder="1"/>
    <xf numFmtId="164" fontId="12" fillId="0" borderId="0" xfId="0" applyFont="1" applyFill="1" applyBorder="1"/>
    <xf numFmtId="164" fontId="11" fillId="0" borderId="0" xfId="0" applyFont="1" applyFill="1" applyBorder="1" applyAlignment="1">
      <alignment horizontal="right"/>
    </xf>
    <xf numFmtId="164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/>
    <xf numFmtId="164" fontId="8" fillId="10" borderId="0" xfId="0" applyNumberFormat="1" applyFont="1" applyFill="1" applyBorder="1" applyAlignment="1">
      <alignment horizontal="center"/>
    </xf>
    <xf numFmtId="164" fontId="37" fillId="15" borderId="0" xfId="0" applyFont="1" applyFill="1" applyAlignment="1">
      <alignment horizontal="center"/>
    </xf>
    <xf numFmtId="164" fontId="37" fillId="0" borderId="0" xfId="0" applyFont="1" applyFill="1" applyAlignment="1">
      <alignment horizontal="center"/>
    </xf>
    <xf numFmtId="164" fontId="8" fillId="15" borderId="0" xfId="0" applyNumberFormat="1" applyFont="1" applyFill="1" applyBorder="1" applyAlignment="1">
      <alignment horizontal="center"/>
    </xf>
    <xf numFmtId="164" fontId="12" fillId="0" borderId="4" xfId="0" applyFont="1" applyBorder="1" applyAlignment="1">
      <alignment horizontal="center"/>
    </xf>
    <xf numFmtId="164" fontId="12" fillId="0" borderId="28" xfId="0" applyFont="1" applyBorder="1" applyAlignment="1">
      <alignment horizontal="center"/>
    </xf>
    <xf numFmtId="0" fontId="22" fillId="0" borderId="2" xfId="1048" applyFont="1" applyBorder="1" applyAlignment="1">
      <alignment horizontal="center"/>
    </xf>
    <xf numFmtId="167" fontId="29" fillId="0" borderId="28" xfId="963" applyFont="1" applyBorder="1"/>
    <xf numFmtId="167" fontId="29" fillId="10" borderId="0" xfId="963" applyFont="1" applyFill="1" applyAlignment="1">
      <alignment horizontal="right"/>
    </xf>
    <xf numFmtId="167" fontId="39" fillId="0" borderId="0" xfId="963" applyFont="1" applyBorder="1" applyAlignment="1">
      <alignment horizontal="right"/>
    </xf>
    <xf numFmtId="167" fontId="29" fillId="0" borderId="0" xfId="963" applyFont="1" applyBorder="1"/>
    <xf numFmtId="0" fontId="29" fillId="18" borderId="0" xfId="962" applyFont="1" applyFill="1" applyAlignment="1">
      <alignment horizontal="center"/>
    </xf>
    <xf numFmtId="0" fontId="29" fillId="19" borderId="0" xfId="962" applyFont="1" applyFill="1" applyAlignment="1">
      <alignment horizontal="center"/>
    </xf>
    <xf numFmtId="167" fontId="29" fillId="10" borderId="0" xfId="963" applyNumberFormat="1" applyFont="1" applyFill="1"/>
    <xf numFmtId="0" fontId="29" fillId="10" borderId="0" xfId="962" applyFont="1" applyFill="1" applyAlignment="1">
      <alignment horizontal="center" wrapText="1"/>
    </xf>
    <xf numFmtId="167" fontId="29" fillId="0" borderId="0" xfId="963" applyFont="1" applyFill="1"/>
    <xf numFmtId="167" fontId="28" fillId="0" borderId="0" xfId="963" applyFont="1" applyFill="1"/>
    <xf numFmtId="167" fontId="29" fillId="19" borderId="0" xfId="963" applyFont="1" applyFill="1"/>
    <xf numFmtId="167" fontId="29" fillId="18" borderId="0" xfId="963" applyFont="1" applyFill="1"/>
    <xf numFmtId="167" fontId="28" fillId="18" borderId="0" xfId="963" applyFont="1" applyFill="1"/>
    <xf numFmtId="14" fontId="14" fillId="16" borderId="11" xfId="962" applyNumberFormat="1" applyFont="1" applyFill="1" applyBorder="1" applyProtection="1">
      <protection locked="0"/>
    </xf>
    <xf numFmtId="0" fontId="38" fillId="16" borderId="1" xfId="962" applyFont="1" applyFill="1" applyBorder="1" applyProtection="1">
      <protection locked="0"/>
    </xf>
    <xf numFmtId="0" fontId="14" fillId="16" borderId="1" xfId="962" applyFont="1" applyFill="1" applyBorder="1" applyProtection="1">
      <protection locked="0"/>
    </xf>
    <xf numFmtId="0" fontId="23" fillId="16" borderId="1" xfId="962" applyFont="1" applyFill="1" applyBorder="1" applyProtection="1">
      <protection locked="0"/>
    </xf>
    <xf numFmtId="14" fontId="15" fillId="13" borderId="1" xfId="962" applyNumberFormat="1" applyFont="1" applyFill="1" applyBorder="1" applyAlignment="1" applyProtection="1">
      <alignment horizontal="center" vertical="center"/>
      <protection locked="0"/>
    </xf>
    <xf numFmtId="0" fontId="15" fillId="13" borderId="1" xfId="962" applyFont="1" applyFill="1" applyBorder="1" applyAlignment="1" applyProtection="1">
      <alignment horizontal="center" vertical="center"/>
      <protection locked="0"/>
    </xf>
    <xf numFmtId="0" fontId="24" fillId="13" borderId="1" xfId="962" applyFont="1" applyFill="1" applyBorder="1" applyAlignment="1" applyProtection="1">
      <alignment horizontal="center" vertical="center"/>
      <protection locked="0"/>
    </xf>
    <xf numFmtId="0" fontId="24" fillId="4" borderId="24" xfId="962" applyFont="1" applyFill="1" applyBorder="1" applyAlignment="1" applyProtection="1">
      <alignment horizontal="center" vertical="center"/>
      <protection locked="0"/>
    </xf>
    <xf numFmtId="173" fontId="15" fillId="13" borderId="1" xfId="963" applyNumberFormat="1" applyFont="1" applyFill="1" applyBorder="1" applyAlignment="1" applyProtection="1">
      <alignment horizontal="center" vertical="center"/>
      <protection locked="0"/>
    </xf>
    <xf numFmtId="172" fontId="15" fillId="14" borderId="1" xfId="1415" applyNumberFormat="1" applyFont="1" applyFill="1" applyBorder="1" applyAlignment="1" applyProtection="1">
      <alignment horizontal="center" vertical="center"/>
      <protection locked="0"/>
    </xf>
    <xf numFmtId="167" fontId="15" fillId="4" borderId="24" xfId="963" applyFont="1" applyFill="1" applyBorder="1" applyAlignment="1" applyProtection="1">
      <alignment horizontal="center" vertical="center"/>
      <protection locked="0"/>
    </xf>
    <xf numFmtId="167" fontId="15" fillId="13" borderId="1" xfId="963" applyFont="1" applyFill="1" applyBorder="1" applyAlignment="1" applyProtection="1">
      <alignment horizontal="center" vertical="center"/>
      <protection locked="0"/>
    </xf>
    <xf numFmtId="167" fontId="15" fillId="10" borderId="24" xfId="963" applyFont="1" applyFill="1" applyBorder="1" applyAlignment="1" applyProtection="1">
      <alignment horizontal="center" vertical="center"/>
      <protection locked="0"/>
    </xf>
    <xf numFmtId="0" fontId="14" fillId="10" borderId="1" xfId="962" applyFont="1" applyFill="1" applyBorder="1" applyProtection="1">
      <protection locked="0"/>
    </xf>
    <xf numFmtId="167" fontId="15" fillId="13" borderId="1" xfId="963" applyFont="1" applyFill="1" applyBorder="1" applyProtection="1">
      <protection locked="0"/>
    </xf>
    <xf numFmtId="167" fontId="15" fillId="0" borderId="1" xfId="963" applyFont="1" applyFill="1" applyBorder="1" applyProtection="1">
      <protection locked="0"/>
    </xf>
    <xf numFmtId="0" fontId="14" fillId="0" borderId="1" xfId="962" applyFont="1" applyFill="1" applyBorder="1" applyProtection="1">
      <protection locked="0"/>
    </xf>
    <xf numFmtId="14" fontId="15" fillId="4" borderId="14" xfId="962" applyNumberFormat="1" applyFont="1" applyFill="1" applyBorder="1" applyAlignment="1" applyProtection="1">
      <alignment horizontal="center" vertical="center"/>
      <protection locked="0"/>
    </xf>
    <xf numFmtId="0" fontId="15" fillId="4" borderId="29" xfId="962" applyFont="1" applyFill="1" applyBorder="1" applyAlignment="1" applyProtection="1">
      <alignment horizontal="center" vertical="center"/>
      <protection locked="0"/>
    </xf>
    <xf numFmtId="0" fontId="24" fillId="4" borderId="29" xfId="962" applyFont="1" applyFill="1" applyBorder="1" applyAlignment="1" applyProtection="1">
      <alignment horizontal="center" vertical="center"/>
      <protection locked="0"/>
    </xf>
    <xf numFmtId="173" fontId="15" fillId="4" borderId="29" xfId="963" applyNumberFormat="1" applyFont="1" applyFill="1" applyBorder="1" applyAlignment="1" applyProtection="1">
      <alignment horizontal="center" vertical="center"/>
      <protection locked="0"/>
    </xf>
    <xf numFmtId="167" fontId="15" fillId="4" borderId="29" xfId="963" applyFont="1" applyFill="1" applyBorder="1" applyAlignment="1" applyProtection="1">
      <alignment horizontal="center" vertical="center"/>
      <protection locked="0"/>
    </xf>
    <xf numFmtId="167" fontId="15" fillId="4" borderId="6" xfId="963" applyFont="1" applyFill="1" applyBorder="1" applyProtection="1">
      <protection locked="0"/>
    </xf>
    <xf numFmtId="167" fontId="15" fillId="0" borderId="11" xfId="963" applyFont="1" applyFill="1" applyBorder="1" applyProtection="1">
      <protection locked="0"/>
    </xf>
    <xf numFmtId="0" fontId="14" fillId="0" borderId="28" xfId="962" applyFont="1" applyFill="1" applyBorder="1" applyProtection="1">
      <protection locked="0"/>
    </xf>
    <xf numFmtId="14" fontId="15" fillId="17" borderId="25" xfId="962" applyNumberFormat="1" applyFont="1" applyFill="1" applyBorder="1" applyProtection="1">
      <protection locked="0"/>
    </xf>
    <xf numFmtId="0" fontId="15" fillId="17" borderId="26" xfId="962" applyFont="1" applyFill="1" applyBorder="1" applyProtection="1">
      <protection locked="0"/>
    </xf>
    <xf numFmtId="0" fontId="24" fillId="17" borderId="26" xfId="962" applyFont="1" applyFill="1" applyBorder="1" applyProtection="1">
      <protection locked="0"/>
    </xf>
    <xf numFmtId="173" fontId="15" fillId="17" borderId="26" xfId="963" applyNumberFormat="1" applyFont="1" applyFill="1" applyBorder="1" applyProtection="1">
      <protection locked="0"/>
    </xf>
    <xf numFmtId="167" fontId="15" fillId="17" borderId="26" xfId="963" applyFont="1" applyFill="1" applyBorder="1" applyProtection="1">
      <protection locked="0"/>
    </xf>
    <xf numFmtId="167" fontId="15" fillId="17" borderId="27" xfId="962" applyNumberFormat="1" applyFont="1" applyFill="1" applyBorder="1" applyProtection="1">
      <protection locked="0"/>
    </xf>
    <xf numFmtId="0" fontId="14" fillId="0" borderId="11" xfId="962" applyFont="1" applyFill="1" applyBorder="1" applyProtection="1">
      <protection locked="0"/>
    </xf>
    <xf numFmtId="14" fontId="14" fillId="4" borderId="1" xfId="962" applyNumberFormat="1" applyFont="1" applyFill="1" applyBorder="1" applyProtection="1">
      <protection locked="0"/>
    </xf>
    <xf numFmtId="0" fontId="14" fillId="4" borderId="1" xfId="962" applyFont="1" applyFill="1" applyBorder="1" applyProtection="1">
      <protection locked="0"/>
    </xf>
    <xf numFmtId="0" fontId="23" fillId="4" borderId="1" xfId="962" applyFont="1" applyFill="1" applyBorder="1" applyProtection="1">
      <protection locked="0"/>
    </xf>
    <xf numFmtId="0" fontId="23" fillId="4" borderId="24" xfId="962" applyFont="1" applyFill="1" applyBorder="1" applyProtection="1">
      <protection locked="0"/>
    </xf>
    <xf numFmtId="173" fontId="15" fillId="4" borderId="1" xfId="963" applyNumberFormat="1" applyFont="1" applyFill="1" applyBorder="1" applyProtection="1">
      <protection locked="0"/>
    </xf>
    <xf numFmtId="167" fontId="15" fillId="4" borderId="24" xfId="963" applyFont="1" applyFill="1" applyBorder="1" applyProtection="1">
      <protection locked="0"/>
    </xf>
    <xf numFmtId="167" fontId="35" fillId="4" borderId="1" xfId="963" applyFont="1" applyFill="1" applyBorder="1" applyProtection="1">
      <protection locked="0"/>
    </xf>
    <xf numFmtId="167" fontId="14" fillId="4" borderId="1" xfId="963" applyFont="1" applyFill="1" applyBorder="1" applyProtection="1">
      <protection locked="0"/>
    </xf>
    <xf numFmtId="0" fontId="35" fillId="4" borderId="1" xfId="962" applyFont="1" applyFill="1" applyBorder="1" applyProtection="1">
      <protection locked="0"/>
    </xf>
    <xf numFmtId="173" fontId="15" fillId="0" borderId="1" xfId="963" applyNumberFormat="1" applyFont="1" applyFill="1" applyBorder="1" applyProtection="1">
      <protection locked="0"/>
    </xf>
    <xf numFmtId="172" fontId="23" fillId="14" borderId="1" xfId="1415" applyNumberFormat="1" applyFont="1" applyFill="1" applyBorder="1" applyAlignment="1" applyProtection="1">
      <alignment vertical="center"/>
      <protection locked="0"/>
    </xf>
    <xf numFmtId="173" fontId="14" fillId="0" borderId="1" xfId="963" applyNumberFormat="1" applyFont="1" applyFill="1" applyBorder="1" applyProtection="1">
      <protection locked="0"/>
    </xf>
    <xf numFmtId="167" fontId="14" fillId="10" borderId="24" xfId="963" applyFont="1" applyFill="1" applyBorder="1" applyProtection="1">
      <protection locked="0"/>
    </xf>
    <xf numFmtId="0" fontId="14" fillId="10" borderId="8" xfId="962" applyFont="1" applyFill="1" applyBorder="1" applyProtection="1">
      <protection locked="0"/>
    </xf>
    <xf numFmtId="173" fontId="14" fillId="0" borderId="30" xfId="963" applyNumberFormat="1" applyFont="1" applyFill="1" applyBorder="1" applyProtection="1">
      <protection locked="0"/>
    </xf>
    <xf numFmtId="14" fontId="14" fillId="0" borderId="11" xfId="962" applyNumberFormat="1" applyFont="1" applyFill="1" applyBorder="1" applyProtection="1">
      <protection locked="0"/>
    </xf>
    <xf numFmtId="0" fontId="23" fillId="0" borderId="1" xfId="962" applyFont="1" applyFill="1" applyBorder="1" applyProtection="1">
      <protection locked="0"/>
    </xf>
    <xf numFmtId="173" fontId="14" fillId="0" borderId="28" xfId="963" applyNumberFormat="1" applyFont="1" applyFill="1" applyBorder="1" applyProtection="1">
      <protection locked="0"/>
    </xf>
    <xf numFmtId="172" fontId="14" fillId="14" borderId="1" xfId="1415" applyNumberFormat="1" applyFont="1" applyFill="1" applyBorder="1" applyAlignment="1" applyProtection="1">
      <alignment horizontal="center"/>
      <protection locked="0"/>
    </xf>
    <xf numFmtId="0" fontId="14" fillId="0" borderId="8" xfId="962" applyFont="1" applyFill="1" applyBorder="1" applyProtection="1">
      <protection locked="0"/>
    </xf>
    <xf numFmtId="0" fontId="23" fillId="0" borderId="28" xfId="962" applyFont="1" applyFill="1" applyBorder="1" applyProtection="1">
      <protection locked="0"/>
    </xf>
    <xf numFmtId="0" fontId="23" fillId="4" borderId="28" xfId="962" applyFont="1" applyFill="1" applyBorder="1" applyProtection="1">
      <protection locked="0"/>
    </xf>
    <xf numFmtId="172" fontId="14" fillId="14" borderId="28" xfId="1415" applyNumberFormat="1" applyFont="1" applyFill="1" applyBorder="1" applyAlignment="1" applyProtection="1">
      <alignment horizontal="center"/>
      <protection locked="0"/>
    </xf>
    <xf numFmtId="167" fontId="15" fillId="4" borderId="28" xfId="963" applyFont="1" applyFill="1" applyBorder="1" applyProtection="1">
      <protection locked="0"/>
    </xf>
    <xf numFmtId="167" fontId="14" fillId="10" borderId="28" xfId="963" applyFont="1" applyFill="1" applyBorder="1" applyProtection="1">
      <protection locked="0"/>
    </xf>
    <xf numFmtId="0" fontId="14" fillId="10" borderId="28" xfId="962" applyFont="1" applyFill="1" applyBorder="1" applyProtection="1">
      <protection locked="0"/>
    </xf>
    <xf numFmtId="173" fontId="15" fillId="0" borderId="28" xfId="963" applyNumberFormat="1" applyFont="1" applyFill="1" applyBorder="1" applyProtection="1">
      <protection locked="0"/>
    </xf>
    <xf numFmtId="14" fontId="14" fillId="0" borderId="1" xfId="962" applyNumberFormat="1" applyFont="1" applyFill="1" applyBorder="1" applyProtection="1">
      <protection locked="0"/>
    </xf>
    <xf numFmtId="167" fontId="14" fillId="0" borderId="1" xfId="963" applyFont="1" applyFill="1" applyBorder="1" applyProtection="1">
      <protection locked="0"/>
    </xf>
    <xf numFmtId="14" fontId="14" fillId="16" borderId="11" xfId="962" applyNumberFormat="1" applyFont="1" applyFill="1" applyBorder="1" applyProtection="1"/>
    <xf numFmtId="0" fontId="38" fillId="16" borderId="1" xfId="962" applyFont="1" applyFill="1" applyBorder="1" applyProtection="1"/>
    <xf numFmtId="0" fontId="14" fillId="16" borderId="1" xfId="962" applyFont="1" applyFill="1" applyBorder="1" applyProtection="1"/>
    <xf numFmtId="0" fontId="23" fillId="16" borderId="1" xfId="962" applyFont="1" applyFill="1" applyBorder="1" applyProtection="1"/>
    <xf numFmtId="1" fontId="15" fillId="13" borderId="1" xfId="962" applyNumberFormat="1" applyFont="1" applyFill="1" applyBorder="1" applyAlignment="1" applyProtection="1">
      <alignment horizontal="center" vertical="center" wrapText="1"/>
      <protection locked="0"/>
    </xf>
    <xf numFmtId="1" fontId="15" fillId="4" borderId="29" xfId="962" applyNumberFormat="1" applyFont="1" applyFill="1" applyBorder="1" applyAlignment="1" applyProtection="1">
      <alignment horizontal="center" vertical="center" wrapText="1"/>
      <protection locked="0"/>
    </xf>
    <xf numFmtId="1" fontId="15" fillId="17" borderId="26" xfId="962" applyNumberFormat="1" applyFont="1" applyFill="1" applyBorder="1" applyAlignment="1" applyProtection="1">
      <alignment wrapText="1"/>
      <protection locked="0"/>
    </xf>
    <xf numFmtId="1" fontId="15" fillId="4" borderId="1" xfId="962" applyNumberFormat="1" applyFont="1" applyFill="1" applyBorder="1" applyAlignment="1" applyProtection="1">
      <alignment wrapText="1"/>
      <protection locked="0"/>
    </xf>
    <xf numFmtId="1" fontId="15" fillId="16" borderId="1" xfId="962" applyNumberFormat="1" applyFont="1" applyFill="1" applyBorder="1" applyAlignment="1" applyProtection="1">
      <alignment wrapText="1"/>
    </xf>
    <xf numFmtId="1" fontId="15" fillId="0" borderId="1" xfId="962" applyNumberFormat="1" applyFont="1" applyFill="1" applyBorder="1" applyAlignment="1" applyProtection="1">
      <alignment wrapText="1"/>
      <protection locked="0"/>
    </xf>
    <xf numFmtId="1" fontId="15" fillId="0" borderId="28" xfId="962" applyNumberFormat="1" applyFont="1" applyFill="1" applyBorder="1" applyAlignment="1" applyProtection="1">
      <alignment wrapText="1"/>
      <protection locked="0"/>
    </xf>
    <xf numFmtId="1" fontId="15" fillId="16" borderId="1" xfId="962" applyNumberFormat="1" applyFont="1" applyFill="1" applyBorder="1" applyAlignment="1" applyProtection="1">
      <alignment wrapText="1"/>
      <protection locked="0"/>
    </xf>
    <xf numFmtId="0" fontId="29" fillId="20" borderId="2" xfId="962" applyFont="1" applyFill="1" applyBorder="1" applyAlignment="1">
      <alignment horizontal="right"/>
    </xf>
    <xf numFmtId="169" fontId="29" fillId="20" borderId="2" xfId="965" applyFont="1" applyFill="1" applyBorder="1"/>
    <xf numFmtId="0" fontId="29" fillId="20" borderId="0" xfId="962" applyFont="1" applyFill="1"/>
    <xf numFmtId="167" fontId="29" fillId="20" borderId="0" xfId="962" applyNumberFormat="1" applyFont="1" applyFill="1"/>
    <xf numFmtId="167" fontId="28" fillId="20" borderId="0" xfId="963" applyFont="1" applyFill="1"/>
    <xf numFmtId="167" fontId="29" fillId="20" borderId="0" xfId="963" applyFont="1" applyFill="1"/>
    <xf numFmtId="0" fontId="22" fillId="0" borderId="16" xfId="1048" applyFont="1" applyBorder="1" applyAlignment="1" applyProtection="1">
      <alignment horizontal="center" wrapText="1"/>
      <protection locked="0"/>
    </xf>
    <xf numFmtId="17" fontId="8" fillId="7" borderId="0" xfId="0" applyNumberFormat="1" applyFont="1" applyFill="1" applyBorder="1" applyAlignment="1">
      <alignment horizontal="center"/>
    </xf>
    <xf numFmtId="164" fontId="11" fillId="15" borderId="0" xfId="0" applyFont="1" applyFill="1" applyAlignment="1">
      <alignment horizontal="center"/>
    </xf>
    <xf numFmtId="164" fontId="12" fillId="0" borderId="29" xfId="0" applyFont="1" applyBorder="1" applyAlignment="1" applyProtection="1">
      <alignment horizontal="center"/>
      <protection locked="0"/>
    </xf>
    <xf numFmtId="164" fontId="0" fillId="0" borderId="4" xfId="0" applyBorder="1" applyAlignment="1" applyProtection="1">
      <alignment horizontal="center"/>
      <protection locked="0"/>
    </xf>
    <xf numFmtId="0" fontId="6" fillId="0" borderId="29" xfId="0" applyNumberFormat="1" applyFont="1" applyBorder="1" applyAlignment="1" applyProtection="1">
      <alignment horizontal="center"/>
      <protection locked="0"/>
    </xf>
    <xf numFmtId="164" fontId="0" fillId="0" borderId="29" xfId="0" applyBorder="1" applyAlignment="1" applyProtection="1">
      <alignment horizontal="center"/>
      <protection locked="0"/>
    </xf>
    <xf numFmtId="0" fontId="6" fillId="0" borderId="30" xfId="0" applyNumberFormat="1" applyFont="1" applyBorder="1" applyAlignment="1" applyProtection="1">
      <alignment horizontal="center"/>
      <protection locked="0"/>
    </xf>
    <xf numFmtId="164" fontId="12" fillId="0" borderId="4" xfId="0" applyFont="1" applyBorder="1" applyAlignment="1" applyProtection="1">
      <alignment horizontal="center"/>
      <protection locked="0"/>
    </xf>
    <xf numFmtId="0" fontId="6" fillId="0" borderId="29" xfId="0" applyNumberFormat="1" applyFont="1" applyFill="1" applyBorder="1" applyAlignment="1" applyProtection="1">
      <alignment horizontal="center"/>
      <protection locked="0"/>
    </xf>
    <xf numFmtId="164" fontId="0" fillId="0" borderId="29" xfId="0" applyFill="1" applyBorder="1" applyAlignment="1" applyProtection="1">
      <alignment horizontal="center"/>
      <protection locked="0"/>
    </xf>
    <xf numFmtId="164" fontId="12" fillId="0" borderId="0" xfId="0" applyFont="1" applyBorder="1" applyAlignment="1" applyProtection="1">
      <alignment horizontal="center"/>
      <protection locked="0"/>
    </xf>
    <xf numFmtId="0" fontId="43" fillId="0" borderId="0" xfId="1047" applyFont="1" applyFill="1"/>
    <xf numFmtId="0" fontId="2" fillId="0" borderId="0" xfId="1047"/>
    <xf numFmtId="10" fontId="2" fillId="0" borderId="0" xfId="1047" applyNumberFormat="1"/>
    <xf numFmtId="0" fontId="2" fillId="0" borderId="33" xfId="1047" applyBorder="1"/>
    <xf numFmtId="0" fontId="2" fillId="0" borderId="34" xfId="1047" applyBorder="1"/>
    <xf numFmtId="10" fontId="2" fillId="0" borderId="34" xfId="1047" applyNumberFormat="1" applyBorder="1"/>
    <xf numFmtId="0" fontId="2" fillId="0" borderId="35" xfId="1047" applyBorder="1"/>
    <xf numFmtId="0" fontId="2" fillId="0" borderId="36" xfId="1047" applyBorder="1"/>
    <xf numFmtId="0" fontId="2" fillId="0" borderId="0" xfId="1047" applyBorder="1"/>
    <xf numFmtId="10" fontId="2" fillId="0" borderId="0" xfId="1047" applyNumberFormat="1" applyBorder="1"/>
    <xf numFmtId="0" fontId="1" fillId="0" borderId="33" xfId="1047" applyFont="1" applyFill="1" applyBorder="1"/>
    <xf numFmtId="0" fontId="1" fillId="0" borderId="34" xfId="1047" applyFont="1" applyFill="1" applyBorder="1" applyAlignment="1">
      <alignment horizontal="right"/>
    </xf>
    <xf numFmtId="0" fontId="11" fillId="0" borderId="37" xfId="1047" applyNumberFormat="1" applyFont="1" applyFill="1" applyBorder="1" applyAlignment="1">
      <alignment horizontal="center"/>
    </xf>
    <xf numFmtId="0" fontId="1" fillId="0" borderId="36" xfId="1047" applyFont="1" applyFill="1" applyBorder="1"/>
    <xf numFmtId="0" fontId="1" fillId="0" borderId="0" xfId="1047" applyFont="1" applyFill="1" applyBorder="1" applyAlignment="1">
      <alignment horizontal="right"/>
    </xf>
    <xf numFmtId="0" fontId="11" fillId="0" borderId="38" xfId="1047" applyNumberFormat="1" applyFont="1" applyFill="1" applyBorder="1" applyAlignment="1">
      <alignment horizontal="center"/>
    </xf>
    <xf numFmtId="173" fontId="11" fillId="0" borderId="38" xfId="963" applyNumberFormat="1" applyFont="1" applyFill="1" applyBorder="1" applyAlignment="1">
      <alignment horizontal="right"/>
    </xf>
    <xf numFmtId="0" fontId="1" fillId="23" borderId="39" xfId="1047" applyFont="1" applyFill="1" applyBorder="1"/>
    <xf numFmtId="0" fontId="1" fillId="23" borderId="40" xfId="1047" applyFont="1" applyFill="1" applyBorder="1" applyAlignment="1">
      <alignment horizontal="right"/>
    </xf>
    <xf numFmtId="173" fontId="11" fillId="23" borderId="12" xfId="1047" applyNumberFormat="1" applyFont="1" applyFill="1" applyBorder="1" applyAlignment="1">
      <alignment horizontal="right"/>
    </xf>
    <xf numFmtId="0" fontId="2" fillId="0" borderId="41" xfId="1047" applyBorder="1"/>
    <xf numFmtId="0" fontId="2" fillId="0" borderId="42" xfId="1047" applyBorder="1"/>
    <xf numFmtId="10" fontId="2" fillId="0" borderId="42" xfId="1047" applyNumberFormat="1" applyBorder="1"/>
    <xf numFmtId="0" fontId="2" fillId="0" borderId="43" xfId="1047" applyBorder="1"/>
    <xf numFmtId="0" fontId="44" fillId="24" borderId="44" xfId="1047" applyNumberFormat="1" applyFont="1" applyFill="1" applyBorder="1" applyAlignment="1">
      <alignment horizontal="center" vertical="center" wrapText="1"/>
    </xf>
    <xf numFmtId="174" fontId="44" fillId="24" borderId="45" xfId="1047" applyNumberFormat="1" applyFont="1" applyFill="1" applyBorder="1" applyAlignment="1">
      <alignment horizontal="center" vertical="center" wrapText="1"/>
    </xf>
    <xf numFmtId="49" fontId="44" fillId="24" borderId="45" xfId="1046" applyNumberFormat="1" applyFont="1" applyFill="1" applyBorder="1" applyAlignment="1">
      <alignment horizontal="center" vertical="center" wrapText="1"/>
    </xf>
    <xf numFmtId="49" fontId="44" fillId="24" borderId="45" xfId="1047" applyNumberFormat="1" applyFont="1" applyFill="1" applyBorder="1" applyAlignment="1">
      <alignment horizontal="center" vertical="center" wrapText="1"/>
    </xf>
    <xf numFmtId="1" fontId="44" fillId="24" borderId="45" xfId="1047" applyNumberFormat="1" applyFont="1" applyFill="1" applyBorder="1" applyAlignment="1">
      <alignment horizontal="center" vertical="center" wrapText="1"/>
    </xf>
    <xf numFmtId="167" fontId="44" fillId="24" borderId="45" xfId="963" applyFont="1" applyFill="1" applyBorder="1" applyAlignment="1">
      <alignment horizontal="center" vertical="center" wrapText="1"/>
    </xf>
    <xf numFmtId="10" fontId="44" fillId="24" borderId="45" xfId="963" applyNumberFormat="1" applyFont="1" applyFill="1" applyBorder="1" applyAlignment="1">
      <alignment horizontal="center" vertical="center" wrapText="1"/>
    </xf>
    <xf numFmtId="0" fontId="44" fillId="24" borderId="45" xfId="1047" applyFont="1" applyFill="1" applyBorder="1" applyAlignment="1">
      <alignment horizontal="center" vertical="center" wrapText="1"/>
    </xf>
    <xf numFmtId="14" fontId="44" fillId="24" borderId="45" xfId="1047" applyNumberFormat="1" applyFont="1" applyFill="1" applyBorder="1" applyAlignment="1">
      <alignment horizontal="center" vertical="center" wrapText="1"/>
    </xf>
    <xf numFmtId="0" fontId="44" fillId="24" borderId="46" xfId="1047" applyFont="1" applyFill="1" applyBorder="1" applyAlignment="1">
      <alignment horizontal="center" vertical="center" wrapText="1"/>
    </xf>
    <xf numFmtId="0" fontId="15" fillId="0" borderId="0" xfId="1047" applyNumberFormat="1" applyFont="1" applyFill="1" applyBorder="1" applyAlignment="1">
      <alignment vertical="center"/>
    </xf>
    <xf numFmtId="0" fontId="15" fillId="0" borderId="0" xfId="1047" applyNumberFormat="1" applyFont="1" applyFill="1" applyBorder="1" applyAlignment="1">
      <alignment horizontal="center" vertical="center"/>
    </xf>
    <xf numFmtId="174" fontId="15" fillId="0" borderId="0" xfId="1047" applyNumberFormat="1" applyFont="1" applyFill="1" applyBorder="1" applyAlignment="1">
      <alignment horizontal="center" vertical="center"/>
    </xf>
    <xf numFmtId="49" fontId="15" fillId="0" borderId="0" xfId="1047" applyNumberFormat="1" applyFont="1" applyFill="1" applyBorder="1" applyAlignment="1">
      <alignment horizontal="center" vertical="center"/>
    </xf>
    <xf numFmtId="1" fontId="15" fillId="0" borderId="0" xfId="1047" applyNumberFormat="1" applyFont="1" applyFill="1" applyBorder="1" applyAlignment="1">
      <alignment horizontal="center" vertical="center"/>
    </xf>
    <xf numFmtId="0" fontId="15" fillId="0" borderId="0" xfId="1047" applyFont="1" applyFill="1" applyBorder="1" applyAlignment="1">
      <alignment horizontal="right" vertical="center"/>
    </xf>
    <xf numFmtId="10" fontId="15" fillId="0" borderId="0" xfId="963" applyNumberFormat="1" applyFont="1" applyFill="1" applyBorder="1" applyAlignment="1">
      <alignment horizontal="center" vertical="center"/>
    </xf>
    <xf numFmtId="0" fontId="15" fillId="0" borderId="0" xfId="1047" applyFont="1" applyFill="1" applyBorder="1" applyAlignment="1">
      <alignment horizontal="center" vertical="center"/>
    </xf>
    <xf numFmtId="14" fontId="15" fillId="0" borderId="0" xfId="1047" applyNumberFormat="1" applyFont="1" applyFill="1" applyBorder="1" applyAlignment="1">
      <alignment horizontal="center" vertical="center"/>
    </xf>
    <xf numFmtId="0" fontId="15" fillId="0" borderId="0" xfId="1047" applyFont="1" applyFill="1" applyBorder="1" applyAlignment="1">
      <alignment vertical="center"/>
    </xf>
    <xf numFmtId="0" fontId="45" fillId="0" borderId="0" xfId="1047" applyFont="1" applyFill="1" applyBorder="1" applyAlignment="1">
      <alignment vertical="center"/>
    </xf>
    <xf numFmtId="0" fontId="15" fillId="25" borderId="48" xfId="1047" applyNumberFormat="1" applyFont="1" applyFill="1" applyBorder="1" applyAlignment="1">
      <alignment horizontal="center" vertical="center"/>
    </xf>
    <xf numFmtId="174" fontId="15" fillId="25" borderId="48" xfId="1047" applyNumberFormat="1" applyFont="1" applyFill="1" applyBorder="1" applyAlignment="1">
      <alignment horizontal="center" vertical="center"/>
    </xf>
    <xf numFmtId="49" fontId="15" fillId="25" borderId="48" xfId="1047" applyNumberFormat="1" applyFont="1" applyFill="1" applyBorder="1" applyAlignment="1">
      <alignment horizontal="center" vertical="center"/>
    </xf>
    <xf numFmtId="1" fontId="15" fillId="25" borderId="48" xfId="1047" applyNumberFormat="1" applyFont="1" applyFill="1" applyBorder="1" applyAlignment="1">
      <alignment horizontal="center" vertical="center"/>
    </xf>
    <xf numFmtId="0" fontId="15" fillId="25" borderId="48" xfId="1047" applyFont="1" applyFill="1" applyBorder="1" applyAlignment="1">
      <alignment horizontal="right" vertical="center"/>
    </xf>
    <xf numFmtId="10" fontId="15" fillId="25" borderId="48" xfId="963" applyNumberFormat="1" applyFont="1" applyFill="1" applyBorder="1" applyAlignment="1">
      <alignment horizontal="center" vertical="center"/>
    </xf>
    <xf numFmtId="0" fontId="15" fillId="25" borderId="48" xfId="1047" applyFont="1" applyFill="1" applyBorder="1" applyAlignment="1">
      <alignment horizontal="center" vertical="center"/>
    </xf>
    <xf numFmtId="14" fontId="15" fillId="25" borderId="48" xfId="1047" applyNumberFormat="1" applyFont="1" applyFill="1" applyBorder="1" applyAlignment="1">
      <alignment horizontal="center" vertical="center"/>
    </xf>
    <xf numFmtId="10" fontId="15" fillId="0" borderId="0" xfId="1047" applyNumberFormat="1" applyFont="1" applyFill="1" applyBorder="1" applyAlignment="1">
      <alignment horizontal="center" vertical="center"/>
    </xf>
    <xf numFmtId="10" fontId="45" fillId="0" borderId="0" xfId="1047" applyNumberFormat="1" applyFont="1" applyFill="1" applyBorder="1" applyAlignment="1">
      <alignment vertical="center"/>
    </xf>
    <xf numFmtId="14" fontId="45" fillId="0" borderId="0" xfId="1047" applyNumberFormat="1" applyFont="1" applyFill="1" applyBorder="1" applyAlignment="1">
      <alignment vertical="center"/>
    </xf>
    <xf numFmtId="0" fontId="46" fillId="0" borderId="0" xfId="962" applyFont="1" applyAlignment="1">
      <alignment horizontal="center" vertical="center"/>
    </xf>
    <xf numFmtId="49" fontId="11" fillId="0" borderId="0" xfId="962" applyNumberFormat="1" applyFont="1" applyAlignment="1">
      <alignment horizontal="center" vertical="center"/>
    </xf>
    <xf numFmtId="174" fontId="11" fillId="0" borderId="0" xfId="962" applyNumberFormat="1" applyFont="1" applyAlignment="1">
      <alignment horizontal="center" vertical="center"/>
    </xf>
    <xf numFmtId="49" fontId="33" fillId="0" borderId="0" xfId="963" applyNumberFormat="1" applyFont="1" applyAlignment="1">
      <alignment horizontal="center" vertical="center"/>
    </xf>
    <xf numFmtId="1" fontId="15" fillId="0" borderId="0" xfId="963" applyNumberFormat="1" applyFont="1" applyBorder="1" applyAlignment="1">
      <alignment horizontal="center" vertical="center"/>
    </xf>
    <xf numFmtId="173" fontId="33" fillId="0" borderId="0" xfId="963" applyNumberFormat="1" applyFont="1" applyBorder="1" applyAlignment="1">
      <alignment horizontal="center" vertical="center"/>
    </xf>
    <xf numFmtId="173" fontId="33" fillId="0" borderId="0" xfId="963" applyNumberFormat="1" applyFont="1" applyAlignment="1">
      <alignment horizontal="right" vertical="center"/>
    </xf>
    <xf numFmtId="173" fontId="33" fillId="0" borderId="0" xfId="1047" applyNumberFormat="1" applyFont="1" applyAlignment="1">
      <alignment horizontal="right" vertical="center"/>
    </xf>
    <xf numFmtId="0" fontId="33" fillId="0" borderId="0" xfId="1047" applyFont="1" applyAlignment="1">
      <alignment horizontal="center" vertical="center"/>
    </xf>
    <xf numFmtId="49" fontId="47" fillId="26" borderId="39" xfId="962" applyNumberFormat="1" applyFont="1" applyFill="1" applyBorder="1" applyAlignment="1">
      <alignment horizontal="left" vertical="center"/>
    </xf>
    <xf numFmtId="174" fontId="11" fillId="26" borderId="40" xfId="962" applyNumberFormat="1" applyFont="1" applyFill="1" applyBorder="1" applyAlignment="1">
      <alignment horizontal="center" vertical="center"/>
    </xf>
    <xf numFmtId="49" fontId="11" fillId="26" borderId="40" xfId="962" applyNumberFormat="1" applyFont="1" applyFill="1" applyBorder="1" applyAlignment="1">
      <alignment horizontal="center" vertical="center"/>
    </xf>
    <xf numFmtId="49" fontId="34" fillId="26" borderId="40" xfId="963" applyNumberFormat="1" applyFont="1" applyFill="1" applyBorder="1" applyAlignment="1">
      <alignment horizontal="center" vertical="center"/>
    </xf>
    <xf numFmtId="49" fontId="33" fillId="26" borderId="40" xfId="963" applyNumberFormat="1" applyFont="1" applyFill="1" applyBorder="1" applyAlignment="1">
      <alignment horizontal="center" vertical="center"/>
    </xf>
    <xf numFmtId="1" fontId="15" fillId="26" borderId="40" xfId="963" applyNumberFormat="1" applyFont="1" applyFill="1" applyBorder="1" applyAlignment="1">
      <alignment horizontal="center" vertical="center"/>
    </xf>
    <xf numFmtId="173" fontId="33" fillId="26" borderId="40" xfId="963" applyNumberFormat="1" applyFont="1" applyFill="1" applyBorder="1" applyAlignment="1">
      <alignment horizontal="center" vertical="center"/>
    </xf>
    <xf numFmtId="10" fontId="48" fillId="26" borderId="40" xfId="963" applyNumberFormat="1" applyFont="1" applyFill="1" applyBorder="1" applyAlignment="1">
      <alignment horizontal="left" vertical="center"/>
    </xf>
    <xf numFmtId="173" fontId="33" fillId="26" borderId="40" xfId="963" applyNumberFormat="1" applyFont="1" applyFill="1" applyBorder="1" applyAlignment="1">
      <alignment horizontal="right" vertical="center"/>
    </xf>
    <xf numFmtId="173" fontId="33" fillId="26" borderId="40" xfId="1047" applyNumberFormat="1" applyFont="1" applyFill="1" applyBorder="1" applyAlignment="1">
      <alignment horizontal="right" vertical="center"/>
    </xf>
    <xf numFmtId="0" fontId="33" fillId="26" borderId="40" xfId="1047" applyFont="1" applyFill="1" applyBorder="1" applyAlignment="1">
      <alignment horizontal="center" vertical="center"/>
    </xf>
    <xf numFmtId="167" fontId="15" fillId="26" borderId="49" xfId="963" applyFont="1" applyFill="1" applyBorder="1" applyAlignment="1">
      <alignment horizontal="center" vertical="center"/>
    </xf>
    <xf numFmtId="0" fontId="46" fillId="0" borderId="0" xfId="962" applyFont="1" applyAlignment="1">
      <alignment horizontal="center" vertical="center" wrapText="1"/>
    </xf>
    <xf numFmtId="49" fontId="44" fillId="27" borderId="50" xfId="962" applyNumberFormat="1" applyFont="1" applyFill="1" applyBorder="1" applyAlignment="1">
      <alignment horizontal="center" vertical="top" wrapText="1"/>
    </xf>
    <xf numFmtId="174" fontId="44" fillId="27" borderId="51" xfId="962" applyNumberFormat="1" applyFont="1" applyFill="1" applyBorder="1" applyAlignment="1">
      <alignment horizontal="center" vertical="center" wrapText="1"/>
    </xf>
    <xf numFmtId="49" fontId="44" fillId="27" borderId="51" xfId="962" applyNumberFormat="1" applyFont="1" applyFill="1" applyBorder="1" applyAlignment="1">
      <alignment horizontal="center" vertical="center" wrapText="1"/>
    </xf>
    <xf numFmtId="49" fontId="49" fillId="27" borderId="51" xfId="963" applyNumberFormat="1" applyFont="1" applyFill="1" applyBorder="1" applyAlignment="1">
      <alignment horizontal="center" vertical="center" wrapText="1"/>
    </xf>
    <xf numFmtId="1" fontId="44" fillId="27" borderId="51" xfId="963" applyNumberFormat="1" applyFont="1" applyFill="1" applyBorder="1" applyAlignment="1">
      <alignment horizontal="center" vertical="center" wrapText="1"/>
    </xf>
    <xf numFmtId="173" fontId="49" fillId="27" borderId="51" xfId="963" applyNumberFormat="1" applyFont="1" applyFill="1" applyBorder="1" applyAlignment="1">
      <alignment horizontal="center" vertical="center" wrapText="1"/>
    </xf>
    <xf numFmtId="10" fontId="44" fillId="27" borderId="51" xfId="963" applyNumberFormat="1" applyFont="1" applyFill="1" applyBorder="1" applyAlignment="1">
      <alignment horizontal="center" vertical="center" wrapText="1"/>
    </xf>
    <xf numFmtId="173" fontId="49" fillId="27" borderId="51" xfId="1047" applyNumberFormat="1" applyFont="1" applyFill="1" applyBorder="1" applyAlignment="1">
      <alignment horizontal="center" vertical="center" wrapText="1"/>
    </xf>
    <xf numFmtId="0" fontId="49" fillId="27" borderId="51" xfId="1047" applyFont="1" applyFill="1" applyBorder="1" applyAlignment="1">
      <alignment horizontal="center" vertical="center" wrapText="1"/>
    </xf>
    <xf numFmtId="167" fontId="44" fillId="27" borderId="52" xfId="963" applyFont="1" applyFill="1" applyBorder="1" applyAlignment="1">
      <alignment horizontal="center" vertical="center" wrapText="1"/>
    </xf>
    <xf numFmtId="0" fontId="11" fillId="0" borderId="0" xfId="962" applyFont="1" applyAlignment="1">
      <alignment horizontal="center" vertical="center" wrapText="1"/>
    </xf>
    <xf numFmtId="0" fontId="2" fillId="0" borderId="0" xfId="1047" applyFont="1"/>
    <xf numFmtId="49" fontId="15" fillId="6" borderId="53" xfId="962" applyNumberFormat="1" applyFont="1" applyFill="1" applyBorder="1" applyAlignment="1">
      <alignment horizontal="center" vertical="center"/>
    </xf>
    <xf numFmtId="174" fontId="15" fillId="6" borderId="54" xfId="962" applyNumberFormat="1" applyFont="1" applyFill="1" applyBorder="1" applyAlignment="1">
      <alignment horizontal="center" vertical="center"/>
    </xf>
    <xf numFmtId="49" fontId="15" fillId="6" borderId="54" xfId="962" applyNumberFormat="1" applyFont="1" applyFill="1" applyBorder="1" applyAlignment="1">
      <alignment horizontal="center" vertical="center"/>
    </xf>
    <xf numFmtId="1" fontId="15" fillId="6" borderId="54" xfId="962" applyNumberFormat="1" applyFont="1" applyFill="1" applyBorder="1" applyAlignment="1">
      <alignment horizontal="center" vertical="center"/>
    </xf>
    <xf numFmtId="173" fontId="15" fillId="6" borderId="54" xfId="962" applyNumberFormat="1" applyFont="1" applyFill="1" applyBorder="1" applyAlignment="1">
      <alignment horizontal="center" vertical="center"/>
    </xf>
    <xf numFmtId="10" fontId="15" fillId="6" borderId="54" xfId="962" applyNumberFormat="1" applyFont="1" applyFill="1" applyBorder="1" applyAlignment="1">
      <alignment horizontal="center" vertical="center"/>
    </xf>
    <xf numFmtId="173" fontId="15" fillId="6" borderId="54" xfId="962" applyNumberFormat="1" applyFont="1" applyFill="1" applyBorder="1" applyAlignment="1">
      <alignment horizontal="right" vertical="center"/>
    </xf>
    <xf numFmtId="0" fontId="15" fillId="6" borderId="54" xfId="962" applyFont="1" applyFill="1" applyBorder="1" applyAlignment="1">
      <alignment horizontal="center" vertical="center"/>
    </xf>
    <xf numFmtId="0" fontId="15" fillId="6" borderId="55" xfId="962" applyFont="1" applyFill="1" applyBorder="1" applyAlignment="1">
      <alignment horizontal="center" vertical="center"/>
    </xf>
    <xf numFmtId="0" fontId="50" fillId="0" borderId="0" xfId="1047" applyFont="1"/>
    <xf numFmtId="49" fontId="50" fillId="0" borderId="0" xfId="1047" applyNumberFormat="1" applyFont="1"/>
    <xf numFmtId="174" fontId="50" fillId="0" borderId="0" xfId="1047" applyNumberFormat="1" applyFont="1"/>
    <xf numFmtId="10" fontId="50" fillId="0" borderId="0" xfId="1047" applyNumberFormat="1" applyFont="1"/>
    <xf numFmtId="0" fontId="50" fillId="0" borderId="0" xfId="1047" applyFont="1" applyFill="1" applyBorder="1"/>
    <xf numFmtId="49" fontId="50" fillId="0" borderId="0" xfId="1047" applyNumberFormat="1" applyFont="1" applyFill="1" applyBorder="1"/>
    <xf numFmtId="174" fontId="50" fillId="0" borderId="0" xfId="1047" applyNumberFormat="1" applyFont="1" applyFill="1" applyBorder="1"/>
    <xf numFmtId="10" fontId="50" fillId="0" borderId="0" xfId="1047" applyNumberFormat="1" applyFont="1" applyFill="1" applyBorder="1"/>
    <xf numFmtId="49" fontId="2" fillId="0" borderId="0" xfId="1047" applyNumberFormat="1"/>
    <xf numFmtId="174" fontId="2" fillId="0" borderId="0" xfId="1047" applyNumberFormat="1"/>
    <xf numFmtId="14" fontId="11" fillId="22" borderId="32" xfId="962" applyNumberFormat="1" applyFont="1" applyFill="1" applyBorder="1" applyAlignment="1">
      <alignment horizontal="center" vertical="center"/>
    </xf>
    <xf numFmtId="0" fontId="11" fillId="0" borderId="0" xfId="1047" applyFont="1" applyAlignment="1">
      <alignment horizontal="center"/>
    </xf>
    <xf numFmtId="0" fontId="42" fillId="0" borderId="0" xfId="1047" applyFont="1" applyAlignment="1">
      <alignment horizontal="center"/>
    </xf>
    <xf numFmtId="175" fontId="42" fillId="0" borderId="0" xfId="1047" applyNumberFormat="1" applyFont="1" applyAlignment="1">
      <alignment horizontal="center"/>
    </xf>
    <xf numFmtId="0" fontId="2" fillId="28" borderId="0" xfId="1047" applyFill="1"/>
    <xf numFmtId="0" fontId="12" fillId="0" borderId="0" xfId="1047" applyFont="1"/>
    <xf numFmtId="175" fontId="2" fillId="0" borderId="0" xfId="1047" applyNumberFormat="1"/>
    <xf numFmtId="14" fontId="11" fillId="21" borderId="31" xfId="962" applyNumberFormat="1" applyFont="1" applyFill="1" applyBorder="1" applyAlignment="1">
      <alignment horizontal="center" vertical="center"/>
    </xf>
    <xf numFmtId="0" fontId="0" fillId="0" borderId="0" xfId="1047" applyFont="1"/>
    <xf numFmtId="0" fontId="2" fillId="25" borderId="0" xfId="1047" applyFill="1"/>
    <xf numFmtId="0" fontId="12" fillId="0" borderId="0" xfId="1047" applyFont="1" applyFill="1" applyBorder="1"/>
    <xf numFmtId="49" fontId="50" fillId="25" borderId="48" xfId="1047" applyNumberFormat="1" applyFont="1" applyFill="1" applyBorder="1"/>
    <xf numFmtId="174" fontId="50" fillId="25" borderId="48" xfId="1047" applyNumberFormat="1" applyFont="1" applyFill="1" applyBorder="1"/>
    <xf numFmtId="0" fontId="50" fillId="25" borderId="48" xfId="1047" applyFont="1" applyFill="1" applyBorder="1"/>
    <xf numFmtId="10" fontId="50" fillId="25" borderId="48" xfId="1047" applyNumberFormat="1" applyFont="1" applyFill="1" applyBorder="1"/>
    <xf numFmtId="49" fontId="0" fillId="0" borderId="0" xfId="1047" applyNumberFormat="1" applyFont="1"/>
    <xf numFmtId="0" fontId="0" fillId="0" borderId="0" xfId="0" applyNumberFormat="1"/>
    <xf numFmtId="0" fontId="51" fillId="0" borderId="0" xfId="962" applyFont="1" applyAlignment="1">
      <alignment horizontal="center" vertical="center"/>
    </xf>
    <xf numFmtId="14" fontId="0" fillId="0" borderId="0" xfId="963" applyNumberFormat="1" applyFont="1"/>
    <xf numFmtId="0" fontId="11" fillId="10" borderId="0" xfId="962" applyFont="1" applyFill="1" applyAlignment="1">
      <alignment horizontal="center" vertical="center"/>
    </xf>
    <xf numFmtId="0" fontId="11" fillId="15" borderId="0" xfId="962" applyFont="1" applyFill="1" applyAlignment="1">
      <alignment horizontal="center" vertical="center"/>
    </xf>
    <xf numFmtId="14" fontId="11" fillId="15" borderId="0" xfId="962" applyNumberFormat="1" applyFont="1" applyFill="1" applyAlignment="1">
      <alignment horizontal="center" vertical="center"/>
    </xf>
    <xf numFmtId="0" fontId="52" fillId="0" borderId="0" xfId="962" applyFont="1" applyFill="1" applyBorder="1" applyAlignment="1" applyProtection="1">
      <alignment horizontal="center" vertical="center" wrapText="1"/>
      <protection locked="0"/>
    </xf>
    <xf numFmtId="14" fontId="0" fillId="0" borderId="0" xfId="963" applyNumberFormat="1" applyFont="1" applyBorder="1"/>
    <xf numFmtId="0" fontId="53" fillId="0" borderId="0" xfId="962" applyFont="1" applyFill="1" applyBorder="1" applyAlignment="1">
      <alignment horizontal="left"/>
    </xf>
    <xf numFmtId="14" fontId="12" fillId="0" borderId="29" xfId="962" applyNumberFormat="1" applyBorder="1"/>
    <xf numFmtId="16" fontId="53" fillId="0" borderId="0" xfId="962" applyNumberFormat="1" applyFont="1" applyFill="1" applyBorder="1" applyAlignment="1">
      <alignment horizontal="left"/>
    </xf>
    <xf numFmtId="14" fontId="12" fillId="0" borderId="30" xfId="962" applyNumberFormat="1" applyBorder="1"/>
    <xf numFmtId="0" fontId="54" fillId="0" borderId="0" xfId="962" applyFont="1"/>
    <xf numFmtId="14" fontId="8" fillId="0" borderId="0" xfId="0" applyNumberFormat="1" applyFont="1" applyFill="1" applyBorder="1" applyAlignment="1">
      <alignment horizontal="center" vertical="center"/>
    </xf>
    <xf numFmtId="0" fontId="12" fillId="0" borderId="0" xfId="962" applyFont="1" applyFill="1" applyBorder="1" applyAlignment="1">
      <alignment vertical="center"/>
    </xf>
    <xf numFmtId="0" fontId="12" fillId="15" borderId="4" xfId="962" applyFill="1" applyBorder="1"/>
    <xf numFmtId="0" fontId="12" fillId="15" borderId="29" xfId="962" applyFill="1" applyBorder="1"/>
    <xf numFmtId="0" fontId="12" fillId="15" borderId="30" xfId="962" applyFill="1" applyBorder="1"/>
    <xf numFmtId="0" fontId="12" fillId="10" borderId="4" xfId="962" applyFill="1" applyBorder="1"/>
    <xf numFmtId="0" fontId="12" fillId="10" borderId="29" xfId="962" applyFill="1" applyBorder="1"/>
    <xf numFmtId="0" fontId="12" fillId="10" borderId="30" xfId="962" applyFill="1" applyBorder="1"/>
    <xf numFmtId="14" fontId="12" fillId="0" borderId="4" xfId="962" applyNumberFormat="1" applyBorder="1"/>
    <xf numFmtId="0" fontId="15" fillId="0" borderId="47" xfId="1047" applyNumberFormat="1" applyFont="1" applyFill="1" applyBorder="1" applyAlignment="1">
      <alignment horizontal="center" vertical="center"/>
    </xf>
    <xf numFmtId="174" fontId="15" fillId="0" borderId="47" xfId="1047" applyNumberFormat="1" applyFont="1" applyFill="1" applyBorder="1" applyAlignment="1">
      <alignment horizontal="center" vertical="center"/>
    </xf>
    <xf numFmtId="1" fontId="15" fillId="0" borderId="47" xfId="1047" applyNumberFormat="1" applyFont="1" applyFill="1" applyBorder="1" applyAlignment="1">
      <alignment horizontal="center" vertical="center"/>
    </xf>
    <xf numFmtId="0" fontId="15" fillId="0" borderId="47" xfId="1047" applyFont="1" applyFill="1" applyBorder="1" applyAlignment="1">
      <alignment horizontal="right" vertical="center"/>
    </xf>
    <xf numFmtId="10" fontId="15" fillId="0" borderId="47" xfId="963" applyNumberFormat="1" applyFont="1" applyFill="1" applyBorder="1" applyAlignment="1">
      <alignment horizontal="center" vertical="center"/>
    </xf>
    <xf numFmtId="0" fontId="15" fillId="0" borderId="47" xfId="1047" applyFont="1" applyFill="1" applyBorder="1" applyAlignment="1">
      <alignment horizontal="center" vertical="center"/>
    </xf>
    <xf numFmtId="14" fontId="15" fillId="0" borderId="47" xfId="1047" applyNumberFormat="1" applyFont="1" applyFill="1" applyBorder="1" applyAlignment="1">
      <alignment horizontal="center" vertical="center"/>
    </xf>
    <xf numFmtId="0" fontId="50" fillId="0" borderId="0" xfId="1047" applyNumberFormat="1" applyFont="1"/>
    <xf numFmtId="0" fontId="50" fillId="29" borderId="47" xfId="1047" applyNumberFormat="1" applyFont="1" applyFill="1" applyBorder="1"/>
    <xf numFmtId="174" fontId="50" fillId="29" borderId="47" xfId="1047" applyNumberFormat="1" applyFont="1" applyFill="1" applyBorder="1"/>
    <xf numFmtId="49" fontId="50" fillId="29" borderId="47" xfId="1047" applyNumberFormat="1" applyFont="1" applyFill="1" applyBorder="1"/>
    <xf numFmtId="0" fontId="50" fillId="29" borderId="47" xfId="1047" applyFont="1" applyFill="1" applyBorder="1"/>
    <xf numFmtId="10" fontId="50" fillId="29" borderId="47" xfId="1047" applyNumberFormat="1" applyFont="1" applyFill="1" applyBorder="1"/>
    <xf numFmtId="49" fontId="0" fillId="0" borderId="0" xfId="0" applyNumberFormat="1" applyAlignment="1">
      <alignment horizontal="left" wrapText="1"/>
    </xf>
    <xf numFmtId="164" fontId="0" fillId="0" borderId="0" xfId="0" applyAlignment="1">
      <alignment horizontal="center" wrapText="1"/>
    </xf>
    <xf numFmtId="17" fontId="8" fillId="7" borderId="8" xfId="0" applyNumberFormat="1" applyFont="1" applyFill="1" applyBorder="1" applyAlignment="1">
      <alignment horizontal="center"/>
    </xf>
    <xf numFmtId="17" fontId="8" fillId="7" borderId="11" xfId="0" applyNumberFormat="1" applyFont="1" applyFill="1" applyBorder="1" applyAlignment="1">
      <alignment horizontal="center"/>
    </xf>
    <xf numFmtId="17" fontId="8" fillId="7" borderId="10" xfId="0" applyNumberFormat="1" applyFont="1" applyFill="1" applyBorder="1" applyAlignment="1">
      <alignment horizontal="center"/>
    </xf>
    <xf numFmtId="0" fontId="26" fillId="0" borderId="3" xfId="1048" applyFont="1" applyBorder="1" applyAlignment="1">
      <alignment horizontal="center" vertical="center" textRotation="90"/>
    </xf>
    <xf numFmtId="0" fontId="26" fillId="0" borderId="5" xfId="1048" applyFont="1" applyBorder="1" applyAlignment="1">
      <alignment horizontal="center" vertical="center" textRotation="90"/>
    </xf>
    <xf numFmtId="0" fontId="16" fillId="0" borderId="0" xfId="1048" applyFont="1" applyBorder="1" applyAlignment="1">
      <alignment horizontal="center" vertical="center"/>
    </xf>
    <xf numFmtId="0" fontId="16" fillId="0" borderId="14" xfId="1048" applyFont="1" applyBorder="1" applyAlignment="1">
      <alignment horizontal="center" vertical="center"/>
    </xf>
    <xf numFmtId="0" fontId="16" fillId="0" borderId="0" xfId="1048" applyFont="1" applyAlignment="1">
      <alignment horizontal="center"/>
    </xf>
    <xf numFmtId="0" fontId="22" fillId="0" borderId="2" xfId="1048" applyFont="1" applyBorder="1" applyAlignment="1">
      <alignment horizontal="center"/>
    </xf>
    <xf numFmtId="0" fontId="26" fillId="0" borderId="4" xfId="1048" applyFont="1" applyBorder="1" applyAlignment="1">
      <alignment horizontal="center" vertical="center" textRotation="90"/>
    </xf>
    <xf numFmtId="0" fontId="25" fillId="0" borderId="0" xfId="1048" applyFont="1" applyBorder="1" applyAlignment="1">
      <alignment horizontal="left" vertical="center" wrapText="1"/>
    </xf>
    <xf numFmtId="0" fontId="25" fillId="0" borderId="0" xfId="1048" applyBorder="1" applyAlignment="1">
      <alignment horizontal="left" vertical="center" wrapText="1"/>
    </xf>
    <xf numFmtId="0" fontId="15" fillId="29" borderId="47" xfId="1047" applyNumberFormat="1" applyFont="1" applyFill="1" applyBorder="1" applyAlignment="1">
      <alignment horizontal="center" vertical="center"/>
    </xf>
    <xf numFmtId="174" fontId="15" fillId="29" borderId="47" xfId="1047" applyNumberFormat="1" applyFont="1" applyFill="1" applyBorder="1" applyAlignment="1">
      <alignment horizontal="center" vertical="center"/>
    </xf>
    <xf numFmtId="1" fontId="15" fillId="29" borderId="47" xfId="1047" applyNumberFormat="1" applyFont="1" applyFill="1" applyBorder="1" applyAlignment="1">
      <alignment horizontal="center" vertical="center"/>
    </xf>
    <xf numFmtId="0" fontId="15" fillId="29" borderId="47" xfId="1047" applyFont="1" applyFill="1" applyBorder="1" applyAlignment="1">
      <alignment horizontal="right" vertical="center"/>
    </xf>
    <xf numFmtId="10" fontId="15" fillId="29" borderId="47" xfId="963" applyNumberFormat="1" applyFont="1" applyFill="1" applyBorder="1" applyAlignment="1">
      <alignment horizontal="center" vertical="center"/>
    </xf>
    <xf numFmtId="0" fontId="15" fillId="29" borderId="47" xfId="1047" applyFont="1" applyFill="1" applyBorder="1" applyAlignment="1">
      <alignment horizontal="center" vertical="center"/>
    </xf>
    <xf numFmtId="14" fontId="15" fillId="29" borderId="47" xfId="1047" applyNumberFormat="1" applyFont="1" applyFill="1" applyBorder="1" applyAlignment="1">
      <alignment horizontal="center" vertical="center"/>
    </xf>
    <xf numFmtId="0" fontId="50" fillId="0" borderId="47" xfId="1047" applyNumberFormat="1" applyFont="1" applyBorder="1"/>
    <xf numFmtId="174" fontId="50" fillId="0" borderId="47" xfId="1047" applyNumberFormat="1" applyFont="1" applyBorder="1"/>
    <xf numFmtId="49" fontId="50" fillId="0" borderId="47" xfId="1047" applyNumberFormat="1" applyFont="1" applyBorder="1"/>
    <xf numFmtId="0" fontId="50" fillId="0" borderId="47" xfId="1047" applyFont="1" applyBorder="1"/>
    <xf numFmtId="10" fontId="50" fillId="0" borderId="47" xfId="1047" applyNumberFormat="1" applyFont="1" applyBorder="1"/>
  </cellXfs>
  <cellStyles count="1432">
    <cellStyle name="Euro" xfId="965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7" builtinId="9" hidden="1"/>
    <cellStyle name="Lien hypertexte visité" xfId="1419" builtinId="9" hidden="1"/>
    <cellStyle name="Lien hypertexte visité" xfId="1421" builtinId="9" hidden="1"/>
    <cellStyle name="Lien hypertexte visité" xfId="1423" builtinId="9" hidden="1"/>
    <cellStyle name="Lien hypertexte visité" xfId="1425" builtinId="9" hidden="1"/>
    <cellStyle name="Lien hypertexte visité" xfId="1427" builtinId="9" hidden="1"/>
    <cellStyle name="Lien hypertexte visité" xfId="1429" builtinId="9" hidden="1"/>
    <cellStyle name="Lien hypertexte visité" xfId="1431" builtinId="9" hidden="1"/>
    <cellStyle name="Milliers" xfId="1415" builtinId="3"/>
    <cellStyle name="Milliers 2" xfId="963"/>
    <cellStyle name="Monétaire 2" xfId="1046"/>
    <cellStyle name="Normal" xfId="0" builtinId="0"/>
    <cellStyle name="Normal 2" xfId="962"/>
    <cellStyle name="Normal 3" xfId="1047"/>
    <cellStyle name="Normal 4" xfId="1048"/>
    <cellStyle name="Pourcentage" xfId="1" builtinId="5"/>
    <cellStyle name="Pourcentage 2" xfId="964"/>
  </cellStyles>
  <dxfs count="88"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color rgb="FF9C0006"/>
      </font>
    </dxf>
    <dxf>
      <font>
        <b/>
        <i val="0"/>
        <color rgb="FF00B050"/>
      </font>
    </dxf>
    <dxf>
      <font>
        <color rgb="FF9C0006"/>
      </font>
    </dxf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theme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2" formatCode="_-* #,##0\ _€_-;\-* #,##0\ _€_-;_-* &quot;-&quot;??\ _€_-;_-@_-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2" formatCode="_-* #,##0\ _€_-;\-* #,##0\ _€_-;_-* &quot;-&quot;??\ _€_-;_-@_-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family val="2"/>
        <scheme val="none"/>
      </font>
      <fill>
        <patternFill patternType="solid">
          <fgColor indexed="64"/>
          <bgColor theme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family val="2"/>
        <scheme val="none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theme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family val="2"/>
        <scheme val="none"/>
      </font>
      <numFmt numFmtId="172" formatCode="_-* #,##0\ _€_-;\-* #,##0\ _€_-;_-* &quot;-&quot;??\ _€_-;_-@_-"/>
      <fill>
        <patternFill patternType="solid">
          <fgColor indexed="64"/>
          <bgColor theme="3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family val="2"/>
        <scheme val="none"/>
      </font>
      <numFmt numFmtId="172" formatCode="_-* #,##0\ _€_-;\-* #,##0\ _€_-;_-* &quot;-&quot;??\ _€_-;_-@_-"/>
      <fill>
        <patternFill patternType="solid">
          <fgColor indexed="64"/>
          <bgColor theme="3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family val="2"/>
        <scheme val="none"/>
      </font>
      <fill>
        <patternFill patternType="solid">
          <fgColor indexed="64"/>
          <bgColor theme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family val="2"/>
        <scheme val="none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family val="2"/>
        <scheme val="none"/>
      </font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Arial Narrow"/>
        <family val="2"/>
        <scheme val="none"/>
      </font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" formatCode="0"/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9" formatCode="dd/mm/yyyy"/>
      <fill>
        <patternFill patternType="solid">
          <fgColor indexed="64"/>
          <bgColor theme="8" tint="0.59999389629810485"/>
        </patternFill>
      </fill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family val="2"/>
        <scheme val="none"/>
      </font>
      <numFmt numFmtId="173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9" defaultPivotStyle="PivotStyleLight16"/>
  <colors>
    <mruColors>
      <color rgb="FF66FF33"/>
      <color rgb="FF1DA2E2"/>
      <color rgb="FFE83029"/>
      <color rgb="FFF2BD09"/>
      <color rgb="FF1AAF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'Plan de Sauvegarde'!$B$3</c:f>
              <c:strCache>
                <c:ptCount val="1"/>
                <c:pt idx="0">
                  <c:v>Échéances Plan de Sauvegarde</c:v>
                </c:pt>
              </c:strCache>
            </c:strRef>
          </c:tx>
          <c:spPr>
            <a:ln w="12700" cmpd="sng">
              <a:solidFill>
                <a:srgbClr val="1AAF8C"/>
              </a:solidFill>
            </a:ln>
          </c:spPr>
          <c:marker>
            <c:symbol val="none"/>
          </c:marker>
          <c:cat>
            <c:numRef>
              <c:f>'Plan de Sauvegarde'!$C$2:$L$2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'Plan de Sauvegarde'!$C$3:$L$3</c:f>
              <c:numCache>
                <c:formatCode>_("€"* #,##0.00_);_("€"* \(#,##0.00\);_("€"* "-"??_);_(@_)</c:formatCode>
                <c:ptCount val="10"/>
                <c:pt idx="0">
                  <c:v>3378.35</c:v>
                </c:pt>
                <c:pt idx="1">
                  <c:v>3378.35</c:v>
                </c:pt>
                <c:pt idx="2">
                  <c:v>5630.57</c:v>
                </c:pt>
                <c:pt idx="3">
                  <c:v>5630.57</c:v>
                </c:pt>
                <c:pt idx="4">
                  <c:v>11261.12</c:v>
                </c:pt>
                <c:pt idx="5">
                  <c:v>15765.6</c:v>
                </c:pt>
                <c:pt idx="6">
                  <c:v>16891.7</c:v>
                </c:pt>
                <c:pt idx="7">
                  <c:v>16891.7</c:v>
                </c:pt>
                <c:pt idx="8">
                  <c:v>16891.7</c:v>
                </c:pt>
                <c:pt idx="9">
                  <c:v>16891.7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8C-430A-9FEA-907B4ACB0E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77688824"/>
        <c:axId val="2127127848"/>
      </c:lineChart>
      <c:catAx>
        <c:axId val="-2077688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27127848"/>
        <c:crosses val="autoZero"/>
        <c:auto val="1"/>
        <c:lblAlgn val="ctr"/>
        <c:lblOffset val="100"/>
        <c:noMultiLvlLbl val="0"/>
      </c:catAx>
      <c:valAx>
        <c:axId val="2127127848"/>
        <c:scaling>
          <c:orientation val="minMax"/>
        </c:scaling>
        <c:delete val="0"/>
        <c:axPos val="l"/>
        <c:majorGridlines/>
        <c:numFmt formatCode="_-&quot;€&quot;* #,##0_-;\-&quot;€&quot;* #,##0_-;_-&quot;€&quot;* &quot;-&quot;_-;_-@_-" sourceLinked="0"/>
        <c:majorTickMark val="out"/>
        <c:minorTickMark val="none"/>
        <c:tickLblPos val="nextTo"/>
        <c:crossAx val="-2077688824"/>
        <c:crosses val="autoZero"/>
        <c:crossBetween val="between"/>
      </c:valAx>
    </c:plotArea>
    <c:legend>
      <c:legendPos val="r"/>
      <c:overlay val="0"/>
      <c:spPr>
        <a:ln>
          <a:noFill/>
        </a:ln>
      </c:spPr>
    </c:legend>
    <c:plotVisOnly val="1"/>
    <c:dispBlanksAs val="gap"/>
    <c:showDLblsOverMax val="0"/>
  </c:chart>
  <c:txPr>
    <a:bodyPr/>
    <a:lstStyle/>
    <a:p>
      <a:pPr>
        <a:defRPr>
          <a:latin typeface="Lato Regular"/>
          <a:cs typeface="Lato Regular"/>
        </a:defRPr>
      </a:pPr>
      <a:endParaRPr lang="fr-FR"/>
    </a:p>
  </c:txPr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</a:t>
            </a:r>
            <a:r>
              <a:rPr lang="fr-FR" baseline="0"/>
              <a:t> du c</a:t>
            </a:r>
            <a:r>
              <a:rPr lang="fr-FR"/>
              <a:t>hiffre d'affaires</a:t>
            </a:r>
            <a:r>
              <a:rPr lang="fr-FR" baseline="0"/>
              <a:t> de 2006 à 2015</a:t>
            </a:r>
            <a:endParaRPr lang="fr-F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Passé!$B$4</c:f>
              <c:strCache>
                <c:ptCount val="1"/>
                <c:pt idx="0">
                  <c:v>Chiffre d'affaires</c:v>
                </c:pt>
              </c:strCache>
            </c:strRef>
          </c:tx>
          <c:spPr>
            <a:ln w="12700" cmpd="sng">
              <a:solidFill>
                <a:srgbClr val="1DA2E2"/>
              </a:solidFill>
            </a:ln>
          </c:spPr>
          <c:marker>
            <c:symbol val="none"/>
          </c:marker>
          <c:cat>
            <c:strRef>
              <c:f>Passé!$D$2:$M$2</c:f>
              <c:strCache>
                <c:ptCount val="10"/>
                <c:pt idx="0">
                  <c:v>2015</c:v>
                </c:pt>
                <c:pt idx="1">
                  <c:v>2014</c:v>
                </c:pt>
                <c:pt idx="2">
                  <c:v>2013</c:v>
                </c:pt>
                <c:pt idx="3">
                  <c:v>2012</c:v>
                </c:pt>
                <c:pt idx="4">
                  <c:v>2011</c:v>
                </c:pt>
                <c:pt idx="5">
                  <c:v>2010</c:v>
                </c:pt>
                <c:pt idx="6">
                  <c:v>2009</c:v>
                </c:pt>
                <c:pt idx="7">
                  <c:v>2008</c:v>
                </c:pt>
                <c:pt idx="8">
                  <c:v>2007</c:v>
                </c:pt>
                <c:pt idx="9">
                  <c:v>2006</c:v>
                </c:pt>
              </c:strCache>
            </c:strRef>
          </c:cat>
          <c:val>
            <c:numRef>
              <c:f>Passé!$D$4:$M$4</c:f>
              <c:numCache>
                <c:formatCode>_-* #\ ##0\ [$€-40C]_-;\-* #\ ##0\ [$€-40C]_-;_-* "-"??\ [$€-40C]_-;_-@_-</c:formatCode>
                <c:ptCount val="10"/>
                <c:pt idx="0">
                  <c:v>562326</c:v>
                </c:pt>
                <c:pt idx="1">
                  <c:v>470000</c:v>
                </c:pt>
                <c:pt idx="2">
                  <c:v>514300</c:v>
                </c:pt>
                <c:pt idx="3">
                  <c:v>437500</c:v>
                </c:pt>
                <c:pt idx="4">
                  <c:v>419100</c:v>
                </c:pt>
                <c:pt idx="5">
                  <c:v>482200</c:v>
                </c:pt>
                <c:pt idx="6">
                  <c:v>552000</c:v>
                </c:pt>
                <c:pt idx="7">
                  <c:v>465000</c:v>
                </c:pt>
                <c:pt idx="8">
                  <c:v>516000</c:v>
                </c:pt>
                <c:pt idx="9">
                  <c:v>419000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24-468C-87FF-B313F1EB2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5880152"/>
        <c:axId val="-2038267480"/>
      </c:lineChart>
      <c:catAx>
        <c:axId val="2125880152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crossAx val="-2038267480"/>
        <c:crosses val="autoZero"/>
        <c:auto val="1"/>
        <c:lblAlgn val="ctr"/>
        <c:lblOffset val="100"/>
        <c:noMultiLvlLbl val="0"/>
      </c:catAx>
      <c:valAx>
        <c:axId val="-2038267480"/>
        <c:scaling>
          <c:orientation val="minMax"/>
          <c:min val="0"/>
        </c:scaling>
        <c:delete val="0"/>
        <c:axPos val="r"/>
        <c:majorGridlines/>
        <c:numFmt formatCode="_-* #\ ##0\ [$€-40C]_-;\-* #\ ##0\ [$€-40C]_-;_-* &quot;-&quot;??\ [$€-40C]_-;_-@_-" sourceLinked="1"/>
        <c:majorTickMark val="out"/>
        <c:minorTickMark val="none"/>
        <c:tickLblPos val="nextTo"/>
        <c:crossAx val="21258801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>
          <a:latin typeface="Lato Regular"/>
          <a:cs typeface="Lato Regular"/>
        </a:defRPr>
      </a:pPr>
      <a:endParaRPr lang="fr-FR"/>
    </a:p>
  </c:txPr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Passé!$B$7</c:f>
              <c:strCache>
                <c:ptCount val="1"/>
                <c:pt idx="0">
                  <c:v>Excédent brut d'exploitation (EBE)</c:v>
                </c:pt>
              </c:strCache>
            </c:strRef>
          </c:tx>
          <c:spPr>
            <a:ln w="12700" cmpd="sng">
              <a:solidFill>
                <a:srgbClr val="1AAF8C"/>
              </a:solidFill>
            </a:ln>
          </c:spPr>
          <c:marker>
            <c:symbol val="none"/>
          </c:marker>
          <c:cat>
            <c:numRef>
              <c:f>Passé!$E$2:$N$2</c:f>
              <c:numCache>
                <c:formatCode>@</c:formatCode>
                <c:ptCount val="10"/>
                <c:pt idx="0">
                  <c:v>2014</c:v>
                </c:pt>
                <c:pt idx="1">
                  <c:v>2013</c:v>
                </c:pt>
                <c:pt idx="2">
                  <c:v>2012</c:v>
                </c:pt>
                <c:pt idx="3">
                  <c:v>2011</c:v>
                </c:pt>
                <c:pt idx="4">
                  <c:v>2010</c:v>
                </c:pt>
                <c:pt idx="5">
                  <c:v>2009</c:v>
                </c:pt>
                <c:pt idx="6">
                  <c:v>2008</c:v>
                </c:pt>
                <c:pt idx="7">
                  <c:v>2007</c:v>
                </c:pt>
                <c:pt idx="8">
                  <c:v>2006</c:v>
                </c:pt>
                <c:pt idx="9">
                  <c:v>2004</c:v>
                </c:pt>
              </c:numCache>
            </c:numRef>
          </c:cat>
          <c:val>
            <c:numRef>
              <c:f>Passé!$E$7:$N$7</c:f>
              <c:numCache>
                <c:formatCode>_-* #\ ##0\ [$€-40C]_-;\-* #\ ##0\ [$€-40C]_-;_-* "-"??\ [$€-40C]_-;_-@_-</c:formatCode>
                <c:ptCount val="10"/>
                <c:pt idx="0">
                  <c:v>14300</c:v>
                </c:pt>
                <c:pt idx="1">
                  <c:v>-1300</c:v>
                </c:pt>
                <c:pt idx="2">
                  <c:v>-7200</c:v>
                </c:pt>
                <c:pt idx="3">
                  <c:v>9100</c:v>
                </c:pt>
                <c:pt idx="4">
                  <c:v>-21300</c:v>
                </c:pt>
                <c:pt idx="5">
                  <c:v>-4000</c:v>
                </c:pt>
                <c:pt idx="6">
                  <c:v>7000</c:v>
                </c:pt>
                <c:pt idx="7">
                  <c:v>12000</c:v>
                </c:pt>
                <c:pt idx="8">
                  <c:v>10000</c:v>
                </c:pt>
                <c:pt idx="9">
                  <c:v>15000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E3-4E21-8DE7-E22C5501B5FD}"/>
            </c:ext>
          </c:extLst>
        </c:ser>
        <c:ser>
          <c:idx val="2"/>
          <c:order val="1"/>
          <c:tx>
            <c:strRef>
              <c:f>Passé!$B$9</c:f>
              <c:strCache>
                <c:ptCount val="1"/>
                <c:pt idx="0">
                  <c:v>Résultat net</c:v>
                </c:pt>
              </c:strCache>
            </c:strRef>
          </c:tx>
          <c:spPr>
            <a:ln w="12700" cmpd="sng">
              <a:solidFill>
                <a:srgbClr val="E83029"/>
              </a:solidFill>
            </a:ln>
          </c:spPr>
          <c:marker>
            <c:symbol val="none"/>
          </c:marker>
          <c:cat>
            <c:numRef>
              <c:f>Passé!$E$2:$N$2</c:f>
              <c:numCache>
                <c:formatCode>@</c:formatCode>
                <c:ptCount val="10"/>
                <c:pt idx="0">
                  <c:v>2014</c:v>
                </c:pt>
                <c:pt idx="1">
                  <c:v>2013</c:v>
                </c:pt>
                <c:pt idx="2">
                  <c:v>2012</c:v>
                </c:pt>
                <c:pt idx="3">
                  <c:v>2011</c:v>
                </c:pt>
                <c:pt idx="4">
                  <c:v>2010</c:v>
                </c:pt>
                <c:pt idx="5">
                  <c:v>2009</c:v>
                </c:pt>
                <c:pt idx="6">
                  <c:v>2008</c:v>
                </c:pt>
                <c:pt idx="7">
                  <c:v>2007</c:v>
                </c:pt>
                <c:pt idx="8">
                  <c:v>2006</c:v>
                </c:pt>
                <c:pt idx="9">
                  <c:v>2004</c:v>
                </c:pt>
              </c:numCache>
            </c:numRef>
          </c:cat>
          <c:val>
            <c:numRef>
              <c:f>Passé!$E$9:$N$9</c:f>
              <c:numCache>
                <c:formatCode>_-* #\ ##0\ [$€-40C]_-;\-* #\ ##0\ [$€-40C]_-;_-* "-"??\ [$€-40C]_-;_-@_-</c:formatCode>
                <c:ptCount val="10"/>
                <c:pt idx="0">
                  <c:v>10200</c:v>
                </c:pt>
                <c:pt idx="1">
                  <c:v>-4400</c:v>
                </c:pt>
                <c:pt idx="2">
                  <c:v>-10500</c:v>
                </c:pt>
                <c:pt idx="3">
                  <c:v>4000</c:v>
                </c:pt>
                <c:pt idx="4">
                  <c:v>-31700</c:v>
                </c:pt>
                <c:pt idx="5">
                  <c:v>-15000</c:v>
                </c:pt>
                <c:pt idx="6">
                  <c:v>5000</c:v>
                </c:pt>
                <c:pt idx="7">
                  <c:v>11000</c:v>
                </c:pt>
                <c:pt idx="8">
                  <c:v>13000</c:v>
                </c:pt>
                <c:pt idx="9">
                  <c:v>7000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E3-4E21-8DE7-E22C5501B5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55601784"/>
        <c:axId val="-2077369864"/>
      </c:lineChart>
      <c:catAx>
        <c:axId val="-2055601784"/>
        <c:scaling>
          <c:orientation val="maxMin"/>
        </c:scaling>
        <c:delete val="0"/>
        <c:axPos val="b"/>
        <c:numFmt formatCode="@" sourceLinked="1"/>
        <c:majorTickMark val="out"/>
        <c:minorTickMark val="none"/>
        <c:tickLblPos val="nextTo"/>
        <c:crossAx val="-2077369864"/>
        <c:crosses val="autoZero"/>
        <c:auto val="1"/>
        <c:lblAlgn val="ctr"/>
        <c:lblOffset val="100"/>
        <c:noMultiLvlLbl val="0"/>
      </c:catAx>
      <c:valAx>
        <c:axId val="-2077369864"/>
        <c:scaling>
          <c:orientation val="minMax"/>
        </c:scaling>
        <c:delete val="0"/>
        <c:axPos val="r"/>
        <c:majorGridlines/>
        <c:numFmt formatCode="_-* #\ ##0\ [$€-40C]_-;\-* #\ ##0\ [$€-40C]_-;_-* &quot;-&quot;??\ [$€-40C]_-;_-@_-" sourceLinked="1"/>
        <c:majorTickMark val="out"/>
        <c:minorTickMark val="none"/>
        <c:tickLblPos val="nextTo"/>
        <c:crossAx val="-20556017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</a:t>
            </a:r>
            <a:r>
              <a:rPr lang="fr-FR" baseline="0"/>
              <a:t> du c</a:t>
            </a:r>
            <a:r>
              <a:rPr lang="fr-FR"/>
              <a:t>hiffre d'affaires</a:t>
            </a:r>
            <a:r>
              <a:rPr lang="fr-FR" baseline="0"/>
              <a:t> de 2006 à 2014</a:t>
            </a:r>
            <a:endParaRPr lang="fr-F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Passé!$B$4</c:f>
              <c:strCache>
                <c:ptCount val="1"/>
                <c:pt idx="0">
                  <c:v>Chiffre d'affaires</c:v>
                </c:pt>
              </c:strCache>
            </c:strRef>
          </c:tx>
          <c:spPr>
            <a:ln w="12700" cmpd="sng">
              <a:solidFill>
                <a:srgbClr val="1DA2E2"/>
              </a:solidFill>
            </a:ln>
          </c:spPr>
          <c:marker>
            <c:symbol val="none"/>
          </c:marker>
          <c:cat>
            <c:numRef>
              <c:f>Passé!$E$2:$M$2</c:f>
              <c:numCache>
                <c:formatCode>@</c:formatCode>
                <c:ptCount val="9"/>
                <c:pt idx="0">
                  <c:v>2014</c:v>
                </c:pt>
                <c:pt idx="1">
                  <c:v>2013</c:v>
                </c:pt>
                <c:pt idx="2">
                  <c:v>2012</c:v>
                </c:pt>
                <c:pt idx="3">
                  <c:v>2011</c:v>
                </c:pt>
                <c:pt idx="4">
                  <c:v>2010</c:v>
                </c:pt>
                <c:pt idx="5">
                  <c:v>2009</c:v>
                </c:pt>
                <c:pt idx="6">
                  <c:v>2008</c:v>
                </c:pt>
                <c:pt idx="7">
                  <c:v>2007</c:v>
                </c:pt>
                <c:pt idx="8">
                  <c:v>2006</c:v>
                </c:pt>
              </c:numCache>
            </c:numRef>
          </c:cat>
          <c:val>
            <c:numRef>
              <c:f>Passé!$E$4:$M$4</c:f>
              <c:numCache>
                <c:formatCode>_-* #\ ##0\ [$€-40C]_-;\-* #\ ##0\ [$€-40C]_-;_-* "-"??\ [$€-40C]_-;_-@_-</c:formatCode>
                <c:ptCount val="9"/>
                <c:pt idx="0">
                  <c:v>470000</c:v>
                </c:pt>
                <c:pt idx="1">
                  <c:v>514300</c:v>
                </c:pt>
                <c:pt idx="2">
                  <c:v>437500</c:v>
                </c:pt>
                <c:pt idx="3">
                  <c:v>419100</c:v>
                </c:pt>
                <c:pt idx="4">
                  <c:v>482200</c:v>
                </c:pt>
                <c:pt idx="5">
                  <c:v>552000</c:v>
                </c:pt>
                <c:pt idx="6">
                  <c:v>465000</c:v>
                </c:pt>
                <c:pt idx="7">
                  <c:v>516000</c:v>
                </c:pt>
                <c:pt idx="8">
                  <c:v>419000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88-45CC-9133-7040DDEDD5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38216040"/>
        <c:axId val="-2077316072"/>
      </c:lineChart>
      <c:catAx>
        <c:axId val="-2038216040"/>
        <c:scaling>
          <c:orientation val="maxMin"/>
        </c:scaling>
        <c:delete val="0"/>
        <c:axPos val="b"/>
        <c:numFmt formatCode="@" sourceLinked="1"/>
        <c:majorTickMark val="out"/>
        <c:minorTickMark val="none"/>
        <c:tickLblPos val="nextTo"/>
        <c:crossAx val="-2077316072"/>
        <c:crosses val="autoZero"/>
        <c:auto val="1"/>
        <c:lblAlgn val="ctr"/>
        <c:lblOffset val="100"/>
        <c:noMultiLvlLbl val="0"/>
      </c:catAx>
      <c:valAx>
        <c:axId val="-2077316072"/>
        <c:scaling>
          <c:orientation val="minMax"/>
          <c:min val="400000"/>
        </c:scaling>
        <c:delete val="0"/>
        <c:axPos val="r"/>
        <c:majorGridlines/>
        <c:numFmt formatCode="_-* #\ ##0\ [$€-40C]_-;\-* #\ ##0\ [$€-40C]_-;_-* &quot;-&quot;??\ [$€-40C]_-;_-@_-" sourceLinked="1"/>
        <c:majorTickMark val="out"/>
        <c:minorTickMark val="none"/>
        <c:tickLblPos val="nextTo"/>
        <c:crossAx val="-20382160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txPr>
    <a:bodyPr/>
    <a:lstStyle/>
    <a:p>
      <a:pPr>
        <a:defRPr>
          <a:latin typeface="Lato Regular"/>
          <a:cs typeface="Lato Regular"/>
        </a:defRPr>
      </a:pPr>
      <a:endParaRPr lang="fr-FR"/>
    </a:p>
  </c:txPr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Passé!$B$4</c:f>
              <c:strCache>
                <c:ptCount val="1"/>
                <c:pt idx="0">
                  <c:v>Chiffre d'affaires</c:v>
                </c:pt>
              </c:strCache>
            </c:strRef>
          </c:tx>
          <c:marker>
            <c:symbol val="none"/>
          </c:marker>
          <c:cat>
            <c:numRef>
              <c:f>Passé!$E$2:$N$2</c:f>
              <c:numCache>
                <c:formatCode>@</c:formatCode>
                <c:ptCount val="10"/>
                <c:pt idx="0">
                  <c:v>2014</c:v>
                </c:pt>
                <c:pt idx="1">
                  <c:v>2013</c:v>
                </c:pt>
                <c:pt idx="2">
                  <c:v>2012</c:v>
                </c:pt>
                <c:pt idx="3">
                  <c:v>2011</c:v>
                </c:pt>
                <c:pt idx="4">
                  <c:v>2010</c:v>
                </c:pt>
                <c:pt idx="5">
                  <c:v>2009</c:v>
                </c:pt>
                <c:pt idx="6">
                  <c:v>2008</c:v>
                </c:pt>
                <c:pt idx="7">
                  <c:v>2007</c:v>
                </c:pt>
                <c:pt idx="8">
                  <c:v>2006</c:v>
                </c:pt>
                <c:pt idx="9">
                  <c:v>2004</c:v>
                </c:pt>
              </c:numCache>
            </c:numRef>
          </c:cat>
          <c:val>
            <c:numRef>
              <c:f>Passé!$E$4:$N$4</c:f>
              <c:numCache>
                <c:formatCode>_-* #\ ##0\ [$€-40C]_-;\-* #\ ##0\ [$€-40C]_-;_-* "-"??\ [$€-40C]_-;_-@_-</c:formatCode>
                <c:ptCount val="10"/>
                <c:pt idx="0">
                  <c:v>470000</c:v>
                </c:pt>
                <c:pt idx="1">
                  <c:v>514300</c:v>
                </c:pt>
                <c:pt idx="2">
                  <c:v>437500</c:v>
                </c:pt>
                <c:pt idx="3">
                  <c:v>419100</c:v>
                </c:pt>
                <c:pt idx="4">
                  <c:v>482200</c:v>
                </c:pt>
                <c:pt idx="5">
                  <c:v>552000</c:v>
                </c:pt>
                <c:pt idx="6">
                  <c:v>465000</c:v>
                </c:pt>
                <c:pt idx="7">
                  <c:v>516000</c:v>
                </c:pt>
                <c:pt idx="8">
                  <c:v>419000</c:v>
                </c:pt>
                <c:pt idx="9">
                  <c:v>275000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FB-4C16-BD4B-7B9C027D1DC4}"/>
            </c:ext>
          </c:extLst>
        </c:ser>
        <c:ser>
          <c:idx val="1"/>
          <c:order val="1"/>
          <c:tx>
            <c:strRef>
              <c:f>Passé!$B$7</c:f>
              <c:strCache>
                <c:ptCount val="1"/>
                <c:pt idx="0">
                  <c:v>Excédent brut d'exploitation (EBE)</c:v>
                </c:pt>
              </c:strCache>
            </c:strRef>
          </c:tx>
          <c:marker>
            <c:symbol val="none"/>
          </c:marker>
          <c:cat>
            <c:numRef>
              <c:f>Passé!$E$2:$N$2</c:f>
              <c:numCache>
                <c:formatCode>@</c:formatCode>
                <c:ptCount val="10"/>
                <c:pt idx="0">
                  <c:v>2014</c:v>
                </c:pt>
                <c:pt idx="1">
                  <c:v>2013</c:v>
                </c:pt>
                <c:pt idx="2">
                  <c:v>2012</c:v>
                </c:pt>
                <c:pt idx="3">
                  <c:v>2011</c:v>
                </c:pt>
                <c:pt idx="4">
                  <c:v>2010</c:v>
                </c:pt>
                <c:pt idx="5">
                  <c:v>2009</c:v>
                </c:pt>
                <c:pt idx="6">
                  <c:v>2008</c:v>
                </c:pt>
                <c:pt idx="7">
                  <c:v>2007</c:v>
                </c:pt>
                <c:pt idx="8">
                  <c:v>2006</c:v>
                </c:pt>
                <c:pt idx="9">
                  <c:v>2004</c:v>
                </c:pt>
              </c:numCache>
            </c:numRef>
          </c:cat>
          <c:val>
            <c:numRef>
              <c:f>Passé!$E$7:$N$7</c:f>
              <c:numCache>
                <c:formatCode>_-* #\ ##0\ [$€-40C]_-;\-* #\ ##0\ [$€-40C]_-;_-* "-"??\ [$€-40C]_-;_-@_-</c:formatCode>
                <c:ptCount val="10"/>
                <c:pt idx="0">
                  <c:v>14300</c:v>
                </c:pt>
                <c:pt idx="1">
                  <c:v>-1300</c:v>
                </c:pt>
                <c:pt idx="2">
                  <c:v>-7200</c:v>
                </c:pt>
                <c:pt idx="3">
                  <c:v>9100</c:v>
                </c:pt>
                <c:pt idx="4">
                  <c:v>-21300</c:v>
                </c:pt>
                <c:pt idx="5">
                  <c:v>-4000</c:v>
                </c:pt>
                <c:pt idx="6">
                  <c:v>7000</c:v>
                </c:pt>
                <c:pt idx="7">
                  <c:v>12000</c:v>
                </c:pt>
                <c:pt idx="8">
                  <c:v>10000</c:v>
                </c:pt>
                <c:pt idx="9">
                  <c:v>15000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FB-4C16-BD4B-7B9C027D1DC4}"/>
            </c:ext>
          </c:extLst>
        </c:ser>
        <c:ser>
          <c:idx val="2"/>
          <c:order val="2"/>
          <c:tx>
            <c:strRef>
              <c:f>Passé!$B$9</c:f>
              <c:strCache>
                <c:ptCount val="1"/>
                <c:pt idx="0">
                  <c:v>Résultat net</c:v>
                </c:pt>
              </c:strCache>
            </c:strRef>
          </c:tx>
          <c:marker>
            <c:symbol val="none"/>
          </c:marker>
          <c:cat>
            <c:numRef>
              <c:f>Passé!$E$2:$N$2</c:f>
              <c:numCache>
                <c:formatCode>@</c:formatCode>
                <c:ptCount val="10"/>
                <c:pt idx="0">
                  <c:v>2014</c:v>
                </c:pt>
                <c:pt idx="1">
                  <c:v>2013</c:v>
                </c:pt>
                <c:pt idx="2">
                  <c:v>2012</c:v>
                </c:pt>
                <c:pt idx="3">
                  <c:v>2011</c:v>
                </c:pt>
                <c:pt idx="4">
                  <c:v>2010</c:v>
                </c:pt>
                <c:pt idx="5">
                  <c:v>2009</c:v>
                </c:pt>
                <c:pt idx="6">
                  <c:v>2008</c:v>
                </c:pt>
                <c:pt idx="7">
                  <c:v>2007</c:v>
                </c:pt>
                <c:pt idx="8">
                  <c:v>2006</c:v>
                </c:pt>
                <c:pt idx="9">
                  <c:v>2004</c:v>
                </c:pt>
              </c:numCache>
            </c:numRef>
          </c:cat>
          <c:val>
            <c:numRef>
              <c:f>Passé!$E$9:$N$9</c:f>
              <c:numCache>
                <c:formatCode>_-* #\ ##0\ [$€-40C]_-;\-* #\ ##0\ [$€-40C]_-;_-* "-"??\ [$€-40C]_-;_-@_-</c:formatCode>
                <c:ptCount val="10"/>
                <c:pt idx="0">
                  <c:v>10200</c:v>
                </c:pt>
                <c:pt idx="1">
                  <c:v>-4400</c:v>
                </c:pt>
                <c:pt idx="2">
                  <c:v>-10500</c:v>
                </c:pt>
                <c:pt idx="3">
                  <c:v>4000</c:v>
                </c:pt>
                <c:pt idx="4">
                  <c:v>-31700</c:v>
                </c:pt>
                <c:pt idx="5">
                  <c:v>-15000</c:v>
                </c:pt>
                <c:pt idx="6">
                  <c:v>5000</c:v>
                </c:pt>
                <c:pt idx="7">
                  <c:v>11000</c:v>
                </c:pt>
                <c:pt idx="8">
                  <c:v>13000</c:v>
                </c:pt>
                <c:pt idx="9">
                  <c:v>7000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FB-4C16-BD4B-7B9C027D1D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78306968"/>
        <c:axId val="-2076164248"/>
      </c:lineChart>
      <c:catAx>
        <c:axId val="-2078306968"/>
        <c:scaling>
          <c:orientation val="minMax"/>
        </c:scaling>
        <c:delete val="0"/>
        <c:axPos val="b"/>
        <c:numFmt formatCode="@" sourceLinked="1"/>
        <c:majorTickMark val="out"/>
        <c:minorTickMark val="none"/>
        <c:tickLblPos val="nextTo"/>
        <c:crossAx val="-2076164248"/>
        <c:crosses val="autoZero"/>
        <c:auto val="1"/>
        <c:lblAlgn val="ctr"/>
        <c:lblOffset val="100"/>
        <c:noMultiLvlLbl val="0"/>
      </c:catAx>
      <c:valAx>
        <c:axId val="-2076164248"/>
        <c:scaling>
          <c:orientation val="minMax"/>
        </c:scaling>
        <c:delete val="0"/>
        <c:axPos val="l"/>
        <c:majorGridlines/>
        <c:numFmt formatCode="_-* #\ ##0\ [$€-40C]_-;\-* #\ ##0\ [$€-40C]_-;_-* &quot;-&quot;??\ [$€-40C]_-;_-@_-" sourceLinked="1"/>
        <c:majorTickMark val="out"/>
        <c:minorTickMark val="none"/>
        <c:tickLblPos val="nextTo"/>
        <c:crossAx val="-20783069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409575</xdr:colOff>
      <xdr:row>1</xdr:row>
      <xdr:rowOff>95250</xdr:rowOff>
    </xdr:from>
    <xdr:to>
      <xdr:col>9</xdr:col>
      <xdr:colOff>575945</xdr:colOff>
      <xdr:row>7</xdr:row>
      <xdr:rowOff>41910</xdr:rowOff>
    </xdr:to>
    <xdr:pic>
      <xdr:nvPicPr>
        <xdr:cNvPr id="2" name="Image 1" descr="Macintosh HD:Users:kellyclamaron:Desktop:Capture d’écran 2015-10-26 à 11.55.25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285750"/>
          <a:ext cx="4709795" cy="108966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447675</xdr:colOff>
          <xdr:row>3</xdr:row>
          <xdr:rowOff>9525</xdr:rowOff>
        </xdr:from>
        <xdr:to>
          <xdr:col>16</xdr:col>
          <xdr:colOff>0</xdr:colOff>
          <xdr:row>4</xdr:row>
          <xdr:rowOff>9525</xdr:rowOff>
        </xdr:to>
        <xdr:sp macro="" textlink="">
          <xdr:nvSpPr>
            <xdr:cNvPr id="7251" name="CommandButton1" hidden="1">
              <a:extLst>
                <a:ext uri="{63B3BB69-23CF-44E3-9099-C40C66FF867C}">
                  <a14:compatExt spid="_x0000_s7251"/>
                </a:ext>
                <a:ext uri="{FF2B5EF4-FFF2-40B4-BE49-F238E27FC236}">
                  <a16:creationId xmlns:a16="http://schemas.microsoft.com/office/drawing/2014/main" id="{00000000-0008-0000-0100-00005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9</xdr:row>
          <xdr:rowOff>28575</xdr:rowOff>
        </xdr:from>
        <xdr:to>
          <xdr:col>1</xdr:col>
          <xdr:colOff>1019175</xdr:colOff>
          <xdr:row>9</xdr:row>
          <xdr:rowOff>304800</xdr:rowOff>
        </xdr:to>
        <xdr:sp macro="" textlink="">
          <xdr:nvSpPr>
            <xdr:cNvPr id="16385" name="cmdNewDevis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19</xdr:row>
          <xdr:rowOff>0</xdr:rowOff>
        </xdr:from>
        <xdr:to>
          <xdr:col>6</xdr:col>
          <xdr:colOff>561975</xdr:colOff>
          <xdr:row>30</xdr:row>
          <xdr:rowOff>152400</xdr:rowOff>
        </xdr:to>
        <xdr:sp macro="" textlink="">
          <xdr:nvSpPr>
            <xdr:cNvPr id="16391" name="CommandButton1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2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3</xdr:row>
          <xdr:rowOff>133350</xdr:rowOff>
        </xdr:from>
        <xdr:to>
          <xdr:col>1</xdr:col>
          <xdr:colOff>1000125</xdr:colOff>
          <xdr:row>3</xdr:row>
          <xdr:rowOff>295275</xdr:rowOff>
        </xdr:to>
        <xdr:sp macro="" textlink="">
          <xdr:nvSpPr>
            <xdr:cNvPr id="17409" name="lblNumFacture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3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672988</xdr:colOff>
          <xdr:row>13</xdr:row>
          <xdr:rowOff>88675</xdr:rowOff>
        </xdr:from>
        <xdr:to>
          <xdr:col>7</xdr:col>
          <xdr:colOff>696505</xdr:colOff>
          <xdr:row>17</xdr:row>
          <xdr:rowOff>126775</xdr:rowOff>
        </xdr:to>
        <xdr:sp macro="" textlink="">
          <xdr:nvSpPr>
            <xdr:cNvPr id="17410" name="récup_acompte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3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6</xdr:row>
      <xdr:rowOff>0</xdr:rowOff>
    </xdr:from>
    <xdr:to>
      <xdr:col>7</xdr:col>
      <xdr:colOff>552497</xdr:colOff>
      <xdr:row>6</xdr:row>
      <xdr:rowOff>0</xdr:rowOff>
    </xdr:to>
    <xdr:sp macro="" textlink="">
      <xdr:nvSpPr>
        <xdr:cNvPr id="2" name="Text Box 8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2085975" y="774700"/>
          <a:ext cx="180662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COÛTS VARIABLES</a:t>
          </a:r>
        </a:p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=</a:t>
          </a:r>
        </a:p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530 240</a:t>
          </a:r>
        </a:p>
        <a:p>
          <a:pPr algn="ctr" rtl="0">
            <a:defRPr sz="1000"/>
          </a:pPr>
          <a:endParaRPr lang="fr-FR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158750</xdr:colOff>
      <xdr:row>6</xdr:row>
      <xdr:rowOff>0</xdr:rowOff>
    </xdr:from>
    <xdr:to>
      <xdr:col>7</xdr:col>
      <xdr:colOff>542890</xdr:colOff>
      <xdr:row>6</xdr:row>
      <xdr:rowOff>0</xdr:rowOff>
    </xdr:to>
    <xdr:sp macro="" textlink="">
      <xdr:nvSpPr>
        <xdr:cNvPr id="3" name="Text Box 10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2101850" y="774700"/>
          <a:ext cx="17811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COÛTS FIXES</a:t>
          </a:r>
        </a:p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=</a:t>
          </a:r>
        </a:p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399 521</a:t>
          </a:r>
        </a:p>
        <a:p>
          <a:pPr algn="ctr" rtl="0">
            <a:defRPr sz="1000"/>
          </a:pPr>
          <a:endParaRPr lang="fr-FR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142875</xdr:colOff>
      <xdr:row>6</xdr:row>
      <xdr:rowOff>0</xdr:rowOff>
    </xdr:from>
    <xdr:to>
      <xdr:col>7</xdr:col>
      <xdr:colOff>552497</xdr:colOff>
      <xdr:row>6</xdr:row>
      <xdr:rowOff>0</xdr:rowOff>
    </xdr:to>
    <xdr:sp macro="" textlink="">
      <xdr:nvSpPr>
        <xdr:cNvPr id="4" name="Text Box 1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2085975" y="774700"/>
          <a:ext cx="180662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COÛTS VARIABLES</a:t>
          </a:r>
        </a:p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=</a:t>
          </a:r>
        </a:p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530 240</a:t>
          </a:r>
        </a:p>
        <a:p>
          <a:pPr algn="ctr" rtl="0">
            <a:defRPr sz="1000"/>
          </a:pPr>
          <a:endParaRPr lang="fr-FR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158750</xdr:colOff>
      <xdr:row>6</xdr:row>
      <xdr:rowOff>0</xdr:rowOff>
    </xdr:from>
    <xdr:to>
      <xdr:col>7</xdr:col>
      <xdr:colOff>542890</xdr:colOff>
      <xdr:row>6</xdr:row>
      <xdr:rowOff>0</xdr:rowOff>
    </xdr:to>
    <xdr:sp macro="" textlink="">
      <xdr:nvSpPr>
        <xdr:cNvPr id="5" name="Text Box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2101850" y="774700"/>
          <a:ext cx="178114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COÛTS FIXES</a:t>
          </a:r>
        </a:p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=</a:t>
          </a:r>
        </a:p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399 521</a:t>
          </a:r>
        </a:p>
        <a:p>
          <a:pPr algn="ctr" rtl="0">
            <a:defRPr sz="1000"/>
          </a:pPr>
          <a:endParaRPr lang="fr-FR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6" name="Line 2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1943100" y="77470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7" name="Rectangle 40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610600" cy="279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blurRad="63500" dist="38099" dir="2700000" algn="ctr" rotWithShape="0">
            <a:srgbClr val="000000">
              <a:alpha val="74998"/>
            </a:srgbClr>
          </a:outerShdw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8</xdr:row>
      <xdr:rowOff>44450</xdr:rowOff>
    </xdr:from>
    <xdr:to>
      <xdr:col>13</xdr:col>
      <xdr:colOff>101600</xdr:colOff>
      <xdr:row>27</xdr:row>
      <xdr:rowOff>63500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939800</xdr:colOff>
      <xdr:row>13</xdr:row>
      <xdr:rowOff>101600</xdr:rowOff>
    </xdr:from>
    <xdr:to>
      <xdr:col>13</xdr:col>
      <xdr:colOff>12700</xdr:colOff>
      <xdr:row>28</xdr:row>
      <xdr:rowOff>101600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1003300</xdr:colOff>
      <xdr:row>30</xdr:row>
      <xdr:rowOff>82550</xdr:rowOff>
    </xdr:from>
    <xdr:to>
      <xdr:col>13</xdr:col>
      <xdr:colOff>0</xdr:colOff>
      <xdr:row>45</xdr:row>
      <xdr:rowOff>158750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711200</xdr:colOff>
      <xdr:row>13</xdr:row>
      <xdr:rowOff>139700</xdr:rowOff>
    </xdr:from>
    <xdr:to>
      <xdr:col>24</xdr:col>
      <xdr:colOff>381000</xdr:colOff>
      <xdr:row>28</xdr:row>
      <xdr:rowOff>139700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1143000</xdr:colOff>
      <xdr:row>47</xdr:row>
      <xdr:rowOff>44450</xdr:rowOff>
    </xdr:from>
    <xdr:to>
      <xdr:col>13</xdr:col>
      <xdr:colOff>88900</xdr:colOff>
      <xdr:row>66</xdr:row>
      <xdr:rowOff>38100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&#232;le%20devis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Acceuil"/>
      <sheetName val="Devis"/>
      <sheetName val="Lignes de calculs"/>
      <sheetName val="Facture"/>
      <sheetName val="Coût de revient"/>
      <sheetName val="Ligne de décompte réel achat"/>
      <sheetName val="Référence Client"/>
      <sheetName val="Objectif"/>
      <sheetName val="Bibliotèque"/>
    </sheetNames>
    <sheetDataSet>
      <sheetData sheetId="0">
        <row r="8">
          <cell r="E8">
            <v>0</v>
          </cell>
        </row>
        <row r="10">
          <cell r="B10" t="str">
            <v>MONTBRISON</v>
          </cell>
        </row>
        <row r="16">
          <cell r="E16" t="str">
            <v>En attente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5:P5" headerRowCount="0" totalsRowShown="0" headerRowDxfId="87" dataDxfId="85" headerRowBorderDxfId="86" tableBorderDxfId="84" totalsRowBorderDxfId="83" headerRowCellStyle="Milliers 2" dataCellStyle="Milliers 2">
  <tableColumns count="16">
    <tableColumn id="1" name="Colonne1" headerRowDxfId="82" dataDxfId="81" headerRowCellStyle="Normal 2" dataCellStyle="Normal 2"/>
    <tableColumn id="2" name="Colonne2" headerRowDxfId="80" dataDxfId="79" headerRowCellStyle="Normal 2" dataCellStyle="Normal 2"/>
    <tableColumn id="3" name="Colonne3" headerRowDxfId="78" dataDxfId="77" headerRowCellStyle="Normal 2" dataCellStyle="Normal 2"/>
    <tableColumn id="4" name="Colonne4" headerRowDxfId="76" dataDxfId="75" headerRowCellStyle="Normal 2" dataCellStyle="Normal 2"/>
    <tableColumn id="5" name="Colonne5" headerRowDxfId="74" dataDxfId="73" headerRowCellStyle="Normal 2" dataCellStyle="Normal 2"/>
    <tableColumn id="6" name="Colonne6" headerRowDxfId="72" dataDxfId="71" headerRowCellStyle="Normal 2" dataCellStyle="Normal 2"/>
    <tableColumn id="7" name="Colonne7" headerRowDxfId="70" dataDxfId="69" headerRowCellStyle="Milliers 2" dataCellStyle="Milliers 2"/>
    <tableColumn id="8" name="Colonne8" headerRowDxfId="68" dataDxfId="67" headerRowCellStyle="Milliers" dataCellStyle="Milliers"/>
    <tableColumn id="9" name="Colonne9" headerRowDxfId="66" dataDxfId="65" headerRowCellStyle="Milliers 2" dataCellStyle="Milliers 2"/>
    <tableColumn id="10" name="Colonne10" headerRowDxfId="64" dataDxfId="63" headerRowCellStyle="Milliers 2" dataCellStyle="Milliers 2"/>
    <tableColumn id="11" name="Colonne11" headerRowDxfId="62" dataDxfId="61" headerRowCellStyle="Milliers 2" dataCellStyle="Milliers 2"/>
    <tableColumn id="12" name="Colonne12" headerRowDxfId="60" dataDxfId="59" headerRowCellStyle="Milliers 2" dataCellStyle="Milliers 2"/>
    <tableColumn id="13" name="Colonne13" headerRowDxfId="58" dataDxfId="57" headerRowCellStyle="Milliers 2" dataCellStyle="Milliers 2"/>
    <tableColumn id="14" name="Colonne14" headerRowDxfId="56" dataDxfId="55" headerRowCellStyle="Milliers 2" dataCellStyle="Milliers 2"/>
    <tableColumn id="15" name="Colonne15" headerRowDxfId="54" dataDxfId="53" headerRowCellStyle="Normal 2" dataCellStyle="Normal 2"/>
    <tableColumn id="16" name="Colonne16" headerRowDxfId="52" dataDxfId="51" headerRowCellStyle="Milliers 2" dataCellStyle="Milliers 2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3" name="Tableau3" displayName="Tableau3" ref="A6:P129" headerRowCount="0" totalsRowShown="0" headerRowDxfId="50" dataDxfId="48" headerRowBorderDxfId="49" tableBorderDxfId="47" totalsRowBorderDxfId="46" headerRowCellStyle="Milliers 2">
  <tableColumns count="16">
    <tableColumn id="1" name="Colonne1" headerRowDxfId="45" dataDxfId="44" headerRowCellStyle="Normal 2" dataCellStyle="Normal 2"/>
    <tableColumn id="2" name="Colonne2" headerRowDxfId="43" dataDxfId="42" headerRowCellStyle="Normal 2" dataCellStyle="Normal 2"/>
    <tableColumn id="3" name="Colonne3" headerRowDxfId="41" dataDxfId="40" headerRowCellStyle="Normal 2" dataCellStyle="Normal 2"/>
    <tableColumn id="4" name="Colonne4" headerRowDxfId="39" dataDxfId="38" headerRowCellStyle="Normal 2" dataCellStyle="Normal 2"/>
    <tableColumn id="5" name="Colonne5" headerRowDxfId="37" dataDxfId="36" headerRowCellStyle="Normal 2" dataCellStyle="Normal 2"/>
    <tableColumn id="6" name="Colonne6" headerRowDxfId="35" dataDxfId="34" headerRowCellStyle="Normal 2" dataCellStyle="Normal 2"/>
    <tableColumn id="7" name="Colonne7" headerRowDxfId="33" dataDxfId="32" headerRowCellStyle="Milliers 2" dataCellStyle="Milliers 2"/>
    <tableColumn id="8" name="Colonne8" headerRowDxfId="31" dataDxfId="30" headerRowCellStyle="Milliers" dataCellStyle="Milliers"/>
    <tableColumn id="9" name="Colonne9" headerRowDxfId="29" dataDxfId="28" headerRowCellStyle="Milliers 2" dataCellStyle="Milliers 2"/>
    <tableColumn id="10" name="Colonne10" headerRowDxfId="27" dataDxfId="26" headerRowCellStyle="Milliers 2" dataCellStyle="Milliers 2"/>
    <tableColumn id="11" name="Colonne11" headerRowDxfId="25" dataDxfId="24" headerRowCellStyle="Milliers 2" dataCellStyle="Milliers 2">
      <calculatedColumnFormula>SUM(K5+Tableau3[[#This Row],[Colonne9]]-Tableau3[[#This Row],[Colonne7]])</calculatedColumnFormula>
    </tableColumn>
    <tableColumn id="12" name="Colonne12" headerRowDxfId="23" dataDxfId="22" headerRowCellStyle="Milliers 2" dataCellStyle="Milliers 2"/>
    <tableColumn id="13" name="Colonne13" headerRowDxfId="21" dataDxfId="20" headerRowCellStyle="Milliers 2" dataCellStyle="Milliers 2">
      <calculatedColumnFormula>IF(H6="",G6,"0")</calculatedColumnFormula>
    </tableColumn>
    <tableColumn id="14" name="Colonne14" headerRowDxfId="19" dataDxfId="18" headerRowCellStyle="Milliers 2" dataCellStyle="Milliers 2">
      <calculatedColumnFormula>IF(H6="",I6,"0")</calculatedColumnFormula>
    </tableColumn>
    <tableColumn id="15" name="Colonne15" headerRowDxfId="17" dataDxfId="16" headerRowCellStyle="Normal 2" dataCellStyle="Normal 2"/>
    <tableColumn id="16" name="Colonne16" headerRowDxfId="15" dataDxfId="14" headerRowCellStyle="Normal 2" dataCellStyle="Normal 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M104"/>
  <sheetViews>
    <sheetView showGridLines="0" workbookViewId="0">
      <selection activeCell="F23" sqref="F23"/>
    </sheetView>
  </sheetViews>
  <sheetFormatPr baseColWidth="10" defaultRowHeight="15"/>
  <cols>
    <col min="6" max="6" width="13.85546875" customWidth="1"/>
    <col min="7" max="7" width="8.5703125" customWidth="1"/>
    <col min="10" max="10" width="22.7109375" customWidth="1"/>
    <col min="13" max="13" width="107.42578125" customWidth="1"/>
  </cols>
  <sheetData>
    <row r="2" spans="2:13"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</row>
    <row r="3" spans="2:13">
      <c r="C3" s="486"/>
      <c r="D3" s="486"/>
      <c r="E3" s="486"/>
      <c r="F3" s="486"/>
      <c r="G3" s="486"/>
      <c r="H3" s="486"/>
      <c r="I3" s="486"/>
      <c r="J3" s="486"/>
      <c r="K3" s="486"/>
      <c r="L3" s="486"/>
      <c r="M3" s="486"/>
    </row>
    <row r="12" spans="2:13">
      <c r="B12" t="s">
        <v>366</v>
      </c>
      <c r="F12">
        <f>'Ecart objectif'!N20</f>
        <v>0</v>
      </c>
      <c r="J12" t="s">
        <v>410</v>
      </c>
      <c r="K12">
        <f>Devis!N8</f>
        <v>0</v>
      </c>
    </row>
    <row r="13" spans="2:13" ht="14.25" customHeight="1">
      <c r="J13" t="s">
        <v>411</v>
      </c>
      <c r="K13">
        <f>'Ecart objectif'!B20</f>
        <v>0</v>
      </c>
    </row>
    <row r="14" spans="2:13" hidden="1"/>
    <row r="15" spans="2:13" ht="27" customHeight="1">
      <c r="B15" t="s">
        <v>274</v>
      </c>
      <c r="F15">
        <f>'Crédit Mutuel'!P3</f>
        <v>5000</v>
      </c>
    </row>
    <row r="16" spans="2:13" ht="13.5" customHeight="1"/>
    <row r="17" spans="2:7">
      <c r="B17" t="s">
        <v>275</v>
      </c>
      <c r="F17">
        <f>SUMIF('Carnet de commande'!Q6:Q12,"En Attente",'Carnet de commande'!N6:N12)</f>
        <v>0</v>
      </c>
    </row>
    <row r="19" spans="2:7">
      <c r="B19" t="s">
        <v>412</v>
      </c>
      <c r="F19">
        <f>SUM('Carnet de commande'!O6:O8)</f>
        <v>0</v>
      </c>
    </row>
    <row r="23" spans="2:7" ht="30.75" customHeight="1">
      <c r="B23" s="487" t="s">
        <v>408</v>
      </c>
      <c r="C23" s="487"/>
      <c r="D23" s="487"/>
      <c r="E23" s="487"/>
      <c r="F23" s="451">
        <f>SUMIF('Carnet de commande'!P6:P12,"",'Carnet de commande'!H6:H12)</f>
        <v>0</v>
      </c>
      <c r="G23" t="s">
        <v>409</v>
      </c>
    </row>
    <row r="24" spans="2:7" ht="22.5" customHeight="1"/>
    <row r="33" spans="3:4">
      <c r="D33" s="20"/>
    </row>
    <row r="34" spans="3:4">
      <c r="D34" s="20"/>
    </row>
    <row r="35" spans="3:4">
      <c r="D35" s="20"/>
    </row>
    <row r="36" spans="3:4">
      <c r="C36" s="20"/>
      <c r="D36" s="20"/>
    </row>
    <row r="37" spans="3:4">
      <c r="C37" s="20"/>
      <c r="D37" s="20"/>
    </row>
    <row r="38" spans="3:4">
      <c r="C38" s="20"/>
      <c r="D38" s="20"/>
    </row>
    <row r="39" spans="3:4">
      <c r="C39" s="20"/>
      <c r="D39" s="20"/>
    </row>
    <row r="40" spans="3:4">
      <c r="C40" s="20"/>
      <c r="D40" s="20"/>
    </row>
    <row r="41" spans="3:4">
      <c r="C41" s="20"/>
      <c r="D41" s="20"/>
    </row>
    <row r="42" spans="3:4">
      <c r="C42" s="20"/>
      <c r="D42" s="20"/>
    </row>
    <row r="43" spans="3:4">
      <c r="C43" s="20"/>
      <c r="D43" s="20"/>
    </row>
    <row r="44" spans="3:4">
      <c r="C44" s="20"/>
      <c r="D44" s="20"/>
    </row>
    <row r="45" spans="3:4">
      <c r="C45" s="20"/>
      <c r="D45" s="20"/>
    </row>
    <row r="46" spans="3:4">
      <c r="C46" s="20"/>
      <c r="D46" s="20"/>
    </row>
    <row r="47" spans="3:4">
      <c r="C47" s="20"/>
      <c r="D47" s="20"/>
    </row>
    <row r="48" spans="3:4">
      <c r="C48" s="20"/>
      <c r="D48" s="20"/>
    </row>
    <row r="49" spans="3:4">
      <c r="C49" s="20"/>
      <c r="D49" s="20"/>
    </row>
    <row r="50" spans="3:4">
      <c r="C50" s="20"/>
      <c r="D50" s="20"/>
    </row>
    <row r="51" spans="3:4">
      <c r="C51" s="20"/>
      <c r="D51" s="20"/>
    </row>
    <row r="52" spans="3:4">
      <c r="C52" s="20"/>
      <c r="D52" s="20"/>
    </row>
    <row r="53" spans="3:4">
      <c r="C53" s="20"/>
      <c r="D53" s="20"/>
    </row>
    <row r="54" spans="3:4">
      <c r="C54" s="20"/>
      <c r="D54" s="20"/>
    </row>
    <row r="55" spans="3:4">
      <c r="C55" s="20"/>
      <c r="D55" s="20"/>
    </row>
    <row r="56" spans="3:4">
      <c r="C56" s="20"/>
      <c r="D56" s="20"/>
    </row>
    <row r="57" spans="3:4">
      <c r="C57" s="20"/>
      <c r="D57" s="20"/>
    </row>
    <row r="58" spans="3:4">
      <c r="C58" s="20"/>
      <c r="D58" s="20"/>
    </row>
    <row r="59" spans="3:4">
      <c r="C59" s="20"/>
      <c r="D59" s="20"/>
    </row>
    <row r="60" spans="3:4">
      <c r="D60" s="20"/>
    </row>
    <row r="61" spans="3:4">
      <c r="D61" s="20"/>
    </row>
    <row r="62" spans="3:4">
      <c r="D62" s="20"/>
    </row>
    <row r="63" spans="3:4">
      <c r="D63" s="20"/>
    </row>
    <row r="64" spans="3:4">
      <c r="D64" s="20"/>
    </row>
    <row r="65" spans="4:4">
      <c r="D65" s="20"/>
    </row>
    <row r="66" spans="4:4">
      <c r="D66" s="20"/>
    </row>
    <row r="67" spans="4:4">
      <c r="D67" s="20"/>
    </row>
    <row r="68" spans="4:4">
      <c r="D68" s="20"/>
    </row>
    <row r="69" spans="4:4">
      <c r="D69" s="20"/>
    </row>
    <row r="70" spans="4:4">
      <c r="D70" s="20"/>
    </row>
    <row r="71" spans="4:4">
      <c r="D71" s="20"/>
    </row>
    <row r="72" spans="4:4">
      <c r="D72" s="20"/>
    </row>
    <row r="73" spans="4:4">
      <c r="D73" s="20"/>
    </row>
    <row r="74" spans="4:4">
      <c r="D74" s="20"/>
    </row>
    <row r="75" spans="4:4">
      <c r="D75" s="20"/>
    </row>
    <row r="76" spans="4:4">
      <c r="D76" s="20"/>
    </row>
    <row r="77" spans="4:4">
      <c r="D77" s="20"/>
    </row>
    <row r="78" spans="4:4">
      <c r="D78" s="20"/>
    </row>
    <row r="79" spans="4:4">
      <c r="D79" s="20"/>
    </row>
    <row r="80" spans="4:4">
      <c r="D80" s="20"/>
    </row>
    <row r="81" spans="4:4">
      <c r="D81" s="20"/>
    </row>
    <row r="82" spans="4:4">
      <c r="D82" s="20"/>
    </row>
    <row r="83" spans="4:4">
      <c r="D83" s="20"/>
    </row>
    <row r="84" spans="4:4">
      <c r="D84" s="20"/>
    </row>
    <row r="85" spans="4:4">
      <c r="D85" s="20"/>
    </row>
    <row r="86" spans="4:4">
      <c r="D86" s="20"/>
    </row>
    <row r="87" spans="4:4">
      <c r="D87" s="20"/>
    </row>
    <row r="88" spans="4:4">
      <c r="D88" s="20"/>
    </row>
    <row r="89" spans="4:4">
      <c r="D89" s="20"/>
    </row>
    <row r="90" spans="4:4">
      <c r="D90" s="20"/>
    </row>
    <row r="91" spans="4:4">
      <c r="D91" s="20"/>
    </row>
    <row r="92" spans="4:4">
      <c r="D92" s="20"/>
    </row>
    <row r="93" spans="4:4">
      <c r="D93" s="20"/>
    </row>
    <row r="94" spans="4:4">
      <c r="D94" s="20"/>
    </row>
    <row r="95" spans="4:4">
      <c r="D95" s="20"/>
    </row>
    <row r="96" spans="4:4">
      <c r="D96" s="20"/>
    </row>
    <row r="97" spans="4:4">
      <c r="D97" s="20"/>
    </row>
    <row r="98" spans="4:4">
      <c r="D98" s="20"/>
    </row>
    <row r="99" spans="4:4">
      <c r="D99" s="20"/>
    </row>
    <row r="100" spans="4:4">
      <c r="D100" s="20"/>
    </row>
    <row r="101" spans="4:4">
      <c r="D101" s="20"/>
    </row>
    <row r="102" spans="4:4">
      <c r="D102" s="20"/>
    </row>
    <row r="103" spans="4:4">
      <c r="D103" s="20"/>
    </row>
    <row r="104" spans="4:4">
      <c r="D104" s="20"/>
    </row>
  </sheetData>
  <sortState ref="E37:E59">
    <sortCondition ref="E36"/>
  </sortState>
  <mergeCells count="2">
    <mergeCell ref="C2:M3"/>
    <mergeCell ref="B23:E23"/>
  </mergeCells>
  <pageMargins left="0.75" right="0.75" top="1" bottom="1" header="0.5" footer="0.5"/>
  <pageSetup paperSize="9" orientation="portrait" horizontalDpi="4294967292" verticalDpi="429496729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129"/>
  <sheetViews>
    <sheetView zoomScale="150" zoomScaleNormal="150" zoomScalePageLayoutView="120" workbookViewId="0">
      <pane ySplit="2325" activePane="bottomLeft"/>
      <selection activeCell="B1" sqref="B1:B1048576"/>
      <selection pane="bottomLeft" activeCell="G7" sqref="G7"/>
    </sheetView>
  </sheetViews>
  <sheetFormatPr baseColWidth="10" defaultColWidth="11.42578125" defaultRowHeight="13.5"/>
  <cols>
    <col min="1" max="1" width="9.140625" style="294" customWidth="1"/>
    <col min="2" max="2" width="9.42578125" style="305" customWidth="1"/>
    <col min="3" max="3" width="27.140625" style="251" customWidth="1"/>
    <col min="4" max="4" width="24" style="251" customWidth="1"/>
    <col min="5" max="5" width="11.140625" style="283" customWidth="1"/>
    <col min="6" max="6" width="1.5703125" style="270" customWidth="1"/>
    <col min="7" max="7" width="11.42578125" style="276" customWidth="1"/>
    <col min="8" max="8" width="3.140625" style="285" customWidth="1"/>
    <col min="9" max="9" width="10.85546875" style="276" customWidth="1"/>
    <col min="10" max="10" width="1.7109375" style="272" customWidth="1"/>
    <col min="11" max="11" width="11.85546875" style="295" customWidth="1"/>
    <col min="12" max="12" width="1.7109375" style="279" customWidth="1"/>
    <col min="13" max="13" width="10.42578125" style="295" customWidth="1"/>
    <col min="14" max="14" width="11" style="295" customWidth="1"/>
    <col min="15" max="15" width="1.42578125" style="248" customWidth="1"/>
    <col min="16" max="16" width="18.85546875" style="251" customWidth="1"/>
    <col min="17" max="16384" width="11.42578125" style="251"/>
  </cols>
  <sheetData>
    <row r="1" spans="1:17" ht="19.5" customHeight="1">
      <c r="A1" s="239" t="s">
        <v>278</v>
      </c>
      <c r="B1" s="300" t="s">
        <v>307</v>
      </c>
      <c r="C1" s="240" t="s">
        <v>190</v>
      </c>
      <c r="D1" s="240" t="s">
        <v>306</v>
      </c>
      <c r="E1" s="241" t="s">
        <v>333</v>
      </c>
      <c r="F1" s="242"/>
      <c r="G1" s="243" t="s">
        <v>68</v>
      </c>
      <c r="H1" s="244"/>
      <c r="I1" s="243" t="s">
        <v>69</v>
      </c>
      <c r="J1" s="245"/>
      <c r="K1" s="246" t="s">
        <v>70</v>
      </c>
      <c r="L1" s="247"/>
      <c r="M1" s="246" t="s">
        <v>71</v>
      </c>
      <c r="N1" s="246" t="s">
        <v>72</v>
      </c>
      <c r="P1" s="249" t="s">
        <v>334</v>
      </c>
      <c r="Q1" s="250"/>
    </row>
    <row r="2" spans="1:17" s="259" customFormat="1" ht="7.5" customHeight="1" thickBot="1">
      <c r="A2" s="252"/>
      <c r="B2" s="301"/>
      <c r="C2" s="253"/>
      <c r="D2" s="253"/>
      <c r="E2" s="254"/>
      <c r="F2" s="254"/>
      <c r="G2" s="255"/>
      <c r="H2" s="244"/>
      <c r="I2" s="255"/>
      <c r="J2" s="256"/>
      <c r="K2" s="256"/>
      <c r="L2" s="247"/>
      <c r="M2" s="256"/>
      <c r="N2" s="256"/>
      <c r="O2" s="248"/>
      <c r="P2" s="257"/>
      <c r="Q2" s="258"/>
    </row>
    <row r="3" spans="1:17" ht="15" thickTop="1" thickBot="1">
      <c r="A3" s="260"/>
      <c r="B3" s="302"/>
      <c r="C3" s="261"/>
      <c r="D3" s="261"/>
      <c r="E3" s="262"/>
      <c r="F3" s="262"/>
      <c r="G3" s="263">
        <f>SUM(Tableau3[[#All],[Colonne7]])</f>
        <v>0</v>
      </c>
      <c r="H3" s="244"/>
      <c r="I3" s="263">
        <f>SUM(Tableau3[[#All],[Colonne9]])</f>
        <v>0</v>
      </c>
      <c r="J3" s="264"/>
      <c r="K3" s="264">
        <f>K4+I3-G3</f>
        <v>5000</v>
      </c>
      <c r="L3" s="247"/>
      <c r="M3" s="264">
        <f>SUM(Tableau3[[#All],[Colonne13]])</f>
        <v>0</v>
      </c>
      <c r="N3" s="264">
        <f>SUM(Tableau3[[#All],[Colonne14]])</f>
        <v>0</v>
      </c>
      <c r="P3" s="265">
        <f>K4-($I$3-$N$3)-($G$3-$M$3)</f>
        <v>5000</v>
      </c>
      <c r="Q3" s="266"/>
    </row>
    <row r="4" spans="1:17" ht="21" customHeight="1" thickTop="1">
      <c r="A4" s="267"/>
      <c r="B4" s="303"/>
      <c r="C4" s="268"/>
      <c r="D4" s="268"/>
      <c r="E4" s="269"/>
      <c r="G4" s="271"/>
      <c r="H4" s="244"/>
      <c r="I4" s="271"/>
      <c r="K4" s="273">
        <v>5000</v>
      </c>
      <c r="L4" s="247"/>
      <c r="M4" s="274"/>
      <c r="N4" s="274"/>
      <c r="P4" s="275"/>
    </row>
    <row r="5" spans="1:17">
      <c r="A5" s="296"/>
      <c r="B5" s="304"/>
      <c r="C5" s="297" t="s">
        <v>352</v>
      </c>
      <c r="D5" s="298"/>
      <c r="E5" s="299"/>
      <c r="H5" s="277"/>
      <c r="K5" s="278">
        <v>5000</v>
      </c>
      <c r="M5" s="278"/>
      <c r="N5" s="278"/>
      <c r="O5" s="280"/>
      <c r="P5" s="281"/>
    </row>
    <row r="6" spans="1:17">
      <c r="A6" s="282"/>
      <c r="H6" s="277"/>
      <c r="K6" s="278">
        <f>SUM(K5+Tableau3[[#This Row],[Colonne9]]-Tableau3[[#This Row],[Colonne7]])</f>
        <v>5000</v>
      </c>
      <c r="M6" s="278">
        <f t="shared" ref="M6:M129" si="0">IF(H6="",G6,"0")</f>
        <v>0</v>
      </c>
      <c r="N6" s="278">
        <f t="shared" ref="N6:N129" si="1">IF(H6="",I6,"0")</f>
        <v>0</v>
      </c>
      <c r="O6" s="280"/>
      <c r="P6" s="284"/>
    </row>
    <row r="7" spans="1:17">
      <c r="A7" s="282"/>
      <c r="C7" s="251" t="s">
        <v>6</v>
      </c>
      <c r="D7" s="251" t="s">
        <v>206</v>
      </c>
      <c r="H7" s="285">
        <v>1</v>
      </c>
      <c r="K7" s="278">
        <f>SUM(K6+Tableau3[[#This Row],[Colonne9]]-Tableau3[[#This Row],[Colonne7]])</f>
        <v>5000</v>
      </c>
      <c r="M7" s="278" t="str">
        <f t="shared" si="0"/>
        <v>0</v>
      </c>
      <c r="N7" s="278" t="str">
        <f t="shared" si="1"/>
        <v>0</v>
      </c>
      <c r="P7" s="286"/>
    </row>
    <row r="8" spans="1:17" s="259" customFormat="1">
      <c r="A8" s="282"/>
      <c r="B8" s="306"/>
      <c r="E8" s="287"/>
      <c r="F8" s="288"/>
      <c r="G8" s="276"/>
      <c r="H8" s="289"/>
      <c r="I8" s="276"/>
      <c r="J8" s="290"/>
      <c r="K8" s="278">
        <f>SUM(K7+Tableau3[[#This Row],[Colonne9]]-Tableau3[[#This Row],[Colonne7]])</f>
        <v>5000</v>
      </c>
      <c r="L8" s="291"/>
      <c r="M8" s="278">
        <f t="shared" si="0"/>
        <v>0</v>
      </c>
      <c r="N8" s="278">
        <f t="shared" si="1"/>
        <v>0</v>
      </c>
      <c r="O8" s="292"/>
      <c r="P8" s="286"/>
    </row>
    <row r="9" spans="1:17" s="259" customFormat="1">
      <c r="A9" s="282"/>
      <c r="B9" s="306"/>
      <c r="E9" s="287"/>
      <c r="F9" s="288"/>
      <c r="G9" s="276"/>
      <c r="H9" s="289"/>
      <c r="I9" s="276"/>
      <c r="J9" s="290"/>
      <c r="K9" s="278">
        <f>SUM(K8+Tableau3[[#This Row],[Colonne9]]-Tableau3[[#This Row],[Colonne7]])</f>
        <v>5000</v>
      </c>
      <c r="L9" s="291"/>
      <c r="M9" s="278">
        <f t="shared" si="0"/>
        <v>0</v>
      </c>
      <c r="N9" s="278">
        <f t="shared" si="1"/>
        <v>0</v>
      </c>
      <c r="O9" s="292"/>
      <c r="P9" s="286"/>
    </row>
    <row r="10" spans="1:17" s="259" customFormat="1">
      <c r="A10" s="282"/>
      <c r="B10" s="306"/>
      <c r="E10" s="287"/>
      <c r="F10" s="288"/>
      <c r="G10" s="276"/>
      <c r="H10" s="289"/>
      <c r="I10" s="276"/>
      <c r="J10" s="290"/>
      <c r="K10" s="278">
        <f>SUM(K9+Tableau3[[#This Row],[Colonne9]]-Tableau3[[#This Row],[Colonne7]])</f>
        <v>5000</v>
      </c>
      <c r="L10" s="291"/>
      <c r="M10" s="278">
        <f t="shared" si="0"/>
        <v>0</v>
      </c>
      <c r="N10" s="278">
        <f t="shared" si="1"/>
        <v>0</v>
      </c>
      <c r="O10" s="292"/>
      <c r="P10" s="286"/>
    </row>
    <row r="11" spans="1:17" s="259" customFormat="1">
      <c r="A11" s="282"/>
      <c r="B11" s="306"/>
      <c r="C11" s="259" t="s">
        <v>188</v>
      </c>
      <c r="D11" s="259" t="s">
        <v>214</v>
      </c>
      <c r="E11" s="287"/>
      <c r="F11" s="288"/>
      <c r="G11" s="276"/>
      <c r="H11" s="289">
        <v>1</v>
      </c>
      <c r="I11" s="293"/>
      <c r="J11" s="290"/>
      <c r="K11" s="278">
        <f>SUM(K10+Tableau3[[#This Row],[Colonne9]]-Tableau3[[#This Row],[Colonne7]])</f>
        <v>5000</v>
      </c>
      <c r="L11" s="291"/>
      <c r="M11" s="278" t="str">
        <f t="shared" si="0"/>
        <v>0</v>
      </c>
      <c r="N11" s="278" t="str">
        <f t="shared" si="1"/>
        <v>0</v>
      </c>
      <c r="O11" s="292"/>
      <c r="P11" s="286"/>
    </row>
    <row r="12" spans="1:17" s="259" customFormat="1">
      <c r="A12" s="282"/>
      <c r="B12" s="306"/>
      <c r="E12" s="287"/>
      <c r="F12" s="288"/>
      <c r="G12" s="276"/>
      <c r="H12" s="289"/>
      <c r="I12" s="293"/>
      <c r="J12" s="290"/>
      <c r="K12" s="278">
        <f>SUM(K11+Tableau3[[#This Row],[Colonne9]]-Tableau3[[#This Row],[Colonne7]])</f>
        <v>5000</v>
      </c>
      <c r="L12" s="291"/>
      <c r="M12" s="278">
        <f t="shared" si="0"/>
        <v>0</v>
      </c>
      <c r="N12" s="278">
        <f t="shared" si="1"/>
        <v>0</v>
      </c>
      <c r="O12" s="292"/>
      <c r="P12" s="286"/>
    </row>
    <row r="13" spans="1:17" s="259" customFormat="1">
      <c r="A13" s="282"/>
      <c r="B13" s="306"/>
      <c r="E13" s="287"/>
      <c r="F13" s="288"/>
      <c r="G13" s="276"/>
      <c r="H13" s="289"/>
      <c r="I13" s="293"/>
      <c r="J13" s="290"/>
      <c r="K13" s="278">
        <f>SUM(K12+Tableau3[[#This Row],[Colonne9]]-Tableau3[[#This Row],[Colonne7]])</f>
        <v>5000</v>
      </c>
      <c r="L13" s="291"/>
      <c r="M13" s="278">
        <f t="shared" si="0"/>
        <v>0</v>
      </c>
      <c r="N13" s="278">
        <f t="shared" si="1"/>
        <v>0</v>
      </c>
      <c r="O13" s="292"/>
      <c r="P13" s="286"/>
    </row>
    <row r="14" spans="1:17" s="259" customFormat="1">
      <c r="A14" s="282"/>
      <c r="B14" s="306"/>
      <c r="C14" s="259" t="s">
        <v>341</v>
      </c>
      <c r="D14" s="259" t="s">
        <v>269</v>
      </c>
      <c r="E14" s="287"/>
      <c r="F14" s="288"/>
      <c r="G14" s="276"/>
      <c r="H14" s="289">
        <v>1</v>
      </c>
      <c r="I14" s="293"/>
      <c r="J14" s="290"/>
      <c r="K14" s="278">
        <f>SUM(K13+Tableau3[[#This Row],[Colonne9]]-Tableau3[[#This Row],[Colonne7]])</f>
        <v>5000</v>
      </c>
      <c r="L14" s="291"/>
      <c r="M14" s="278" t="str">
        <f t="shared" si="0"/>
        <v>0</v>
      </c>
      <c r="N14" s="278" t="str">
        <f t="shared" si="1"/>
        <v>0</v>
      </c>
      <c r="O14" s="292"/>
      <c r="P14" s="286"/>
    </row>
    <row r="15" spans="1:17" s="259" customFormat="1">
      <c r="A15" s="282"/>
      <c r="B15" s="306"/>
      <c r="E15" s="287"/>
      <c r="F15" s="288"/>
      <c r="G15" s="276"/>
      <c r="H15" s="289"/>
      <c r="I15" s="293"/>
      <c r="J15" s="290"/>
      <c r="K15" s="278">
        <f>SUM(K14+Tableau3[[#This Row],[Colonne9]]-Tableau3[[#This Row],[Colonne7]])</f>
        <v>5000</v>
      </c>
      <c r="L15" s="291"/>
      <c r="M15" s="278">
        <f t="shared" si="0"/>
        <v>0</v>
      </c>
      <c r="N15" s="278">
        <f t="shared" si="1"/>
        <v>0</v>
      </c>
      <c r="O15" s="292"/>
      <c r="P15" s="286"/>
    </row>
    <row r="16" spans="1:17" s="259" customFormat="1">
      <c r="A16" s="282"/>
      <c r="B16" s="306"/>
      <c r="C16" s="259" t="s">
        <v>69</v>
      </c>
      <c r="D16" s="259" t="s">
        <v>211</v>
      </c>
      <c r="E16" s="287"/>
      <c r="F16" s="288"/>
      <c r="G16" s="276"/>
      <c r="H16" s="289"/>
      <c r="I16" s="293"/>
      <c r="J16" s="290"/>
      <c r="K16" s="278">
        <f>SUM(K15+Tableau3[[#This Row],[Colonne9]]-Tableau3[[#This Row],[Colonne7]])</f>
        <v>5000</v>
      </c>
      <c r="L16" s="291"/>
      <c r="M16" s="278">
        <f t="shared" si="0"/>
        <v>0</v>
      </c>
      <c r="N16" s="278">
        <f t="shared" si="1"/>
        <v>0</v>
      </c>
      <c r="O16" s="292"/>
      <c r="P16" s="286"/>
    </row>
    <row r="17" spans="1:16" s="259" customFormat="1">
      <c r="A17" s="282"/>
      <c r="B17" s="306"/>
      <c r="E17" s="287"/>
      <c r="F17" s="288"/>
      <c r="G17" s="276"/>
      <c r="H17" s="289"/>
      <c r="I17" s="293"/>
      <c r="J17" s="290"/>
      <c r="K17" s="278">
        <f>SUM(K16+Tableau3[[#This Row],[Colonne9]]-Tableau3[[#This Row],[Colonne7]])</f>
        <v>5000</v>
      </c>
      <c r="L17" s="291"/>
      <c r="M17" s="278">
        <f t="shared" si="0"/>
        <v>0</v>
      </c>
      <c r="N17" s="278">
        <f t="shared" si="1"/>
        <v>0</v>
      </c>
      <c r="O17" s="292"/>
      <c r="P17" s="286"/>
    </row>
    <row r="18" spans="1:16" s="259" customFormat="1">
      <c r="A18" s="282"/>
      <c r="B18" s="306"/>
      <c r="E18" s="287"/>
      <c r="F18" s="288"/>
      <c r="G18" s="276"/>
      <c r="H18" s="289"/>
      <c r="I18" s="293"/>
      <c r="J18" s="290"/>
      <c r="K18" s="278">
        <f>SUM(K17+Tableau3[[#This Row],[Colonne9]]-Tableau3[[#This Row],[Colonne7]])</f>
        <v>5000</v>
      </c>
      <c r="L18" s="291"/>
      <c r="M18" s="278">
        <f t="shared" si="0"/>
        <v>0</v>
      </c>
      <c r="N18" s="278">
        <f t="shared" si="1"/>
        <v>0</v>
      </c>
      <c r="O18" s="292"/>
      <c r="P18" s="286"/>
    </row>
    <row r="19" spans="1:16" s="259" customFormat="1">
      <c r="A19" s="282"/>
      <c r="B19" s="306"/>
      <c r="E19" s="287"/>
      <c r="F19" s="288"/>
      <c r="G19" s="276"/>
      <c r="H19" s="289"/>
      <c r="I19" s="293"/>
      <c r="J19" s="290"/>
      <c r="K19" s="278">
        <f>SUM(K18+Tableau3[[#This Row],[Colonne9]]-Tableau3[[#This Row],[Colonne7]])</f>
        <v>5000</v>
      </c>
      <c r="L19" s="291"/>
      <c r="M19" s="278">
        <f t="shared" si="0"/>
        <v>0</v>
      </c>
      <c r="N19" s="278">
        <f t="shared" si="1"/>
        <v>0</v>
      </c>
      <c r="O19" s="292"/>
      <c r="P19" s="286"/>
    </row>
    <row r="20" spans="1:16" s="259" customFormat="1">
      <c r="A20" s="282"/>
      <c r="B20" s="306"/>
      <c r="E20" s="287"/>
      <c r="F20" s="288"/>
      <c r="G20" s="276"/>
      <c r="H20" s="289"/>
      <c r="I20" s="276"/>
      <c r="J20" s="290"/>
      <c r="K20" s="278">
        <f>SUM(K19+Tableau3[[#This Row],[Colonne9]]-Tableau3[[#This Row],[Colonne7]])</f>
        <v>5000</v>
      </c>
      <c r="L20" s="291"/>
      <c r="M20" s="278">
        <f t="shared" si="0"/>
        <v>0</v>
      </c>
      <c r="N20" s="278">
        <f t="shared" si="1"/>
        <v>0</v>
      </c>
      <c r="O20" s="292"/>
      <c r="P20" s="286"/>
    </row>
    <row r="21" spans="1:16" s="259" customFormat="1">
      <c r="A21" s="282"/>
      <c r="B21" s="306"/>
      <c r="E21" s="287"/>
      <c r="F21" s="288"/>
      <c r="G21" s="276"/>
      <c r="H21" s="289"/>
      <c r="I21" s="276"/>
      <c r="J21" s="290"/>
      <c r="K21" s="278">
        <f>SUM(K20+Tableau3[[#This Row],[Colonne9]]-Tableau3[[#This Row],[Colonne7]])</f>
        <v>5000</v>
      </c>
      <c r="L21" s="291"/>
      <c r="M21" s="278">
        <f t="shared" si="0"/>
        <v>0</v>
      </c>
      <c r="N21" s="278">
        <f t="shared" si="1"/>
        <v>0</v>
      </c>
      <c r="O21" s="292"/>
      <c r="P21" s="286"/>
    </row>
    <row r="22" spans="1:16">
      <c r="A22" s="296"/>
      <c r="B22" s="304"/>
      <c r="C22" s="297" t="s">
        <v>353</v>
      </c>
      <c r="D22" s="298"/>
      <c r="E22" s="299"/>
      <c r="H22" s="277"/>
      <c r="K22" s="278">
        <f>SUM(K21+Tableau3[[#This Row],[Colonne9]]-Tableau3[[#This Row],[Colonne7]])</f>
        <v>5000</v>
      </c>
      <c r="M22" s="278">
        <f t="shared" si="0"/>
        <v>0</v>
      </c>
      <c r="N22" s="278">
        <f t="shared" si="1"/>
        <v>0</v>
      </c>
      <c r="O22" s="280"/>
      <c r="P22" s="281"/>
    </row>
    <row r="23" spans="1:16" s="259" customFormat="1">
      <c r="A23" s="282"/>
      <c r="B23" s="306"/>
      <c r="C23" s="251"/>
      <c r="D23" s="251"/>
      <c r="E23" s="283"/>
      <c r="F23" s="270"/>
      <c r="G23" s="276"/>
      <c r="H23" s="277"/>
      <c r="I23" s="276"/>
      <c r="J23" s="290"/>
      <c r="K23" s="278">
        <f>SUM(K22+Tableau3[[#This Row],[Colonne9]]-Tableau3[[#This Row],[Colonne7]])</f>
        <v>5000</v>
      </c>
      <c r="L23" s="291"/>
      <c r="M23" s="278">
        <f t="shared" si="0"/>
        <v>0</v>
      </c>
      <c r="N23" s="278">
        <f t="shared" si="1"/>
        <v>0</v>
      </c>
      <c r="O23" s="292"/>
      <c r="P23" s="286"/>
    </row>
    <row r="24" spans="1:16" s="259" customFormat="1">
      <c r="A24" s="282"/>
      <c r="B24" s="306"/>
      <c r="C24" s="251"/>
      <c r="D24" s="251"/>
      <c r="E24" s="283"/>
      <c r="F24" s="270"/>
      <c r="G24" s="276"/>
      <c r="H24" s="285"/>
      <c r="I24" s="276"/>
      <c r="J24" s="290"/>
      <c r="K24" s="278">
        <f>SUM(K23+Tableau3[[#This Row],[Colonne9]]-Tableau3[[#This Row],[Colonne7]])</f>
        <v>5000</v>
      </c>
      <c r="L24" s="291"/>
      <c r="M24" s="278">
        <f t="shared" si="0"/>
        <v>0</v>
      </c>
      <c r="N24" s="278">
        <f t="shared" si="1"/>
        <v>0</v>
      </c>
      <c r="O24" s="292"/>
      <c r="P24" s="286"/>
    </row>
    <row r="25" spans="1:16" s="259" customFormat="1">
      <c r="A25" s="282"/>
      <c r="B25" s="306"/>
      <c r="E25" s="287"/>
      <c r="F25" s="288"/>
      <c r="G25" s="276"/>
      <c r="H25" s="289"/>
      <c r="I25" s="276"/>
      <c r="J25" s="290"/>
      <c r="K25" s="278">
        <f>SUM(K24+Tableau3[[#This Row],[Colonne9]]-Tableau3[[#This Row],[Colonne7]])</f>
        <v>5000</v>
      </c>
      <c r="L25" s="291"/>
      <c r="M25" s="278">
        <f t="shared" si="0"/>
        <v>0</v>
      </c>
      <c r="N25" s="278">
        <f t="shared" si="1"/>
        <v>0</v>
      </c>
      <c r="O25" s="292"/>
      <c r="P25" s="286"/>
    </row>
    <row r="26" spans="1:16" s="259" customFormat="1">
      <c r="A26" s="282"/>
      <c r="B26" s="306"/>
      <c r="E26" s="287"/>
      <c r="F26" s="288"/>
      <c r="G26" s="276"/>
      <c r="H26" s="289"/>
      <c r="I26" s="276"/>
      <c r="J26" s="290"/>
      <c r="K26" s="278">
        <f>SUM(K25+Tableau3[[#This Row],[Colonne9]]-Tableau3[[#This Row],[Colonne7]])</f>
        <v>5000</v>
      </c>
      <c r="L26" s="291"/>
      <c r="M26" s="278">
        <f t="shared" si="0"/>
        <v>0</v>
      </c>
      <c r="N26" s="278">
        <f t="shared" si="1"/>
        <v>0</v>
      </c>
      <c r="O26" s="292"/>
      <c r="P26" s="286"/>
    </row>
    <row r="27" spans="1:16" s="259" customFormat="1">
      <c r="A27" s="282"/>
      <c r="B27" s="306"/>
      <c r="E27" s="287"/>
      <c r="F27" s="288"/>
      <c r="G27" s="276"/>
      <c r="H27" s="289"/>
      <c r="I27" s="276"/>
      <c r="J27" s="290"/>
      <c r="K27" s="278">
        <f>SUM(K26+Tableau3[[#This Row],[Colonne9]]-Tableau3[[#This Row],[Colonne7]])</f>
        <v>5000</v>
      </c>
      <c r="L27" s="291"/>
      <c r="M27" s="278">
        <f t="shared" si="0"/>
        <v>0</v>
      </c>
      <c r="N27" s="278">
        <f t="shared" si="1"/>
        <v>0</v>
      </c>
      <c r="O27" s="292"/>
      <c r="P27" s="286"/>
    </row>
    <row r="28" spans="1:16" s="259" customFormat="1">
      <c r="A28" s="282"/>
      <c r="B28" s="306"/>
      <c r="E28" s="287"/>
      <c r="F28" s="288"/>
      <c r="G28" s="276"/>
      <c r="H28" s="289"/>
      <c r="I28" s="293"/>
      <c r="J28" s="290"/>
      <c r="K28" s="278">
        <f>SUM(K27+Tableau3[[#This Row],[Colonne9]]-Tableau3[[#This Row],[Colonne7]])</f>
        <v>5000</v>
      </c>
      <c r="L28" s="291"/>
      <c r="M28" s="278">
        <f t="shared" si="0"/>
        <v>0</v>
      </c>
      <c r="N28" s="278">
        <f t="shared" si="1"/>
        <v>0</v>
      </c>
      <c r="O28" s="292"/>
      <c r="P28" s="286"/>
    </row>
    <row r="29" spans="1:16" s="259" customFormat="1">
      <c r="A29" s="282"/>
      <c r="B29" s="306"/>
      <c r="E29" s="287"/>
      <c r="F29" s="288"/>
      <c r="G29" s="276"/>
      <c r="H29" s="289"/>
      <c r="I29" s="293"/>
      <c r="J29" s="290"/>
      <c r="K29" s="278">
        <f>SUM(K28+Tableau3[[#This Row],[Colonne9]]-Tableau3[[#This Row],[Colonne7]])</f>
        <v>5000</v>
      </c>
      <c r="L29" s="291"/>
      <c r="M29" s="278">
        <f t="shared" si="0"/>
        <v>0</v>
      </c>
      <c r="N29" s="278">
        <f t="shared" si="1"/>
        <v>0</v>
      </c>
      <c r="O29" s="292"/>
      <c r="P29" s="286"/>
    </row>
    <row r="30" spans="1:16" s="259" customFormat="1">
      <c r="A30" s="235"/>
      <c r="B30" s="307"/>
      <c r="C30" s="236" t="s">
        <v>354</v>
      </c>
      <c r="D30" s="237"/>
      <c r="E30" s="238"/>
      <c r="F30" s="288"/>
      <c r="G30" s="293"/>
      <c r="H30" s="289"/>
      <c r="I30" s="293"/>
      <c r="J30" s="290"/>
      <c r="K30" s="278">
        <f>SUM(K29+Tableau3[[#This Row],[Colonne9]]-Tableau3[[#This Row],[Colonne7]])</f>
        <v>5000</v>
      </c>
      <c r="L30" s="291"/>
      <c r="M30" s="278">
        <f t="shared" si="0"/>
        <v>0</v>
      </c>
      <c r="N30" s="278">
        <f t="shared" si="1"/>
        <v>0</v>
      </c>
      <c r="O30" s="292"/>
      <c r="P30" s="286"/>
    </row>
    <row r="31" spans="1:16" s="259" customFormat="1">
      <c r="A31" s="282"/>
      <c r="B31" s="306"/>
      <c r="C31" s="251"/>
      <c r="D31" s="251"/>
      <c r="E31" s="283"/>
      <c r="F31" s="270"/>
      <c r="G31" s="276"/>
      <c r="H31" s="277"/>
      <c r="I31" s="276"/>
      <c r="J31" s="290"/>
      <c r="K31" s="278">
        <f>SUM(K30+Tableau3[[#This Row],[Colonne9]]-Tableau3[[#This Row],[Colonne7]])</f>
        <v>5000</v>
      </c>
      <c r="L31" s="291"/>
      <c r="M31" s="278">
        <f t="shared" si="0"/>
        <v>0</v>
      </c>
      <c r="N31" s="278">
        <f t="shared" si="1"/>
        <v>0</v>
      </c>
      <c r="O31" s="292"/>
      <c r="P31" s="286"/>
    </row>
    <row r="32" spans="1:16" s="259" customFormat="1">
      <c r="A32" s="282"/>
      <c r="B32" s="306"/>
      <c r="C32" s="251"/>
      <c r="D32" s="251"/>
      <c r="E32" s="283"/>
      <c r="F32" s="270"/>
      <c r="G32" s="276"/>
      <c r="H32" s="285"/>
      <c r="I32" s="276"/>
      <c r="J32" s="290"/>
      <c r="K32" s="278">
        <f>SUM(K31+Tableau3[[#This Row],[Colonne9]]-Tableau3[[#This Row],[Colonne7]])</f>
        <v>5000</v>
      </c>
      <c r="L32" s="291"/>
      <c r="M32" s="278">
        <f t="shared" si="0"/>
        <v>0</v>
      </c>
      <c r="N32" s="278">
        <f t="shared" si="1"/>
        <v>0</v>
      </c>
      <c r="O32" s="292"/>
      <c r="P32" s="286"/>
    </row>
    <row r="33" spans="1:16" s="259" customFormat="1">
      <c r="A33" s="282"/>
      <c r="B33" s="306"/>
      <c r="E33" s="287"/>
      <c r="F33" s="288"/>
      <c r="G33" s="276"/>
      <c r="H33" s="289"/>
      <c r="I33" s="276"/>
      <c r="J33" s="290"/>
      <c r="K33" s="278">
        <f>SUM(K32+Tableau3[[#This Row],[Colonne9]]-Tableau3[[#This Row],[Colonne7]])</f>
        <v>5000</v>
      </c>
      <c r="L33" s="291"/>
      <c r="M33" s="278">
        <f t="shared" si="0"/>
        <v>0</v>
      </c>
      <c r="N33" s="278">
        <f t="shared" si="1"/>
        <v>0</v>
      </c>
      <c r="O33" s="292"/>
      <c r="P33" s="286"/>
    </row>
    <row r="34" spans="1:16" s="259" customFormat="1">
      <c r="A34" s="282"/>
      <c r="B34" s="306"/>
      <c r="E34" s="287"/>
      <c r="F34" s="288"/>
      <c r="G34" s="276"/>
      <c r="H34" s="289"/>
      <c r="I34" s="276"/>
      <c r="J34" s="290"/>
      <c r="K34" s="278">
        <f>SUM(K33+Tableau3[[#This Row],[Colonne9]]-Tableau3[[#This Row],[Colonne7]])</f>
        <v>5000</v>
      </c>
      <c r="L34" s="291"/>
      <c r="M34" s="278">
        <f t="shared" si="0"/>
        <v>0</v>
      </c>
      <c r="N34" s="278">
        <f t="shared" si="1"/>
        <v>0</v>
      </c>
      <c r="O34" s="292"/>
      <c r="P34" s="286"/>
    </row>
    <row r="35" spans="1:16" s="259" customFormat="1">
      <c r="A35" s="282"/>
      <c r="B35" s="306"/>
      <c r="E35" s="287"/>
      <c r="F35" s="288"/>
      <c r="G35" s="276"/>
      <c r="H35" s="289"/>
      <c r="I35" s="276"/>
      <c r="J35" s="290"/>
      <c r="K35" s="278">
        <f>SUM(K34+Tableau3[[#This Row],[Colonne9]]-Tableau3[[#This Row],[Colonne7]])</f>
        <v>5000</v>
      </c>
      <c r="L35" s="291"/>
      <c r="M35" s="278">
        <f t="shared" si="0"/>
        <v>0</v>
      </c>
      <c r="N35" s="278">
        <f t="shared" si="1"/>
        <v>0</v>
      </c>
      <c r="O35" s="292"/>
      <c r="P35" s="286"/>
    </row>
    <row r="36" spans="1:16" s="259" customFormat="1">
      <c r="A36" s="282"/>
      <c r="B36" s="306"/>
      <c r="E36" s="287"/>
      <c r="F36" s="288"/>
      <c r="G36" s="276"/>
      <c r="H36" s="289"/>
      <c r="I36" s="293"/>
      <c r="J36" s="290"/>
      <c r="K36" s="278">
        <f>SUM(K35+Tableau3[[#This Row],[Colonne9]]-Tableau3[[#This Row],[Colonne7]])</f>
        <v>5000</v>
      </c>
      <c r="L36" s="291"/>
      <c r="M36" s="278">
        <f t="shared" si="0"/>
        <v>0</v>
      </c>
      <c r="N36" s="278">
        <f t="shared" si="1"/>
        <v>0</v>
      </c>
      <c r="O36" s="292"/>
      <c r="P36" s="286"/>
    </row>
    <row r="37" spans="1:16" s="259" customFormat="1">
      <c r="A37" s="282"/>
      <c r="B37" s="306"/>
      <c r="E37" s="287"/>
      <c r="F37" s="288"/>
      <c r="G37" s="293"/>
      <c r="H37" s="289"/>
      <c r="I37" s="293"/>
      <c r="J37" s="290"/>
      <c r="K37" s="278">
        <f>SUM(K36+Tableau3[[#This Row],[Colonne9]]-Tableau3[[#This Row],[Colonne7]])</f>
        <v>5000</v>
      </c>
      <c r="L37" s="291"/>
      <c r="M37" s="278">
        <f t="shared" si="0"/>
        <v>0</v>
      </c>
      <c r="N37" s="278">
        <f t="shared" si="1"/>
        <v>0</v>
      </c>
      <c r="O37" s="292"/>
      <c r="P37" s="286"/>
    </row>
    <row r="38" spans="1:16">
      <c r="A38" s="282"/>
      <c r="B38" s="306"/>
      <c r="C38" s="259"/>
      <c r="D38" s="259"/>
      <c r="E38" s="287"/>
      <c r="F38" s="288"/>
      <c r="G38" s="293"/>
      <c r="H38" s="289"/>
      <c r="I38" s="293"/>
      <c r="J38" s="290"/>
      <c r="K38" s="278">
        <f>SUM(K37+Tableau3[[#This Row],[Colonne9]]-Tableau3[[#This Row],[Colonne7]])</f>
        <v>5000</v>
      </c>
      <c r="L38" s="291"/>
      <c r="M38" s="278">
        <f t="shared" si="0"/>
        <v>0</v>
      </c>
      <c r="N38" s="278">
        <f t="shared" si="1"/>
        <v>0</v>
      </c>
      <c r="O38" s="292"/>
      <c r="P38" s="286"/>
    </row>
    <row r="39" spans="1:16">
      <c r="A39" s="235"/>
      <c r="B39" s="307"/>
      <c r="C39" s="236" t="s">
        <v>355</v>
      </c>
      <c r="D39" s="237"/>
      <c r="E39" s="238"/>
      <c r="F39" s="288"/>
      <c r="G39" s="293"/>
      <c r="H39" s="289"/>
      <c r="I39" s="293"/>
      <c r="J39" s="290"/>
      <c r="K39" s="278">
        <f>SUM(K38+Tableau3[[#This Row],[Colonne9]]-Tableau3[[#This Row],[Colonne7]])</f>
        <v>5000</v>
      </c>
      <c r="L39" s="291"/>
      <c r="M39" s="278">
        <f t="shared" si="0"/>
        <v>0</v>
      </c>
      <c r="N39" s="278">
        <f t="shared" si="1"/>
        <v>0</v>
      </c>
      <c r="O39" s="292"/>
      <c r="P39" s="286"/>
    </row>
    <row r="40" spans="1:16">
      <c r="A40" s="282"/>
      <c r="B40" s="306"/>
      <c r="H40" s="277"/>
      <c r="J40" s="290"/>
      <c r="K40" s="278">
        <f>SUM(K39+Tableau3[[#This Row],[Colonne9]]-Tableau3[[#This Row],[Colonne7]])</f>
        <v>5000</v>
      </c>
      <c r="L40" s="291"/>
      <c r="M40" s="278">
        <f t="shared" si="0"/>
        <v>0</v>
      </c>
      <c r="N40" s="278">
        <f t="shared" si="1"/>
        <v>0</v>
      </c>
      <c r="O40" s="292"/>
      <c r="P40" s="286"/>
    </row>
    <row r="41" spans="1:16">
      <c r="A41" s="282"/>
      <c r="B41" s="306"/>
      <c r="J41" s="290"/>
      <c r="K41" s="278">
        <f>SUM(K40+Tableau3[[#This Row],[Colonne9]]-Tableau3[[#This Row],[Colonne7]])</f>
        <v>5000</v>
      </c>
      <c r="L41" s="291"/>
      <c r="M41" s="278">
        <f t="shared" si="0"/>
        <v>0</v>
      </c>
      <c r="N41" s="278">
        <f t="shared" si="1"/>
        <v>0</v>
      </c>
      <c r="O41" s="292"/>
      <c r="P41" s="286"/>
    </row>
    <row r="42" spans="1:16" s="259" customFormat="1">
      <c r="A42" s="282"/>
      <c r="B42" s="306"/>
      <c r="E42" s="287"/>
      <c r="F42" s="288"/>
      <c r="G42" s="276"/>
      <c r="H42" s="289"/>
      <c r="I42" s="276"/>
      <c r="J42" s="290"/>
      <c r="K42" s="278">
        <f>SUM(K41+Tableau3[[#This Row],[Colonne9]]-Tableau3[[#This Row],[Colonne7]])</f>
        <v>5000</v>
      </c>
      <c r="L42" s="291"/>
      <c r="M42" s="278">
        <f t="shared" si="0"/>
        <v>0</v>
      </c>
      <c r="N42" s="278">
        <f t="shared" si="1"/>
        <v>0</v>
      </c>
      <c r="O42" s="292"/>
      <c r="P42" s="286"/>
    </row>
    <row r="43" spans="1:16" s="259" customFormat="1">
      <c r="A43" s="282"/>
      <c r="B43" s="306"/>
      <c r="E43" s="287"/>
      <c r="F43" s="288"/>
      <c r="G43" s="276"/>
      <c r="H43" s="289"/>
      <c r="I43" s="276"/>
      <c r="J43" s="290"/>
      <c r="K43" s="278">
        <f>SUM(K42+Tableau3[[#This Row],[Colonne9]]-Tableau3[[#This Row],[Colonne7]])</f>
        <v>5000</v>
      </c>
      <c r="L43" s="291"/>
      <c r="M43" s="278">
        <f t="shared" si="0"/>
        <v>0</v>
      </c>
      <c r="N43" s="278">
        <f t="shared" si="1"/>
        <v>0</v>
      </c>
      <c r="O43" s="292"/>
      <c r="P43" s="286"/>
    </row>
    <row r="44" spans="1:16" s="259" customFormat="1">
      <c r="A44" s="282"/>
      <c r="B44" s="306"/>
      <c r="E44" s="287"/>
      <c r="F44" s="288"/>
      <c r="G44" s="276"/>
      <c r="H44" s="289"/>
      <c r="I44" s="276"/>
      <c r="J44" s="290"/>
      <c r="K44" s="278">
        <f>SUM(K43+Tableau3[[#This Row],[Colonne9]]-Tableau3[[#This Row],[Colonne7]])</f>
        <v>5000</v>
      </c>
      <c r="L44" s="291"/>
      <c r="M44" s="278">
        <f t="shared" si="0"/>
        <v>0</v>
      </c>
      <c r="N44" s="278">
        <f t="shared" si="1"/>
        <v>0</v>
      </c>
      <c r="O44" s="292"/>
      <c r="P44" s="286"/>
    </row>
    <row r="45" spans="1:16" s="259" customFormat="1">
      <c r="A45" s="282"/>
      <c r="B45" s="306"/>
      <c r="E45" s="287"/>
      <c r="F45" s="288"/>
      <c r="G45" s="276"/>
      <c r="H45" s="289"/>
      <c r="I45" s="293"/>
      <c r="J45" s="290"/>
      <c r="K45" s="278">
        <f>SUM(K44+Tableau3[[#This Row],[Colonne9]]-Tableau3[[#This Row],[Colonne7]])</f>
        <v>5000</v>
      </c>
      <c r="L45" s="291"/>
      <c r="M45" s="278">
        <f t="shared" si="0"/>
        <v>0</v>
      </c>
      <c r="N45" s="278">
        <f t="shared" si="1"/>
        <v>0</v>
      </c>
      <c r="O45" s="292"/>
      <c r="P45" s="286"/>
    </row>
    <row r="46" spans="1:16">
      <c r="A46" s="282"/>
      <c r="B46" s="306"/>
      <c r="C46" s="259"/>
      <c r="D46" s="259"/>
      <c r="E46" s="287"/>
      <c r="F46" s="288"/>
      <c r="G46" s="293"/>
      <c r="H46" s="289"/>
      <c r="I46" s="293"/>
      <c r="J46" s="290"/>
      <c r="K46" s="278">
        <f>SUM(K45+Tableau3[[#This Row],[Colonne9]]-Tableau3[[#This Row],[Colonne7]])</f>
        <v>5000</v>
      </c>
      <c r="L46" s="291"/>
      <c r="M46" s="278">
        <f t="shared" si="0"/>
        <v>0</v>
      </c>
      <c r="N46" s="278">
        <f t="shared" si="1"/>
        <v>0</v>
      </c>
      <c r="O46" s="292"/>
      <c r="P46" s="286"/>
    </row>
    <row r="47" spans="1:16" s="259" customFormat="1">
      <c r="A47" s="282"/>
      <c r="B47" s="306"/>
      <c r="E47" s="287"/>
      <c r="F47" s="288"/>
      <c r="G47" s="293"/>
      <c r="H47" s="289"/>
      <c r="I47" s="293"/>
      <c r="J47" s="290"/>
      <c r="K47" s="278">
        <f>SUM(K46+Tableau3[[#This Row],[Colonne9]]-Tableau3[[#This Row],[Colonne7]])</f>
        <v>5000</v>
      </c>
      <c r="L47" s="291"/>
      <c r="M47" s="278">
        <f t="shared" si="0"/>
        <v>0</v>
      </c>
      <c r="N47" s="278">
        <f t="shared" si="1"/>
        <v>0</v>
      </c>
      <c r="O47" s="292"/>
      <c r="P47" s="286"/>
    </row>
    <row r="48" spans="1:16" s="259" customFormat="1">
      <c r="A48" s="282"/>
      <c r="B48" s="306"/>
      <c r="E48" s="287"/>
      <c r="F48" s="288"/>
      <c r="G48" s="293"/>
      <c r="H48" s="289"/>
      <c r="I48" s="293"/>
      <c r="J48" s="290"/>
      <c r="K48" s="278">
        <f>SUM(K47+Tableau3[[#This Row],[Colonne9]]-Tableau3[[#This Row],[Colonne7]])</f>
        <v>5000</v>
      </c>
      <c r="L48" s="291"/>
      <c r="M48" s="278">
        <f t="shared" si="0"/>
        <v>0</v>
      </c>
      <c r="N48" s="278">
        <f t="shared" si="1"/>
        <v>0</v>
      </c>
      <c r="O48" s="292"/>
      <c r="P48" s="286"/>
    </row>
    <row r="49" spans="1:16" s="259" customFormat="1">
      <c r="A49" s="235"/>
      <c r="B49" s="307"/>
      <c r="C49" s="236" t="s">
        <v>356</v>
      </c>
      <c r="D49" s="237"/>
      <c r="E49" s="238"/>
      <c r="F49" s="288"/>
      <c r="G49" s="293"/>
      <c r="H49" s="289"/>
      <c r="I49" s="293"/>
      <c r="J49" s="290"/>
      <c r="K49" s="278">
        <f>SUM(K48+Tableau3[[#This Row],[Colonne9]]-Tableau3[[#This Row],[Colonne7]])</f>
        <v>5000</v>
      </c>
      <c r="L49" s="291"/>
      <c r="M49" s="278">
        <f t="shared" si="0"/>
        <v>0</v>
      </c>
      <c r="N49" s="278">
        <f t="shared" si="1"/>
        <v>0</v>
      </c>
      <c r="O49" s="292"/>
      <c r="P49" s="286"/>
    </row>
    <row r="50" spans="1:16" s="259" customFormat="1">
      <c r="A50" s="282"/>
      <c r="B50" s="306"/>
      <c r="C50" s="251"/>
      <c r="D50" s="251"/>
      <c r="E50" s="283"/>
      <c r="F50" s="270"/>
      <c r="G50" s="276"/>
      <c r="H50" s="277"/>
      <c r="I50" s="276"/>
      <c r="J50" s="290"/>
      <c r="K50" s="278">
        <f>SUM(K49+Tableau3[[#This Row],[Colonne9]]-Tableau3[[#This Row],[Colonne7]])</f>
        <v>5000</v>
      </c>
      <c r="L50" s="291"/>
      <c r="M50" s="278">
        <f t="shared" si="0"/>
        <v>0</v>
      </c>
      <c r="N50" s="278">
        <f t="shared" si="1"/>
        <v>0</v>
      </c>
      <c r="O50" s="292"/>
      <c r="P50" s="286"/>
    </row>
    <row r="51" spans="1:16" s="259" customFormat="1">
      <c r="A51" s="282"/>
      <c r="B51" s="306"/>
      <c r="C51" s="251"/>
      <c r="D51" s="251"/>
      <c r="E51" s="283"/>
      <c r="F51" s="270"/>
      <c r="G51" s="276"/>
      <c r="H51" s="285"/>
      <c r="I51" s="276"/>
      <c r="J51" s="290"/>
      <c r="K51" s="278">
        <f>SUM(K50+Tableau3[[#This Row],[Colonne9]]-Tableau3[[#This Row],[Colonne7]])</f>
        <v>5000</v>
      </c>
      <c r="L51" s="291"/>
      <c r="M51" s="278">
        <f t="shared" si="0"/>
        <v>0</v>
      </c>
      <c r="N51" s="278">
        <f t="shared" si="1"/>
        <v>0</v>
      </c>
      <c r="O51" s="292"/>
      <c r="P51" s="286"/>
    </row>
    <row r="52" spans="1:16" s="259" customFormat="1">
      <c r="A52" s="282"/>
      <c r="B52" s="306"/>
      <c r="E52" s="287"/>
      <c r="F52" s="288"/>
      <c r="G52" s="276"/>
      <c r="H52" s="289"/>
      <c r="I52" s="276"/>
      <c r="J52" s="290"/>
      <c r="K52" s="278">
        <f>SUM(K51+Tableau3[[#This Row],[Colonne9]]-Tableau3[[#This Row],[Colonne7]])</f>
        <v>5000</v>
      </c>
      <c r="L52" s="291"/>
      <c r="M52" s="278">
        <f t="shared" si="0"/>
        <v>0</v>
      </c>
      <c r="N52" s="278">
        <f t="shared" si="1"/>
        <v>0</v>
      </c>
      <c r="O52" s="292"/>
      <c r="P52" s="286"/>
    </row>
    <row r="53" spans="1:16" s="259" customFormat="1">
      <c r="A53" s="282"/>
      <c r="B53" s="306"/>
      <c r="E53" s="287"/>
      <c r="F53" s="288"/>
      <c r="G53" s="276"/>
      <c r="H53" s="289"/>
      <c r="I53" s="276"/>
      <c r="J53" s="290"/>
      <c r="K53" s="278">
        <f>SUM(K52+Tableau3[[#This Row],[Colonne9]]-Tableau3[[#This Row],[Colonne7]])</f>
        <v>5000</v>
      </c>
      <c r="L53" s="291"/>
      <c r="M53" s="278">
        <f t="shared" si="0"/>
        <v>0</v>
      </c>
      <c r="N53" s="278">
        <f t="shared" si="1"/>
        <v>0</v>
      </c>
      <c r="O53" s="292"/>
      <c r="P53" s="286"/>
    </row>
    <row r="54" spans="1:16" s="259" customFormat="1">
      <c r="A54" s="282"/>
      <c r="B54" s="306"/>
      <c r="E54" s="287"/>
      <c r="F54" s="288"/>
      <c r="G54" s="276"/>
      <c r="H54" s="289"/>
      <c r="I54" s="276"/>
      <c r="J54" s="290"/>
      <c r="K54" s="278">
        <f>SUM(K53+Tableau3[[#This Row],[Colonne9]]-Tableau3[[#This Row],[Colonne7]])</f>
        <v>5000</v>
      </c>
      <c r="L54" s="291"/>
      <c r="M54" s="278">
        <f t="shared" si="0"/>
        <v>0</v>
      </c>
      <c r="N54" s="278">
        <f t="shared" si="1"/>
        <v>0</v>
      </c>
      <c r="O54" s="292"/>
      <c r="P54" s="286"/>
    </row>
    <row r="55" spans="1:16" s="259" customFormat="1">
      <c r="A55" s="282"/>
      <c r="B55" s="306"/>
      <c r="E55" s="287"/>
      <c r="F55" s="288"/>
      <c r="G55" s="276"/>
      <c r="H55" s="289"/>
      <c r="I55" s="293"/>
      <c r="J55" s="290"/>
      <c r="K55" s="278">
        <f>SUM(K54+Tableau3[[#This Row],[Colonne9]]-Tableau3[[#This Row],[Colonne7]])</f>
        <v>5000</v>
      </c>
      <c r="L55" s="291"/>
      <c r="M55" s="278">
        <f t="shared" si="0"/>
        <v>0</v>
      </c>
      <c r="N55" s="278">
        <f t="shared" si="1"/>
        <v>0</v>
      </c>
      <c r="O55" s="292"/>
      <c r="P55" s="286"/>
    </row>
    <row r="56" spans="1:16" s="259" customFormat="1">
      <c r="A56" s="282"/>
      <c r="B56" s="306"/>
      <c r="E56" s="287"/>
      <c r="F56" s="288"/>
      <c r="G56" s="293"/>
      <c r="H56" s="289"/>
      <c r="I56" s="293"/>
      <c r="J56" s="290"/>
      <c r="K56" s="278">
        <f>SUM(K55+Tableau3[[#This Row],[Colonne9]]-Tableau3[[#This Row],[Colonne7]])</f>
        <v>5000</v>
      </c>
      <c r="L56" s="291"/>
      <c r="M56" s="278">
        <f t="shared" si="0"/>
        <v>0</v>
      </c>
      <c r="N56" s="278">
        <f t="shared" si="1"/>
        <v>0</v>
      </c>
      <c r="O56" s="292"/>
      <c r="P56" s="286"/>
    </row>
    <row r="57" spans="1:16" s="259" customFormat="1">
      <c r="A57" s="282"/>
      <c r="B57" s="306"/>
      <c r="E57" s="287"/>
      <c r="F57" s="288"/>
      <c r="G57" s="293"/>
      <c r="H57" s="289"/>
      <c r="I57" s="293"/>
      <c r="J57" s="290"/>
      <c r="K57" s="278">
        <f>SUM(K56+Tableau3[[#This Row],[Colonne9]]-Tableau3[[#This Row],[Colonne7]])</f>
        <v>5000</v>
      </c>
      <c r="L57" s="291"/>
      <c r="M57" s="278">
        <f t="shared" si="0"/>
        <v>0</v>
      </c>
      <c r="N57" s="278">
        <f t="shared" si="1"/>
        <v>0</v>
      </c>
      <c r="O57" s="292"/>
      <c r="P57" s="286"/>
    </row>
    <row r="58" spans="1:16" s="259" customFormat="1">
      <c r="A58" s="282"/>
      <c r="B58" s="306"/>
      <c r="E58" s="287"/>
      <c r="F58" s="288"/>
      <c r="G58" s="293"/>
      <c r="H58" s="289"/>
      <c r="I58" s="293"/>
      <c r="J58" s="290"/>
      <c r="K58" s="278">
        <f>SUM(K57+Tableau3[[#This Row],[Colonne9]]-Tableau3[[#This Row],[Colonne7]])</f>
        <v>5000</v>
      </c>
      <c r="L58" s="291"/>
      <c r="M58" s="278">
        <f t="shared" si="0"/>
        <v>0</v>
      </c>
      <c r="N58" s="278">
        <f t="shared" si="1"/>
        <v>0</v>
      </c>
      <c r="O58" s="292"/>
      <c r="P58" s="286"/>
    </row>
    <row r="59" spans="1:16" s="259" customFormat="1">
      <c r="A59" s="235"/>
      <c r="B59" s="307"/>
      <c r="C59" s="236" t="s">
        <v>357</v>
      </c>
      <c r="D59" s="237"/>
      <c r="E59" s="238"/>
      <c r="F59" s="288"/>
      <c r="G59" s="293"/>
      <c r="H59" s="289"/>
      <c r="I59" s="293"/>
      <c r="J59" s="290"/>
      <c r="K59" s="278">
        <f>SUM(K58+Tableau3[[#This Row],[Colonne9]]-Tableau3[[#This Row],[Colonne7]])</f>
        <v>5000</v>
      </c>
      <c r="L59" s="291"/>
      <c r="M59" s="278">
        <f t="shared" si="0"/>
        <v>0</v>
      </c>
      <c r="N59" s="278">
        <f t="shared" si="1"/>
        <v>0</v>
      </c>
      <c r="O59" s="292"/>
      <c r="P59" s="286"/>
    </row>
    <row r="60" spans="1:16" s="259" customFormat="1">
      <c r="A60" s="282"/>
      <c r="B60" s="306"/>
      <c r="C60" s="251"/>
      <c r="D60" s="251"/>
      <c r="E60" s="283"/>
      <c r="F60" s="270"/>
      <c r="G60" s="276"/>
      <c r="H60" s="277"/>
      <c r="I60" s="276"/>
      <c r="J60" s="290"/>
      <c r="K60" s="278">
        <f>SUM(K59+Tableau3[[#This Row],[Colonne9]]-Tableau3[[#This Row],[Colonne7]])</f>
        <v>5000</v>
      </c>
      <c r="L60" s="291"/>
      <c r="M60" s="278">
        <f t="shared" si="0"/>
        <v>0</v>
      </c>
      <c r="N60" s="278">
        <f t="shared" si="1"/>
        <v>0</v>
      </c>
      <c r="O60" s="292"/>
      <c r="P60" s="286"/>
    </row>
    <row r="61" spans="1:16" s="259" customFormat="1">
      <c r="A61" s="282"/>
      <c r="B61" s="306"/>
      <c r="C61" s="251"/>
      <c r="D61" s="251"/>
      <c r="E61" s="283"/>
      <c r="F61" s="270"/>
      <c r="G61" s="276"/>
      <c r="H61" s="285"/>
      <c r="I61" s="276"/>
      <c r="J61" s="290"/>
      <c r="K61" s="278">
        <f>SUM(K60+Tableau3[[#This Row],[Colonne9]]-Tableau3[[#This Row],[Colonne7]])</f>
        <v>5000</v>
      </c>
      <c r="L61" s="291"/>
      <c r="M61" s="278">
        <f t="shared" si="0"/>
        <v>0</v>
      </c>
      <c r="N61" s="278">
        <f t="shared" si="1"/>
        <v>0</v>
      </c>
      <c r="O61" s="292"/>
      <c r="P61" s="286"/>
    </row>
    <row r="62" spans="1:16" s="259" customFormat="1">
      <c r="A62" s="282"/>
      <c r="B62" s="306"/>
      <c r="E62" s="287"/>
      <c r="F62" s="288"/>
      <c r="G62" s="276"/>
      <c r="H62" s="289"/>
      <c r="I62" s="276"/>
      <c r="J62" s="290"/>
      <c r="K62" s="278">
        <f>SUM(K61+Tableau3[[#This Row],[Colonne9]]-Tableau3[[#This Row],[Colonne7]])</f>
        <v>5000</v>
      </c>
      <c r="L62" s="291"/>
      <c r="M62" s="278">
        <f t="shared" si="0"/>
        <v>0</v>
      </c>
      <c r="N62" s="278">
        <f t="shared" si="1"/>
        <v>0</v>
      </c>
      <c r="O62" s="292"/>
      <c r="P62" s="286"/>
    </row>
    <row r="63" spans="1:16" s="259" customFormat="1">
      <c r="A63" s="282"/>
      <c r="B63" s="306"/>
      <c r="E63" s="287"/>
      <c r="F63" s="288"/>
      <c r="G63" s="276"/>
      <c r="H63" s="289"/>
      <c r="I63" s="276"/>
      <c r="J63" s="290"/>
      <c r="K63" s="278">
        <f>SUM(K62+Tableau3[[#This Row],[Colonne9]]-Tableau3[[#This Row],[Colonne7]])</f>
        <v>5000</v>
      </c>
      <c r="L63" s="291"/>
      <c r="M63" s="278">
        <f t="shared" si="0"/>
        <v>0</v>
      </c>
      <c r="N63" s="278">
        <f t="shared" si="1"/>
        <v>0</v>
      </c>
      <c r="O63" s="292"/>
      <c r="P63" s="286"/>
    </row>
    <row r="64" spans="1:16" s="259" customFormat="1">
      <c r="A64" s="282"/>
      <c r="B64" s="306"/>
      <c r="E64" s="287"/>
      <c r="F64" s="288"/>
      <c r="G64" s="276"/>
      <c r="H64" s="289"/>
      <c r="I64" s="276"/>
      <c r="J64" s="290"/>
      <c r="K64" s="278">
        <f>SUM(K63+Tableau3[[#This Row],[Colonne9]]-Tableau3[[#This Row],[Colonne7]])</f>
        <v>5000</v>
      </c>
      <c r="L64" s="291"/>
      <c r="M64" s="278">
        <f t="shared" si="0"/>
        <v>0</v>
      </c>
      <c r="N64" s="278">
        <f t="shared" si="1"/>
        <v>0</v>
      </c>
      <c r="O64" s="292"/>
      <c r="P64" s="286"/>
    </row>
    <row r="65" spans="1:16" s="259" customFormat="1">
      <c r="A65" s="282"/>
      <c r="B65" s="306"/>
      <c r="E65" s="287"/>
      <c r="F65" s="288"/>
      <c r="G65" s="276"/>
      <c r="H65" s="289"/>
      <c r="I65" s="293"/>
      <c r="J65" s="290"/>
      <c r="K65" s="278">
        <f>SUM(K64+Tableau3[[#This Row],[Colonne9]]-Tableau3[[#This Row],[Colonne7]])</f>
        <v>5000</v>
      </c>
      <c r="L65" s="291"/>
      <c r="M65" s="278">
        <f t="shared" si="0"/>
        <v>0</v>
      </c>
      <c r="N65" s="278">
        <f t="shared" si="1"/>
        <v>0</v>
      </c>
      <c r="O65" s="292"/>
      <c r="P65" s="286"/>
    </row>
    <row r="66" spans="1:16" s="259" customFormat="1">
      <c r="A66" s="282"/>
      <c r="B66" s="306"/>
      <c r="E66" s="287"/>
      <c r="F66" s="288"/>
      <c r="G66" s="293"/>
      <c r="H66" s="289"/>
      <c r="I66" s="293"/>
      <c r="J66" s="290"/>
      <c r="K66" s="278">
        <f>SUM(K65+Tableau3[[#This Row],[Colonne9]]-Tableau3[[#This Row],[Colonne7]])</f>
        <v>5000</v>
      </c>
      <c r="L66" s="291"/>
      <c r="M66" s="278">
        <f t="shared" si="0"/>
        <v>0</v>
      </c>
      <c r="N66" s="278">
        <f t="shared" si="1"/>
        <v>0</v>
      </c>
      <c r="O66" s="292"/>
      <c r="P66" s="286"/>
    </row>
    <row r="67" spans="1:16" s="259" customFormat="1">
      <c r="A67" s="282"/>
      <c r="B67" s="306"/>
      <c r="E67" s="287"/>
      <c r="F67" s="288"/>
      <c r="G67" s="293"/>
      <c r="H67" s="289"/>
      <c r="I67" s="293"/>
      <c r="J67" s="290"/>
      <c r="K67" s="278">
        <f>SUM(K66+Tableau3[[#This Row],[Colonne9]]-Tableau3[[#This Row],[Colonne7]])</f>
        <v>5000</v>
      </c>
      <c r="L67" s="291"/>
      <c r="M67" s="278">
        <f t="shared" si="0"/>
        <v>0</v>
      </c>
      <c r="N67" s="278">
        <f t="shared" si="1"/>
        <v>0</v>
      </c>
      <c r="O67" s="292"/>
      <c r="P67" s="286"/>
    </row>
    <row r="68" spans="1:16" s="259" customFormat="1">
      <c r="A68" s="282"/>
      <c r="B68" s="306"/>
      <c r="E68" s="287"/>
      <c r="F68" s="288"/>
      <c r="G68" s="293"/>
      <c r="H68" s="289"/>
      <c r="I68" s="293"/>
      <c r="J68" s="290"/>
      <c r="K68" s="278">
        <f>SUM(K67+Tableau3[[#This Row],[Colonne9]]-Tableau3[[#This Row],[Colonne7]])</f>
        <v>5000</v>
      </c>
      <c r="L68" s="291"/>
      <c r="M68" s="278">
        <f t="shared" si="0"/>
        <v>0</v>
      </c>
      <c r="N68" s="278">
        <f t="shared" si="1"/>
        <v>0</v>
      </c>
      <c r="O68" s="292"/>
      <c r="P68" s="286"/>
    </row>
    <row r="69" spans="1:16" s="259" customFormat="1">
      <c r="A69" s="235"/>
      <c r="B69" s="307"/>
      <c r="C69" s="236" t="s">
        <v>358</v>
      </c>
      <c r="D69" s="237"/>
      <c r="E69" s="238"/>
      <c r="F69" s="288"/>
      <c r="G69" s="293"/>
      <c r="H69" s="289"/>
      <c r="I69" s="293"/>
      <c r="J69" s="290"/>
      <c r="K69" s="278">
        <f>SUM(K68+Tableau3[[#This Row],[Colonne9]]-Tableau3[[#This Row],[Colonne7]])</f>
        <v>5000</v>
      </c>
      <c r="L69" s="291"/>
      <c r="M69" s="278">
        <f t="shared" si="0"/>
        <v>0</v>
      </c>
      <c r="N69" s="278">
        <f t="shared" si="1"/>
        <v>0</v>
      </c>
      <c r="O69" s="292"/>
      <c r="P69" s="286"/>
    </row>
    <row r="70" spans="1:16" s="259" customFormat="1">
      <c r="A70" s="282"/>
      <c r="B70" s="306"/>
      <c r="C70" s="251"/>
      <c r="D70" s="251"/>
      <c r="E70" s="283"/>
      <c r="F70" s="270"/>
      <c r="G70" s="276"/>
      <c r="H70" s="277"/>
      <c r="I70" s="276"/>
      <c r="J70" s="290"/>
      <c r="K70" s="278">
        <f>SUM(K69+Tableau3[[#This Row],[Colonne9]]-Tableau3[[#This Row],[Colonne7]])</f>
        <v>5000</v>
      </c>
      <c r="L70" s="291"/>
      <c r="M70" s="278">
        <f t="shared" si="0"/>
        <v>0</v>
      </c>
      <c r="N70" s="278">
        <f t="shared" si="1"/>
        <v>0</v>
      </c>
      <c r="O70" s="292"/>
      <c r="P70" s="286"/>
    </row>
    <row r="71" spans="1:16" s="259" customFormat="1">
      <c r="A71" s="282"/>
      <c r="B71" s="306"/>
      <c r="C71" s="251"/>
      <c r="D71" s="251"/>
      <c r="E71" s="283"/>
      <c r="F71" s="270"/>
      <c r="G71" s="276"/>
      <c r="H71" s="285"/>
      <c r="I71" s="276"/>
      <c r="J71" s="290"/>
      <c r="K71" s="278">
        <f>SUM(K70+Tableau3[[#This Row],[Colonne9]]-Tableau3[[#This Row],[Colonne7]])</f>
        <v>5000</v>
      </c>
      <c r="L71" s="291"/>
      <c r="M71" s="278">
        <f t="shared" si="0"/>
        <v>0</v>
      </c>
      <c r="N71" s="278">
        <f t="shared" si="1"/>
        <v>0</v>
      </c>
      <c r="O71" s="292"/>
      <c r="P71" s="286"/>
    </row>
    <row r="72" spans="1:16" s="259" customFormat="1">
      <c r="A72" s="282"/>
      <c r="B72" s="306"/>
      <c r="E72" s="287"/>
      <c r="F72" s="288"/>
      <c r="G72" s="276"/>
      <c r="H72" s="289"/>
      <c r="I72" s="276"/>
      <c r="J72" s="290"/>
      <c r="K72" s="278">
        <f>SUM(K71+Tableau3[[#This Row],[Colonne9]]-Tableau3[[#This Row],[Colonne7]])</f>
        <v>5000</v>
      </c>
      <c r="L72" s="291"/>
      <c r="M72" s="278">
        <f t="shared" si="0"/>
        <v>0</v>
      </c>
      <c r="N72" s="278">
        <f t="shared" si="1"/>
        <v>0</v>
      </c>
      <c r="O72" s="292"/>
      <c r="P72" s="286"/>
    </row>
    <row r="73" spans="1:16" s="259" customFormat="1">
      <c r="A73" s="282"/>
      <c r="B73" s="306"/>
      <c r="E73" s="287"/>
      <c r="F73" s="288"/>
      <c r="G73" s="276"/>
      <c r="H73" s="289"/>
      <c r="I73" s="276"/>
      <c r="J73" s="290"/>
      <c r="K73" s="278">
        <f>SUM(K72+Tableau3[[#This Row],[Colonne9]]-Tableau3[[#This Row],[Colonne7]])</f>
        <v>5000</v>
      </c>
      <c r="L73" s="291"/>
      <c r="M73" s="278">
        <f t="shared" si="0"/>
        <v>0</v>
      </c>
      <c r="N73" s="278">
        <f t="shared" si="1"/>
        <v>0</v>
      </c>
      <c r="O73" s="292"/>
      <c r="P73" s="286"/>
    </row>
    <row r="74" spans="1:16" s="259" customFormat="1">
      <c r="A74" s="282"/>
      <c r="B74" s="306"/>
      <c r="E74" s="287"/>
      <c r="F74" s="288"/>
      <c r="G74" s="276"/>
      <c r="H74" s="289"/>
      <c r="I74" s="276"/>
      <c r="J74" s="290"/>
      <c r="K74" s="278">
        <f>SUM(K73+Tableau3[[#This Row],[Colonne9]]-Tableau3[[#This Row],[Colonne7]])</f>
        <v>5000</v>
      </c>
      <c r="L74" s="291"/>
      <c r="M74" s="278">
        <f t="shared" si="0"/>
        <v>0</v>
      </c>
      <c r="N74" s="278">
        <f t="shared" si="1"/>
        <v>0</v>
      </c>
      <c r="O74" s="292"/>
      <c r="P74" s="286"/>
    </row>
    <row r="75" spans="1:16" s="259" customFormat="1">
      <c r="A75" s="282"/>
      <c r="B75" s="306"/>
      <c r="E75" s="287"/>
      <c r="F75" s="288"/>
      <c r="G75" s="276"/>
      <c r="H75" s="289"/>
      <c r="I75" s="293"/>
      <c r="J75" s="290"/>
      <c r="K75" s="278">
        <f>SUM(K74+Tableau3[[#This Row],[Colonne9]]-Tableau3[[#This Row],[Colonne7]])</f>
        <v>5000</v>
      </c>
      <c r="L75" s="291"/>
      <c r="M75" s="278">
        <f t="shared" si="0"/>
        <v>0</v>
      </c>
      <c r="N75" s="278">
        <f t="shared" si="1"/>
        <v>0</v>
      </c>
      <c r="O75" s="292"/>
      <c r="P75" s="286"/>
    </row>
    <row r="76" spans="1:16" s="259" customFormat="1">
      <c r="A76" s="282"/>
      <c r="B76" s="306"/>
      <c r="E76" s="287"/>
      <c r="F76" s="288"/>
      <c r="G76" s="293"/>
      <c r="H76" s="289"/>
      <c r="I76" s="293"/>
      <c r="J76" s="290"/>
      <c r="K76" s="278">
        <f>SUM(K75+Tableau3[[#This Row],[Colonne9]]-Tableau3[[#This Row],[Colonne7]])</f>
        <v>5000</v>
      </c>
      <c r="L76" s="291"/>
      <c r="M76" s="278">
        <f t="shared" si="0"/>
        <v>0</v>
      </c>
      <c r="N76" s="278">
        <f t="shared" si="1"/>
        <v>0</v>
      </c>
      <c r="O76" s="292"/>
      <c r="P76" s="286"/>
    </row>
    <row r="77" spans="1:16" s="259" customFormat="1">
      <c r="A77" s="282"/>
      <c r="B77" s="306"/>
      <c r="E77" s="287"/>
      <c r="F77" s="288"/>
      <c r="G77" s="293"/>
      <c r="H77" s="289"/>
      <c r="I77" s="293"/>
      <c r="J77" s="290"/>
      <c r="K77" s="278">
        <f>SUM(K76+Tableau3[[#This Row],[Colonne9]]-Tableau3[[#This Row],[Colonne7]])</f>
        <v>5000</v>
      </c>
      <c r="L77" s="291"/>
      <c r="M77" s="278">
        <f t="shared" si="0"/>
        <v>0</v>
      </c>
      <c r="N77" s="278">
        <f t="shared" si="1"/>
        <v>0</v>
      </c>
      <c r="O77" s="292"/>
      <c r="P77" s="286"/>
    </row>
    <row r="78" spans="1:16" s="259" customFormat="1">
      <c r="A78" s="282"/>
      <c r="B78" s="306"/>
      <c r="E78" s="287"/>
      <c r="F78" s="288"/>
      <c r="G78" s="293"/>
      <c r="H78" s="289"/>
      <c r="I78" s="293"/>
      <c r="J78" s="290"/>
      <c r="K78" s="278">
        <f>SUM(K77+Tableau3[[#This Row],[Colonne9]]-Tableau3[[#This Row],[Colonne7]])</f>
        <v>5000</v>
      </c>
      <c r="L78" s="291"/>
      <c r="M78" s="278">
        <f t="shared" si="0"/>
        <v>0</v>
      </c>
      <c r="N78" s="278">
        <f t="shared" si="1"/>
        <v>0</v>
      </c>
      <c r="O78" s="292"/>
      <c r="P78" s="286"/>
    </row>
    <row r="79" spans="1:16" s="259" customFormat="1">
      <c r="A79" s="235"/>
      <c r="B79" s="307"/>
      <c r="C79" s="236" t="s">
        <v>359</v>
      </c>
      <c r="D79" s="237"/>
      <c r="E79" s="238"/>
      <c r="F79" s="288"/>
      <c r="G79" s="293"/>
      <c r="H79" s="289"/>
      <c r="I79" s="293"/>
      <c r="J79" s="290"/>
      <c r="K79" s="278">
        <f>SUM(K78+Tableau3[[#This Row],[Colonne9]]-Tableau3[[#This Row],[Colonne7]])</f>
        <v>5000</v>
      </c>
      <c r="L79" s="291"/>
      <c r="M79" s="278">
        <f t="shared" si="0"/>
        <v>0</v>
      </c>
      <c r="N79" s="278">
        <f t="shared" si="1"/>
        <v>0</v>
      </c>
      <c r="O79" s="292"/>
      <c r="P79" s="286"/>
    </row>
    <row r="80" spans="1:16" s="259" customFormat="1">
      <c r="A80" s="282"/>
      <c r="B80" s="306"/>
      <c r="C80" s="251"/>
      <c r="D80" s="251"/>
      <c r="E80" s="283"/>
      <c r="F80" s="270"/>
      <c r="G80" s="276"/>
      <c r="H80" s="277"/>
      <c r="I80" s="276"/>
      <c r="J80" s="290"/>
      <c r="K80" s="278">
        <f>SUM(K79+Tableau3[[#This Row],[Colonne9]]-Tableau3[[#This Row],[Colonne7]])</f>
        <v>5000</v>
      </c>
      <c r="L80" s="291"/>
      <c r="M80" s="278">
        <f t="shared" si="0"/>
        <v>0</v>
      </c>
      <c r="N80" s="278">
        <f t="shared" si="1"/>
        <v>0</v>
      </c>
      <c r="O80" s="292"/>
      <c r="P80" s="286"/>
    </row>
    <row r="81" spans="1:16" s="259" customFormat="1">
      <c r="A81" s="282"/>
      <c r="B81" s="306"/>
      <c r="C81" s="251"/>
      <c r="D81" s="251"/>
      <c r="E81" s="283"/>
      <c r="F81" s="270"/>
      <c r="G81" s="276"/>
      <c r="H81" s="285"/>
      <c r="I81" s="276"/>
      <c r="J81" s="290"/>
      <c r="K81" s="278">
        <f>SUM(K80+Tableau3[[#This Row],[Colonne9]]-Tableau3[[#This Row],[Colonne7]])</f>
        <v>5000</v>
      </c>
      <c r="L81" s="291"/>
      <c r="M81" s="278">
        <f t="shared" si="0"/>
        <v>0</v>
      </c>
      <c r="N81" s="278">
        <f t="shared" si="1"/>
        <v>0</v>
      </c>
      <c r="O81" s="292"/>
      <c r="P81" s="286"/>
    </row>
    <row r="82" spans="1:16" s="259" customFormat="1">
      <c r="A82" s="282"/>
      <c r="B82" s="306"/>
      <c r="E82" s="287"/>
      <c r="F82" s="288"/>
      <c r="G82" s="276"/>
      <c r="H82" s="289"/>
      <c r="I82" s="276"/>
      <c r="J82" s="290"/>
      <c r="K82" s="278">
        <f>SUM(K81+Tableau3[[#This Row],[Colonne9]]-Tableau3[[#This Row],[Colonne7]])</f>
        <v>5000</v>
      </c>
      <c r="L82" s="291"/>
      <c r="M82" s="278">
        <f t="shared" si="0"/>
        <v>0</v>
      </c>
      <c r="N82" s="278">
        <f t="shared" si="1"/>
        <v>0</v>
      </c>
      <c r="O82" s="292"/>
      <c r="P82" s="286"/>
    </row>
    <row r="83" spans="1:16" s="259" customFormat="1">
      <c r="A83" s="282"/>
      <c r="B83" s="306"/>
      <c r="E83" s="287"/>
      <c r="F83" s="288"/>
      <c r="G83" s="276"/>
      <c r="H83" s="289"/>
      <c r="I83" s="276"/>
      <c r="J83" s="290"/>
      <c r="K83" s="278">
        <f>SUM(K82+Tableau3[[#This Row],[Colonne9]]-Tableau3[[#This Row],[Colonne7]])</f>
        <v>5000</v>
      </c>
      <c r="L83" s="291"/>
      <c r="M83" s="278">
        <f t="shared" si="0"/>
        <v>0</v>
      </c>
      <c r="N83" s="278">
        <f t="shared" si="1"/>
        <v>0</v>
      </c>
      <c r="O83" s="292"/>
      <c r="P83" s="286"/>
    </row>
    <row r="84" spans="1:16" s="259" customFormat="1">
      <c r="A84" s="282"/>
      <c r="B84" s="306"/>
      <c r="E84" s="287"/>
      <c r="F84" s="288"/>
      <c r="G84" s="276"/>
      <c r="H84" s="289"/>
      <c r="I84" s="276"/>
      <c r="J84" s="290"/>
      <c r="K84" s="278">
        <f>SUM(K83+Tableau3[[#This Row],[Colonne9]]-Tableau3[[#This Row],[Colonne7]])</f>
        <v>5000</v>
      </c>
      <c r="L84" s="291"/>
      <c r="M84" s="278">
        <f t="shared" si="0"/>
        <v>0</v>
      </c>
      <c r="N84" s="278">
        <f t="shared" si="1"/>
        <v>0</v>
      </c>
      <c r="O84" s="292"/>
      <c r="P84" s="286"/>
    </row>
    <row r="85" spans="1:16" s="259" customFormat="1">
      <c r="A85" s="282"/>
      <c r="B85" s="306"/>
      <c r="E85" s="287"/>
      <c r="F85" s="288"/>
      <c r="G85" s="276"/>
      <c r="H85" s="289"/>
      <c r="I85" s="293"/>
      <c r="J85" s="290"/>
      <c r="K85" s="278">
        <f>SUM(K84+Tableau3[[#This Row],[Colonne9]]-Tableau3[[#This Row],[Colonne7]])</f>
        <v>5000</v>
      </c>
      <c r="L85" s="291"/>
      <c r="M85" s="278">
        <f t="shared" si="0"/>
        <v>0</v>
      </c>
      <c r="N85" s="278">
        <f t="shared" si="1"/>
        <v>0</v>
      </c>
      <c r="O85" s="292"/>
      <c r="P85" s="286"/>
    </row>
    <row r="86" spans="1:16" s="259" customFormat="1">
      <c r="A86" s="282"/>
      <c r="B86" s="306"/>
      <c r="E86" s="287"/>
      <c r="F86" s="288"/>
      <c r="G86" s="293"/>
      <c r="H86" s="289"/>
      <c r="I86" s="293"/>
      <c r="J86" s="290"/>
      <c r="K86" s="278">
        <f>SUM(K85+Tableau3[[#This Row],[Colonne9]]-Tableau3[[#This Row],[Colonne7]])</f>
        <v>5000</v>
      </c>
      <c r="L86" s="291"/>
      <c r="M86" s="278">
        <f t="shared" si="0"/>
        <v>0</v>
      </c>
      <c r="N86" s="278">
        <f t="shared" si="1"/>
        <v>0</v>
      </c>
      <c r="O86" s="292"/>
      <c r="P86" s="286"/>
    </row>
    <row r="87" spans="1:16" s="259" customFormat="1">
      <c r="A87" s="282"/>
      <c r="B87" s="306"/>
      <c r="E87" s="287"/>
      <c r="F87" s="288"/>
      <c r="G87" s="293"/>
      <c r="H87" s="289"/>
      <c r="I87" s="293"/>
      <c r="J87" s="290"/>
      <c r="K87" s="278">
        <f>SUM(K86+Tableau3[[#This Row],[Colonne9]]-Tableau3[[#This Row],[Colonne7]])</f>
        <v>5000</v>
      </c>
      <c r="L87" s="291"/>
      <c r="M87" s="278">
        <f t="shared" si="0"/>
        <v>0</v>
      </c>
      <c r="N87" s="278">
        <f t="shared" si="1"/>
        <v>0</v>
      </c>
      <c r="O87" s="292"/>
      <c r="P87" s="286"/>
    </row>
    <row r="88" spans="1:16" s="259" customFormat="1">
      <c r="A88" s="235"/>
      <c r="B88" s="307"/>
      <c r="C88" s="236" t="s">
        <v>360</v>
      </c>
      <c r="D88" s="237"/>
      <c r="E88" s="238"/>
      <c r="F88" s="288"/>
      <c r="G88" s="293"/>
      <c r="H88" s="289"/>
      <c r="I88" s="293"/>
      <c r="J88" s="290"/>
      <c r="K88" s="278">
        <f>SUM(K87+Tableau3[[#This Row],[Colonne9]]-Tableau3[[#This Row],[Colonne7]])</f>
        <v>5000</v>
      </c>
      <c r="L88" s="291"/>
      <c r="M88" s="278">
        <f t="shared" si="0"/>
        <v>0</v>
      </c>
      <c r="N88" s="278">
        <f t="shared" si="1"/>
        <v>0</v>
      </c>
      <c r="O88" s="292"/>
      <c r="P88" s="286"/>
    </row>
    <row r="89" spans="1:16" s="259" customFormat="1">
      <c r="A89" s="282"/>
      <c r="B89" s="306"/>
      <c r="C89" s="251"/>
      <c r="D89" s="251"/>
      <c r="E89" s="283"/>
      <c r="F89" s="270"/>
      <c r="G89" s="276"/>
      <c r="H89" s="277"/>
      <c r="I89" s="276"/>
      <c r="J89" s="290"/>
      <c r="K89" s="278">
        <f>SUM(K88+Tableau3[[#This Row],[Colonne9]]-Tableau3[[#This Row],[Colonne7]])</f>
        <v>5000</v>
      </c>
      <c r="L89" s="291"/>
      <c r="M89" s="278">
        <f t="shared" si="0"/>
        <v>0</v>
      </c>
      <c r="N89" s="278">
        <f t="shared" si="1"/>
        <v>0</v>
      </c>
      <c r="O89" s="292"/>
      <c r="P89" s="286"/>
    </row>
    <row r="90" spans="1:16" s="259" customFormat="1">
      <c r="A90" s="282"/>
      <c r="B90" s="306"/>
      <c r="C90" s="251"/>
      <c r="D90" s="251"/>
      <c r="E90" s="283"/>
      <c r="F90" s="270"/>
      <c r="G90" s="276"/>
      <c r="H90" s="285"/>
      <c r="I90" s="276"/>
      <c r="J90" s="290"/>
      <c r="K90" s="278">
        <f>SUM(K89+Tableau3[[#This Row],[Colonne9]]-Tableau3[[#This Row],[Colonne7]])</f>
        <v>5000</v>
      </c>
      <c r="L90" s="291"/>
      <c r="M90" s="278">
        <f t="shared" si="0"/>
        <v>0</v>
      </c>
      <c r="N90" s="278">
        <f t="shared" si="1"/>
        <v>0</v>
      </c>
      <c r="O90" s="292"/>
      <c r="P90" s="286"/>
    </row>
    <row r="91" spans="1:16" s="259" customFormat="1">
      <c r="A91" s="282"/>
      <c r="B91" s="306"/>
      <c r="E91" s="287"/>
      <c r="F91" s="288"/>
      <c r="G91" s="276"/>
      <c r="H91" s="289"/>
      <c r="I91" s="276"/>
      <c r="J91" s="290"/>
      <c r="K91" s="278">
        <f>SUM(K90+Tableau3[[#This Row],[Colonne9]]-Tableau3[[#This Row],[Colonne7]])</f>
        <v>5000</v>
      </c>
      <c r="L91" s="291"/>
      <c r="M91" s="278">
        <f t="shared" si="0"/>
        <v>0</v>
      </c>
      <c r="N91" s="278">
        <f t="shared" si="1"/>
        <v>0</v>
      </c>
      <c r="O91" s="292"/>
      <c r="P91" s="286"/>
    </row>
    <row r="92" spans="1:16" s="259" customFormat="1">
      <c r="A92" s="282"/>
      <c r="B92" s="306"/>
      <c r="E92" s="287"/>
      <c r="F92" s="288"/>
      <c r="G92" s="276"/>
      <c r="H92" s="289"/>
      <c r="I92" s="276"/>
      <c r="J92" s="290"/>
      <c r="K92" s="278">
        <f>SUM(K91+Tableau3[[#This Row],[Colonne9]]-Tableau3[[#This Row],[Colonne7]])</f>
        <v>5000</v>
      </c>
      <c r="L92" s="291"/>
      <c r="M92" s="278">
        <f t="shared" si="0"/>
        <v>0</v>
      </c>
      <c r="N92" s="278">
        <f t="shared" si="1"/>
        <v>0</v>
      </c>
      <c r="O92" s="292"/>
      <c r="P92" s="286"/>
    </row>
    <row r="93" spans="1:16" s="259" customFormat="1">
      <c r="A93" s="282"/>
      <c r="B93" s="306"/>
      <c r="E93" s="287"/>
      <c r="F93" s="288"/>
      <c r="G93" s="276"/>
      <c r="H93" s="289"/>
      <c r="I93" s="276"/>
      <c r="J93" s="290"/>
      <c r="K93" s="278">
        <f>SUM(K92+Tableau3[[#This Row],[Colonne9]]-Tableau3[[#This Row],[Colonne7]])</f>
        <v>5000</v>
      </c>
      <c r="L93" s="291"/>
      <c r="M93" s="278">
        <f t="shared" si="0"/>
        <v>0</v>
      </c>
      <c r="N93" s="278">
        <f t="shared" si="1"/>
        <v>0</v>
      </c>
      <c r="O93" s="292"/>
      <c r="P93" s="286"/>
    </row>
    <row r="94" spans="1:16" s="259" customFormat="1">
      <c r="A94" s="282"/>
      <c r="B94" s="306"/>
      <c r="E94" s="287"/>
      <c r="F94" s="288"/>
      <c r="G94" s="276"/>
      <c r="H94" s="289"/>
      <c r="I94" s="293"/>
      <c r="J94" s="290"/>
      <c r="K94" s="278">
        <f>SUM(K93+Tableau3[[#This Row],[Colonne9]]-Tableau3[[#This Row],[Colonne7]])</f>
        <v>5000</v>
      </c>
      <c r="L94" s="291"/>
      <c r="M94" s="278">
        <f t="shared" si="0"/>
        <v>0</v>
      </c>
      <c r="N94" s="278">
        <f t="shared" si="1"/>
        <v>0</v>
      </c>
      <c r="O94" s="292"/>
      <c r="P94" s="286"/>
    </row>
    <row r="95" spans="1:16" s="259" customFormat="1">
      <c r="A95" s="282"/>
      <c r="B95" s="306"/>
      <c r="E95" s="287"/>
      <c r="F95" s="288"/>
      <c r="G95" s="293"/>
      <c r="H95" s="289"/>
      <c r="I95" s="293"/>
      <c r="J95" s="290"/>
      <c r="K95" s="278">
        <f>SUM(K94+Tableau3[[#This Row],[Colonne9]]-Tableau3[[#This Row],[Colonne7]])</f>
        <v>5000</v>
      </c>
      <c r="L95" s="291"/>
      <c r="M95" s="278">
        <f t="shared" si="0"/>
        <v>0</v>
      </c>
      <c r="N95" s="278">
        <f t="shared" si="1"/>
        <v>0</v>
      </c>
      <c r="O95" s="292"/>
      <c r="P95" s="286"/>
    </row>
    <row r="96" spans="1:16" s="259" customFormat="1">
      <c r="A96" s="282"/>
      <c r="B96" s="306"/>
      <c r="E96" s="287"/>
      <c r="F96" s="288"/>
      <c r="G96" s="293"/>
      <c r="H96" s="289"/>
      <c r="I96" s="293"/>
      <c r="J96" s="290"/>
      <c r="K96" s="278">
        <f>SUM(K95+Tableau3[[#This Row],[Colonne9]]-Tableau3[[#This Row],[Colonne7]])</f>
        <v>5000</v>
      </c>
      <c r="L96" s="291"/>
      <c r="M96" s="278">
        <f t="shared" si="0"/>
        <v>0</v>
      </c>
      <c r="N96" s="278">
        <f t="shared" si="1"/>
        <v>0</v>
      </c>
      <c r="O96" s="292"/>
      <c r="P96" s="286"/>
    </row>
    <row r="97" spans="1:16" s="259" customFormat="1">
      <c r="A97" s="282"/>
      <c r="B97" s="306"/>
      <c r="E97" s="287"/>
      <c r="F97" s="288"/>
      <c r="G97" s="293"/>
      <c r="H97" s="289"/>
      <c r="I97" s="293"/>
      <c r="J97" s="290"/>
      <c r="K97" s="278">
        <f>SUM(K96+Tableau3[[#This Row],[Colonne9]]-Tableau3[[#This Row],[Colonne7]])</f>
        <v>5000</v>
      </c>
      <c r="L97" s="291"/>
      <c r="M97" s="278">
        <f t="shared" si="0"/>
        <v>0</v>
      </c>
      <c r="N97" s="278">
        <f t="shared" si="1"/>
        <v>0</v>
      </c>
      <c r="O97" s="292"/>
      <c r="P97" s="286"/>
    </row>
    <row r="98" spans="1:16" s="259" customFormat="1">
      <c r="A98" s="235"/>
      <c r="B98" s="307"/>
      <c r="C98" s="236" t="s">
        <v>361</v>
      </c>
      <c r="D98" s="237"/>
      <c r="E98" s="238"/>
      <c r="F98" s="288"/>
      <c r="G98" s="293"/>
      <c r="H98" s="289"/>
      <c r="I98" s="293"/>
      <c r="J98" s="290"/>
      <c r="K98" s="278">
        <f>SUM(K97+Tableau3[[#This Row],[Colonne9]]-Tableau3[[#This Row],[Colonne7]])</f>
        <v>5000</v>
      </c>
      <c r="L98" s="291"/>
      <c r="M98" s="278">
        <f t="shared" si="0"/>
        <v>0</v>
      </c>
      <c r="N98" s="278">
        <f t="shared" si="1"/>
        <v>0</v>
      </c>
      <c r="O98" s="292"/>
      <c r="P98" s="286"/>
    </row>
    <row r="99" spans="1:16" s="259" customFormat="1">
      <c r="A99" s="282"/>
      <c r="B99" s="306"/>
      <c r="C99" s="251"/>
      <c r="D99" s="251"/>
      <c r="E99" s="283"/>
      <c r="F99" s="270"/>
      <c r="G99" s="276"/>
      <c r="H99" s="277"/>
      <c r="I99" s="276"/>
      <c r="J99" s="290"/>
      <c r="K99" s="278">
        <f>SUM(K98+Tableau3[[#This Row],[Colonne9]]-Tableau3[[#This Row],[Colonne7]])</f>
        <v>5000</v>
      </c>
      <c r="L99" s="291"/>
      <c r="M99" s="278">
        <f t="shared" si="0"/>
        <v>0</v>
      </c>
      <c r="N99" s="278">
        <f t="shared" si="1"/>
        <v>0</v>
      </c>
      <c r="O99" s="292"/>
      <c r="P99" s="286"/>
    </row>
    <row r="100" spans="1:16" s="259" customFormat="1">
      <c r="A100" s="282"/>
      <c r="B100" s="306"/>
      <c r="C100" s="251"/>
      <c r="D100" s="251"/>
      <c r="E100" s="283"/>
      <c r="F100" s="270"/>
      <c r="G100" s="276"/>
      <c r="H100" s="285"/>
      <c r="I100" s="276"/>
      <c r="J100" s="290"/>
      <c r="K100" s="278">
        <f>SUM(K99+Tableau3[[#This Row],[Colonne9]]-Tableau3[[#This Row],[Colonne7]])</f>
        <v>5000</v>
      </c>
      <c r="L100" s="291"/>
      <c r="M100" s="278">
        <f t="shared" si="0"/>
        <v>0</v>
      </c>
      <c r="N100" s="278">
        <f t="shared" si="1"/>
        <v>0</v>
      </c>
      <c r="O100" s="292"/>
      <c r="P100" s="286"/>
    </row>
    <row r="101" spans="1:16" s="259" customFormat="1">
      <c r="A101" s="282"/>
      <c r="B101" s="306"/>
      <c r="E101" s="287"/>
      <c r="F101" s="288"/>
      <c r="G101" s="276"/>
      <c r="H101" s="289"/>
      <c r="I101" s="276"/>
      <c r="J101" s="290"/>
      <c r="K101" s="278">
        <f>SUM(K100+Tableau3[[#This Row],[Colonne9]]-Tableau3[[#This Row],[Colonne7]])</f>
        <v>5000</v>
      </c>
      <c r="L101" s="291"/>
      <c r="M101" s="278">
        <f t="shared" si="0"/>
        <v>0</v>
      </c>
      <c r="N101" s="278">
        <f t="shared" si="1"/>
        <v>0</v>
      </c>
      <c r="O101" s="292"/>
      <c r="P101" s="286"/>
    </row>
    <row r="102" spans="1:16" s="259" customFormat="1">
      <c r="A102" s="282"/>
      <c r="B102" s="306"/>
      <c r="E102" s="287"/>
      <c r="F102" s="288"/>
      <c r="G102" s="276"/>
      <c r="H102" s="289"/>
      <c r="I102" s="276"/>
      <c r="J102" s="290"/>
      <c r="K102" s="278">
        <f>SUM(K101+Tableau3[[#This Row],[Colonne9]]-Tableau3[[#This Row],[Colonne7]])</f>
        <v>5000</v>
      </c>
      <c r="L102" s="291"/>
      <c r="M102" s="278">
        <f t="shared" si="0"/>
        <v>0</v>
      </c>
      <c r="N102" s="278">
        <f t="shared" si="1"/>
        <v>0</v>
      </c>
      <c r="O102" s="292"/>
      <c r="P102" s="286"/>
    </row>
    <row r="103" spans="1:16" s="259" customFormat="1">
      <c r="A103" s="282"/>
      <c r="B103" s="306"/>
      <c r="E103" s="287"/>
      <c r="F103" s="288"/>
      <c r="G103" s="276"/>
      <c r="H103" s="289"/>
      <c r="I103" s="276"/>
      <c r="J103" s="290"/>
      <c r="K103" s="278">
        <f>SUM(K102+Tableau3[[#This Row],[Colonne9]]-Tableau3[[#This Row],[Colonne7]])</f>
        <v>5000</v>
      </c>
      <c r="L103" s="291"/>
      <c r="M103" s="278">
        <f t="shared" si="0"/>
        <v>0</v>
      </c>
      <c r="N103" s="278">
        <f t="shared" si="1"/>
        <v>0</v>
      </c>
      <c r="O103" s="292"/>
      <c r="P103" s="286"/>
    </row>
    <row r="104" spans="1:16" s="259" customFormat="1">
      <c r="A104" s="282"/>
      <c r="B104" s="306"/>
      <c r="E104" s="287"/>
      <c r="F104" s="288"/>
      <c r="G104" s="276"/>
      <c r="H104" s="289"/>
      <c r="I104" s="293"/>
      <c r="J104" s="290"/>
      <c r="K104" s="278">
        <f>SUM(K103+Tableau3[[#This Row],[Colonne9]]-Tableau3[[#This Row],[Colonne7]])</f>
        <v>5000</v>
      </c>
      <c r="L104" s="291"/>
      <c r="M104" s="278">
        <f t="shared" si="0"/>
        <v>0</v>
      </c>
      <c r="N104" s="278">
        <f t="shared" si="1"/>
        <v>0</v>
      </c>
      <c r="O104" s="292"/>
      <c r="P104" s="286"/>
    </row>
    <row r="105" spans="1:16" s="259" customFormat="1">
      <c r="A105" s="282"/>
      <c r="B105" s="306"/>
      <c r="E105" s="287"/>
      <c r="F105" s="288"/>
      <c r="G105" s="293"/>
      <c r="H105" s="289"/>
      <c r="I105" s="293"/>
      <c r="J105" s="290"/>
      <c r="K105" s="278">
        <f>SUM(K104+Tableau3[[#This Row],[Colonne9]]-Tableau3[[#This Row],[Colonne7]])</f>
        <v>5000</v>
      </c>
      <c r="L105" s="291"/>
      <c r="M105" s="278">
        <f t="shared" si="0"/>
        <v>0</v>
      </c>
      <c r="N105" s="278">
        <f t="shared" si="1"/>
        <v>0</v>
      </c>
      <c r="O105" s="292"/>
      <c r="P105" s="286"/>
    </row>
    <row r="106" spans="1:16" s="259" customFormat="1">
      <c r="A106" s="282"/>
      <c r="B106" s="306"/>
      <c r="E106" s="287"/>
      <c r="F106" s="288"/>
      <c r="G106" s="293"/>
      <c r="H106" s="289"/>
      <c r="I106" s="293"/>
      <c r="J106" s="290"/>
      <c r="K106" s="278">
        <f>SUM(K105+Tableau3[[#This Row],[Colonne9]]-Tableau3[[#This Row],[Colonne7]])</f>
        <v>5000</v>
      </c>
      <c r="L106" s="291"/>
      <c r="M106" s="278">
        <f t="shared" si="0"/>
        <v>0</v>
      </c>
      <c r="N106" s="278">
        <f t="shared" si="1"/>
        <v>0</v>
      </c>
      <c r="O106" s="292"/>
      <c r="P106" s="286"/>
    </row>
    <row r="107" spans="1:16" s="259" customFormat="1">
      <c r="A107" s="282"/>
      <c r="B107" s="306"/>
      <c r="E107" s="287"/>
      <c r="F107" s="288"/>
      <c r="G107" s="293"/>
      <c r="H107" s="289"/>
      <c r="I107" s="293"/>
      <c r="J107" s="290"/>
      <c r="K107" s="278">
        <f>SUM(K106+Tableau3[[#This Row],[Colonne9]]-Tableau3[[#This Row],[Colonne7]])</f>
        <v>5000</v>
      </c>
      <c r="L107" s="291"/>
      <c r="M107" s="278">
        <f t="shared" si="0"/>
        <v>0</v>
      </c>
      <c r="N107" s="278">
        <f t="shared" si="1"/>
        <v>0</v>
      </c>
      <c r="O107" s="292"/>
      <c r="P107" s="286"/>
    </row>
    <row r="108" spans="1:16" s="259" customFormat="1">
      <c r="A108" s="235"/>
      <c r="B108" s="307"/>
      <c r="C108" s="236" t="s">
        <v>362</v>
      </c>
      <c r="D108" s="237"/>
      <c r="E108" s="238"/>
      <c r="F108" s="288"/>
      <c r="G108" s="293"/>
      <c r="H108" s="289"/>
      <c r="I108" s="293"/>
      <c r="J108" s="290"/>
      <c r="K108" s="278">
        <f>SUM(K107+Tableau3[[#This Row],[Colonne9]]-Tableau3[[#This Row],[Colonne7]])</f>
        <v>5000</v>
      </c>
      <c r="L108" s="291"/>
      <c r="M108" s="278">
        <f t="shared" si="0"/>
        <v>0</v>
      </c>
      <c r="N108" s="278">
        <f t="shared" si="1"/>
        <v>0</v>
      </c>
      <c r="O108" s="292"/>
      <c r="P108" s="286"/>
    </row>
    <row r="109" spans="1:16" s="259" customFormat="1">
      <c r="A109" s="282"/>
      <c r="B109" s="306"/>
      <c r="C109" s="251"/>
      <c r="D109" s="251"/>
      <c r="E109" s="283"/>
      <c r="F109" s="270"/>
      <c r="G109" s="276"/>
      <c r="H109" s="277"/>
      <c r="I109" s="276"/>
      <c r="J109" s="290"/>
      <c r="K109" s="278">
        <f>SUM(K108+Tableau3[[#This Row],[Colonne9]]-Tableau3[[#This Row],[Colonne7]])</f>
        <v>5000</v>
      </c>
      <c r="L109" s="291"/>
      <c r="M109" s="278">
        <f t="shared" si="0"/>
        <v>0</v>
      </c>
      <c r="N109" s="278">
        <f t="shared" si="1"/>
        <v>0</v>
      </c>
      <c r="O109" s="292"/>
      <c r="P109" s="286"/>
    </row>
    <row r="110" spans="1:16" s="259" customFormat="1">
      <c r="A110" s="282"/>
      <c r="B110" s="306"/>
      <c r="C110" s="251"/>
      <c r="D110" s="251"/>
      <c r="E110" s="283"/>
      <c r="F110" s="270"/>
      <c r="G110" s="276"/>
      <c r="H110" s="285"/>
      <c r="I110" s="276"/>
      <c r="J110" s="290"/>
      <c r="K110" s="278">
        <f>SUM(K109+Tableau3[[#This Row],[Colonne9]]-Tableau3[[#This Row],[Colonne7]])</f>
        <v>5000</v>
      </c>
      <c r="L110" s="291"/>
      <c r="M110" s="278">
        <f t="shared" si="0"/>
        <v>0</v>
      </c>
      <c r="N110" s="278">
        <f t="shared" si="1"/>
        <v>0</v>
      </c>
      <c r="O110" s="292"/>
      <c r="P110" s="286"/>
    </row>
    <row r="111" spans="1:16" s="259" customFormat="1">
      <c r="A111" s="282"/>
      <c r="B111" s="306"/>
      <c r="E111" s="287"/>
      <c r="F111" s="288"/>
      <c r="G111" s="276"/>
      <c r="H111" s="289"/>
      <c r="I111" s="276"/>
      <c r="J111" s="290"/>
      <c r="K111" s="278">
        <f>SUM(K110+Tableau3[[#This Row],[Colonne9]]-Tableau3[[#This Row],[Colonne7]])</f>
        <v>5000</v>
      </c>
      <c r="L111" s="291"/>
      <c r="M111" s="278">
        <f t="shared" si="0"/>
        <v>0</v>
      </c>
      <c r="N111" s="278">
        <f t="shared" si="1"/>
        <v>0</v>
      </c>
      <c r="O111" s="292"/>
      <c r="P111" s="286"/>
    </row>
    <row r="112" spans="1:16" s="259" customFormat="1">
      <c r="A112" s="282"/>
      <c r="B112" s="306"/>
      <c r="E112" s="287"/>
      <c r="F112" s="288"/>
      <c r="G112" s="276"/>
      <c r="H112" s="289"/>
      <c r="I112" s="276"/>
      <c r="J112" s="290"/>
      <c r="K112" s="278">
        <f>SUM(K111+Tableau3[[#This Row],[Colonne9]]-Tableau3[[#This Row],[Colonne7]])</f>
        <v>5000</v>
      </c>
      <c r="L112" s="291"/>
      <c r="M112" s="278">
        <f t="shared" si="0"/>
        <v>0</v>
      </c>
      <c r="N112" s="278">
        <f t="shared" si="1"/>
        <v>0</v>
      </c>
      <c r="O112" s="292"/>
      <c r="P112" s="286"/>
    </row>
    <row r="113" spans="1:16" s="259" customFormat="1">
      <c r="A113" s="282"/>
      <c r="B113" s="306"/>
      <c r="E113" s="287"/>
      <c r="F113" s="288"/>
      <c r="G113" s="276"/>
      <c r="H113" s="289"/>
      <c r="I113" s="276"/>
      <c r="J113" s="290"/>
      <c r="K113" s="278">
        <f>SUM(K112+Tableau3[[#This Row],[Colonne9]]-Tableau3[[#This Row],[Colonne7]])</f>
        <v>5000</v>
      </c>
      <c r="L113" s="291"/>
      <c r="M113" s="278">
        <f t="shared" si="0"/>
        <v>0</v>
      </c>
      <c r="N113" s="278">
        <f t="shared" si="1"/>
        <v>0</v>
      </c>
      <c r="O113" s="292"/>
      <c r="P113" s="286"/>
    </row>
    <row r="114" spans="1:16" s="259" customFormat="1">
      <c r="A114" s="282"/>
      <c r="B114" s="306"/>
      <c r="E114" s="287"/>
      <c r="F114" s="288"/>
      <c r="G114" s="276"/>
      <c r="H114" s="289"/>
      <c r="I114" s="293"/>
      <c r="J114" s="290"/>
      <c r="K114" s="278">
        <f>SUM(K113+Tableau3[[#This Row],[Colonne9]]-Tableau3[[#This Row],[Colonne7]])</f>
        <v>5000</v>
      </c>
      <c r="L114" s="291"/>
      <c r="M114" s="278">
        <f t="shared" si="0"/>
        <v>0</v>
      </c>
      <c r="N114" s="278">
        <f t="shared" si="1"/>
        <v>0</v>
      </c>
      <c r="O114" s="292"/>
      <c r="P114" s="286"/>
    </row>
    <row r="115" spans="1:16" s="259" customFormat="1">
      <c r="A115" s="282"/>
      <c r="B115" s="306"/>
      <c r="E115" s="287"/>
      <c r="F115" s="288"/>
      <c r="G115" s="293"/>
      <c r="H115" s="289"/>
      <c r="I115" s="293"/>
      <c r="J115" s="290"/>
      <c r="K115" s="278">
        <f>SUM(K114+Tableau3[[#This Row],[Colonne9]]-Tableau3[[#This Row],[Colonne7]])</f>
        <v>5000</v>
      </c>
      <c r="L115" s="291"/>
      <c r="M115" s="278">
        <f t="shared" si="0"/>
        <v>0</v>
      </c>
      <c r="N115" s="278">
        <f t="shared" si="1"/>
        <v>0</v>
      </c>
      <c r="O115" s="292"/>
      <c r="P115" s="286"/>
    </row>
    <row r="116" spans="1:16" s="259" customFormat="1">
      <c r="A116" s="282"/>
      <c r="B116" s="306"/>
      <c r="E116" s="287"/>
      <c r="F116" s="288"/>
      <c r="G116" s="293"/>
      <c r="H116" s="289"/>
      <c r="I116" s="293"/>
      <c r="J116" s="290"/>
      <c r="K116" s="278">
        <f>SUM(K115+Tableau3[[#This Row],[Colonne9]]-Tableau3[[#This Row],[Colonne7]])</f>
        <v>5000</v>
      </c>
      <c r="L116" s="291"/>
      <c r="M116" s="278">
        <f t="shared" si="0"/>
        <v>0</v>
      </c>
      <c r="N116" s="278">
        <f t="shared" si="1"/>
        <v>0</v>
      </c>
      <c r="O116" s="292"/>
      <c r="P116" s="286"/>
    </row>
    <row r="117" spans="1:16" s="259" customFormat="1">
      <c r="A117" s="282"/>
      <c r="B117" s="306"/>
      <c r="E117" s="287"/>
      <c r="F117" s="288"/>
      <c r="G117" s="293"/>
      <c r="H117" s="289"/>
      <c r="I117" s="293"/>
      <c r="J117" s="290"/>
      <c r="K117" s="278">
        <f>SUM(K116+Tableau3[[#This Row],[Colonne9]]-Tableau3[[#This Row],[Colonne7]])</f>
        <v>5000</v>
      </c>
      <c r="L117" s="291"/>
      <c r="M117" s="278">
        <f t="shared" si="0"/>
        <v>0</v>
      </c>
      <c r="N117" s="278">
        <f t="shared" si="1"/>
        <v>0</v>
      </c>
      <c r="O117" s="292"/>
      <c r="P117" s="286"/>
    </row>
    <row r="118" spans="1:16" s="259" customFormat="1">
      <c r="A118" s="282"/>
      <c r="B118" s="306"/>
      <c r="E118" s="287"/>
      <c r="F118" s="288"/>
      <c r="G118" s="293"/>
      <c r="H118" s="289"/>
      <c r="I118" s="293"/>
      <c r="J118" s="290"/>
      <c r="K118" s="278">
        <f>SUM(K117+Tableau3[[#This Row],[Colonne9]]-Tableau3[[#This Row],[Colonne7]])</f>
        <v>5000</v>
      </c>
      <c r="L118" s="291"/>
      <c r="M118" s="278">
        <f t="shared" si="0"/>
        <v>0</v>
      </c>
      <c r="N118" s="278">
        <f t="shared" si="1"/>
        <v>0</v>
      </c>
      <c r="O118" s="292"/>
      <c r="P118" s="286"/>
    </row>
    <row r="119" spans="1:16" s="259" customFormat="1">
      <c r="A119" s="235"/>
      <c r="B119" s="307"/>
      <c r="C119" s="236" t="s">
        <v>363</v>
      </c>
      <c r="D119" s="237"/>
      <c r="E119" s="238"/>
      <c r="F119" s="288"/>
      <c r="G119" s="293"/>
      <c r="H119" s="289"/>
      <c r="I119" s="293"/>
      <c r="J119" s="290"/>
      <c r="K119" s="278">
        <f>SUM(K118+Tableau3[[#This Row],[Colonne9]]-Tableau3[[#This Row],[Colonne7]])</f>
        <v>5000</v>
      </c>
      <c r="L119" s="291"/>
      <c r="M119" s="278">
        <f t="shared" si="0"/>
        <v>0</v>
      </c>
      <c r="N119" s="278">
        <f t="shared" si="1"/>
        <v>0</v>
      </c>
      <c r="O119" s="292"/>
      <c r="P119" s="286"/>
    </row>
    <row r="120" spans="1:16" s="259" customFormat="1">
      <c r="A120" s="282"/>
      <c r="B120" s="306"/>
      <c r="C120" s="251"/>
      <c r="D120" s="251"/>
      <c r="E120" s="283"/>
      <c r="F120" s="270"/>
      <c r="G120" s="276"/>
      <c r="H120" s="277"/>
      <c r="I120" s="276"/>
      <c r="J120" s="290"/>
      <c r="K120" s="278">
        <f>SUM(K119+Tableau3[[#This Row],[Colonne9]]-Tableau3[[#This Row],[Colonne7]])</f>
        <v>5000</v>
      </c>
      <c r="L120" s="291"/>
      <c r="M120" s="278">
        <f t="shared" si="0"/>
        <v>0</v>
      </c>
      <c r="N120" s="278">
        <f t="shared" si="1"/>
        <v>0</v>
      </c>
      <c r="O120" s="292"/>
      <c r="P120" s="286"/>
    </row>
    <row r="121" spans="1:16" s="259" customFormat="1">
      <c r="A121" s="282"/>
      <c r="B121" s="306"/>
      <c r="C121" s="251"/>
      <c r="D121" s="251"/>
      <c r="E121" s="283"/>
      <c r="F121" s="270"/>
      <c r="G121" s="276"/>
      <c r="H121" s="285"/>
      <c r="I121" s="276"/>
      <c r="J121" s="290"/>
      <c r="K121" s="278">
        <f>SUM(K120+Tableau3[[#This Row],[Colonne9]]-Tableau3[[#This Row],[Colonne7]])</f>
        <v>5000</v>
      </c>
      <c r="L121" s="291"/>
      <c r="M121" s="278">
        <f t="shared" si="0"/>
        <v>0</v>
      </c>
      <c r="N121" s="278">
        <f t="shared" si="1"/>
        <v>0</v>
      </c>
      <c r="O121" s="292"/>
      <c r="P121" s="286"/>
    </row>
    <row r="122" spans="1:16" s="259" customFormat="1">
      <c r="A122" s="282"/>
      <c r="B122" s="306"/>
      <c r="E122" s="287"/>
      <c r="F122" s="288"/>
      <c r="G122" s="276"/>
      <c r="H122" s="289"/>
      <c r="I122" s="276"/>
      <c r="J122" s="290"/>
      <c r="K122" s="278">
        <f>SUM(K121+Tableau3[[#This Row],[Colonne9]]-Tableau3[[#This Row],[Colonne7]])</f>
        <v>5000</v>
      </c>
      <c r="L122" s="291"/>
      <c r="M122" s="278">
        <f t="shared" si="0"/>
        <v>0</v>
      </c>
      <c r="N122" s="278">
        <f t="shared" si="1"/>
        <v>0</v>
      </c>
      <c r="O122" s="292"/>
      <c r="P122" s="286"/>
    </row>
    <row r="123" spans="1:16" s="259" customFormat="1">
      <c r="A123" s="282"/>
      <c r="B123" s="306"/>
      <c r="E123" s="287"/>
      <c r="F123" s="288"/>
      <c r="G123" s="276"/>
      <c r="H123" s="289"/>
      <c r="I123" s="276"/>
      <c r="J123" s="290"/>
      <c r="K123" s="278">
        <f>SUM(K122+Tableau3[[#This Row],[Colonne9]]-Tableau3[[#This Row],[Colonne7]])</f>
        <v>5000</v>
      </c>
      <c r="L123" s="291"/>
      <c r="M123" s="278">
        <f t="shared" si="0"/>
        <v>0</v>
      </c>
      <c r="N123" s="278">
        <f t="shared" si="1"/>
        <v>0</v>
      </c>
      <c r="O123" s="292"/>
      <c r="P123" s="286"/>
    </row>
    <row r="124" spans="1:16" s="259" customFormat="1">
      <c r="A124" s="282"/>
      <c r="B124" s="306"/>
      <c r="E124" s="287"/>
      <c r="F124" s="288"/>
      <c r="G124" s="276"/>
      <c r="H124" s="289"/>
      <c r="I124" s="276"/>
      <c r="J124" s="290"/>
      <c r="K124" s="278">
        <f>SUM(K123+Tableau3[[#This Row],[Colonne9]]-Tableau3[[#This Row],[Colonne7]])</f>
        <v>5000</v>
      </c>
      <c r="L124" s="291"/>
      <c r="M124" s="278">
        <f t="shared" si="0"/>
        <v>0</v>
      </c>
      <c r="N124" s="278">
        <f t="shared" si="1"/>
        <v>0</v>
      </c>
      <c r="O124" s="292"/>
      <c r="P124" s="286"/>
    </row>
    <row r="125" spans="1:16" s="259" customFormat="1">
      <c r="A125" s="282"/>
      <c r="B125" s="306"/>
      <c r="E125" s="287"/>
      <c r="F125" s="288"/>
      <c r="G125" s="276"/>
      <c r="H125" s="289"/>
      <c r="I125" s="293"/>
      <c r="J125" s="290"/>
      <c r="K125" s="278">
        <f>SUM(K124+Tableau3[[#This Row],[Colonne9]]-Tableau3[[#This Row],[Colonne7]])</f>
        <v>5000</v>
      </c>
      <c r="L125" s="291"/>
      <c r="M125" s="278">
        <f t="shared" si="0"/>
        <v>0</v>
      </c>
      <c r="N125" s="278">
        <f t="shared" si="1"/>
        <v>0</v>
      </c>
      <c r="O125" s="292"/>
      <c r="P125" s="286"/>
    </row>
    <row r="126" spans="1:16" s="259" customFormat="1">
      <c r="A126" s="282"/>
      <c r="B126" s="306"/>
      <c r="E126" s="287"/>
      <c r="F126" s="288"/>
      <c r="G126" s="293"/>
      <c r="H126" s="289"/>
      <c r="I126" s="293"/>
      <c r="J126" s="290"/>
      <c r="K126" s="278">
        <f>SUM(K125+Tableau3[[#This Row],[Colonne9]]-Tableau3[[#This Row],[Colonne7]])</f>
        <v>5000</v>
      </c>
      <c r="L126" s="291"/>
      <c r="M126" s="278">
        <f t="shared" si="0"/>
        <v>0</v>
      </c>
      <c r="N126" s="278">
        <f t="shared" si="1"/>
        <v>0</v>
      </c>
      <c r="O126" s="292"/>
      <c r="P126" s="286"/>
    </row>
    <row r="127" spans="1:16" s="259" customFormat="1">
      <c r="A127" s="282"/>
      <c r="B127" s="306"/>
      <c r="E127" s="287"/>
      <c r="F127" s="288"/>
      <c r="G127" s="293"/>
      <c r="H127" s="289"/>
      <c r="I127" s="293"/>
      <c r="J127" s="290"/>
      <c r="K127" s="278">
        <f>SUM(K126+Tableau3[[#This Row],[Colonne9]]-Tableau3[[#This Row],[Colonne7]])</f>
        <v>5000</v>
      </c>
      <c r="L127" s="291"/>
      <c r="M127" s="278">
        <f t="shared" si="0"/>
        <v>0</v>
      </c>
      <c r="N127" s="278">
        <f t="shared" si="1"/>
        <v>0</v>
      </c>
      <c r="O127" s="292"/>
      <c r="P127" s="286"/>
    </row>
    <row r="128" spans="1:16">
      <c r="A128" s="282"/>
      <c r="B128" s="306"/>
      <c r="C128" s="259"/>
      <c r="D128" s="259"/>
      <c r="E128" s="287"/>
      <c r="F128" s="288"/>
      <c r="G128" s="293"/>
      <c r="H128" s="289"/>
      <c r="I128" s="293"/>
      <c r="J128" s="290"/>
      <c r="K128" s="278">
        <f>SUM(K127+Tableau3[[#This Row],[Colonne9]]-Tableau3[[#This Row],[Colonne7]])</f>
        <v>5000</v>
      </c>
      <c r="L128" s="291"/>
      <c r="M128" s="278">
        <f t="shared" si="0"/>
        <v>0</v>
      </c>
      <c r="N128" s="278">
        <f t="shared" si="1"/>
        <v>0</v>
      </c>
      <c r="O128" s="292"/>
      <c r="P128" s="286"/>
    </row>
    <row r="129" spans="1:16">
      <c r="A129" s="282"/>
      <c r="B129" s="306"/>
      <c r="C129" s="259"/>
      <c r="D129" s="259"/>
      <c r="E129" s="287"/>
      <c r="F129" s="288"/>
      <c r="G129" s="293"/>
      <c r="H129" s="289"/>
      <c r="I129" s="293"/>
      <c r="J129" s="290"/>
      <c r="K129" s="278">
        <f>SUM(K128+Tableau3[[#This Row],[Colonne9]]-Tableau3[[#This Row],[Colonne7]])</f>
        <v>5000</v>
      </c>
      <c r="L129" s="291"/>
      <c r="M129" s="278">
        <f t="shared" si="0"/>
        <v>0</v>
      </c>
      <c r="N129" s="278">
        <f t="shared" si="1"/>
        <v>0</v>
      </c>
      <c r="O129" s="292"/>
      <c r="P129" s="286"/>
    </row>
  </sheetData>
  <sortState ref="D747:D779">
    <sortCondition ref="D747"/>
  </sortState>
  <conditionalFormatting sqref="K1:L1 K2 L2:L4">
    <cfRule type="cellIs" dxfId="13" priority="28" operator="lessThan">
      <formula>0</formula>
    </cfRule>
  </conditionalFormatting>
  <conditionalFormatting sqref="K5:K129">
    <cfRule type="cellIs" dxfId="12" priority="6" operator="lessThan">
      <formula>0</formula>
    </cfRule>
  </conditionalFormatting>
  <conditionalFormatting sqref="K3">
    <cfRule type="cellIs" dxfId="11" priority="5" operator="lessThan">
      <formula>0</formula>
    </cfRule>
  </conditionalFormatting>
  <conditionalFormatting sqref="P3">
    <cfRule type="cellIs" dxfId="10" priority="4" operator="lessThan">
      <formula>0</formula>
    </cfRule>
  </conditionalFormatting>
  <dataValidations count="5">
    <dataValidation type="list" allowBlank="1" showInputMessage="1" showErrorMessage="1" sqref="A5:A129">
      <formula1>Date</formula1>
    </dataValidation>
    <dataValidation type="list" allowBlank="1" showInputMessage="1" showErrorMessage="1" sqref="B5:B129">
      <formula1>Ordre</formula1>
    </dataValidation>
    <dataValidation type="list" allowBlank="1" showInputMessage="1" showErrorMessage="1" sqref="C5:C129">
      <formula1>Classification</formula1>
    </dataValidation>
    <dataValidation type="list" allowBlank="1" showInputMessage="1" showErrorMessage="1" sqref="E5:E129">
      <formula1>Note</formula1>
    </dataValidation>
    <dataValidation type="list" allowBlank="1" showInputMessage="1" showErrorMessage="1" sqref="D5:D129">
      <formula1>INDIRECT(C5)</formula1>
    </dataValidation>
  </dataValidations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251" r:id="rId4" name="CommandButton1">
          <controlPr defaultSize="0" autoLine="0" r:id="rId5">
            <anchor moveWithCells="1">
              <from>
                <xdr:col>12</xdr:col>
                <xdr:colOff>447675</xdr:colOff>
                <xdr:row>3</xdr:row>
                <xdr:rowOff>9525</xdr:rowOff>
              </from>
              <to>
                <xdr:col>16</xdr:col>
                <xdr:colOff>0</xdr:colOff>
                <xdr:row>4</xdr:row>
                <xdr:rowOff>9525</xdr:rowOff>
              </to>
            </anchor>
          </controlPr>
        </control>
      </mc:Choice>
      <mc:Fallback>
        <control shapeId="7251" r:id="rId4" name="CommandButton1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44"/>
  <sheetViews>
    <sheetView zoomScale="126" zoomScaleNormal="126" workbookViewId="0">
      <selection activeCell="N13" sqref="N13"/>
    </sheetView>
  </sheetViews>
  <sheetFormatPr baseColWidth="10" defaultRowHeight="15"/>
  <cols>
    <col min="1" max="1" width="2.85546875" style="327" customWidth="1"/>
    <col min="2" max="7" width="15.7109375" style="327" customWidth="1"/>
    <col min="8" max="8" width="15.7109375" style="328" customWidth="1"/>
    <col min="9" max="14" width="15.7109375" style="327" customWidth="1"/>
    <col min="15" max="15" width="2.85546875" style="327" customWidth="1"/>
    <col min="16" max="16384" width="11.42578125" style="327"/>
  </cols>
  <sheetData>
    <row r="1" spans="1:14" ht="15.75" thickBot="1">
      <c r="A1" s="326">
        <v>1</v>
      </c>
    </row>
    <row r="2" spans="1:14" ht="15.75" thickBot="1">
      <c r="A2" s="326">
        <v>1</v>
      </c>
      <c r="B2" s="329"/>
      <c r="C2" s="330"/>
      <c r="D2" s="330"/>
      <c r="E2" s="330"/>
      <c r="F2" s="330"/>
      <c r="G2" s="330"/>
      <c r="H2" s="331"/>
      <c r="I2" s="330"/>
      <c r="J2" s="330"/>
      <c r="K2" s="330"/>
      <c r="L2" s="330"/>
      <c r="M2" s="330"/>
      <c r="N2" s="332"/>
    </row>
    <row r="3" spans="1:14">
      <c r="B3" s="333"/>
      <c r="C3" s="334"/>
      <c r="D3" s="334"/>
      <c r="E3" s="334"/>
      <c r="F3" s="334"/>
      <c r="G3" s="334"/>
      <c r="H3" s="335"/>
      <c r="I3" s="334"/>
      <c r="J3" s="334"/>
      <c r="K3" s="334"/>
      <c r="L3" s="336"/>
      <c r="M3" s="337" t="s">
        <v>372</v>
      </c>
      <c r="N3" s="338">
        <f>COUNTIF(N11:N13,"Gagné")</f>
        <v>0</v>
      </c>
    </row>
    <row r="4" spans="1:14">
      <c r="B4" s="333"/>
      <c r="C4" s="334"/>
      <c r="D4" s="334"/>
      <c r="E4" s="334"/>
      <c r="F4" s="334"/>
      <c r="G4" s="334"/>
      <c r="H4" s="335"/>
      <c r="I4" s="334"/>
      <c r="J4" s="334"/>
      <c r="K4" s="334"/>
      <c r="L4" s="339"/>
      <c r="M4" s="340" t="s">
        <v>373</v>
      </c>
      <c r="N4" s="341">
        <f>COUNTIF(N11:N13,"Perdu")</f>
        <v>0</v>
      </c>
    </row>
    <row r="5" spans="1:14">
      <c r="B5" s="333"/>
      <c r="C5" s="334"/>
      <c r="D5" s="334"/>
      <c r="E5" s="334"/>
      <c r="F5" s="334"/>
      <c r="G5" s="334"/>
      <c r="H5" s="335"/>
      <c r="I5" s="334"/>
      <c r="J5" s="334"/>
      <c r="K5" s="334"/>
      <c r="L5" s="339"/>
      <c r="M5" s="340" t="s">
        <v>374</v>
      </c>
      <c r="N5" s="341">
        <f>COUNTIF(N11:N13,"En Attente")</f>
        <v>1</v>
      </c>
    </row>
    <row r="6" spans="1:14">
      <c r="B6" s="333"/>
      <c r="C6" s="334"/>
      <c r="D6" s="334"/>
      <c r="E6" s="334"/>
      <c r="F6" s="334"/>
      <c r="G6" s="334"/>
      <c r="H6" s="335"/>
      <c r="I6" s="334"/>
      <c r="J6" s="334"/>
      <c r="K6" s="334"/>
      <c r="L6" s="339"/>
      <c r="M6" s="340" t="s">
        <v>375</v>
      </c>
      <c r="N6" s="341">
        <f>SUM(N3:N5)</f>
        <v>1</v>
      </c>
    </row>
    <row r="7" spans="1:14" ht="15.75" thickBot="1">
      <c r="B7" s="333"/>
      <c r="C7" s="334"/>
      <c r="D7" s="334"/>
      <c r="E7" s="334"/>
      <c r="F7" s="334"/>
      <c r="G7" s="334"/>
      <c r="H7" s="335"/>
      <c r="I7" s="334"/>
      <c r="J7" s="334"/>
      <c r="K7" s="334"/>
      <c r="L7" s="339"/>
      <c r="M7" s="340" t="s">
        <v>376</v>
      </c>
      <c r="N7" s="342">
        <f>SUM(G11:G13)</f>
        <v>0</v>
      </c>
    </row>
    <row r="8" spans="1:14" ht="15.75" thickBot="1">
      <c r="B8" s="333"/>
      <c r="C8" s="334"/>
      <c r="D8" s="334"/>
      <c r="E8" s="334"/>
      <c r="F8" s="334"/>
      <c r="G8" s="334"/>
      <c r="H8" s="335"/>
      <c r="I8" s="334"/>
      <c r="J8" s="334"/>
      <c r="K8" s="334"/>
      <c r="L8" s="343"/>
      <c r="M8" s="344" t="s">
        <v>377</v>
      </c>
      <c r="N8" s="345">
        <f>SUMIF(N11:N13,"Gagné",G11:G13)</f>
        <v>0</v>
      </c>
    </row>
    <row r="9" spans="1:14" ht="15.75" thickBot="1">
      <c r="B9" s="346"/>
      <c r="C9" s="347"/>
      <c r="D9" s="347"/>
      <c r="E9" s="347"/>
      <c r="F9" s="347"/>
      <c r="G9" s="347"/>
      <c r="H9" s="348"/>
      <c r="I9" s="347"/>
      <c r="J9" s="347"/>
      <c r="K9" s="347"/>
      <c r="L9" s="347"/>
      <c r="M9" s="347"/>
      <c r="N9" s="349"/>
    </row>
    <row r="10" spans="1:14" ht="26.25" customHeight="1" thickBot="1">
      <c r="B10" s="350"/>
      <c r="C10" s="351" t="s">
        <v>378</v>
      </c>
      <c r="D10" s="352" t="s">
        <v>295</v>
      </c>
      <c r="E10" s="353" t="s">
        <v>379</v>
      </c>
      <c r="F10" s="354" t="s">
        <v>380</v>
      </c>
      <c r="G10" s="355" t="s">
        <v>280</v>
      </c>
      <c r="H10" s="356" t="s">
        <v>381</v>
      </c>
      <c r="I10" s="357" t="s">
        <v>382</v>
      </c>
      <c r="J10" s="357" t="s">
        <v>383</v>
      </c>
      <c r="K10" s="357" t="s">
        <v>291</v>
      </c>
      <c r="L10" s="358" t="s">
        <v>281</v>
      </c>
      <c r="M10" s="358" t="s">
        <v>384</v>
      </c>
      <c r="N10" s="359" t="s">
        <v>385</v>
      </c>
    </row>
    <row r="11" spans="1:14" s="369" customFormat="1" ht="3.75" customHeight="1">
      <c r="A11" s="360"/>
      <c r="B11" s="361"/>
      <c r="C11" s="362"/>
      <c r="D11" s="361"/>
      <c r="E11" s="361"/>
      <c r="F11" s="364"/>
      <c r="G11" s="365"/>
      <c r="H11" s="366"/>
      <c r="I11" s="367"/>
      <c r="J11" s="367"/>
      <c r="K11" s="367"/>
      <c r="L11" s="368"/>
      <c r="M11" s="368"/>
      <c r="N11" s="367"/>
    </row>
    <row r="12" spans="1:14" s="370" customFormat="1" ht="12.75">
      <c r="A12" s="360"/>
      <c r="B12" s="500" t="s">
        <v>386</v>
      </c>
      <c r="C12" s="501"/>
      <c r="D12" s="500"/>
      <c r="E12" s="500"/>
      <c r="F12" s="502"/>
      <c r="G12" s="503"/>
      <c r="H12" s="504"/>
      <c r="I12" s="505"/>
      <c r="J12" s="505"/>
      <c r="K12" s="505"/>
      <c r="L12" s="506"/>
      <c r="M12" s="506"/>
      <c r="N12" s="505"/>
    </row>
    <row r="13" spans="1:14">
      <c r="A13" s="360"/>
      <c r="B13" s="473" t="s">
        <v>418</v>
      </c>
      <c r="C13" s="474">
        <v>42722</v>
      </c>
      <c r="D13" s="473">
        <f>[1]Formulaire!$B$8</f>
        <v>0</v>
      </c>
      <c r="E13" s="473">
        <f>[1]Formulaire!$B$13</f>
        <v>0</v>
      </c>
      <c r="F13" s="475">
        <f>[1]Formulaire!$Y$10</f>
        <v>0</v>
      </c>
      <c r="G13" s="476">
        <f>[1]Formulaire!$E$8</f>
        <v>0</v>
      </c>
      <c r="H13" s="477">
        <f>[1]Formulaire!$B$15</f>
        <v>0</v>
      </c>
      <c r="I13" s="478" t="str">
        <f>[1]Formulaire!$B$10</f>
        <v>MONTBRISON</v>
      </c>
      <c r="J13" s="478">
        <f>[1]Formulaire!$B$11</f>
        <v>0</v>
      </c>
      <c r="K13" s="478">
        <f>[1]Formulaire!$B$16</f>
        <v>0</v>
      </c>
      <c r="L13" s="479">
        <f>[1]Formulaire!$B$14</f>
        <v>0</v>
      </c>
      <c r="M13" s="479"/>
      <c r="N13" s="478" t="str">
        <f>[1]Formulaire!$E$16</f>
        <v>En attente</v>
      </c>
    </row>
    <row r="14" spans="1:14">
      <c r="A14" s="360"/>
      <c r="B14" s="361"/>
      <c r="C14" s="362"/>
      <c r="D14" s="363"/>
      <c r="E14" s="363"/>
      <c r="F14" s="364"/>
      <c r="G14" s="365"/>
      <c r="H14" s="366"/>
      <c r="I14" s="367"/>
      <c r="J14" s="367"/>
      <c r="K14" s="367"/>
      <c r="L14" s="368"/>
      <c r="M14" s="368"/>
      <c r="N14" s="367"/>
    </row>
    <row r="15" spans="1:14">
      <c r="A15" s="360"/>
      <c r="B15" s="371" t="s">
        <v>362</v>
      </c>
      <c r="C15" s="372"/>
      <c r="D15" s="373"/>
      <c r="E15" s="373"/>
      <c r="F15" s="374"/>
      <c r="G15" s="375"/>
      <c r="H15" s="376"/>
      <c r="I15" s="377"/>
      <c r="J15" s="377"/>
      <c r="K15" s="377"/>
      <c r="L15" s="378"/>
      <c r="M15" s="378"/>
      <c r="N15" s="377"/>
    </row>
    <row r="16" spans="1:14">
      <c r="A16" s="360"/>
      <c r="B16" s="361"/>
      <c r="C16" s="362"/>
      <c r="D16" s="363"/>
      <c r="E16" s="363"/>
      <c r="F16" s="364"/>
      <c r="G16" s="365"/>
      <c r="H16" s="379"/>
      <c r="I16" s="367"/>
      <c r="J16" s="367"/>
      <c r="K16" s="368"/>
      <c r="L16" s="365"/>
      <c r="M16" s="366"/>
      <c r="N16" s="367"/>
    </row>
    <row r="17" spans="1:14">
      <c r="A17" s="360"/>
      <c r="B17" s="361"/>
      <c r="C17" s="362"/>
      <c r="D17" s="363"/>
      <c r="E17" s="363"/>
      <c r="F17" s="364"/>
      <c r="G17" s="365"/>
      <c r="H17" s="366"/>
      <c r="I17" s="367"/>
      <c r="J17" s="367"/>
      <c r="K17" s="367"/>
      <c r="L17" s="365"/>
      <c r="M17" s="366"/>
      <c r="N17" s="367"/>
    </row>
    <row r="18" spans="1:14">
      <c r="A18" s="360"/>
      <c r="B18" s="361"/>
      <c r="C18" s="362"/>
      <c r="D18" s="363"/>
      <c r="E18" s="363"/>
      <c r="F18" s="364"/>
      <c r="G18" s="365"/>
      <c r="H18" s="366"/>
      <c r="I18" s="367"/>
      <c r="J18" s="367"/>
      <c r="K18" s="367"/>
      <c r="L18" s="368"/>
      <c r="M18" s="368"/>
      <c r="N18" s="367"/>
    </row>
    <row r="19" spans="1:14">
      <c r="A19" s="360"/>
      <c r="B19" s="361"/>
      <c r="C19" s="362"/>
      <c r="D19" s="363"/>
      <c r="E19" s="363"/>
      <c r="F19" s="364"/>
      <c r="G19" s="365"/>
      <c r="H19" s="366"/>
      <c r="I19" s="367"/>
      <c r="J19" s="367"/>
      <c r="K19" s="367"/>
      <c r="L19" s="368"/>
      <c r="M19" s="368"/>
      <c r="N19" s="367"/>
    </row>
    <row r="20" spans="1:14">
      <c r="A20" s="360"/>
      <c r="B20" s="361"/>
      <c r="C20" s="362"/>
      <c r="D20" s="363"/>
      <c r="E20" s="363"/>
      <c r="F20" s="364"/>
      <c r="G20" s="365"/>
      <c r="H20" s="366"/>
      <c r="I20" s="367"/>
      <c r="J20" s="367"/>
      <c r="K20" s="367"/>
      <c r="L20" s="368"/>
      <c r="M20" s="368"/>
      <c r="N20" s="367"/>
    </row>
    <row r="21" spans="1:14">
      <c r="A21" s="360"/>
      <c r="B21" s="361"/>
      <c r="C21" s="362"/>
      <c r="D21" s="363"/>
      <c r="E21" s="363"/>
      <c r="F21" s="364"/>
      <c r="G21" s="365"/>
      <c r="H21" s="366"/>
      <c r="I21" s="367"/>
      <c r="J21" s="367"/>
      <c r="K21" s="367"/>
      <c r="L21" s="368"/>
      <c r="M21" s="368"/>
      <c r="N21" s="367"/>
    </row>
    <row r="22" spans="1:14">
      <c r="A22" s="360"/>
      <c r="B22" s="361"/>
      <c r="C22" s="362"/>
      <c r="D22" s="363"/>
      <c r="E22" s="363"/>
      <c r="F22" s="364"/>
      <c r="G22" s="365"/>
      <c r="H22" s="366"/>
      <c r="I22" s="367"/>
      <c r="J22" s="367"/>
      <c r="K22" s="367"/>
      <c r="L22" s="368"/>
      <c r="M22" s="368"/>
      <c r="N22" s="367"/>
    </row>
    <row r="23" spans="1:14">
      <c r="A23" s="360"/>
      <c r="B23" s="361"/>
      <c r="C23" s="362"/>
      <c r="D23" s="363"/>
      <c r="E23" s="363"/>
      <c r="F23" s="364"/>
      <c r="G23" s="365"/>
      <c r="H23" s="366"/>
      <c r="I23" s="367"/>
      <c r="J23" s="367"/>
      <c r="K23" s="367"/>
      <c r="L23" s="368"/>
      <c r="M23" s="368"/>
      <c r="N23" s="367"/>
    </row>
    <row r="24" spans="1:14">
      <c r="A24" s="360"/>
      <c r="B24" s="361"/>
      <c r="C24" s="362"/>
      <c r="D24" s="363"/>
      <c r="E24" s="363"/>
      <c r="F24" s="364"/>
      <c r="G24" s="365"/>
      <c r="H24" s="366"/>
      <c r="I24" s="367"/>
      <c r="J24" s="367"/>
      <c r="K24" s="367"/>
      <c r="L24" s="368"/>
      <c r="M24" s="368"/>
      <c r="N24" s="367"/>
    </row>
    <row r="25" spans="1:14">
      <c r="A25" s="360"/>
      <c r="B25" s="361"/>
      <c r="C25" s="362"/>
      <c r="D25" s="363"/>
      <c r="E25" s="363"/>
      <c r="F25" s="364"/>
      <c r="G25" s="365"/>
      <c r="H25" s="366"/>
      <c r="I25" s="367"/>
      <c r="J25" s="367"/>
      <c r="K25" s="367"/>
      <c r="L25" s="368"/>
      <c r="M25" s="368"/>
      <c r="N25" s="367"/>
    </row>
    <row r="26" spans="1:14">
      <c r="A26" s="360"/>
      <c r="B26" s="361"/>
      <c r="C26" s="362"/>
      <c r="D26" s="363"/>
      <c r="E26" s="363"/>
      <c r="F26" s="364"/>
      <c r="G26" s="365"/>
      <c r="H26" s="366"/>
      <c r="I26" s="367"/>
      <c r="J26" s="367"/>
      <c r="K26" s="367"/>
      <c r="L26" s="368"/>
      <c r="M26" s="368"/>
      <c r="N26" s="367"/>
    </row>
    <row r="27" spans="1:14">
      <c r="A27" s="360"/>
      <c r="B27" s="361"/>
      <c r="C27" s="362"/>
      <c r="D27" s="363"/>
      <c r="E27" s="363"/>
      <c r="F27" s="364"/>
      <c r="G27" s="365"/>
      <c r="H27" s="366"/>
      <c r="I27" s="367"/>
      <c r="J27" s="367"/>
      <c r="K27" s="367"/>
      <c r="L27" s="368"/>
      <c r="M27" s="368"/>
      <c r="N27" s="367"/>
    </row>
    <row r="28" spans="1:14">
      <c r="A28" s="360"/>
      <c r="B28" s="361"/>
      <c r="C28" s="362"/>
      <c r="D28" s="363"/>
      <c r="E28" s="363"/>
      <c r="F28" s="364"/>
      <c r="G28" s="365"/>
      <c r="H28" s="366"/>
      <c r="I28" s="367"/>
      <c r="J28" s="367"/>
      <c r="K28" s="367"/>
      <c r="L28" s="368"/>
      <c r="M28" s="368"/>
      <c r="N28" s="367"/>
    </row>
    <row r="29" spans="1:14">
      <c r="A29" s="360"/>
      <c r="B29" s="361"/>
      <c r="C29" s="362"/>
      <c r="D29" s="363"/>
      <c r="E29" s="363"/>
      <c r="F29" s="364"/>
      <c r="G29" s="365"/>
      <c r="H29" s="366"/>
      <c r="I29" s="367"/>
      <c r="J29" s="367"/>
      <c r="K29" s="367"/>
      <c r="L29" s="368"/>
      <c r="M29" s="368"/>
      <c r="N29" s="367"/>
    </row>
    <row r="30" spans="1:14">
      <c r="A30" s="360"/>
      <c r="B30" s="361"/>
      <c r="C30" s="362"/>
      <c r="D30" s="363"/>
      <c r="E30" s="363"/>
      <c r="F30" s="364"/>
      <c r="G30" s="365"/>
      <c r="H30" s="366"/>
      <c r="I30" s="367"/>
      <c r="J30" s="367"/>
      <c r="K30" s="367"/>
      <c r="L30" s="368"/>
      <c r="M30" s="368"/>
      <c r="N30" s="367"/>
    </row>
    <row r="31" spans="1:14">
      <c r="A31" s="360"/>
      <c r="B31" s="361"/>
      <c r="C31" s="362"/>
      <c r="D31" s="363"/>
      <c r="E31" s="363"/>
      <c r="F31" s="364"/>
      <c r="G31" s="365"/>
      <c r="H31" s="366"/>
      <c r="I31" s="367"/>
      <c r="J31" s="367"/>
      <c r="K31" s="367"/>
      <c r="L31" s="368"/>
      <c r="M31" s="368"/>
      <c r="N31" s="367"/>
    </row>
    <row r="32" spans="1:14">
      <c r="A32" s="360"/>
      <c r="B32" s="361"/>
      <c r="C32" s="362"/>
      <c r="D32" s="363"/>
      <c r="E32" s="363"/>
      <c r="F32" s="364"/>
      <c r="G32" s="365"/>
      <c r="H32" s="366"/>
      <c r="I32" s="367"/>
      <c r="J32" s="367"/>
      <c r="K32" s="367"/>
      <c r="L32" s="368"/>
      <c r="M32" s="368"/>
      <c r="N32" s="367"/>
    </row>
    <row r="33" spans="1:14">
      <c r="A33" s="360"/>
      <c r="B33" s="361"/>
      <c r="C33" s="362"/>
      <c r="D33" s="363"/>
      <c r="E33" s="363"/>
      <c r="F33" s="364"/>
      <c r="G33" s="365"/>
      <c r="H33" s="366"/>
      <c r="I33" s="367"/>
      <c r="J33" s="367"/>
      <c r="K33" s="367"/>
      <c r="L33" s="368"/>
      <c r="M33" s="368"/>
      <c r="N33" s="367"/>
    </row>
    <row r="34" spans="1:14">
      <c r="A34" s="360"/>
      <c r="B34" s="361"/>
      <c r="C34" s="362"/>
      <c r="D34" s="363"/>
      <c r="E34" s="363"/>
      <c r="F34" s="364"/>
      <c r="G34" s="365"/>
      <c r="H34" s="366"/>
      <c r="I34" s="367"/>
      <c r="J34" s="367"/>
      <c r="K34" s="367"/>
      <c r="L34" s="368"/>
      <c r="M34" s="368"/>
      <c r="N34" s="367"/>
    </row>
    <row r="35" spans="1:14">
      <c r="A35" s="360"/>
      <c r="B35" s="361"/>
      <c r="C35" s="362"/>
      <c r="D35" s="363"/>
      <c r="E35" s="363"/>
      <c r="F35" s="364"/>
      <c r="G35" s="365"/>
      <c r="H35" s="366"/>
      <c r="I35" s="367"/>
      <c r="J35" s="367"/>
      <c r="K35" s="367"/>
      <c r="L35" s="368"/>
      <c r="M35" s="368"/>
      <c r="N35" s="367"/>
    </row>
    <row r="36" spans="1:14">
      <c r="A36" s="360"/>
      <c r="B36" s="361"/>
      <c r="C36" s="362"/>
      <c r="D36" s="363"/>
      <c r="E36" s="363"/>
      <c r="F36" s="364"/>
      <c r="G36" s="365"/>
      <c r="H36" s="366"/>
      <c r="I36" s="367"/>
      <c r="J36" s="367"/>
      <c r="K36" s="367"/>
      <c r="L36" s="368"/>
      <c r="M36" s="368"/>
      <c r="N36" s="367"/>
    </row>
    <row r="37" spans="1:14">
      <c r="A37" s="360"/>
      <c r="B37" s="361"/>
      <c r="C37" s="362"/>
      <c r="D37" s="363"/>
      <c r="E37" s="363"/>
      <c r="F37" s="364"/>
      <c r="G37" s="365"/>
      <c r="H37" s="366"/>
      <c r="I37" s="367"/>
      <c r="J37" s="367"/>
      <c r="K37" s="367"/>
      <c r="L37" s="368"/>
      <c r="M37" s="368"/>
      <c r="N37" s="367"/>
    </row>
    <row r="38" spans="1:14">
      <c r="A38" s="360"/>
      <c r="B38" s="361"/>
      <c r="C38" s="362"/>
      <c r="D38" s="363"/>
      <c r="E38" s="363"/>
      <c r="F38" s="364"/>
      <c r="G38" s="365"/>
      <c r="H38" s="366"/>
      <c r="I38" s="367"/>
      <c r="J38" s="367"/>
      <c r="K38" s="367"/>
      <c r="L38" s="368"/>
      <c r="M38" s="368"/>
      <c r="N38" s="367"/>
    </row>
    <row r="39" spans="1:14">
      <c r="A39" s="360"/>
      <c r="B39" s="361"/>
      <c r="C39" s="362"/>
      <c r="D39" s="363"/>
      <c r="E39" s="363"/>
      <c r="F39" s="364"/>
      <c r="G39" s="365"/>
      <c r="H39" s="366"/>
      <c r="I39" s="367"/>
      <c r="J39" s="367"/>
      <c r="K39" s="367"/>
      <c r="L39" s="368"/>
      <c r="M39" s="368"/>
      <c r="N39" s="367"/>
    </row>
    <row r="40" spans="1:14">
      <c r="A40" s="360"/>
      <c r="B40" s="361"/>
      <c r="C40" s="362"/>
      <c r="D40" s="363"/>
      <c r="E40" s="363"/>
      <c r="F40" s="364"/>
      <c r="G40" s="365"/>
      <c r="H40" s="366"/>
      <c r="I40" s="367"/>
      <c r="J40" s="367"/>
      <c r="K40" s="367"/>
      <c r="L40" s="368"/>
      <c r="M40" s="368"/>
      <c r="N40" s="367"/>
    </row>
    <row r="41" spans="1:14">
      <c r="A41" s="360"/>
      <c r="B41" s="361"/>
      <c r="C41" s="362"/>
      <c r="D41" s="363"/>
      <c r="E41" s="363"/>
      <c r="F41" s="364"/>
      <c r="G41" s="365"/>
      <c r="H41" s="366"/>
      <c r="I41" s="367"/>
      <c r="J41" s="367"/>
      <c r="K41" s="367"/>
      <c r="L41" s="368"/>
      <c r="M41" s="368"/>
      <c r="N41" s="367"/>
    </row>
    <row r="42" spans="1:14">
      <c r="A42" s="360"/>
      <c r="B42" s="361"/>
      <c r="C42" s="362"/>
      <c r="D42" s="363"/>
      <c r="E42" s="363"/>
      <c r="F42" s="364"/>
      <c r="G42" s="365"/>
      <c r="H42" s="366"/>
      <c r="I42" s="367"/>
      <c r="J42" s="367"/>
      <c r="K42" s="367"/>
      <c r="L42" s="368"/>
      <c r="M42" s="368"/>
      <c r="N42" s="367"/>
    </row>
    <row r="43" spans="1:14">
      <c r="A43" s="370"/>
      <c r="B43" s="370"/>
      <c r="C43" s="370"/>
      <c r="D43" s="370"/>
      <c r="E43" s="370"/>
      <c r="F43" s="370"/>
      <c r="G43" s="370"/>
      <c r="H43" s="380"/>
      <c r="I43" s="370"/>
      <c r="J43" s="370"/>
      <c r="K43" s="370"/>
      <c r="L43" s="370"/>
      <c r="M43" s="370"/>
      <c r="N43" s="370"/>
    </row>
    <row r="44" spans="1:14">
      <c r="A44" s="370"/>
      <c r="B44" s="370"/>
      <c r="C44" s="381"/>
      <c r="D44" s="370"/>
      <c r="E44" s="370"/>
      <c r="F44" s="370"/>
      <c r="G44" s="370"/>
      <c r="H44" s="380"/>
      <c r="I44" s="370"/>
      <c r="J44" s="370"/>
      <c r="K44" s="370"/>
      <c r="L44" s="370"/>
      <c r="M44" s="370"/>
      <c r="N44" s="370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6385" r:id="rId4" name="cmdNewDevis">
          <controlPr defaultSize="0" autoLine="0" r:id="rId5">
            <anchor moveWithCells="1">
              <from>
                <xdr:col>1</xdr:col>
                <xdr:colOff>38100</xdr:colOff>
                <xdr:row>9</xdr:row>
                <xdr:rowOff>28575</xdr:rowOff>
              </from>
              <to>
                <xdr:col>1</xdr:col>
                <xdr:colOff>1019175</xdr:colOff>
                <xdr:row>9</xdr:row>
                <xdr:rowOff>304800</xdr:rowOff>
              </to>
            </anchor>
          </controlPr>
        </control>
      </mc:Choice>
      <mc:Fallback>
        <control shapeId="16385" r:id="rId4" name="cmdNewDevis"/>
      </mc:Fallback>
    </mc:AlternateContent>
    <mc:AlternateContent xmlns:mc="http://schemas.openxmlformats.org/markup-compatibility/2006">
      <mc:Choice Requires="x14">
        <control shapeId="16391" r:id="rId6" name="CommandButton1">
          <controlPr defaultSize="0" autoLine="0" r:id="rId7">
            <anchor moveWithCells="1">
              <from>
                <xdr:col>3</xdr:col>
                <xdr:colOff>285750</xdr:colOff>
                <xdr:row>19</xdr:row>
                <xdr:rowOff>0</xdr:rowOff>
              </from>
              <to>
                <xdr:col>6</xdr:col>
                <xdr:colOff>561975</xdr:colOff>
                <xdr:row>30</xdr:row>
                <xdr:rowOff>152400</xdr:rowOff>
              </to>
            </anchor>
          </controlPr>
        </control>
      </mc:Choice>
      <mc:Fallback>
        <control shapeId="16391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>
          <x14:formula1>
            <xm:f>Bibliothèque!$C$2:$C$11</xm:f>
          </x14:formula1>
          <xm:sqref>E11:E13</xm:sqref>
        </x14:dataValidation>
        <x14:dataValidation type="list" allowBlank="1" showInputMessage="1" showErrorMessage="1">
          <x14:formula1>
            <xm:f>Bibliothèque!$H$3:$H$35</xm:f>
          </x14:formula1>
          <xm:sqref>L11:L13</xm:sqref>
        </x14:dataValidation>
        <x14:dataValidation type="list" allowBlank="1" showInputMessage="1" showErrorMessage="1">
          <x14:formula1>
            <xm:f>Bibliothèque!$I$3:$I$35</xm:f>
          </x14:formula1>
          <xm:sqref>M11:M13</xm:sqref>
        </x14:dataValidation>
        <x14:dataValidation type="list" allowBlank="1" showInputMessage="1">
          <x14:formula1>
            <xm:f>Bibliothèque!$C$2:$C$10</xm:f>
          </x14:formula1>
          <xm:sqref>E14:E16</xm:sqref>
        </x14:dataValidation>
        <x14:dataValidation type="list" allowBlank="1" showInputMessage="1" showErrorMessage="1">
          <x14:formula1>
            <xm:f>Bibliothèque!$H$3:$H$33</xm:f>
          </x14:formula1>
          <xm:sqref>L14:L17 C11:C15</xm:sqref>
        </x14:dataValidation>
        <x14:dataValidation type="list" allowBlank="1" showInputMessage="1" showErrorMessage="1">
          <x14:formula1>
            <xm:f>Bibliothèque!$I$3:$I$33</xm:f>
          </x14:formula1>
          <xm:sqref>M14:M17</xm:sqref>
        </x14:dataValidation>
        <x14:dataValidation type="list" allowBlank="1" showInputMessage="1" showErrorMessage="1">
          <x14:formula1>
            <xm:f>Bibliothèque!$D$2:$D$5</xm:f>
          </x14:formula1>
          <xm:sqref>K11:K16</xm:sqref>
        </x14:dataValidation>
        <x14:dataValidation type="list" allowBlank="1" showInputMessage="1" showErrorMessage="1">
          <x14:formula1>
            <xm:f>Bibliothèque!$F$2:$F$5</xm:f>
          </x14:formula1>
          <xm:sqref>H11:H16</xm:sqref>
        </x14:dataValidation>
        <x14:dataValidation type="list" allowBlank="1" showInputMessage="1" showErrorMessage="1">
          <x14:formula1>
            <xm:f>Bibliothèque!$B$3:$B$5</xm:f>
          </x14:formula1>
          <xm:sqref>N11:N17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R18"/>
  <sheetViews>
    <sheetView tabSelected="1" zoomScale="113" zoomScaleNormal="113" workbookViewId="0">
      <selection activeCell="I19" sqref="I19"/>
    </sheetView>
  </sheetViews>
  <sheetFormatPr baseColWidth="10" defaultRowHeight="15"/>
  <cols>
    <col min="1" max="1" width="2.85546875" style="327" customWidth="1"/>
    <col min="2" max="2" width="15.7109375" style="433" customWidth="1"/>
    <col min="3" max="3" width="11.5703125" style="434" customWidth="1"/>
    <col min="4" max="4" width="11.5703125" style="433" customWidth="1"/>
    <col min="5" max="5" width="17.85546875" style="433" customWidth="1"/>
    <col min="6" max="7" width="15.7109375" style="433" customWidth="1"/>
    <col min="8" max="8" width="13.140625" style="327" customWidth="1"/>
    <col min="9" max="9" width="15.7109375" style="327" customWidth="1"/>
    <col min="10" max="10" width="9.85546875" style="328" customWidth="1"/>
    <col min="11" max="11" width="8.5703125" style="327" customWidth="1"/>
    <col min="12" max="17" width="15.7109375" style="327" customWidth="1"/>
    <col min="18" max="18" width="2.85546875" style="327" customWidth="1"/>
    <col min="19" max="16384" width="11.42578125" style="327"/>
  </cols>
  <sheetData>
    <row r="1" spans="1:18" ht="15.75" thickBot="1">
      <c r="A1" s="382">
        <v>1</v>
      </c>
      <c r="B1" s="383"/>
      <c r="C1" s="384"/>
      <c r="D1" s="383"/>
      <c r="E1" s="385"/>
      <c r="F1" s="385"/>
      <c r="G1" s="385"/>
      <c r="H1" s="386"/>
      <c r="I1" s="387"/>
      <c r="J1" s="190"/>
      <c r="K1" s="388"/>
      <c r="L1" s="388"/>
      <c r="M1" s="388"/>
      <c r="N1" s="388"/>
      <c r="O1" s="389"/>
      <c r="P1" s="390"/>
      <c r="Q1" s="189"/>
      <c r="R1" s="191"/>
    </row>
    <row r="2" spans="1:18" ht="36" thickBot="1">
      <c r="A2" s="382">
        <v>0</v>
      </c>
      <c r="B2" s="391" t="s">
        <v>388</v>
      </c>
      <c r="C2" s="392"/>
      <c r="D2" s="393"/>
      <c r="E2" s="394"/>
      <c r="F2" s="395"/>
      <c r="G2" s="395"/>
      <c r="H2" s="396"/>
      <c r="I2" s="397" t="s">
        <v>389</v>
      </c>
      <c r="J2" s="398" t="s">
        <v>390</v>
      </c>
      <c r="K2" s="399"/>
      <c r="L2" s="399"/>
      <c r="M2" s="399"/>
      <c r="N2" s="399"/>
      <c r="O2" s="400"/>
      <c r="P2" s="401"/>
      <c r="Q2" s="402"/>
      <c r="R2" s="187"/>
    </row>
    <row r="3" spans="1:18" ht="15.75" thickBot="1">
      <c r="A3" s="382">
        <f>IF(B16="",0,A4)</f>
        <v>0</v>
      </c>
      <c r="B3" s="383"/>
      <c r="C3" s="384"/>
      <c r="D3" s="383"/>
      <c r="E3" s="385"/>
      <c r="F3" s="385"/>
      <c r="G3" s="385"/>
      <c r="H3" s="386"/>
      <c r="I3" s="387"/>
      <c r="J3" s="190"/>
      <c r="K3" s="388"/>
      <c r="L3" s="388"/>
      <c r="M3" s="388"/>
      <c r="N3" s="388"/>
      <c r="O3" s="389"/>
      <c r="P3" s="390"/>
      <c r="Q3" s="189"/>
      <c r="R3" s="192"/>
    </row>
    <row r="4" spans="1:18" s="415" customFormat="1" ht="24.75" thickBot="1">
      <c r="A4" s="403">
        <v>11</v>
      </c>
      <c r="B4" s="404" t="s">
        <v>391</v>
      </c>
      <c r="C4" s="405" t="s">
        <v>298</v>
      </c>
      <c r="D4" s="406" t="s">
        <v>392</v>
      </c>
      <c r="E4" s="407" t="s">
        <v>295</v>
      </c>
      <c r="F4" s="407" t="s">
        <v>379</v>
      </c>
      <c r="G4" s="407" t="s">
        <v>393</v>
      </c>
      <c r="H4" s="408" t="s">
        <v>394</v>
      </c>
      <c r="I4" s="409" t="s">
        <v>280</v>
      </c>
      <c r="J4" s="410" t="s">
        <v>277</v>
      </c>
      <c r="K4" s="409" t="s">
        <v>47</v>
      </c>
      <c r="L4" s="409" t="s">
        <v>279</v>
      </c>
      <c r="M4" s="409" t="s">
        <v>33</v>
      </c>
      <c r="N4" s="409" t="s">
        <v>276</v>
      </c>
      <c r="O4" s="411" t="s">
        <v>407</v>
      </c>
      <c r="P4" s="412" t="s">
        <v>395</v>
      </c>
      <c r="Q4" s="413" t="s">
        <v>396</v>
      </c>
      <c r="R4" s="414"/>
    </row>
    <row r="5" spans="1:18" ht="15.75" thickBot="1">
      <c r="A5" s="188"/>
      <c r="B5" s="416"/>
      <c r="C5" s="417"/>
      <c r="D5" s="418"/>
      <c r="E5" s="418"/>
      <c r="F5" s="418"/>
      <c r="G5" s="418"/>
      <c r="H5" s="419"/>
      <c r="I5" s="420"/>
      <c r="J5" s="421"/>
      <c r="K5" s="422"/>
      <c r="L5" s="422"/>
      <c r="M5" s="422"/>
      <c r="N5" s="422"/>
      <c r="O5" s="422"/>
      <c r="P5" s="423"/>
      <c r="Q5" s="424"/>
      <c r="R5" s="188"/>
    </row>
    <row r="6" spans="1:18" s="425" customFormat="1" ht="3.75" customHeight="1">
      <c r="B6" s="480"/>
      <c r="C6" s="427"/>
      <c r="D6" s="426"/>
      <c r="E6" s="426"/>
      <c r="F6" s="426"/>
      <c r="G6" s="426"/>
      <c r="J6" s="428"/>
      <c r="K6" s="425" t="str">
        <f>IF(AND(I6&gt;0,J6&gt;0),I6*K6,"")</f>
        <v/>
      </c>
      <c r="L6" s="425" t="str">
        <f>IF(K6&lt;&gt;"",K6+I6,"")</f>
        <v/>
      </c>
      <c r="O6" s="425" t="str">
        <f>IF(AND(I6&gt;0,M6&gt;0,N6&gt;0),I6-M6-N6,"")</f>
        <v/>
      </c>
    </row>
    <row r="7" spans="1:18" s="429" customFormat="1" ht="12.75">
      <c r="A7" s="425"/>
      <c r="B7" s="507" t="s">
        <v>386</v>
      </c>
      <c r="C7" s="508"/>
      <c r="D7" s="509"/>
      <c r="E7" s="509"/>
      <c r="F7" s="509"/>
      <c r="G7" s="509"/>
      <c r="H7" s="510"/>
      <c r="I7" s="510"/>
      <c r="J7" s="511"/>
      <c r="K7" s="510"/>
      <c r="L7" s="510"/>
      <c r="M7" s="510"/>
      <c r="N7" s="510"/>
      <c r="O7" s="510"/>
      <c r="P7" s="510"/>
      <c r="Q7" s="510"/>
    </row>
    <row r="8" spans="1:18">
      <c r="A8" s="425"/>
      <c r="B8" s="481" t="s">
        <v>419</v>
      </c>
      <c r="C8" s="482" t="s">
        <v>420</v>
      </c>
      <c r="D8" s="483" t="s">
        <v>418</v>
      </c>
      <c r="E8" s="483">
        <v>0</v>
      </c>
      <c r="F8" s="483">
        <v>0</v>
      </c>
      <c r="G8" s="483"/>
      <c r="H8" s="484">
        <v>0</v>
      </c>
      <c r="I8" s="484">
        <v>0</v>
      </c>
      <c r="J8" s="485">
        <v>0</v>
      </c>
      <c r="K8" s="484" t="str">
        <f>IF(AND(I8&gt;0,J8&gt;0),I8*J8,"")</f>
        <v/>
      </c>
      <c r="L8" s="484" t="str">
        <f>IF(K8&lt;&gt;"",K8+I8,"")</f>
        <v/>
      </c>
      <c r="M8" s="484"/>
      <c r="N8" s="484"/>
      <c r="O8" s="484" t="str">
        <f>IF(AND(I8=0,M8=0,N8=0),"",I8-M8-N8)</f>
        <v/>
      </c>
      <c r="P8" s="484"/>
      <c r="Q8" s="484"/>
    </row>
    <row r="9" spans="1:18">
      <c r="A9" s="425"/>
      <c r="B9" s="426"/>
      <c r="C9" s="427"/>
      <c r="D9" s="426"/>
      <c r="E9" s="426"/>
      <c r="F9" s="426"/>
      <c r="G9" s="426"/>
      <c r="H9" s="425"/>
      <c r="I9" s="425"/>
      <c r="J9" s="428"/>
      <c r="K9" s="425"/>
      <c r="L9" s="425"/>
      <c r="M9" s="425"/>
      <c r="N9" s="425"/>
      <c r="O9" s="425"/>
      <c r="P9" s="425"/>
      <c r="Q9" s="425"/>
    </row>
    <row r="10" spans="1:18">
      <c r="A10" s="425"/>
      <c r="B10" s="426"/>
      <c r="C10" s="427"/>
      <c r="D10" s="426"/>
      <c r="E10" s="426"/>
      <c r="F10" s="426"/>
      <c r="G10" s="426"/>
      <c r="H10" s="425"/>
      <c r="I10" s="425"/>
      <c r="J10" s="428"/>
      <c r="K10" s="425"/>
      <c r="L10" s="425"/>
      <c r="M10" s="425"/>
      <c r="N10" s="425"/>
      <c r="O10" s="425"/>
      <c r="P10" s="425"/>
      <c r="Q10" s="425"/>
    </row>
    <row r="11" spans="1:18">
      <c r="A11" s="425"/>
      <c r="B11" s="446" t="s">
        <v>362</v>
      </c>
      <c r="C11" s="447"/>
      <c r="D11" s="446"/>
      <c r="E11" s="446"/>
      <c r="F11" s="446"/>
      <c r="G11" s="446"/>
      <c r="H11" s="448"/>
      <c r="I11" s="448"/>
      <c r="J11" s="449"/>
      <c r="K11" s="448"/>
      <c r="L11" s="448"/>
      <c r="M11" s="448"/>
      <c r="N11" s="448"/>
      <c r="O11" s="448"/>
      <c r="P11" s="448"/>
      <c r="Q11" s="448"/>
    </row>
    <row r="12" spans="1:18">
      <c r="A12" s="429"/>
      <c r="B12" s="430"/>
      <c r="C12" s="431"/>
      <c r="D12" s="430"/>
      <c r="E12" s="430"/>
      <c r="F12" s="426"/>
      <c r="G12" s="426"/>
      <c r="H12" s="429"/>
      <c r="I12" s="429"/>
      <c r="J12" s="432"/>
      <c r="K12" s="425" t="str">
        <f t="shared" ref="K12" si="0">IF(AND(I12&gt;0,J12&gt;0),I12*K12,"")</f>
        <v/>
      </c>
      <c r="L12" s="425" t="str">
        <f t="shared" ref="L12" si="1">IF(K12&lt;&gt;"",K12+I12,"")</f>
        <v/>
      </c>
      <c r="M12" s="429"/>
      <c r="N12" s="429"/>
      <c r="O12" s="425" t="str">
        <f t="shared" ref="O12" si="2">IF(AND(I12&gt;0,M12&gt;0,N12&gt;0),I12-M12-N12,"")</f>
        <v/>
      </c>
      <c r="P12" s="429"/>
      <c r="Q12" s="429"/>
    </row>
    <row r="13" spans="1:18">
      <c r="A13" s="429"/>
      <c r="B13" s="430"/>
      <c r="C13" s="431"/>
      <c r="D13" s="430"/>
      <c r="E13" s="430"/>
      <c r="F13" s="430"/>
      <c r="G13" s="430"/>
      <c r="H13" s="429"/>
      <c r="I13" s="429"/>
      <c r="J13" s="432"/>
      <c r="K13" s="429"/>
      <c r="L13" s="429"/>
      <c r="M13" s="429"/>
      <c r="N13" s="429"/>
      <c r="O13" s="429"/>
      <c r="P13" s="429"/>
      <c r="Q13" s="429"/>
    </row>
    <row r="14" spans="1:18">
      <c r="A14" s="429"/>
      <c r="B14" s="430"/>
      <c r="C14" s="431"/>
      <c r="D14" s="430"/>
      <c r="E14" s="430"/>
      <c r="F14" s="430"/>
      <c r="G14" s="430"/>
      <c r="H14" s="429"/>
      <c r="I14" s="429"/>
      <c r="J14" s="432"/>
      <c r="K14" s="429"/>
      <c r="L14" s="429"/>
      <c r="M14" s="429"/>
      <c r="N14" s="429"/>
      <c r="O14" s="429"/>
      <c r="P14" s="429"/>
      <c r="Q14" s="429"/>
    </row>
    <row r="15" spans="1:18">
      <c r="A15" s="425"/>
      <c r="B15" s="426"/>
      <c r="C15" s="427"/>
      <c r="D15" s="426"/>
      <c r="E15" s="426"/>
      <c r="F15" s="426"/>
      <c r="G15" s="426"/>
      <c r="H15" s="425"/>
      <c r="I15" s="425"/>
      <c r="J15" s="428"/>
      <c r="K15" s="425"/>
      <c r="L15" s="425"/>
      <c r="M15" s="425"/>
      <c r="N15" s="425"/>
      <c r="O15" s="425"/>
      <c r="P15" s="425"/>
      <c r="Q15" s="425"/>
    </row>
    <row r="16" spans="1:18"/>
    <row r="18" spans="6:6">
      <c r="F18" s="450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7409" r:id="rId4" name="lblNumFacture">
          <controlPr defaultSize="0" autoLine="0" r:id="rId5">
            <anchor moveWithCells="1">
              <from>
                <xdr:col>1</xdr:col>
                <xdr:colOff>57150</xdr:colOff>
                <xdr:row>3</xdr:row>
                <xdr:rowOff>133350</xdr:rowOff>
              </from>
              <to>
                <xdr:col>1</xdr:col>
                <xdr:colOff>1000125</xdr:colOff>
                <xdr:row>3</xdr:row>
                <xdr:rowOff>295275</xdr:rowOff>
              </to>
            </anchor>
          </controlPr>
        </control>
      </mc:Choice>
      <mc:Fallback>
        <control shapeId="17409" r:id="rId4" name="lblNumFacture"/>
      </mc:Fallback>
    </mc:AlternateContent>
    <mc:AlternateContent xmlns:mc="http://schemas.openxmlformats.org/markup-compatibility/2006">
      <mc:Choice Requires="x14">
        <control shapeId="17410" r:id="rId6" name="récup_acompte">
          <controlPr defaultSize="0" autoLine="0" r:id="rId7">
            <anchor moveWithCells="1">
              <from>
                <xdr:col>6</xdr:col>
                <xdr:colOff>676275</xdr:colOff>
                <xdr:row>13</xdr:row>
                <xdr:rowOff>85725</xdr:rowOff>
              </from>
              <to>
                <xdr:col>7</xdr:col>
                <xdr:colOff>695325</xdr:colOff>
                <xdr:row>17</xdr:row>
                <xdr:rowOff>123825</xdr:rowOff>
              </to>
            </anchor>
          </controlPr>
        </control>
      </mc:Choice>
      <mc:Fallback>
        <control shapeId="17410" r:id="rId6" name="récup_acomp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Bibliothèque!$C$2:$C$10</xm:f>
          </x14:formula1>
          <xm:sqref>F9:F12</xm:sqref>
        </x14:dataValidation>
        <x14:dataValidation type="list" allowBlank="1" showInputMessage="1" showErrorMessage="1">
          <x14:formula1>
            <xm:f>Bibliothèque!$C$2:$C$11</xm:f>
          </x14:formula1>
          <xm:sqref>F6:F8</xm:sqref>
        </x14:dataValidation>
        <x14:dataValidation type="list" allowBlank="1" showInputMessage="1" showErrorMessage="1">
          <x14:formula1>
            <xm:f>Bibliothèque!$J$3:$J$5</xm:f>
          </x14:formula1>
          <xm:sqref>G6:G12</xm:sqref>
        </x14:dataValidation>
        <x14:dataValidation type="list" allowBlank="1" showInputMessage="1" showErrorMessage="1">
          <x14:formula1>
            <xm:f>Bibliothèque!$G$3:$G$4</xm:f>
          </x14:formula1>
          <xm:sqref>Q6:Q15</xm:sqref>
        </x14:dataValidation>
        <x14:dataValidation type="list" allowBlank="1" showInputMessage="1" showErrorMessage="1">
          <x14:formula1>
            <xm:f>Bibliothèque!$E$3:$E$4</xm:f>
          </x14:formula1>
          <xm:sqref>P6:P15</xm:sqref>
        </x14:dataValidation>
        <x14:dataValidation type="list" allowBlank="1" showInputMessage="1" showErrorMessage="1">
          <x14:formula1>
            <xm:f>Bibliothèque!$F$3:$F$5</xm:f>
          </x14:formula1>
          <xm:sqref>J6:J15</xm:sqref>
        </x14:dataValidation>
        <x14:dataValidation type="list" allowBlank="1" showInputMessage="1" showErrorMessage="1">
          <x14:formula1>
            <xm:f>Bibliothèque!$H$3:$H$33</xm:f>
          </x14:formula1>
          <xm:sqref>C6:C15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W47"/>
  <sheetViews>
    <sheetView showGridLines="0" zoomScale="85" zoomScaleNormal="85" workbookViewId="0">
      <pane xSplit="27270" ySplit="1635" topLeftCell="AA10" activePane="bottomLeft"/>
      <selection activeCell="B5" sqref="B5"/>
      <selection pane="topRight" activeCell="Z1" sqref="Z1"/>
      <selection pane="bottomLeft" activeCell="X16" sqref="X16"/>
      <selection pane="bottomRight" activeCell="AA12" sqref="AA12"/>
    </sheetView>
  </sheetViews>
  <sheetFormatPr baseColWidth="10" defaultRowHeight="15"/>
  <cols>
    <col min="1" max="1" width="16" customWidth="1"/>
    <col min="2" max="29" width="11.42578125" style="163" customWidth="1"/>
    <col min="34" max="34" width="8.42578125" customWidth="1"/>
  </cols>
  <sheetData>
    <row r="1" spans="1:49"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"/>
      <c r="AE1" s="16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18.75">
      <c r="A2" s="162" t="s">
        <v>195</v>
      </c>
      <c r="B2" s="216" t="s">
        <v>346</v>
      </c>
      <c r="M2" s="165"/>
      <c r="N2" s="165"/>
      <c r="O2" s="165"/>
      <c r="P2" s="165"/>
      <c r="Q2" s="165"/>
      <c r="R2" s="165"/>
      <c r="W2" s="17"/>
      <c r="X2" s="17"/>
      <c r="Y2" s="164"/>
      <c r="Z2" s="164"/>
      <c r="AA2" s="164"/>
      <c r="AB2" s="164"/>
      <c r="AC2" s="164"/>
      <c r="AD2" s="1"/>
      <c r="AE2" s="1"/>
      <c r="AF2" s="208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"/>
      <c r="AT2" s="1"/>
      <c r="AU2" s="1"/>
      <c r="AV2" s="1"/>
      <c r="AW2" s="1"/>
    </row>
    <row r="3" spans="1:49" ht="18.75">
      <c r="A3" s="206"/>
      <c r="B3" s="217"/>
      <c r="M3" s="165"/>
      <c r="N3" s="165"/>
      <c r="O3" s="165"/>
      <c r="P3" s="165"/>
      <c r="Q3" s="165"/>
      <c r="R3" s="165"/>
      <c r="W3" s="17"/>
      <c r="X3" s="17"/>
      <c r="Y3" s="164"/>
      <c r="Z3" s="164"/>
      <c r="AA3" s="164"/>
      <c r="AB3" s="164"/>
      <c r="AC3" s="164"/>
      <c r="AD3" s="1"/>
      <c r="AE3" s="1"/>
      <c r="AF3" s="208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"/>
      <c r="AT3" s="1"/>
      <c r="AU3" s="1"/>
      <c r="AV3" s="1"/>
      <c r="AW3" s="1"/>
    </row>
    <row r="4" spans="1:49">
      <c r="A4" s="19" t="s">
        <v>36</v>
      </c>
      <c r="B4" s="488">
        <v>42736</v>
      </c>
      <c r="C4" s="489"/>
      <c r="D4" s="488">
        <v>42767</v>
      </c>
      <c r="E4" s="489"/>
      <c r="F4" s="488">
        <v>42795</v>
      </c>
      <c r="G4" s="489"/>
      <c r="H4" s="488">
        <v>42826</v>
      </c>
      <c r="I4" s="489"/>
      <c r="J4" s="488">
        <v>42856</v>
      </c>
      <c r="K4" s="489"/>
      <c r="L4" s="488">
        <v>42887</v>
      </c>
      <c r="M4" s="489"/>
      <c r="N4" s="488">
        <v>42917</v>
      </c>
      <c r="O4" s="489"/>
      <c r="P4" s="488">
        <v>42948</v>
      </c>
      <c r="Q4" s="489"/>
      <c r="R4" s="488">
        <v>42979</v>
      </c>
      <c r="S4" s="489"/>
      <c r="T4" s="488">
        <v>43009</v>
      </c>
      <c r="U4" s="489"/>
      <c r="V4" s="488">
        <v>43040</v>
      </c>
      <c r="W4" s="489"/>
      <c r="X4" s="488">
        <v>43070</v>
      </c>
      <c r="Y4" s="489"/>
      <c r="Z4" s="315"/>
      <c r="AA4" s="315" t="s">
        <v>1</v>
      </c>
      <c r="AD4" s="1"/>
      <c r="AE4" s="1"/>
      <c r="AF4" s="209"/>
      <c r="AG4" s="210"/>
      <c r="AH4" s="210"/>
      <c r="AI4" s="210"/>
      <c r="AJ4" s="210"/>
      <c r="AK4" s="210"/>
      <c r="AL4" s="210"/>
      <c r="AM4" s="210"/>
      <c r="AN4" s="210"/>
      <c r="AO4" s="210"/>
      <c r="AP4" s="210"/>
      <c r="AQ4" s="210"/>
      <c r="AR4" s="210"/>
      <c r="AS4" s="1"/>
      <c r="AT4" s="1"/>
      <c r="AU4" s="1"/>
      <c r="AV4" s="1"/>
      <c r="AW4" s="1"/>
    </row>
    <row r="5" spans="1:49">
      <c r="A5" s="204" t="s">
        <v>22</v>
      </c>
      <c r="B5" s="215">
        <f t="shared" ref="B5:Y5" si="0">SUM(B7:B28)</f>
        <v>0</v>
      </c>
      <c r="C5" s="218">
        <f t="shared" si="0"/>
        <v>0</v>
      </c>
      <c r="D5" s="215">
        <f t="shared" si="0"/>
        <v>0</v>
      </c>
      <c r="E5" s="218">
        <f t="shared" si="0"/>
        <v>0</v>
      </c>
      <c r="F5" s="215">
        <f t="shared" si="0"/>
        <v>0</v>
      </c>
      <c r="G5" s="218">
        <f t="shared" si="0"/>
        <v>0</v>
      </c>
      <c r="H5" s="215">
        <f t="shared" si="0"/>
        <v>0</v>
      </c>
      <c r="I5" s="218">
        <f t="shared" si="0"/>
        <v>0</v>
      </c>
      <c r="J5" s="215">
        <f t="shared" si="0"/>
        <v>0</v>
      </c>
      <c r="K5" s="218">
        <f t="shared" si="0"/>
        <v>0</v>
      </c>
      <c r="L5" s="215">
        <f t="shared" si="0"/>
        <v>0</v>
      </c>
      <c r="M5" s="218">
        <f t="shared" si="0"/>
        <v>0</v>
      </c>
      <c r="N5" s="215">
        <f t="shared" si="0"/>
        <v>0</v>
      </c>
      <c r="O5" s="218">
        <f t="shared" si="0"/>
        <v>0</v>
      </c>
      <c r="P5" s="215">
        <f t="shared" si="0"/>
        <v>0</v>
      </c>
      <c r="Q5" s="218">
        <f t="shared" si="0"/>
        <v>0</v>
      </c>
      <c r="R5" s="215">
        <f t="shared" si="0"/>
        <v>0</v>
      </c>
      <c r="S5" s="218">
        <f t="shared" si="0"/>
        <v>0</v>
      </c>
      <c r="T5" s="215">
        <f t="shared" si="0"/>
        <v>0</v>
      </c>
      <c r="U5" s="218">
        <f t="shared" si="0"/>
        <v>0</v>
      </c>
      <c r="V5" s="215">
        <f t="shared" si="0"/>
        <v>0</v>
      </c>
      <c r="W5" s="218">
        <f t="shared" si="0"/>
        <v>0</v>
      </c>
      <c r="X5" s="215">
        <f t="shared" si="0"/>
        <v>0</v>
      </c>
      <c r="Y5" s="218">
        <f t="shared" si="0"/>
        <v>0</v>
      </c>
      <c r="Z5" s="215"/>
      <c r="AA5" s="218">
        <f>SUM(AA7:AA28)</f>
        <v>0</v>
      </c>
      <c r="AD5" s="1"/>
      <c r="AE5" s="1"/>
      <c r="AF5" s="201"/>
      <c r="AG5" s="207"/>
      <c r="AH5" s="207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1"/>
      <c r="AT5" s="1"/>
      <c r="AU5" s="1"/>
      <c r="AV5" s="1"/>
      <c r="AW5" s="1"/>
    </row>
    <row r="6" spans="1:49">
      <c r="A6" s="204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7"/>
      <c r="X6" s="17"/>
      <c r="Y6" s="164"/>
      <c r="Z6" s="164"/>
      <c r="AA6" s="164"/>
      <c r="AB6" s="164"/>
      <c r="AC6" s="164"/>
      <c r="AD6" s="1"/>
      <c r="AE6" s="1"/>
      <c r="AF6" s="201"/>
      <c r="AG6" s="211"/>
      <c r="AH6" s="211"/>
      <c r="AI6" s="211"/>
      <c r="AJ6" s="211"/>
      <c r="AK6" s="211"/>
      <c r="AL6" s="211"/>
      <c r="AM6" s="211"/>
      <c r="AN6" s="212"/>
      <c r="AO6" s="15"/>
      <c r="AP6" s="15"/>
      <c r="AQ6" s="15"/>
      <c r="AR6" s="15"/>
      <c r="AS6" s="1"/>
      <c r="AT6" s="1"/>
      <c r="AU6" s="1"/>
      <c r="AV6" s="1"/>
      <c r="AW6" s="1"/>
    </row>
    <row r="7" spans="1:49" ht="26.25" customHeight="1">
      <c r="A7" s="205" t="s">
        <v>43</v>
      </c>
      <c r="B7" s="318"/>
      <c r="C7" s="219">
        <f>SUMIF('Crédit Mutuel'!C6:C21,"AGBTP",'Crédit Mutuel'!G6:G21)</f>
        <v>0</v>
      </c>
      <c r="D7" s="322"/>
      <c r="E7" s="219">
        <f>SUMIF('Crédit Mutuel'!C23:C29,"AGBTP",'Crédit Mutuel'!G23:G29)</f>
        <v>0</v>
      </c>
      <c r="F7" s="322"/>
      <c r="G7" s="219">
        <f>SUMIF('Crédit Mutuel'!C31:C38,"AGBTP",'Crédit Mutuel'!G31:G38)</f>
        <v>0</v>
      </c>
      <c r="H7" s="322"/>
      <c r="I7" s="219">
        <f>SUMIF('Crédit Mutuel'!C40:C48,"AGBTP",'Crédit Mutuel'!G40:G48)</f>
        <v>0</v>
      </c>
      <c r="J7" s="318"/>
      <c r="K7" s="219">
        <f>SUMIF('Crédit Mutuel'!C50:C58,"AGBTP",'Crédit Mutuel'!G50:G58)</f>
        <v>0</v>
      </c>
      <c r="L7" s="322"/>
      <c r="M7" s="219">
        <f>SUMIF('Crédit Mutuel'!C60:C68,"AGBTP",'Crédit Mutuel'!G60:G68)</f>
        <v>0</v>
      </c>
      <c r="N7" s="322"/>
      <c r="O7" s="219">
        <f>SUMIF('Crédit Mutuel'!C70:C78,"AGBTP",'Crédit Mutuel'!G70:G78)</f>
        <v>0</v>
      </c>
      <c r="P7" s="322"/>
      <c r="Q7" s="219">
        <f>SUMIF('Crédit Mutuel'!C80:C87,"AGBTP",'Crédit Mutuel'!G80:G87)</f>
        <v>0</v>
      </c>
      <c r="R7" s="322"/>
      <c r="S7" s="219">
        <f>SUMIF('Crédit Mutuel'!C89:C97,"AGBTP",'Crédit Mutuel'!G89:G97)</f>
        <v>0</v>
      </c>
      <c r="T7" s="322"/>
      <c r="U7" s="219">
        <f>SUMIF('Crédit Mutuel'!C99:C107,"AGBTP",'Crédit Mutuel'!G99:G107)</f>
        <v>0</v>
      </c>
      <c r="V7" s="322"/>
      <c r="W7" s="219">
        <f>SUMIF('Crédit Mutuel'!C109:C118,"AGBTP",'Crédit Mutuel'!G109:G118)</f>
        <v>0</v>
      </c>
      <c r="X7" s="322"/>
      <c r="Y7" s="219">
        <f>SUMIF('Crédit Mutuel'!C120:C129,"AGBTP",'Crédit Mutuel'!G120:G129)</f>
        <v>0</v>
      </c>
      <c r="Z7" s="325"/>
      <c r="AA7" s="316">
        <f>SUM(Y7+W7+U7+S7+Q7+O7+M7+K7+I7+G7+E7+C7)</f>
        <v>0</v>
      </c>
      <c r="AB7" s="17"/>
      <c r="AC7" s="17"/>
      <c r="AD7" s="1"/>
      <c r="AE7" s="1"/>
      <c r="AF7" s="213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8"/>
      <c r="AT7" s="1"/>
      <c r="AU7" s="1"/>
      <c r="AV7" s="1"/>
      <c r="AW7" s="1"/>
    </row>
    <row r="8" spans="1:49" ht="26.25" customHeight="1">
      <c r="A8" s="205" t="s">
        <v>308</v>
      </c>
      <c r="B8" s="317"/>
      <c r="C8" s="219">
        <f>SUMIF('Crédit Mutuel'!C6:C21,"Assurance",'Crédit Mutuel'!G6:G21)</f>
        <v>0</v>
      </c>
      <c r="D8" s="317"/>
      <c r="E8" s="219">
        <f>SUMIF('Crédit Mutuel'!C23:C29,"Assurance",'Crédit Mutuel'!G23:G29)</f>
        <v>0</v>
      </c>
      <c r="F8" s="317"/>
      <c r="G8" s="219">
        <f>SUMIF('Crédit Mutuel'!C31:C38,"Assurance",'Crédit Mutuel'!G31:G38)</f>
        <v>0</v>
      </c>
      <c r="H8" s="317"/>
      <c r="I8" s="219">
        <f>SUMIF('Crédit Mutuel'!C40:C48,"Assurance",'Crédit Mutuel'!G40:G48)</f>
        <v>0</v>
      </c>
      <c r="J8" s="317"/>
      <c r="K8" s="219">
        <f>SUMIF('Crédit Mutuel'!C50:C58,"Assurance",'Crédit Mutuel'!G50:G58)</f>
        <v>0</v>
      </c>
      <c r="L8" s="317"/>
      <c r="M8" s="219">
        <f>SUMIF('Crédit Mutuel'!C60:C68,"Assurance",'Crédit Mutuel'!G60:G68)</f>
        <v>0</v>
      </c>
      <c r="N8" s="317"/>
      <c r="O8" s="219">
        <f>SUMIF('Crédit Mutuel'!C70:C78,"Assurance",'Crédit Mutuel'!G70:G78)</f>
        <v>0</v>
      </c>
      <c r="P8" s="317"/>
      <c r="Q8" s="219">
        <f>SUMIF('Crédit Mutuel'!C80:C87,"Assurance",'Crédit Mutuel'!G80:G87)</f>
        <v>0</v>
      </c>
      <c r="R8" s="317"/>
      <c r="S8" s="219">
        <f>SUMIF('Crédit Mutuel'!C89:C97,"Assurance",'Crédit Mutuel'!G89:G97)</f>
        <v>0</v>
      </c>
      <c r="T8" s="317"/>
      <c r="U8" s="219">
        <f>SUMIF('Crédit Mutuel'!C99:C107,"Assurance",'Crédit Mutuel'!G99:G107)</f>
        <v>0</v>
      </c>
      <c r="V8" s="317"/>
      <c r="W8" s="219">
        <f>SUMIF('Crédit Mutuel'!C109:C118,"Assurance",'Crédit Mutuel'!G109:G118)</f>
        <v>0</v>
      </c>
      <c r="X8" s="317"/>
      <c r="Y8" s="219">
        <f>SUMIF('Crédit Mutuel'!C120:C129,"Assurance",'Crédit Mutuel'!G120:G129)</f>
        <v>0</v>
      </c>
      <c r="Z8" s="325"/>
      <c r="AA8" s="316">
        <f t="shared" ref="AA8:AA28" si="1">SUM(Y8+W8+U8+S8+Q8+O8+M8+K8+I8+G8+E8+C8)</f>
        <v>0</v>
      </c>
      <c r="AB8" s="17"/>
      <c r="AC8" s="17"/>
      <c r="AD8" s="1"/>
      <c r="AE8" s="1"/>
      <c r="AF8" s="213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8"/>
      <c r="AT8" s="1"/>
      <c r="AU8" s="1"/>
      <c r="AV8" s="1"/>
      <c r="AW8" s="1"/>
    </row>
    <row r="9" spans="1:49" ht="26.25" customHeight="1">
      <c r="A9" s="205" t="s">
        <v>20</v>
      </c>
      <c r="B9" s="317"/>
      <c r="C9" s="219">
        <f>SUMIF('Crédit Mutuel'!C7:C22,"Autres_achats_et_charges_externes",'Crédit Mutuel'!G7:G22)</f>
        <v>0</v>
      </c>
      <c r="D9" s="317"/>
      <c r="E9" s="219">
        <f>SUMIF('Crédit Mutuel'!C24:C30,"Autres_achats_et_charges_externes",'Crédit Mutuel'!G24:G30)</f>
        <v>0</v>
      </c>
      <c r="F9" s="317"/>
      <c r="G9" s="219">
        <f>SUMIF('Crédit Mutuel'!C32:C39,"Autres_achats_et_charges_externes",'Crédit Mutuel'!G32:G39)</f>
        <v>0</v>
      </c>
      <c r="H9" s="317"/>
      <c r="I9" s="219">
        <f>SUMIF('Crédit Mutuel'!C41:C49,"Autres_achats_et_charges_externes",'Crédit Mutuel'!G41:G49)</f>
        <v>0</v>
      </c>
      <c r="J9" s="317"/>
      <c r="K9" s="219">
        <f>SUMIF('Crédit Mutuel'!C51:C59,"Autres_achats_et_charges_externes",'Crédit Mutuel'!G51:G59)</f>
        <v>0</v>
      </c>
      <c r="L9" s="317"/>
      <c r="M9" s="219">
        <f>SUMIF('Crédit Mutuel'!C66:C69,"Autres_achats_et_charges_externes",'Crédit Mutuel'!G66:G69)</f>
        <v>0</v>
      </c>
      <c r="N9" s="317"/>
      <c r="O9" s="219">
        <f>SUMIF('Crédit Mutuel'!C76:C79,"Autres_achats_et_charges_externes",'Crédit Mutuel'!G76:G79)</f>
        <v>0</v>
      </c>
      <c r="P9" s="317"/>
      <c r="Q9" s="219">
        <f>SUMIF('Crédit Mutuel'!C81:C88,"Autres_achats_et_charges_externes",'Crédit Mutuel'!G81:G88)</f>
        <v>0</v>
      </c>
      <c r="R9" s="317"/>
      <c r="S9" s="219">
        <f>SUMIF('Crédit Mutuel'!C94:C98,"Autres_achats_et_charges_externes",'Crédit Mutuel'!G94:G98)</f>
        <v>0</v>
      </c>
      <c r="T9" s="317"/>
      <c r="U9" s="219">
        <f>SUMIF('Crédit Mutuel'!C105:C108,"Autres_achats_et_charges_externes",'Crédit Mutuel'!G105:G108)</f>
        <v>0</v>
      </c>
      <c r="V9" s="317"/>
      <c r="W9" s="219">
        <f>SUMIF('Crédit Mutuel'!C110:C119,"Autres_achats_et_charges_externes",'Crédit Mutuel'!G110:G119)</f>
        <v>0</v>
      </c>
      <c r="X9" s="317"/>
      <c r="Y9" s="219">
        <f>SUMIF('Crédit Mutuel'!C121:C130,"Autres_achats_et_charges_externes",'Crédit Mutuel'!G121:G130)</f>
        <v>0</v>
      </c>
      <c r="Z9" s="325"/>
      <c r="AA9" s="316">
        <f t="shared" si="1"/>
        <v>0</v>
      </c>
      <c r="AB9" s="17"/>
      <c r="AC9" s="17"/>
      <c r="AD9" s="1"/>
      <c r="AE9" s="1"/>
      <c r="AF9" s="213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8"/>
      <c r="AT9" s="1"/>
      <c r="AU9" s="1"/>
      <c r="AV9" s="1"/>
      <c r="AW9" s="1"/>
    </row>
    <row r="10" spans="1:49" ht="26.25" customHeight="1">
      <c r="A10" s="205" t="s">
        <v>46</v>
      </c>
      <c r="B10" s="319"/>
      <c r="C10" s="219">
        <f>SUMIF('Crédit Mutuel'!C6:C21,"Caisse_congés_payés",'Crédit Mutuel'!G6:G21)</f>
        <v>0</v>
      </c>
      <c r="D10" s="319"/>
      <c r="E10" s="219">
        <f>SUMIF('Crédit Mutuel'!C23:C29,"Caisse_congés_payés",'Crédit Mutuel'!G23:G29)</f>
        <v>0</v>
      </c>
      <c r="F10" s="319"/>
      <c r="G10" s="219">
        <f>SUMIF('Crédit Mutuel'!C31:C38,"Caisse_congés_payés",'Crédit Mutuel'!G31:G38)</f>
        <v>0</v>
      </c>
      <c r="H10" s="319"/>
      <c r="I10" s="219">
        <f>SUMIF('Crédit Mutuel'!C40:C48,"Caisse_congés_payés",'Crédit Mutuel'!G40:G48)</f>
        <v>0</v>
      </c>
      <c r="J10" s="319"/>
      <c r="K10" s="219">
        <f>SUMIF('Crédit Mutuel'!C50:C58,"Caisse_congés_payés",'Crédit Mutuel'!G50:G58)</f>
        <v>0</v>
      </c>
      <c r="L10" s="319"/>
      <c r="M10" s="219">
        <f>SUMIF('Crédit Mutuel'!C60:C68,"Caisse_congés_payés",'Crédit Mutuel'!G60:G68)</f>
        <v>0</v>
      </c>
      <c r="N10" s="319"/>
      <c r="O10" s="219">
        <f>SUMIF('Crédit Mutuel'!C70:C78,"Caisse_congés_payés",'Crédit Mutuel'!G70:G78)</f>
        <v>0</v>
      </c>
      <c r="P10" s="319"/>
      <c r="Q10" s="219">
        <f>SUMIF('Crédit Mutuel'!C80:C87,"Caisse_congés_payés",'Crédit Mutuel'!G80:G87)</f>
        <v>0</v>
      </c>
      <c r="R10" s="319"/>
      <c r="S10" s="219">
        <f>SUMIF('Crédit Mutuel'!C89:C97,"Caisse_congés_payés",'Crédit Mutuel'!G89:G97)</f>
        <v>0</v>
      </c>
      <c r="T10" s="319"/>
      <c r="U10" s="219">
        <f>SUMIF('Crédit Mutuel'!C99:C107,"Caisse_congés_payés",'Crédit Mutuel'!G99:G107)</f>
        <v>0</v>
      </c>
      <c r="V10" s="319"/>
      <c r="W10" s="219">
        <f>SUMIF('Crédit Mutuel'!C109:C118,"Caisse_congés_payés",'Crédit Mutuel'!G109:G118)</f>
        <v>0</v>
      </c>
      <c r="X10" s="319"/>
      <c r="Y10" s="219">
        <f>SUMIF('Crédit Mutuel'!C120:C129,"Caisse_congés_payés",'Crédit Mutuel'!G120:G129)</f>
        <v>0</v>
      </c>
      <c r="Z10" s="325"/>
      <c r="AA10" s="316">
        <f t="shared" si="1"/>
        <v>0</v>
      </c>
      <c r="AB10" s="164"/>
      <c r="AC10" s="164"/>
      <c r="AD10" s="1"/>
      <c r="AE10" s="1"/>
      <c r="AF10" s="213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8"/>
      <c r="AT10" s="1"/>
      <c r="AU10" s="1"/>
      <c r="AV10" s="1"/>
      <c r="AW10" s="1"/>
    </row>
    <row r="11" spans="1:49" ht="26.25" customHeight="1">
      <c r="A11" s="205" t="s">
        <v>350</v>
      </c>
      <c r="B11" s="319"/>
      <c r="C11" s="219">
        <f>SUMIF('Crédit Mutuel'!C6:C21,"Vehicule",'Crédit Mutuel'!G6:G21)</f>
        <v>0</v>
      </c>
      <c r="D11" s="319"/>
      <c r="E11" s="219">
        <f>SUMIF('Crédit Mutuel'!C23:C29,"Vehicule",'Crédit Mutuel'!G23:G29)</f>
        <v>0</v>
      </c>
      <c r="F11" s="319"/>
      <c r="G11" s="219">
        <f>SUMIF('Crédit Mutuel'!C31:C38,"Vehicule",'Crédit Mutuel'!G31:G38)</f>
        <v>0</v>
      </c>
      <c r="H11" s="319"/>
      <c r="I11" s="219">
        <f>SUMIF('Crédit Mutuel'!C40:C48,"Vehicule",'Crédit Mutuel'!G40:G48)</f>
        <v>0</v>
      </c>
      <c r="J11" s="319"/>
      <c r="K11" s="219">
        <f>SUMIF('Crédit Mutuel'!C50:C58,"Vehicule",'Crédit Mutuel'!G50:G58)</f>
        <v>0</v>
      </c>
      <c r="L11" s="319"/>
      <c r="M11" s="219">
        <f>SUMIF('Crédit Mutuel'!C60:C68,"Vehicule",'Crédit Mutuel'!G60:G68)</f>
        <v>0</v>
      </c>
      <c r="N11" s="319"/>
      <c r="O11" s="219">
        <f>SUMIF('Crédit Mutuel'!C70:C78,"Vehicule",'Crédit Mutuel'!G70:G78)</f>
        <v>0</v>
      </c>
      <c r="P11" s="319"/>
      <c r="Q11" s="219">
        <f>SUMIF('Crédit Mutuel'!C80:C87,"Vehicule",'Crédit Mutuel'!G80:G87)</f>
        <v>0</v>
      </c>
      <c r="R11" s="319"/>
      <c r="S11" s="219">
        <f>SUMIF('Crédit Mutuel'!C89:C97,"Vehicule",'Crédit Mutuel'!G89:G97)</f>
        <v>0</v>
      </c>
      <c r="T11" s="319"/>
      <c r="U11" s="219">
        <f>SUMIF('Crédit Mutuel'!C99:C107,"Vehicule",'Crédit Mutuel'!G99:G107)</f>
        <v>0</v>
      </c>
      <c r="V11" s="319"/>
      <c r="W11" s="219">
        <f>SUMIF('Crédit Mutuel'!C109:C118,"Vehicule",'Crédit Mutuel'!G109:G118)</f>
        <v>0</v>
      </c>
      <c r="X11" s="319"/>
      <c r="Y11" s="219">
        <f>SUMIF('Crédit Mutuel'!C120:C129,"Vehicule",'Crédit Mutuel'!G120:G129)</f>
        <v>0</v>
      </c>
      <c r="Z11" s="325"/>
      <c r="AA11" s="316">
        <f t="shared" si="1"/>
        <v>0</v>
      </c>
      <c r="AB11" s="164"/>
      <c r="AC11" s="164"/>
      <c r="AD11" s="1"/>
      <c r="AE11" s="1"/>
      <c r="AF11" s="213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8"/>
    </row>
    <row r="12" spans="1:49" ht="26.25" customHeight="1">
      <c r="A12" s="205" t="s">
        <v>370</v>
      </c>
      <c r="B12" s="319"/>
      <c r="C12" s="219">
        <f>SUMIF('Crédit Mutuel'!C6:C21,"Véhicule_crédit",'Crédit Mutuel'!G6:G21)</f>
        <v>0</v>
      </c>
      <c r="D12" s="319"/>
      <c r="E12" s="219">
        <f>SUMIF('Crédit Mutuel'!C23:C29,"Véhicule_crédit",'Crédit Mutuel'!G23:G29)</f>
        <v>0</v>
      </c>
      <c r="F12" s="319"/>
      <c r="G12" s="219">
        <f>SUMIF('Crédit Mutuel'!C31:C38,"Véhicule_crédit",'Crédit Mutuel'!G31:G38)</f>
        <v>0</v>
      </c>
      <c r="H12" s="319"/>
      <c r="I12" s="219">
        <f>SUMIF('Crédit Mutuel'!C40:C48,"Véhicule_crédit",'Crédit Mutuel'!G40:G48)</f>
        <v>0</v>
      </c>
      <c r="J12" s="319"/>
      <c r="K12" s="219">
        <f>SUMIF('Crédit Mutuel'!C50:C58,"Véhicule_crédit",'Crédit Mutuel'!G50:G58)</f>
        <v>0</v>
      </c>
      <c r="L12" s="319"/>
      <c r="M12" s="219">
        <f>SUMIF('Crédit Mutuel'!C60:C68,"Véhicule_crédit",'Crédit Mutuel'!G60:G68)</f>
        <v>0</v>
      </c>
      <c r="N12" s="319"/>
      <c r="O12" s="219">
        <f>SUMIF('Crédit Mutuel'!C70:C78,"Véhicule_crédit",'Crédit Mutuel'!G70:G78)</f>
        <v>0</v>
      </c>
      <c r="P12" s="319"/>
      <c r="Q12" s="219">
        <f>SUMIF('Crédit Mutuel'!C80:C87,"Véhicule_crédit",'Crédit Mutuel'!G80:G87)</f>
        <v>0</v>
      </c>
      <c r="R12" s="319"/>
      <c r="S12" s="219">
        <f>SUMIF('Crédit Mutuel'!C89:C97,"Véhicule_crédit",'Crédit Mutuel'!G89:G97)</f>
        <v>0</v>
      </c>
      <c r="T12" s="319"/>
      <c r="U12" s="219">
        <f>SUMIF('Crédit Mutuel'!C99:C107,"Véhicule_crédit",'Crédit Mutuel'!G99:G107)</f>
        <v>0</v>
      </c>
      <c r="V12" s="319"/>
      <c r="W12" s="219">
        <f>SUMIF('Crédit Mutuel'!C109:C118,"Véhicule_crédit",'Crédit Mutuel'!G109:G118)</f>
        <v>0</v>
      </c>
      <c r="X12" s="319"/>
      <c r="Y12" s="219">
        <f>SUMIF('Crédit Mutuel'!C120:C129,"Véhicule_crédit",'Crédit Mutuel'!G120:G129)</f>
        <v>0</v>
      </c>
      <c r="Z12" s="325"/>
      <c r="AA12" s="316">
        <f t="shared" si="1"/>
        <v>0</v>
      </c>
      <c r="AB12" s="164"/>
      <c r="AC12" s="164"/>
      <c r="AD12" s="1"/>
      <c r="AE12" s="1"/>
      <c r="AF12" s="213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8"/>
    </row>
    <row r="13" spans="1:49" ht="26.25" customHeight="1">
      <c r="A13" s="205" t="s">
        <v>188</v>
      </c>
      <c r="B13" s="319"/>
      <c r="C13" s="219">
        <f>SUMIF('Crédit Mutuel'!C6:C21,"Sauvegarde",'Crédit Mutuel'!G6:G21)</f>
        <v>0</v>
      </c>
      <c r="D13" s="319"/>
      <c r="E13" s="219">
        <f>SUMIF('Crédit Mutuel'!C23:C29,"Sauvegarde",'Crédit Mutuel'!G23:G29)</f>
        <v>0</v>
      </c>
      <c r="F13" s="319"/>
      <c r="G13" s="219">
        <f>SUMIF('Crédit Mutuel'!C31:C38,"Sauvegarde",'Crédit Mutuel'!G31:G38)</f>
        <v>0</v>
      </c>
      <c r="H13" s="319"/>
      <c r="I13" s="219">
        <f>SUMIF('Crédit Mutuel'!C40:C48,"Sauvegarde",'Crédit Mutuel'!G40:G48)</f>
        <v>0</v>
      </c>
      <c r="J13" s="319"/>
      <c r="K13" s="219">
        <f>SUMIF('Crédit Mutuel'!C50:C58,"Sauvegarde",'Crédit Mutuel'!G50:G58)</f>
        <v>0</v>
      </c>
      <c r="L13" s="319"/>
      <c r="M13" s="219">
        <f>SUMIF('Crédit Mutuel'!C60:C68,"Sauvegarde",'Crédit Mutuel'!G60:G68)</f>
        <v>0</v>
      </c>
      <c r="N13" s="319"/>
      <c r="O13" s="219">
        <f>SUMIF('Crédit Mutuel'!C70:C78,"Sauvegarde",'Crédit Mutuel'!G70:G78)</f>
        <v>0</v>
      </c>
      <c r="P13" s="319"/>
      <c r="Q13" s="219">
        <f>SUMIF('Crédit Mutuel'!C80:C87,"Sauvegarde",'Crédit Mutuel'!G80:G87)</f>
        <v>0</v>
      </c>
      <c r="R13" s="319"/>
      <c r="S13" s="219">
        <f>SUMIF('Crédit Mutuel'!C89:C97,"Sauvegarde",'Crédit Mutuel'!G89:G97)</f>
        <v>0</v>
      </c>
      <c r="T13" s="319"/>
      <c r="U13" s="219">
        <f>SUMIF('Crédit Mutuel'!C99:C107,"Sauvegarde",'Crédit Mutuel'!G99:G107)</f>
        <v>0</v>
      </c>
      <c r="V13" s="319"/>
      <c r="W13" s="219">
        <f>SUMIF('Crédit Mutuel'!C109:C118,"Sauvegarde",'Crédit Mutuel'!G109:G118)</f>
        <v>0</v>
      </c>
      <c r="X13" s="319"/>
      <c r="Y13" s="219">
        <f>SUMIF('Crédit Mutuel'!C120:C129,"Sauvegarde",'Crédit Mutuel'!G120:G129)</f>
        <v>0</v>
      </c>
      <c r="Z13" s="325"/>
      <c r="AA13" s="316">
        <f t="shared" si="1"/>
        <v>0</v>
      </c>
      <c r="AB13" s="164"/>
      <c r="AC13" s="164"/>
      <c r="AD13" s="1"/>
      <c r="AE13" s="1"/>
      <c r="AF13" s="213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8"/>
    </row>
    <row r="14" spans="1:49" ht="26.25" customHeight="1">
      <c r="A14" s="205" t="s">
        <v>31</v>
      </c>
      <c r="B14" s="319"/>
      <c r="C14" s="219">
        <f>SUMIF('Crédit Mutuel'!C6:C21,"Expert_comptable",'Crédit Mutuel'!C6:G21)</f>
        <v>0</v>
      </c>
      <c r="D14" s="319"/>
      <c r="E14" s="219">
        <f>SUMIF('Crédit Mutuel'!C23:C29,"Expert_comptable",'Crédit Mutuel'!G23:G29)</f>
        <v>0</v>
      </c>
      <c r="F14" s="319"/>
      <c r="G14" s="219">
        <f>SUMIF('Crédit Mutuel'!C31:C38,"Expert_comptable",'Crédit Mutuel'!G31:G38)</f>
        <v>0</v>
      </c>
      <c r="H14" s="319"/>
      <c r="I14" s="219">
        <f>SUMIF('Crédit Mutuel'!C40:C48,"Expert_comptable",'Crédit Mutuel'!G40:G48)</f>
        <v>0</v>
      </c>
      <c r="J14" s="319"/>
      <c r="K14" s="219">
        <f>SUMIF('Crédit Mutuel'!C50:C58,"Expert_comptable",'Crédit Mutuel'!G50:G58)</f>
        <v>0</v>
      </c>
      <c r="L14" s="319"/>
      <c r="M14" s="219">
        <f>SUMIF('Crédit Mutuel'!C60:C68,"Expert_comptable",'Crédit Mutuel'!G60:G68)</f>
        <v>0</v>
      </c>
      <c r="N14" s="319"/>
      <c r="O14" s="219">
        <f>SUMIF('Crédit Mutuel'!C70:C78,"Expert_comptable",'Crédit Mutuel'!G70:G78)</f>
        <v>0</v>
      </c>
      <c r="P14" s="319"/>
      <c r="Q14" s="219">
        <f>SUMIF('Crédit Mutuel'!C80:C87,"Expert_comptable",'Crédit Mutuel'!G80:G87)</f>
        <v>0</v>
      </c>
      <c r="R14" s="319"/>
      <c r="S14" s="219">
        <f>SUMIF('Crédit Mutuel'!C89:C97,"Expert_comptable",'Crédit Mutuel'!G89:G97)</f>
        <v>0</v>
      </c>
      <c r="T14" s="319"/>
      <c r="U14" s="219">
        <f>SUMIF('Crédit Mutuel'!C99:C107,"Expert_comptable",'Crédit Mutuel'!G99:G107)</f>
        <v>0</v>
      </c>
      <c r="V14" s="319"/>
      <c r="W14" s="219">
        <f>SUMIF('Crédit Mutuel'!C109:C118,"Expert_comptable",'Crédit Mutuel'!G109:G118)</f>
        <v>0</v>
      </c>
      <c r="X14" s="319"/>
      <c r="Y14" s="219">
        <f>SUMIF('Crédit Mutuel'!C120:C129,"Expert_comptable",'Crédit Mutuel'!G120:G129)</f>
        <v>0</v>
      </c>
      <c r="Z14" s="325"/>
      <c r="AA14" s="316">
        <f t="shared" si="1"/>
        <v>0</v>
      </c>
      <c r="AB14" s="164"/>
      <c r="AC14" s="164"/>
      <c r="AD14" s="1"/>
      <c r="AE14" s="1"/>
      <c r="AF14" s="213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8"/>
    </row>
    <row r="15" spans="1:49" ht="26.25" customHeight="1">
      <c r="A15" s="205" t="s">
        <v>35</v>
      </c>
      <c r="B15" s="319">
        <f>'Echeances fournisseurs mat 1ère'!C5</f>
        <v>0</v>
      </c>
      <c r="C15" s="219">
        <f>SUMIF('Crédit Mutuel'!C6:C21,"Fournisseurs_Mat_1ères",'Crédit Mutuel'!G6:G21)</f>
        <v>0</v>
      </c>
      <c r="D15" s="319">
        <f>'Echeances fournisseurs mat 1ère'!F5</f>
        <v>0</v>
      </c>
      <c r="E15" s="219">
        <f>SUMIF('Crédit Mutuel'!C23:C29,"Fournisseurs_Mat_1ères",'Crédit Mutuel'!G23:G29)</f>
        <v>0</v>
      </c>
      <c r="F15" s="319">
        <f>'Echeances fournisseurs mat 1ère'!I5</f>
        <v>0</v>
      </c>
      <c r="G15" s="219">
        <f>SUMIF('Crédit Mutuel'!C31:C38,"Fournisseurs_Mat_1ères",'Crédit Mutuel'!G31:G38)</f>
        <v>0</v>
      </c>
      <c r="H15" s="319">
        <f>'Echeances fournisseurs mat 1ère'!L5</f>
        <v>0</v>
      </c>
      <c r="I15" s="219">
        <f>SUMIF('Crédit Mutuel'!C40:C48,"Fournisseurs_Mat_1ères",'Crédit Mutuel'!G40:G48)</f>
        <v>0</v>
      </c>
      <c r="J15" s="319">
        <f>'Echeances fournisseurs mat 1ère'!O5</f>
        <v>0</v>
      </c>
      <c r="K15" s="219">
        <f>SUMIF('Crédit Mutuel'!C50:C58,"Fournisseurs_Mat_1ères",'Crédit Mutuel'!G50:G58)</f>
        <v>0</v>
      </c>
      <c r="L15" s="323">
        <f>'Echeances fournisseurs mat 1ère'!R5</f>
        <v>0</v>
      </c>
      <c r="M15" s="219">
        <f>SUMIF('Crédit Mutuel'!C60:C68,"Fournisseurs_Mat_1ères",'Crédit Mutuel'!G60:G68)</f>
        <v>0</v>
      </c>
      <c r="N15" s="319">
        <f>'Echeances fournisseurs mat 1ère'!U5</f>
        <v>0</v>
      </c>
      <c r="O15" s="219">
        <f>SUMIF('Crédit Mutuel'!C70:C78,"Fournisseurs_Mat_1ères",'Crédit Mutuel'!G70:G78)</f>
        <v>0</v>
      </c>
      <c r="P15" s="319">
        <f>'Echeances fournisseurs mat 1ère'!X5</f>
        <v>0</v>
      </c>
      <c r="Q15" s="219">
        <f>SUMIF('Crédit Mutuel'!C80:C87,"Fournisseurs_Mat_1ères",'Crédit Mutuel'!G80:G87)</f>
        <v>0</v>
      </c>
      <c r="R15" s="319">
        <f>'Echeances fournisseurs mat 1ère'!AA5</f>
        <v>0</v>
      </c>
      <c r="S15" s="219">
        <f>SUMIF('Crédit Mutuel'!C89:C97,"Fournisseurs_Mat_1ères",'Crédit Mutuel'!G89:G97)</f>
        <v>0</v>
      </c>
      <c r="T15" s="319">
        <f>'Echeances fournisseurs mat 1ère'!AD5</f>
        <v>0</v>
      </c>
      <c r="U15" s="219">
        <f>SUMIF('Crédit Mutuel'!C99:C107,"Fournisseurs_Mat_1ères",'Crédit Mutuel'!G99:G107)</f>
        <v>0</v>
      </c>
      <c r="V15" s="319">
        <f>'Echeances fournisseurs mat 1ère'!AG5</f>
        <v>0</v>
      </c>
      <c r="W15" s="219">
        <f>SUMIF('Crédit Mutuel'!C109:C118,"Fournisseurs_Mat_1ères",'Crédit Mutuel'!G109:G118)</f>
        <v>0</v>
      </c>
      <c r="X15" s="319">
        <f>'Echeances fournisseurs mat 1ère'!AJ5</f>
        <v>0</v>
      </c>
      <c r="Y15" s="219">
        <f>SUMIF('Crédit Mutuel'!C120:C129,"Fournisseurs_Mat_1ères",'Crédit Mutuel'!G120:G129)</f>
        <v>0</v>
      </c>
      <c r="Z15" s="325"/>
      <c r="AA15" s="316">
        <f t="shared" si="1"/>
        <v>0</v>
      </c>
      <c r="AD15" s="1"/>
      <c r="AE15" s="1"/>
      <c r="AF15" s="213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8"/>
    </row>
    <row r="16" spans="1:49" ht="38.25" customHeight="1">
      <c r="A16" s="205" t="s">
        <v>49</v>
      </c>
      <c r="B16" s="320"/>
      <c r="C16" s="219">
        <f>SUMIF('Crédit Mutuel'!D6:D21,"prévoyance sante ",'Crédit Mutuel'!G6:G21)</f>
        <v>0</v>
      </c>
      <c r="D16" s="320"/>
      <c r="E16" s="219">
        <f>SUMIF('Crédit Mutuel'!D23:D29,"prévoyance sante ",'Crédit Mutuel'!G23:G29)</f>
        <v>0</v>
      </c>
      <c r="F16" s="320"/>
      <c r="G16" s="219">
        <f>SUMIF('Crédit Mutuel'!D31:D38,"prévoyance sante ",'Crédit Mutuel'!G31:G38)</f>
        <v>0</v>
      </c>
      <c r="H16" s="320"/>
      <c r="I16" s="219">
        <f>SUMIF('Crédit Mutuel'!D40:D48,"prévoyance sante ",'Crédit Mutuel'!G40:G48)</f>
        <v>0</v>
      </c>
      <c r="J16" s="320"/>
      <c r="K16" s="219">
        <f>SUMIF('Crédit Mutuel'!D50:D58,"prévoyance sante ",'Crédit Mutuel'!G50:G58)</f>
        <v>0</v>
      </c>
      <c r="L16" s="324"/>
      <c r="M16" s="219">
        <f>SUMIF('Crédit Mutuel'!D60:D68,"prévoyance sante ",'Crédit Mutuel'!G60:G68)</f>
        <v>0</v>
      </c>
      <c r="N16" s="320"/>
      <c r="O16" s="219">
        <f>SUMIF('Crédit Mutuel'!D70:D78,"prévoyance sante ",'Crédit Mutuel'!G70:G78)</f>
        <v>0</v>
      </c>
      <c r="P16" s="320"/>
      <c r="Q16" s="219">
        <f>SUMIF('Crédit Mutuel'!D80:D87,"prévoyance sante ",'Crédit Mutuel'!G80:G87)</f>
        <v>0</v>
      </c>
      <c r="R16" s="320"/>
      <c r="S16" s="219">
        <f>SUMIF('Crédit Mutuel'!D89:D97,"prévoyance sante ",'Crédit Mutuel'!G89:G97)</f>
        <v>0</v>
      </c>
      <c r="T16" s="320"/>
      <c r="U16" s="219">
        <f>SUMIF('Crédit Mutuel'!D99:D107,"prévoyance sante ",'Crédit Mutuel'!G99:G107)</f>
        <v>0</v>
      </c>
      <c r="V16" s="320"/>
      <c r="W16" s="219">
        <f>SUMIF('Crédit Mutuel'!D109:D118,"prévoyance sante ",'Crédit Mutuel'!G109:G118)</f>
        <v>0</v>
      </c>
      <c r="X16" s="320"/>
      <c r="Y16" s="219">
        <f>SUMIF('Crédit Mutuel'!D120:D129,"prévoyance sante ",'Crédit Mutuel'!G120:G129)</f>
        <v>0</v>
      </c>
      <c r="Z16" s="325"/>
      <c r="AA16" s="316">
        <f t="shared" si="1"/>
        <v>0</v>
      </c>
      <c r="AB16" s="164"/>
      <c r="AC16" s="164"/>
      <c r="AD16" s="1"/>
      <c r="AE16" s="1"/>
      <c r="AF16" s="213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8"/>
    </row>
    <row r="17" spans="1:45" ht="26.25" customHeight="1">
      <c r="A17" s="205" t="s">
        <v>48</v>
      </c>
      <c r="B17" s="320"/>
      <c r="C17" s="219">
        <f>SUMIF('Crédit Mutuel'!D6:D21,"Retraite",'Crédit Mutuel'!G6:G21)</f>
        <v>0</v>
      </c>
      <c r="D17" s="320"/>
      <c r="E17" s="219">
        <f>SUMIF('Crédit Mutuel'!D23:D29,"Retraite",'Crédit Mutuel'!G23:G29)</f>
        <v>0</v>
      </c>
      <c r="F17" s="320"/>
      <c r="G17" s="219">
        <f>SUMIF('Crédit Mutuel'!D31:D38,"Retraite",'Crédit Mutuel'!G31:G38)</f>
        <v>0</v>
      </c>
      <c r="H17" s="320"/>
      <c r="I17" s="219">
        <f>SUMIF('Crédit Mutuel'!D40:D48,"Retraite",'Crédit Mutuel'!G40:G48)</f>
        <v>0</v>
      </c>
      <c r="J17" s="320"/>
      <c r="K17" s="219">
        <f>SUMIF('Crédit Mutuel'!D50:D58,"Retraite",'Crédit Mutuel'!G50:G58)</f>
        <v>0</v>
      </c>
      <c r="L17" s="324"/>
      <c r="M17" s="219">
        <f>SUMIF('Crédit Mutuel'!D60:D68,"Retraite",'Crédit Mutuel'!G60:G68)</f>
        <v>0</v>
      </c>
      <c r="N17" s="320"/>
      <c r="O17" s="219">
        <f>SUMIF('Crédit Mutuel'!D70:D78,"Retraite",'Crédit Mutuel'!G70:G78)</f>
        <v>0</v>
      </c>
      <c r="P17" s="320"/>
      <c r="Q17" s="219">
        <f>SUMIF('Crédit Mutuel'!D80:D87,"Retraite",'Crédit Mutuel'!G80:G87)</f>
        <v>0</v>
      </c>
      <c r="R17" s="320"/>
      <c r="S17" s="219">
        <f>SUMIF('Crédit Mutuel'!D89:D97,"Retraite",'Crédit Mutuel'!G89:G97)</f>
        <v>0</v>
      </c>
      <c r="T17" s="320"/>
      <c r="U17" s="219">
        <f>SUMIF('Crédit Mutuel'!D99:D107,"Retraite",'Crédit Mutuel'!G99:G107)</f>
        <v>0</v>
      </c>
      <c r="V17" s="320"/>
      <c r="W17" s="219">
        <f>SUMIF('Crédit Mutuel'!D109:D118,"Retraite",'Crédit Mutuel'!G109:G118)</f>
        <v>0</v>
      </c>
      <c r="X17" s="320"/>
      <c r="Y17" s="219">
        <f>SUMIF('Crédit Mutuel'!D120:D129,"Retraite",'Crédit Mutuel'!G120:G129)</f>
        <v>0</v>
      </c>
      <c r="Z17" s="325"/>
      <c r="AA17" s="316">
        <f t="shared" si="1"/>
        <v>0</v>
      </c>
      <c r="AB17" s="164"/>
      <c r="AC17" s="164"/>
      <c r="AD17" s="1"/>
      <c r="AE17" s="1"/>
      <c r="AF17" s="213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8"/>
    </row>
    <row r="18" spans="1:45" ht="26.25" customHeight="1">
      <c r="A18" s="205" t="s">
        <v>344</v>
      </c>
      <c r="B18" s="319"/>
      <c r="C18" s="219">
        <f>SUMIF('Crédit Mutuel'!C6:C21,"Locaux",'Crédit Mutuel'!G6:G21)</f>
        <v>0</v>
      </c>
      <c r="D18" s="319"/>
      <c r="E18" s="219">
        <f>SUMIF('Crédit Mutuel'!C23:C29,"Locaux",'Crédit Mutuel'!G23:G29)</f>
        <v>0</v>
      </c>
      <c r="F18" s="319"/>
      <c r="G18" s="219">
        <f>SUMIF('Crédit Mutuel'!C31:C38,"Locaux",'Crédit Mutuel'!G31:G38)</f>
        <v>0</v>
      </c>
      <c r="H18" s="319"/>
      <c r="I18" s="219">
        <f>SUMIF('Crédit Mutuel'!C40:C48,"Locaux",'Crédit Mutuel'!G40:G48)</f>
        <v>0</v>
      </c>
      <c r="J18" s="319"/>
      <c r="K18" s="219">
        <f>SUMIF('Crédit Mutuel'!C50:C58,"Locaux",'Crédit Mutuel'!G50:G58)</f>
        <v>0</v>
      </c>
      <c r="L18" s="319"/>
      <c r="M18" s="219">
        <f>SUMIF('Crédit Mutuel'!C60:C68,"Locaux",'Crédit Mutuel'!G60:G68)</f>
        <v>0</v>
      </c>
      <c r="N18" s="319"/>
      <c r="O18" s="219">
        <f>SUMIF('Crédit Mutuel'!C70:C78,"Locaux",'Crédit Mutuel'!G70:G78)</f>
        <v>0</v>
      </c>
      <c r="P18" s="319"/>
      <c r="Q18" s="219">
        <f>SUMIF('Crédit Mutuel'!C80:C87,"Locaux",'Crédit Mutuel'!G80:G87)</f>
        <v>0</v>
      </c>
      <c r="R18" s="319"/>
      <c r="S18" s="219">
        <f>SUMIF('Crédit Mutuel'!C89:C97,"Locaux",'Crédit Mutuel'!G89:G97)</f>
        <v>0</v>
      </c>
      <c r="T18" s="319"/>
      <c r="U18" s="219">
        <f>SUMIF('Crédit Mutuel'!C99:C107,"Locaux",'Crédit Mutuel'!G99:G107)</f>
        <v>0</v>
      </c>
      <c r="V18" s="319"/>
      <c r="W18" s="219">
        <f>SUMIF('Crédit Mutuel'!C109:C118,"Locaux",'Crédit Mutuel'!G109:G118)</f>
        <v>0</v>
      </c>
      <c r="X18" s="319"/>
      <c r="Y18" s="219">
        <f>SUMIF('Crédit Mutuel'!C120:C129,"Locaux",'Crédit Mutuel'!G120:G129)</f>
        <v>0</v>
      </c>
      <c r="Z18" s="325"/>
      <c r="AA18" s="316">
        <f t="shared" si="1"/>
        <v>0</v>
      </c>
      <c r="AB18" s="164"/>
      <c r="AC18" s="164"/>
      <c r="AD18" s="1"/>
      <c r="AE18" s="1"/>
      <c r="AF18" s="213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8"/>
    </row>
    <row r="19" spans="1:45" ht="26.25" customHeight="1">
      <c r="A19" s="205" t="s">
        <v>44</v>
      </c>
      <c r="B19" s="319"/>
      <c r="C19" s="219">
        <f>SUMIF('Crédit Mutuel'!C6:C21,"Médecine_du_travail",'Crédit Mutuel'!G6:G21)</f>
        <v>0</v>
      </c>
      <c r="D19" s="319"/>
      <c r="E19" s="219">
        <f>SUMIF('Crédit Mutuel'!C23:C29,"Médecine_du_travail",'Crédit Mutuel'!G23:G29)</f>
        <v>0</v>
      </c>
      <c r="F19" s="319"/>
      <c r="G19" s="219">
        <f>SUMIF('Crédit Mutuel'!C31:C38,"Médecine_du_travail",'Crédit Mutuel'!G31:G38)</f>
        <v>0</v>
      </c>
      <c r="H19" s="319"/>
      <c r="I19" s="219">
        <f>SUMIF('Crédit Mutuel'!C40:C48,"Médecine_du_travail",'Crédit Mutuel'!G40:G48)</f>
        <v>0</v>
      </c>
      <c r="J19" s="319"/>
      <c r="K19" s="219">
        <f>SUMIF('Crédit Mutuel'!C50:C58,"Médecine_du_travail",'Crédit Mutuel'!G50:G58)</f>
        <v>0</v>
      </c>
      <c r="L19" s="319"/>
      <c r="M19" s="219">
        <f>SUMIF('Crédit Mutuel'!C60:C68,"Médecine_du_travail",'Crédit Mutuel'!G60:G68)</f>
        <v>0</v>
      </c>
      <c r="N19" s="319"/>
      <c r="O19" s="219">
        <f>SUMIF('Crédit Mutuel'!C70:C78,"Médecine_du_travail",'Crédit Mutuel'!G70:G78)</f>
        <v>0</v>
      </c>
      <c r="P19" s="319"/>
      <c r="Q19" s="219">
        <f>SUMIF('Crédit Mutuel'!C80:C87,"Médecine_du_travail",'Crédit Mutuel'!G80:G87)</f>
        <v>0</v>
      </c>
      <c r="R19" s="319"/>
      <c r="S19" s="219">
        <f>SUMIF('Crédit Mutuel'!C89:C97,"Médecine_du_travail",'Crédit Mutuel'!G89:G97)</f>
        <v>0</v>
      </c>
      <c r="T19" s="319"/>
      <c r="U19" s="219">
        <f>SUMIF('Crédit Mutuel'!C99:C107,"Médecine_du_travail",'Crédit Mutuel'!G99:G107)</f>
        <v>0</v>
      </c>
      <c r="V19" s="319"/>
      <c r="W19" s="219">
        <f>SUMIF('Crédit Mutuel'!C109:C118,"Médecine_du_travail",'Crédit Mutuel'!G109:G118)</f>
        <v>0</v>
      </c>
      <c r="X19" s="319"/>
      <c r="Y19" s="219">
        <f>SUMIF('Crédit Mutuel'!C120:C129,"Médecine_du_travail",'Crédit Mutuel'!G120:G129)</f>
        <v>0</v>
      </c>
      <c r="Z19" s="325"/>
      <c r="AA19" s="316">
        <f t="shared" si="1"/>
        <v>0</v>
      </c>
      <c r="AB19" s="164"/>
      <c r="AC19" s="164"/>
      <c r="AD19" s="1"/>
      <c r="AE19" s="1"/>
      <c r="AF19" s="213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8"/>
    </row>
    <row r="20" spans="1:45" ht="26.25" customHeight="1">
      <c r="A20" s="205" t="s">
        <v>32</v>
      </c>
      <c r="B20" s="319"/>
      <c r="C20" s="219">
        <f>SUMIF('Crédit Mutuel'!C6:C21,"Mutuelle",'Crédit Mutuel'!G6:G21)</f>
        <v>0</v>
      </c>
      <c r="D20" s="319"/>
      <c r="E20" s="219">
        <f>SUMIF('Crédit Mutuel'!C23:C29,"Mutuelle",'Crédit Mutuel'!G23:G29)</f>
        <v>0</v>
      </c>
      <c r="F20" s="319"/>
      <c r="G20" s="219">
        <f>SUMIF('Crédit Mutuel'!C31:C38,"Mutuelle",'Crédit Mutuel'!G31:G38)</f>
        <v>0</v>
      </c>
      <c r="H20" s="319"/>
      <c r="I20" s="219">
        <f>SUMIF('Crédit Mutuel'!C40:C48,"Mutuelle",'Crédit Mutuel'!G40:G48)</f>
        <v>0</v>
      </c>
      <c r="J20" s="319"/>
      <c r="K20" s="219">
        <f>SUMIF('Crédit Mutuel'!C50:C58,"Mutuelle",'Crédit Mutuel'!G50:G58)</f>
        <v>0</v>
      </c>
      <c r="L20" s="319"/>
      <c r="M20" s="219">
        <f>SUMIF('Crédit Mutuel'!C60:C68,"Mutuelle",'Crédit Mutuel'!G60:G68)</f>
        <v>0</v>
      </c>
      <c r="N20" s="319"/>
      <c r="O20" s="219">
        <f>SUMIF('Crédit Mutuel'!C70:C78,"Mutuelle",'Crédit Mutuel'!G70:G78)</f>
        <v>0</v>
      </c>
      <c r="P20" s="319"/>
      <c r="Q20" s="219">
        <f>SUMIF('Crédit Mutuel'!C80:C87,"Mutuelle",'Crédit Mutuel'!G80:G87)</f>
        <v>0</v>
      </c>
      <c r="R20" s="319"/>
      <c r="S20" s="219">
        <f>SUMIF('Crédit Mutuel'!C89:C97,"Mutuelle",'Crédit Mutuel'!G89:G97)</f>
        <v>0</v>
      </c>
      <c r="T20" s="319"/>
      <c r="U20" s="219">
        <f>SUMIF('Crédit Mutuel'!C99:C107,"Mutuelle",'Crédit Mutuel'!G99:G107)</f>
        <v>0</v>
      </c>
      <c r="V20" s="319"/>
      <c r="W20" s="219">
        <f>SUMIF('Crédit Mutuel'!C109:C118,"Mutuelle",'Crédit Mutuel'!G109:G118)</f>
        <v>0</v>
      </c>
      <c r="X20" s="319"/>
      <c r="Y20" s="219">
        <f>SUMIF('Crédit Mutuel'!C120:C129,"Mutuelle",'Crédit Mutuel'!G120:G129)</f>
        <v>0</v>
      </c>
      <c r="Z20" s="325"/>
      <c r="AA20" s="316">
        <f t="shared" si="1"/>
        <v>0</v>
      </c>
      <c r="AB20" s="164"/>
      <c r="AC20" s="164"/>
      <c r="AD20" s="1"/>
      <c r="AE20" s="1"/>
      <c r="AF20" s="213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8"/>
    </row>
    <row r="21" spans="1:45" ht="26.25" customHeight="1">
      <c r="A21" s="205" t="s">
        <v>30</v>
      </c>
      <c r="B21" s="319"/>
      <c r="C21" s="219">
        <f>SUMIF('Crédit Mutuel'!C6:C21,"Photocopieur",'Crédit Mutuel'!G6:G21)</f>
        <v>0</v>
      </c>
      <c r="D21" s="319"/>
      <c r="E21" s="219">
        <f>SUMIF('Crédit Mutuel'!C23:C29,"Photocopieur",'Crédit Mutuel'!G23:G29)</f>
        <v>0</v>
      </c>
      <c r="F21" s="319"/>
      <c r="G21" s="219">
        <f>SUMIF('Crédit Mutuel'!C31:C38,"Photocopieur",'Crédit Mutuel'!G31:G38)</f>
        <v>0</v>
      </c>
      <c r="H21" s="319"/>
      <c r="I21" s="219">
        <f>SUMIF('Crédit Mutuel'!C40:C48,"Photocopieur",'Crédit Mutuel'!G40:G48)</f>
        <v>0</v>
      </c>
      <c r="J21" s="319"/>
      <c r="K21" s="219">
        <f>SUMIF('Crédit Mutuel'!C50:C58,"Photocopieur",'Crédit Mutuel'!G50:G58)</f>
        <v>0</v>
      </c>
      <c r="L21" s="319"/>
      <c r="M21" s="219">
        <f>SUMIF('Crédit Mutuel'!C60:C68,"Photocopieur",'Crédit Mutuel'!G60:G68)</f>
        <v>0</v>
      </c>
      <c r="N21" s="319"/>
      <c r="O21" s="219">
        <f>SUMIF('Crédit Mutuel'!C70:C78,"Photocopieur",'Crédit Mutuel'!G70:G78)</f>
        <v>0</v>
      </c>
      <c r="P21" s="319"/>
      <c r="Q21" s="219">
        <f>SUMIF('Crédit Mutuel'!C80:C87,"Photocopieur",'Crédit Mutuel'!G80:G87)</f>
        <v>0</v>
      </c>
      <c r="R21" s="319"/>
      <c r="S21" s="219">
        <f>SUMIF('Crédit Mutuel'!C89:C97,"Photocopieur",'Crédit Mutuel'!G89:G97)</f>
        <v>0</v>
      </c>
      <c r="T21" s="319"/>
      <c r="U21" s="219">
        <f>SUMIF('Crédit Mutuel'!C99:C107,"Photocopieur",'Crédit Mutuel'!G99:G107)</f>
        <v>0</v>
      </c>
      <c r="V21" s="319"/>
      <c r="W21" s="219">
        <f>SUMIF('Crédit Mutuel'!C109:C118,"Photocopieur",'Crédit Mutuel'!G109:G118)</f>
        <v>0</v>
      </c>
      <c r="X21" s="319"/>
      <c r="Y21" s="219">
        <f>SUMIF('Crédit Mutuel'!C120:C129,"Photocopieur",'Crédit Mutuel'!G120:G129)</f>
        <v>0</v>
      </c>
      <c r="Z21" s="325"/>
      <c r="AA21" s="316">
        <f t="shared" si="1"/>
        <v>0</v>
      </c>
      <c r="AB21" s="164"/>
      <c r="AC21" s="164"/>
      <c r="AD21" s="1"/>
      <c r="AE21" s="1"/>
      <c r="AF21" s="213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8"/>
    </row>
    <row r="22" spans="1:45" ht="26.25" customHeight="1">
      <c r="A22" s="205" t="s">
        <v>45</v>
      </c>
      <c r="B22" s="319"/>
      <c r="C22" s="219">
        <f>SUMIF('Crédit Mutuel'!C6:C21,"Pro_BTP",'Crédit Mutuel'!G6:G21)</f>
        <v>0</v>
      </c>
      <c r="D22" s="319"/>
      <c r="E22" s="219">
        <f>SUMIF('Crédit Mutuel'!C23:C29,"Pro_BTP",'Crédit Mutuel'!G23:G29)</f>
        <v>0</v>
      </c>
      <c r="F22" s="319"/>
      <c r="G22" s="219">
        <f>SUMIF('Crédit Mutuel'!C31:C38,"Pro_BTP",'Crédit Mutuel'!G31:G38)</f>
        <v>0</v>
      </c>
      <c r="H22" s="319"/>
      <c r="I22" s="219">
        <f>SUMIF('Crédit Mutuel'!C40:C48,"Pro_BTP",'Crédit Mutuel'!G40:G48)</f>
        <v>0</v>
      </c>
      <c r="J22" s="319"/>
      <c r="K22" s="219">
        <f>SUMIF('Crédit Mutuel'!C50:C58,"Pro_BTP",'Crédit Mutuel'!G50:G58)</f>
        <v>0</v>
      </c>
      <c r="L22" s="319"/>
      <c r="M22" s="219">
        <f>SUMIF('Crédit Mutuel'!C60:C68,"Pro_BTP",'Crédit Mutuel'!G60:G68)</f>
        <v>0</v>
      </c>
      <c r="N22" s="319"/>
      <c r="O22" s="219">
        <f>SUMIF('Crédit Mutuel'!C70:C78,"Pro_BTP",'Crédit Mutuel'!G70:G78)</f>
        <v>0</v>
      </c>
      <c r="P22" s="319"/>
      <c r="Q22" s="219">
        <f>SUMIF('Crédit Mutuel'!C80:C87,"Pro_BTP",'Crédit Mutuel'!G80:G87)</f>
        <v>0</v>
      </c>
      <c r="R22" s="319"/>
      <c r="S22" s="219">
        <f>SUMIF('Crédit Mutuel'!C89:C97,"Pro_BTP",'Crédit Mutuel'!G89:G97)</f>
        <v>0</v>
      </c>
      <c r="T22" s="319"/>
      <c r="U22" s="219">
        <f>SUMIF('Crédit Mutuel'!C99:C107,"Pro_BTP",'Crédit Mutuel'!G99:G107)</f>
        <v>0</v>
      </c>
      <c r="V22" s="319"/>
      <c r="W22" s="219">
        <f>SUMIF('Crédit Mutuel'!C109:C118,"Pro_BTP",'Crédit Mutuel'!G109:G118)</f>
        <v>0</v>
      </c>
      <c r="X22" s="319"/>
      <c r="Y22" s="219">
        <f>SUMIF('Crédit Mutuel'!C120:C129,"Pro_BTP",'Crédit Mutuel'!G120:G129)</f>
        <v>0</v>
      </c>
      <c r="Z22" s="325"/>
      <c r="AA22" s="316">
        <f t="shared" si="1"/>
        <v>0</v>
      </c>
      <c r="AB22" s="164"/>
      <c r="AC22" s="164"/>
      <c r="AD22" s="1"/>
      <c r="AE22" s="1"/>
      <c r="AF22" s="213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8"/>
    </row>
    <row r="23" spans="1:45" ht="26.25" customHeight="1">
      <c r="A23" s="205" t="s">
        <v>345</v>
      </c>
      <c r="B23" s="319"/>
      <c r="C23" s="219">
        <f>SUMIF('Crédit Mutuel'!C6:C21,"Pub",'Crédit Mutuel'!G6:G21)</f>
        <v>0</v>
      </c>
      <c r="D23" s="319"/>
      <c r="E23" s="219">
        <f>SUMIF('Crédit Mutuel'!C23:C29,"Pub",'Crédit Mutuel'!G23:G29)</f>
        <v>0</v>
      </c>
      <c r="F23" s="319"/>
      <c r="G23" s="219">
        <f>SUMIF('Crédit Mutuel'!C31:C38,"Pub",'Crédit Mutuel'!G31:G38)</f>
        <v>0</v>
      </c>
      <c r="H23" s="319"/>
      <c r="I23" s="219">
        <f>SUMIF('Crédit Mutuel'!C40:C48,"Pub",'Crédit Mutuel'!G40:G48)</f>
        <v>0</v>
      </c>
      <c r="J23" s="319"/>
      <c r="K23" s="219">
        <f>SUMIF('Crédit Mutuel'!C50:C58,"Pub",'Crédit Mutuel'!G50:G58)</f>
        <v>0</v>
      </c>
      <c r="L23" s="319"/>
      <c r="M23" s="219">
        <f>SUMIF('Crédit Mutuel'!C60:C68,"Pub",'Crédit Mutuel'!G60:G68)</f>
        <v>0</v>
      </c>
      <c r="N23" s="319"/>
      <c r="O23" s="219">
        <f>SUMIF('Crédit Mutuel'!C70:C78,"Pub",'Crédit Mutuel'!G70:G78)</f>
        <v>0</v>
      </c>
      <c r="P23" s="319"/>
      <c r="Q23" s="219">
        <f>SUMIF('Crédit Mutuel'!C80:C87,"Pub",'Crédit Mutuel'!G80:G87)</f>
        <v>0</v>
      </c>
      <c r="R23" s="319"/>
      <c r="S23" s="219">
        <f>SUMIF('Crédit Mutuel'!C89:C97,"Pub",'Crédit Mutuel'!G89:G97)</f>
        <v>0</v>
      </c>
      <c r="T23" s="319"/>
      <c r="U23" s="219">
        <f>SUMIF('Crédit Mutuel'!C99:C107,"Pub",'Crédit Mutuel'!G99:G107)</f>
        <v>0</v>
      </c>
      <c r="V23" s="319"/>
      <c r="W23" s="219">
        <f>SUMIF('Crédit Mutuel'!C109:C118,"Pub",'Crédit Mutuel'!G109:G118)</f>
        <v>0</v>
      </c>
      <c r="X23" s="319"/>
      <c r="Y23" s="219">
        <f>SUMIF('Crédit Mutuel'!C120:C129,"Pub",'Crédit Mutuel'!G120:G129)</f>
        <v>0</v>
      </c>
      <c r="Z23" s="325"/>
      <c r="AA23" s="316">
        <f t="shared" si="1"/>
        <v>0</v>
      </c>
      <c r="AB23" s="164"/>
      <c r="AC23" s="164"/>
      <c r="AD23" s="1"/>
      <c r="AE23" s="1"/>
      <c r="AF23" s="213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8"/>
    </row>
    <row r="24" spans="1:45" ht="26.25" customHeight="1">
      <c r="A24" s="205" t="s">
        <v>24</v>
      </c>
      <c r="B24" s="319"/>
      <c r="C24" s="219">
        <f>SUMIF('Crédit Mutuel'!C6:C21,"RSI",'Crédit Mutuel'!G6:G21)</f>
        <v>0</v>
      </c>
      <c r="D24" s="319"/>
      <c r="E24" s="219">
        <f>SUMIF('Crédit Mutuel'!C23:C29,"RSI",'Crédit Mutuel'!G23:G29)</f>
        <v>0</v>
      </c>
      <c r="F24" s="319"/>
      <c r="G24" s="219">
        <f>SUMIF('Crédit Mutuel'!C31:C38,"RSI",'Crédit Mutuel'!G31:G38)</f>
        <v>0</v>
      </c>
      <c r="H24" s="319"/>
      <c r="I24" s="219">
        <f>SUMIF('Crédit Mutuel'!C40:C48,"RSI",'Crédit Mutuel'!G40:G48)</f>
        <v>0</v>
      </c>
      <c r="J24" s="319"/>
      <c r="K24" s="219">
        <f>SUMIF('Crédit Mutuel'!C50:C58,"RSI",'Crédit Mutuel'!G50:G58)</f>
        <v>0</v>
      </c>
      <c r="L24" s="319"/>
      <c r="M24" s="219">
        <f>SUMIF('Crédit Mutuel'!C60:C68,"RSI",'Crédit Mutuel'!G60:G68)</f>
        <v>0</v>
      </c>
      <c r="N24" s="319"/>
      <c r="O24" s="219">
        <f>SUMIF('Crédit Mutuel'!C70:C78,"RSI",'Crédit Mutuel'!G70:G78)</f>
        <v>0</v>
      </c>
      <c r="P24" s="319"/>
      <c r="Q24" s="219">
        <f>SUMIF('Crédit Mutuel'!C80:C87,"RSI",'Crédit Mutuel'!G80:G87)</f>
        <v>0</v>
      </c>
      <c r="R24" s="319"/>
      <c r="S24" s="219">
        <f>SUMIF('Crédit Mutuel'!C89:C97,"RSI",'Crédit Mutuel'!G89:G97)</f>
        <v>0</v>
      </c>
      <c r="T24" s="319"/>
      <c r="U24" s="219">
        <f>SUMIF('Crédit Mutuel'!C99:C107,"RSI",'Crédit Mutuel'!G99:G107)</f>
        <v>0</v>
      </c>
      <c r="V24" s="319"/>
      <c r="W24" s="219">
        <f>SUMIF('Crédit Mutuel'!C109:C118,"RSI",'Crédit Mutuel'!G109:G118)</f>
        <v>0</v>
      </c>
      <c r="X24" s="319"/>
      <c r="Y24" s="219">
        <f>SUMIF('Crédit Mutuel'!C120:C129,"RSI",'Crédit Mutuel'!G120:G129)</f>
        <v>0</v>
      </c>
      <c r="Z24" s="325"/>
      <c r="AA24" s="316">
        <f t="shared" si="1"/>
        <v>0</v>
      </c>
      <c r="AB24" s="164"/>
      <c r="AC24" s="164"/>
      <c r="AD24" s="1"/>
      <c r="AE24" s="1"/>
      <c r="AF24" s="213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8"/>
    </row>
    <row r="25" spans="1:45" ht="26.25" customHeight="1">
      <c r="A25" s="205" t="s">
        <v>351</v>
      </c>
      <c r="B25" s="319"/>
      <c r="C25" s="219">
        <f>SUMIF('Crédit Mutuel'!C6:C21,"Salaire",'Crédit Mutuel'!G6:G21)</f>
        <v>0</v>
      </c>
      <c r="D25" s="319"/>
      <c r="E25" s="219">
        <f>SUMIF('Crédit Mutuel'!C23:C29,"Salaire",'Crédit Mutuel'!G23:G29)</f>
        <v>0</v>
      </c>
      <c r="F25" s="319"/>
      <c r="G25" s="219">
        <f>SUMIF('Crédit Mutuel'!C31:C38,"Salaire",'Crédit Mutuel'!G31:G38)</f>
        <v>0</v>
      </c>
      <c r="H25" s="319"/>
      <c r="I25" s="219">
        <f>SUMIF('Crédit Mutuel'!C40:C48,"Salaire",'Crédit Mutuel'!G40:G48)</f>
        <v>0</v>
      </c>
      <c r="J25" s="319"/>
      <c r="K25" s="219">
        <f>SUMIF('Crédit Mutuel'!C50:C58,"Salaire",'Crédit Mutuel'!G50:G58)</f>
        <v>0</v>
      </c>
      <c r="L25" s="319"/>
      <c r="M25" s="219">
        <f>SUMIF('Crédit Mutuel'!C60:C68,"Salaire",'Crédit Mutuel'!G60:G68)</f>
        <v>0</v>
      </c>
      <c r="N25" s="319"/>
      <c r="O25" s="219">
        <f>SUMIF('Crédit Mutuel'!C70:C78,"Salaire",'Crédit Mutuel'!G70:G78)</f>
        <v>0</v>
      </c>
      <c r="P25" s="319"/>
      <c r="Q25" s="219">
        <f>SUMIF('Crédit Mutuel'!C80:C87,"Salaire",'Crédit Mutuel'!G80:G87)</f>
        <v>0</v>
      </c>
      <c r="R25" s="319"/>
      <c r="S25" s="219">
        <f>SUMIF('Crédit Mutuel'!C89:C97,"Salaire",'Crédit Mutuel'!G89:G97)</f>
        <v>0</v>
      </c>
      <c r="T25" s="319"/>
      <c r="U25" s="219">
        <f>SUMIF('Crédit Mutuel'!C99:C107,"Salaire",'Crédit Mutuel'!G99:G107)</f>
        <v>0</v>
      </c>
      <c r="V25" s="319"/>
      <c r="W25" s="219">
        <f>SUMIF('Crédit Mutuel'!C109:C118,"Salaire",'Crédit Mutuel'!G109:G118)</f>
        <v>0</v>
      </c>
      <c r="X25" s="319"/>
      <c r="Y25" s="219">
        <f>SUMIF('Crédit Mutuel'!C120:C129,"Salaire",'Crédit Mutuel'!G120:G129)</f>
        <v>0</v>
      </c>
      <c r="Z25" s="325"/>
      <c r="AA25" s="316">
        <f t="shared" si="1"/>
        <v>0</v>
      </c>
      <c r="AC25" s="164"/>
      <c r="AD25" s="1"/>
      <c r="AE25" s="1"/>
      <c r="AF25" s="213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8"/>
    </row>
    <row r="26" spans="1:45" ht="26.25" customHeight="1">
      <c r="A26" s="205" t="s">
        <v>29</v>
      </c>
      <c r="B26" s="319"/>
      <c r="C26" s="219">
        <f>SUMIF('Crédit Mutuel'!C6:C21,"Sous_traitance",'Crédit Mutuel'!G6:G21)</f>
        <v>0</v>
      </c>
      <c r="D26" s="319"/>
      <c r="E26" s="219">
        <f>SUMIF('Crédit Mutuel'!C23:C29,"Sous_traitance",'Crédit Mutuel'!G23:G29)</f>
        <v>0</v>
      </c>
      <c r="F26" s="319"/>
      <c r="G26" s="219">
        <f>SUMIF('Crédit Mutuel'!C31:C38,"Sous_traitance",'Crédit Mutuel'!G31:G38)</f>
        <v>0</v>
      </c>
      <c r="H26" s="319"/>
      <c r="I26" s="219">
        <f>SUMIF('Crédit Mutuel'!C40:C48,"Sous_traitance",'Crédit Mutuel'!G40:G48)</f>
        <v>0</v>
      </c>
      <c r="J26" s="319"/>
      <c r="K26" s="219">
        <f>SUMIF('Crédit Mutuel'!C50:C58,"Sous_traitance",'Crédit Mutuel'!G50:G58)</f>
        <v>0</v>
      </c>
      <c r="L26" s="319"/>
      <c r="M26" s="219">
        <f>SUMIF('Crédit Mutuel'!C60:C68,"Sous_traitance",'Crédit Mutuel'!G60:G68)</f>
        <v>0</v>
      </c>
      <c r="N26" s="319"/>
      <c r="O26" s="219">
        <f>SUMIF('Crédit Mutuel'!C70:C78,"Sous_traitance",'Crédit Mutuel'!G70:G78)</f>
        <v>0</v>
      </c>
      <c r="P26" s="319"/>
      <c r="Q26" s="219">
        <f>SUMIF('Crédit Mutuel'!C80:C87,"Sous_traitance",'Crédit Mutuel'!G80:G87)</f>
        <v>0</v>
      </c>
      <c r="R26" s="319"/>
      <c r="S26" s="219">
        <f>SUMIF('Crédit Mutuel'!C89:C97,"Sous_traitance",'Crédit Mutuel'!G89:G97)</f>
        <v>0</v>
      </c>
      <c r="T26" s="319"/>
      <c r="U26" s="219">
        <f>SUMIF('Crédit Mutuel'!C99:C107,"Sous_traitance",'Crédit Mutuel'!G99:G107)</f>
        <v>0</v>
      </c>
      <c r="V26" s="319"/>
      <c r="W26" s="219">
        <f>SUMIF('Crédit Mutuel'!C109:C118,"Sous_traitance",'Crédit Mutuel'!G109:G118)</f>
        <v>0</v>
      </c>
      <c r="X26" s="319"/>
      <c r="Y26" s="219">
        <f>SUMIF('Crédit Mutuel'!C120:C129,"Sous_traitance",'Crédit Mutuel'!G120:G129)</f>
        <v>0</v>
      </c>
      <c r="Z26" s="325"/>
      <c r="AA26" s="316">
        <f t="shared" si="1"/>
        <v>0</v>
      </c>
      <c r="AB26" s="164"/>
      <c r="AC26" s="164"/>
      <c r="AD26" s="1"/>
      <c r="AE26" s="1"/>
      <c r="AF26" s="213"/>
      <c r="AG26" s="15"/>
      <c r="AH26" s="15"/>
      <c r="AI26" s="15"/>
      <c r="AJ26" s="15"/>
      <c r="AK26" s="15"/>
      <c r="AL26" s="15"/>
      <c r="AM26" s="201"/>
      <c r="AN26" s="15"/>
      <c r="AO26" s="15"/>
      <c r="AP26" s="15"/>
      <c r="AQ26" s="15"/>
      <c r="AR26" s="15"/>
      <c r="AS26" s="18"/>
    </row>
    <row r="27" spans="1:45" ht="26.25" customHeight="1">
      <c r="A27" s="205" t="s">
        <v>47</v>
      </c>
      <c r="B27" s="319"/>
      <c r="C27" s="219">
        <f>SUMIF('Crédit Mutuel'!C6:C21,"TVA",'Crédit Mutuel'!G6:G21)</f>
        <v>0</v>
      </c>
      <c r="D27" s="319"/>
      <c r="E27" s="219">
        <f>SUMIF('Crédit Mutuel'!C23:C29,"TVA",'Crédit Mutuel'!G23:G29)</f>
        <v>0</v>
      </c>
      <c r="F27" s="319"/>
      <c r="G27" s="219">
        <f>SUMIF('Crédit Mutuel'!C31:C38,"TVA",'Crédit Mutuel'!G31:G38)</f>
        <v>0</v>
      </c>
      <c r="H27" s="319"/>
      <c r="I27" s="219">
        <f>SUMIF('Crédit Mutuel'!C40:C48,"TVA",'Crédit Mutuel'!G40:G48)</f>
        <v>0</v>
      </c>
      <c r="J27" s="319"/>
      <c r="K27" s="219">
        <f>SUMIF('Crédit Mutuel'!C50:C58,"TVA",'Crédit Mutuel'!G50:G58)</f>
        <v>0</v>
      </c>
      <c r="L27" s="319"/>
      <c r="M27" s="219">
        <f>SUMIF('Crédit Mutuel'!C60:C68,"TVA",'Crédit Mutuel'!G60:G68)</f>
        <v>0</v>
      </c>
      <c r="N27" s="319"/>
      <c r="O27" s="219">
        <f>SUMIF('Crédit Mutuel'!C70:C78,"TVA",'Crédit Mutuel'!G70:G78)</f>
        <v>0</v>
      </c>
      <c r="P27" s="319"/>
      <c r="Q27" s="219">
        <f>SUMIF('Crédit Mutuel'!C80:C87,"TVA",'Crédit Mutuel'!G80:G87)</f>
        <v>0</v>
      </c>
      <c r="R27" s="319"/>
      <c r="S27" s="219">
        <f>SUMIF('Crédit Mutuel'!C89:C97,"TVA",'Crédit Mutuel'!G89:G97)</f>
        <v>0</v>
      </c>
      <c r="T27" s="319"/>
      <c r="U27" s="219">
        <f>SUMIF('Crédit Mutuel'!C99:C107,"TVA",'Crédit Mutuel'!G99:G107)</f>
        <v>0</v>
      </c>
      <c r="V27" s="319"/>
      <c r="W27" s="219">
        <f>SUMIF('Crédit Mutuel'!C109:C118,"TVA",'Crédit Mutuel'!G109:G118)</f>
        <v>0</v>
      </c>
      <c r="X27" s="319"/>
      <c r="Y27" s="219">
        <f>SUMIF('Crédit Mutuel'!C120:C129,"TVA",'Crédit Mutuel'!G120:G129)</f>
        <v>0</v>
      </c>
      <c r="Z27" s="325"/>
      <c r="AA27" s="316">
        <f t="shared" si="1"/>
        <v>0</v>
      </c>
      <c r="AB27" s="164"/>
      <c r="AC27" s="164"/>
      <c r="AD27" s="1"/>
      <c r="AE27" s="1"/>
      <c r="AF27" s="213"/>
      <c r="AG27" s="15"/>
      <c r="AH27" s="15"/>
      <c r="AI27" s="15"/>
      <c r="AJ27" s="15"/>
      <c r="AK27" s="15"/>
      <c r="AL27" s="15"/>
      <c r="AM27" s="201"/>
      <c r="AN27" s="15"/>
      <c r="AO27" s="15"/>
      <c r="AP27" s="15"/>
      <c r="AQ27" s="15"/>
      <c r="AR27" s="15"/>
      <c r="AS27" s="18"/>
    </row>
    <row r="28" spans="1:45" ht="26.25" customHeight="1">
      <c r="A28" s="205" t="s">
        <v>6</v>
      </c>
      <c r="B28" s="321"/>
      <c r="C28" s="220">
        <f>SUMIF('Crédit Mutuel'!C6:C21,"URSSAF",'Crédit Mutuel'!G6:G21)</f>
        <v>0</v>
      </c>
      <c r="D28" s="321"/>
      <c r="E28" s="220">
        <f>SUMIF('Crédit Mutuel'!C23:C29,"URSSAF",'Crédit Mutuel'!G23:G29)</f>
        <v>0</v>
      </c>
      <c r="F28" s="321"/>
      <c r="G28" s="220">
        <f>SUMIF('Crédit Mutuel'!C31:C38,"URSSAF",'Crédit Mutuel'!G31:G38)</f>
        <v>0</v>
      </c>
      <c r="H28" s="321"/>
      <c r="I28" s="220">
        <f>SUMIF('Crédit Mutuel'!C40:C48,"URSSAF",'Crédit Mutuel'!G40:G48)</f>
        <v>0</v>
      </c>
      <c r="J28" s="321"/>
      <c r="K28" s="220">
        <f>SUMIF('Crédit Mutuel'!C50:C58,"URSSAF",'Crédit Mutuel'!G50:G58)</f>
        <v>0</v>
      </c>
      <c r="L28" s="321"/>
      <c r="M28" s="220">
        <f>SUMIF('Crédit Mutuel'!C60:C68,"URSSAF",'Crédit Mutuel'!G60:G68)</f>
        <v>0</v>
      </c>
      <c r="N28" s="321"/>
      <c r="O28" s="220">
        <f>SUMIF('Crédit Mutuel'!C70:C78,"URSSAF",'Crédit Mutuel'!G70:G78)</f>
        <v>0</v>
      </c>
      <c r="P28" s="321"/>
      <c r="Q28" s="220">
        <f>SUMIF('Crédit Mutuel'!C80:C87,"URSSAF",'Crédit Mutuel'!G80:G87)</f>
        <v>0</v>
      </c>
      <c r="R28" s="321"/>
      <c r="S28" s="220">
        <f>SUMIF('Crédit Mutuel'!C89:C97,"URSSAF",'Crédit Mutuel'!G89:G97)</f>
        <v>0</v>
      </c>
      <c r="T28" s="321"/>
      <c r="U28" s="220">
        <f>SUMIF('Crédit Mutuel'!C99:C107,"URSSAF",'Crédit Mutuel'!G99:G107)</f>
        <v>0</v>
      </c>
      <c r="V28" s="321"/>
      <c r="W28" s="220">
        <f>SUMIF('Crédit Mutuel'!C109:C118,"URSSAF",'Crédit Mutuel'!G109:G118)</f>
        <v>0</v>
      </c>
      <c r="X28" s="321"/>
      <c r="Y28" s="220">
        <f>SUMIF('Crédit Mutuel'!C120:C129,"URSSAF",'Crédit Mutuel'!G120:G129)</f>
        <v>0</v>
      </c>
      <c r="Z28" s="325"/>
      <c r="AA28" s="316">
        <f t="shared" si="1"/>
        <v>0</v>
      </c>
      <c r="AB28" s="164"/>
      <c r="AC28" s="164"/>
      <c r="AD28" s="1"/>
      <c r="AE28" s="1"/>
      <c r="AF28" s="213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8"/>
    </row>
    <row r="29" spans="1:45"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7"/>
      <c r="T29" s="167"/>
      <c r="U29" s="167"/>
      <c r="V29" s="167"/>
      <c r="W29" s="167"/>
      <c r="X29" s="167"/>
      <c r="Y29" s="167"/>
      <c r="Z29" s="167"/>
      <c r="AF29" s="201"/>
      <c r="AG29" s="214"/>
      <c r="AH29" s="214"/>
      <c r="AI29" s="214"/>
      <c r="AJ29" s="214"/>
      <c r="AK29" s="214"/>
      <c r="AL29" s="214"/>
      <c r="AM29" s="214"/>
      <c r="AN29" s="214"/>
      <c r="AO29" s="214"/>
      <c r="AP29" s="201"/>
      <c r="AQ29" s="201"/>
      <c r="AR29" s="201"/>
    </row>
    <row r="30" spans="1:45"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7"/>
      <c r="T30" s="167"/>
      <c r="U30" s="167"/>
      <c r="V30" s="167"/>
      <c r="W30" s="167"/>
      <c r="X30" s="167"/>
      <c r="Y30" s="167"/>
      <c r="Z30" s="167"/>
      <c r="AF30" s="201"/>
      <c r="AG30" s="214"/>
      <c r="AH30" s="214"/>
      <c r="AI30" s="214"/>
      <c r="AJ30" s="214"/>
      <c r="AK30" s="214"/>
      <c r="AL30" s="214"/>
      <c r="AM30" s="214"/>
      <c r="AN30" s="214"/>
      <c r="AO30" s="214"/>
      <c r="AP30" s="201"/>
      <c r="AQ30" s="201"/>
      <c r="AR30" s="201"/>
    </row>
    <row r="31" spans="1:45">
      <c r="AF31" s="201"/>
      <c r="AG31" s="201"/>
      <c r="AH31" s="201"/>
      <c r="AI31" s="201"/>
      <c r="AJ31" s="201"/>
      <c r="AK31" s="201"/>
      <c r="AL31" s="201"/>
      <c r="AM31" s="201"/>
      <c r="AN31" s="201"/>
      <c r="AO31" s="201"/>
      <c r="AP31" s="201"/>
      <c r="AQ31" s="201"/>
      <c r="AR31" s="201"/>
    </row>
    <row r="32" spans="1:45">
      <c r="AF32" s="201"/>
      <c r="AG32" s="201"/>
      <c r="AH32" s="201"/>
      <c r="AI32" s="201"/>
      <c r="AJ32" s="201"/>
      <c r="AK32" s="201"/>
      <c r="AL32" s="201"/>
      <c r="AM32" s="201"/>
      <c r="AN32" s="201"/>
      <c r="AO32" s="201"/>
      <c r="AP32" s="201"/>
      <c r="AQ32" s="201"/>
      <c r="AR32" s="201"/>
    </row>
    <row r="33" spans="32:44">
      <c r="AF33" s="201"/>
      <c r="AG33" s="201"/>
      <c r="AH33" s="201"/>
      <c r="AI33" s="201"/>
      <c r="AJ33" s="201"/>
      <c r="AK33" s="201"/>
      <c r="AL33" s="201"/>
      <c r="AM33" s="201"/>
      <c r="AN33" s="201"/>
      <c r="AO33" s="201"/>
      <c r="AP33" s="201"/>
      <c r="AQ33" s="201"/>
      <c r="AR33" s="201"/>
    </row>
    <row r="34" spans="32:44">
      <c r="AF34" s="201"/>
      <c r="AG34" s="201"/>
      <c r="AH34" s="201"/>
      <c r="AI34" s="201"/>
      <c r="AJ34" s="201"/>
      <c r="AK34" s="201"/>
      <c r="AL34" s="201"/>
      <c r="AM34" s="201"/>
      <c r="AN34" s="201"/>
      <c r="AO34" s="201"/>
      <c r="AP34" s="201"/>
      <c r="AQ34" s="201"/>
      <c r="AR34" s="201"/>
    </row>
    <row r="35" spans="32:44">
      <c r="AF35" s="201"/>
      <c r="AG35" s="201"/>
      <c r="AH35" s="201"/>
      <c r="AI35" s="201"/>
      <c r="AJ35" s="201"/>
      <c r="AK35" s="201"/>
      <c r="AL35" s="201"/>
      <c r="AM35" s="201"/>
      <c r="AN35" s="201"/>
      <c r="AO35" s="201"/>
      <c r="AP35" s="201"/>
      <c r="AQ35" s="201"/>
      <c r="AR35" s="201"/>
    </row>
    <row r="36" spans="32:44"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  <c r="AP36" s="201"/>
      <c r="AQ36" s="201"/>
      <c r="AR36" s="201"/>
    </row>
    <row r="37" spans="32:44">
      <c r="AF37" s="201"/>
      <c r="AG37" s="201"/>
      <c r="AH37" s="201"/>
      <c r="AI37" s="201"/>
      <c r="AJ37" s="201"/>
      <c r="AK37" s="201"/>
      <c r="AL37" s="201"/>
      <c r="AM37" s="201"/>
      <c r="AN37" s="201"/>
      <c r="AO37" s="201"/>
      <c r="AP37" s="201"/>
      <c r="AQ37" s="201"/>
      <c r="AR37" s="201"/>
    </row>
    <row r="38" spans="32:44">
      <c r="AF38" s="201"/>
      <c r="AG38" s="201"/>
      <c r="AH38" s="201"/>
      <c r="AI38" s="201"/>
      <c r="AJ38" s="201"/>
      <c r="AK38" s="201"/>
      <c r="AL38" s="201"/>
      <c r="AM38" s="201"/>
      <c r="AN38" s="201"/>
      <c r="AO38" s="201"/>
      <c r="AP38" s="201"/>
      <c r="AQ38" s="201"/>
      <c r="AR38" s="201"/>
    </row>
    <row r="39" spans="32:44">
      <c r="AF39" s="201"/>
      <c r="AG39" s="201"/>
      <c r="AH39" s="201"/>
      <c r="AI39" s="201"/>
      <c r="AJ39" s="201"/>
      <c r="AK39" s="201"/>
      <c r="AL39" s="201"/>
      <c r="AM39" s="201"/>
      <c r="AN39" s="201"/>
      <c r="AO39" s="201"/>
      <c r="AP39" s="201"/>
      <c r="AQ39" s="201"/>
      <c r="AR39" s="201"/>
    </row>
    <row r="40" spans="32:44">
      <c r="AF40" s="201"/>
      <c r="AG40" s="201"/>
      <c r="AH40" s="201"/>
      <c r="AI40" s="201"/>
      <c r="AJ40" s="201"/>
      <c r="AK40" s="201"/>
      <c r="AL40" s="201"/>
      <c r="AM40" s="201"/>
      <c r="AN40" s="201"/>
      <c r="AO40" s="201"/>
      <c r="AP40" s="201"/>
      <c r="AQ40" s="201"/>
      <c r="AR40" s="201"/>
    </row>
    <row r="41" spans="32:44">
      <c r="AF41" s="201"/>
      <c r="AG41" s="201"/>
      <c r="AH41" s="201"/>
      <c r="AI41" s="201"/>
      <c r="AJ41" s="201"/>
      <c r="AK41" s="201"/>
      <c r="AL41" s="201"/>
      <c r="AM41" s="201"/>
      <c r="AN41" s="201"/>
      <c r="AO41" s="201"/>
      <c r="AP41" s="201"/>
      <c r="AQ41" s="201"/>
      <c r="AR41" s="201"/>
    </row>
    <row r="42" spans="32:44">
      <c r="AF42" s="201"/>
      <c r="AG42" s="201"/>
      <c r="AH42" s="201"/>
      <c r="AI42" s="201"/>
      <c r="AJ42" s="201"/>
      <c r="AK42" s="201"/>
      <c r="AL42" s="201"/>
      <c r="AM42" s="201"/>
      <c r="AN42" s="201"/>
      <c r="AO42" s="201"/>
      <c r="AP42" s="201"/>
      <c r="AQ42" s="201"/>
      <c r="AR42" s="201"/>
    </row>
    <row r="43" spans="32:44"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</row>
    <row r="44" spans="32:44">
      <c r="AF44" s="201"/>
      <c r="AG44" s="201"/>
      <c r="AH44" s="201"/>
      <c r="AI44" s="201"/>
      <c r="AJ44" s="201"/>
      <c r="AK44" s="201"/>
      <c r="AL44" s="201"/>
      <c r="AM44" s="201"/>
      <c r="AN44" s="201"/>
      <c r="AO44" s="201"/>
      <c r="AP44" s="201"/>
      <c r="AQ44" s="201"/>
      <c r="AR44" s="201"/>
    </row>
    <row r="45" spans="32:44">
      <c r="AF45" s="201"/>
      <c r="AG45" s="201"/>
      <c r="AH45" s="201"/>
      <c r="AI45" s="201"/>
      <c r="AJ45" s="201"/>
      <c r="AK45" s="201"/>
      <c r="AL45" s="201"/>
      <c r="AM45" s="201"/>
      <c r="AN45" s="201"/>
      <c r="AO45" s="201"/>
      <c r="AP45" s="201"/>
      <c r="AQ45" s="201"/>
      <c r="AR45" s="201"/>
    </row>
    <row r="46" spans="32:44">
      <c r="AF46" s="201"/>
      <c r="AG46" s="201"/>
      <c r="AH46" s="201"/>
      <c r="AI46" s="201"/>
      <c r="AJ46" s="201"/>
      <c r="AK46" s="201"/>
      <c r="AL46" s="201"/>
      <c r="AM46" s="201"/>
      <c r="AN46" s="201"/>
      <c r="AO46" s="201"/>
      <c r="AP46" s="201"/>
      <c r="AQ46" s="201"/>
      <c r="AR46" s="201"/>
    </row>
    <row r="47" spans="32:44">
      <c r="AF47" s="201"/>
      <c r="AG47" s="201"/>
      <c r="AH47" s="201"/>
      <c r="AI47" s="201"/>
      <c r="AJ47" s="201"/>
      <c r="AK47" s="201"/>
      <c r="AL47" s="201"/>
      <c r="AM47" s="201"/>
      <c r="AN47" s="201"/>
      <c r="AO47" s="201"/>
      <c r="AP47" s="201"/>
      <c r="AQ47" s="201"/>
      <c r="AR47" s="201"/>
    </row>
  </sheetData>
  <sortState ref="A8:A35">
    <sortCondition ref="A7"/>
  </sortState>
  <mergeCells count="12">
    <mergeCell ref="X4:Y4"/>
    <mergeCell ref="F4:G4"/>
    <mergeCell ref="N4:O4"/>
    <mergeCell ref="P4:Q4"/>
    <mergeCell ref="R4:S4"/>
    <mergeCell ref="T4:U4"/>
    <mergeCell ref="V4:W4"/>
    <mergeCell ref="B4:C4"/>
    <mergeCell ref="D4:E4"/>
    <mergeCell ref="H4:I4"/>
    <mergeCell ref="J4:K4"/>
    <mergeCell ref="L4:M4"/>
  </mergeCells>
  <dataValidations disablePrompts="1" count="1">
    <dataValidation type="list" allowBlank="1" showInputMessage="1" showErrorMessage="1" promptTitle="Réglement" sqref="AO29:AO30 Y29:Z30">
      <formula1>Réglement</formula1>
    </dataValidation>
  </dataValidations>
  <pageMargins left="0.75" right="0.75" top="1" bottom="1" header="0.5" footer="0.5"/>
  <pageSetup paperSize="9" orientation="portrait" horizontalDpi="4294967292" verticalDpi="4294967292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O41"/>
  <sheetViews>
    <sheetView topLeftCell="A6" zoomScale="145" zoomScaleNormal="145" workbookViewId="0">
      <selection activeCell="H26" sqref="H26"/>
    </sheetView>
  </sheetViews>
  <sheetFormatPr baseColWidth="10" defaultColWidth="10.85546875" defaultRowHeight="13.5"/>
  <cols>
    <col min="1" max="1" width="11.42578125" style="169" customWidth="1"/>
    <col min="2" max="2" width="11.42578125" style="170" customWidth="1"/>
    <col min="3" max="4" width="11.42578125" style="169" customWidth="1"/>
    <col min="5" max="7" width="11.42578125" style="170" customWidth="1"/>
    <col min="8" max="9" width="11.42578125" style="169" customWidth="1"/>
    <col min="10" max="10" width="11" style="169" customWidth="1"/>
    <col min="11" max="14" width="11.42578125" style="169" customWidth="1"/>
    <col min="15" max="17" width="10.85546875" style="169" customWidth="1"/>
    <col min="18" max="16384" width="10.85546875" style="169"/>
  </cols>
  <sheetData>
    <row r="1" spans="1:14" hidden="1"/>
    <row r="2" spans="1:14" hidden="1"/>
    <row r="4" spans="1:14">
      <c r="E4" s="170" t="s">
        <v>364</v>
      </c>
    </row>
    <row r="6" spans="1:14" s="168" customFormat="1" ht="26.25" customHeight="1">
      <c r="B6" s="171" t="s">
        <v>50</v>
      </c>
      <c r="C6" s="172" t="s">
        <v>229</v>
      </c>
      <c r="D6" s="226" t="s">
        <v>191</v>
      </c>
      <c r="E6" s="227" t="s">
        <v>51</v>
      </c>
      <c r="F6" s="172" t="s">
        <v>229</v>
      </c>
      <c r="G6" s="226" t="s">
        <v>191</v>
      </c>
      <c r="H6" s="172" t="s">
        <v>365</v>
      </c>
      <c r="I6" s="172" t="s">
        <v>21</v>
      </c>
      <c r="J6" s="229" t="s">
        <v>368</v>
      </c>
      <c r="K6" s="172" t="s">
        <v>369</v>
      </c>
      <c r="L6" s="226" t="s">
        <v>52</v>
      </c>
      <c r="M6" s="172" t="s">
        <v>227</v>
      </c>
      <c r="N6" s="226" t="s">
        <v>53</v>
      </c>
    </row>
    <row r="7" spans="1:14" s="168" customFormat="1">
      <c r="B7" s="173"/>
      <c r="E7" s="173"/>
      <c r="F7" s="173"/>
      <c r="G7" s="173"/>
    </row>
    <row r="8" spans="1:14" s="175" customFormat="1" ht="15.75">
      <c r="A8" s="174" t="s">
        <v>63</v>
      </c>
      <c r="B8" s="222">
        <f>SUMIF('Crédit Mutuel'!C6:C21,"Recettes",'Crédit Mutuel'!I6:I21)</f>
        <v>0</v>
      </c>
      <c r="C8" s="175">
        <v>41000</v>
      </c>
      <c r="D8" s="175">
        <f>-C8+B8</f>
        <v>-41000</v>
      </c>
      <c r="E8" s="176">
        <f>B8</f>
        <v>0</v>
      </c>
      <c r="F8" s="176">
        <f>C8</f>
        <v>41000</v>
      </c>
      <c r="G8" s="177">
        <f>-F8+E8</f>
        <v>-41000</v>
      </c>
      <c r="H8" s="177">
        <f>Dépenses!C9+Dépenses!C15+Dépenses!C26</f>
        <v>0</v>
      </c>
      <c r="I8" s="175">
        <f>Dépenses!C25</f>
        <v>0</v>
      </c>
      <c r="J8" s="175">
        <f>Dépenses!C7+Dépenses!C8+Dépenses!C10+Dépenses!C11+Dépenses!C19+Dépenses!C22+Dépenses!C23+Dépenses!C27</f>
        <v>0</v>
      </c>
      <c r="K8" s="175">
        <f>Dépenses!C14+Dépenses!C16+Dépenses!C17+Dépenses!C18+Dépenses!C24+Dépenses!C27+Dépenses!C28+Dépenses!C12+Dépenses!C20+Dépenses!C21</f>
        <v>0</v>
      </c>
      <c r="L8" s="178">
        <f t="shared" ref="L8:L13" si="0">H8+I8+J8+K8</f>
        <v>0</v>
      </c>
      <c r="M8" s="178">
        <f>Dépenses!C$13</f>
        <v>0</v>
      </c>
      <c r="N8" s="175">
        <f t="shared" ref="N8:N19" si="1">B8-L8-M8</f>
        <v>0</v>
      </c>
    </row>
    <row r="9" spans="1:14" s="175" customFormat="1" ht="15.75">
      <c r="A9" s="174" t="s">
        <v>64</v>
      </c>
      <c r="B9" s="222">
        <f>SUMIF('Crédit Mutuel'!C23:C29,"Recettes",'Crédit Mutuel'!I23:I29)</f>
        <v>0</v>
      </c>
      <c r="C9" s="175">
        <v>41000</v>
      </c>
      <c r="D9" s="175">
        <f t="shared" ref="D9:D19" si="2">-C9+B9</f>
        <v>-41000</v>
      </c>
      <c r="E9" s="176">
        <f>E8+B9</f>
        <v>0</v>
      </c>
      <c r="F9" s="176">
        <f>C8+C9</f>
        <v>82000</v>
      </c>
      <c r="G9" s="177">
        <f t="shared" ref="G9:G19" si="3">-F9+E9</f>
        <v>-82000</v>
      </c>
      <c r="H9" s="177">
        <f>Dépenses!E$9+Dépenses!E$15++Dépenses!E$26</f>
        <v>0</v>
      </c>
      <c r="I9" s="175">
        <f>Dépenses!E$25</f>
        <v>0</v>
      </c>
      <c r="J9" s="175">
        <f>Dépenses!E$7+Dépenses!E$8+Dépenses!E$10+Dépenses!E$11+Dépenses!E19+Dépenses!E$22+Dépenses!E$23+Dépenses!E27</f>
        <v>0</v>
      </c>
      <c r="K9" s="175">
        <f>Dépenses!E$14+Dépenses!E$16+Dépenses!E$17+Dépenses!E$18+Dépenses!E$24+Dépenses!E$27+Dépenses!E$28+Dépenses!E12+Dépenses!E20+Dépenses!E21</f>
        <v>0</v>
      </c>
      <c r="L9" s="178">
        <f t="shared" si="0"/>
        <v>0</v>
      </c>
      <c r="M9" s="178">
        <f>Dépenses!E$13</f>
        <v>0</v>
      </c>
      <c r="N9" s="175">
        <f t="shared" si="1"/>
        <v>0</v>
      </c>
    </row>
    <row r="10" spans="1:14" s="175" customFormat="1" ht="15.75">
      <c r="A10" s="174" t="s">
        <v>65</v>
      </c>
      <c r="B10" s="222">
        <f>SUMIF('Crédit Mutuel'!C31:C38,"Recettes",'Crédit Mutuel'!I31:I38)</f>
        <v>0</v>
      </c>
      <c r="C10" s="175">
        <v>41000</v>
      </c>
      <c r="D10" s="175">
        <f t="shared" si="2"/>
        <v>-41000</v>
      </c>
      <c r="E10" s="176">
        <f t="shared" ref="E10:E19" si="4">E9+B10</f>
        <v>0</v>
      </c>
      <c r="F10" s="176">
        <f t="shared" ref="F10:F19" si="5">F9+C10</f>
        <v>123000</v>
      </c>
      <c r="G10" s="177">
        <f t="shared" si="3"/>
        <v>-123000</v>
      </c>
      <c r="H10" s="177">
        <f>Dépenses!G$9+Dépenses!G$15+Dépenses!G$26</f>
        <v>0</v>
      </c>
      <c r="I10" s="175">
        <f>Dépenses!G$25</f>
        <v>0</v>
      </c>
      <c r="J10" s="175">
        <f>Dépenses!G$7+Dépenses!G$8+Dépenses!G$10+Dépenses!G$11+Dépenses!G19+Dépenses!G$22+Dépenses!G$23+Dépenses!G27</f>
        <v>0</v>
      </c>
      <c r="K10" s="175">
        <f>Dépenses!G$14+Dépenses!G$16+Dépenses!G$17+Dépenses!G$18+Dépenses!G$24+Dépenses!G$27+Dépenses!G$28+Dépenses!G12+Dépenses!G20+Dépenses!G21</f>
        <v>0</v>
      </c>
      <c r="L10" s="178">
        <f t="shared" si="0"/>
        <v>0</v>
      </c>
      <c r="M10" s="178">
        <f>Dépenses!G$13</f>
        <v>0</v>
      </c>
      <c r="N10" s="175">
        <f t="shared" si="1"/>
        <v>0</v>
      </c>
    </row>
    <row r="11" spans="1:14" s="175" customFormat="1" ht="15.75">
      <c r="A11" s="174" t="s">
        <v>54</v>
      </c>
      <c r="B11" s="222">
        <f>SUMIF('Crédit Mutuel'!C40:C48,"Recettes",'Crédit Mutuel'!I40:I48)</f>
        <v>0</v>
      </c>
      <c r="C11" s="175">
        <v>41000</v>
      </c>
      <c r="D11" s="175">
        <f t="shared" si="2"/>
        <v>-41000</v>
      </c>
      <c r="E11" s="176">
        <f t="shared" si="4"/>
        <v>0</v>
      </c>
      <c r="F11" s="176">
        <f t="shared" si="5"/>
        <v>164000</v>
      </c>
      <c r="G11" s="177">
        <f t="shared" si="3"/>
        <v>-164000</v>
      </c>
      <c r="H11" s="177">
        <f>Dépenses!I$9+Dépenses!I$15+Dépenses!I$26</f>
        <v>0</v>
      </c>
      <c r="I11" s="175">
        <f>Dépenses!I$25</f>
        <v>0</v>
      </c>
      <c r="J11" s="175">
        <f>Dépenses!I$7+Dépenses!I$8+Dépenses!I$10+Dépenses!I$11+Dépenses!I19+Dépenses!I$22+Dépenses!I$23+Dépenses!I27</f>
        <v>0</v>
      </c>
      <c r="K11" s="175">
        <f>Dépenses!I$14+Dépenses!I$16+Dépenses!I$17+Dépenses!I$18+Dépenses!I$24+Dépenses!I$27+Dépenses!I$28+Dépenses!I12+Dépenses!I20+Dépenses!I21</f>
        <v>0</v>
      </c>
      <c r="L11" s="178">
        <f t="shared" si="0"/>
        <v>0</v>
      </c>
      <c r="M11" s="178">
        <f>Dépenses!I$13</f>
        <v>0</v>
      </c>
      <c r="N11" s="175">
        <f t="shared" si="1"/>
        <v>0</v>
      </c>
    </row>
    <row r="12" spans="1:14" s="175" customFormat="1" ht="15.75">
      <c r="A12" s="174" t="s">
        <v>55</v>
      </c>
      <c r="B12" s="222">
        <f>SUMIF('Crédit Mutuel'!C50:C58,"Recettes",'Crédit Mutuel'!I50:I58)</f>
        <v>0</v>
      </c>
      <c r="C12" s="175">
        <v>20000</v>
      </c>
      <c r="D12" s="175">
        <f t="shared" si="2"/>
        <v>-20000</v>
      </c>
      <c r="E12" s="176">
        <f t="shared" si="4"/>
        <v>0</v>
      </c>
      <c r="F12" s="176">
        <f t="shared" si="5"/>
        <v>184000</v>
      </c>
      <c r="G12" s="177">
        <f t="shared" si="3"/>
        <v>-184000</v>
      </c>
      <c r="H12" s="177">
        <f>Dépenses!K$9+Dépenses!K$15+Dépenses!K$26</f>
        <v>0</v>
      </c>
      <c r="I12" s="175">
        <f>Dépenses!K$25</f>
        <v>0</v>
      </c>
      <c r="J12" s="175">
        <f>Dépenses!K$7+Dépenses!K$8+Dépenses!K$10+Dépenses!K$11+Dépenses!K19+Dépenses!K$22+Dépenses!K$23+Dépenses!K27</f>
        <v>0</v>
      </c>
      <c r="K12" s="175">
        <f>Dépenses!K$14+Dépenses!K$16+Dépenses!K$17+Dépenses!K$18+Dépenses!K$24+Dépenses!K$27+Dépenses!K$28+Dépenses!K12+Dépenses!K20+Dépenses!K21</f>
        <v>0</v>
      </c>
      <c r="L12" s="178">
        <f t="shared" si="0"/>
        <v>0</v>
      </c>
      <c r="M12" s="178">
        <f>Dépenses!K$13</f>
        <v>0</v>
      </c>
      <c r="N12" s="175">
        <f t="shared" si="1"/>
        <v>0</v>
      </c>
    </row>
    <row r="13" spans="1:14" s="175" customFormat="1" ht="15.75">
      <c r="A13" s="174" t="s">
        <v>56</v>
      </c>
      <c r="B13" s="222">
        <f>SUMIF('Crédit Mutuel'!C60:C68,"Recettes",'Crédit Mutuel'!I60:I68)</f>
        <v>0</v>
      </c>
      <c r="C13" s="175">
        <v>41000</v>
      </c>
      <c r="D13" s="175">
        <f t="shared" si="2"/>
        <v>-41000</v>
      </c>
      <c r="E13" s="176">
        <f t="shared" si="4"/>
        <v>0</v>
      </c>
      <c r="F13" s="176">
        <f t="shared" si="5"/>
        <v>225000</v>
      </c>
      <c r="G13" s="177">
        <f t="shared" si="3"/>
        <v>-225000</v>
      </c>
      <c r="H13" s="177">
        <f>Dépenses!M$9+Dépenses!M$15+Dépenses!M$26</f>
        <v>0</v>
      </c>
      <c r="I13" s="175">
        <f>Dépenses!M$25</f>
        <v>0</v>
      </c>
      <c r="J13" s="175">
        <f>Dépenses!M$7+Dépenses!M$8+Dépenses!M$10+Dépenses!M$11+Dépenses!M19+Dépenses!M$22+Dépenses!M$23+Dépenses!M27</f>
        <v>0</v>
      </c>
      <c r="K13" s="175">
        <f>Dépenses!M$14+Dépenses!M$16+Dépenses!M$17+Dépenses!M$18+Dépenses!M$24+Dépenses!M$27+Dépenses!M$28+Dépenses!M12+Dépenses!M20+Dépenses!M21</f>
        <v>0</v>
      </c>
      <c r="L13" s="178">
        <f t="shared" si="0"/>
        <v>0</v>
      </c>
      <c r="M13" s="178">
        <f>Dépenses!M$13</f>
        <v>0</v>
      </c>
      <c r="N13" s="175">
        <f t="shared" si="1"/>
        <v>0</v>
      </c>
    </row>
    <row r="14" spans="1:14" s="175" customFormat="1" ht="15.75">
      <c r="A14" s="174" t="s">
        <v>57</v>
      </c>
      <c r="B14" s="222">
        <f>SUMIF('Crédit Mutuel'!C70:C78,"Recettes",'Crédit Mutuel'!I70:I78)</f>
        <v>0</v>
      </c>
      <c r="C14" s="175">
        <v>41000</v>
      </c>
      <c r="D14" s="175">
        <f t="shared" si="2"/>
        <v>-41000</v>
      </c>
      <c r="E14" s="176">
        <f t="shared" si="4"/>
        <v>0</v>
      </c>
      <c r="F14" s="176">
        <f t="shared" si="5"/>
        <v>266000</v>
      </c>
      <c r="G14" s="177">
        <f t="shared" si="3"/>
        <v>-266000</v>
      </c>
      <c r="H14" s="177">
        <f>Dépenses!O$9+Dépenses!O$15+Dépenses!O$26</f>
        <v>0</v>
      </c>
      <c r="I14" s="175">
        <f>Dépenses!O$25</f>
        <v>0</v>
      </c>
      <c r="J14" s="175">
        <f>Dépenses!O$7+Dépenses!O$8+Dépenses!O$10+Dépenses!O$11+Dépenses!O19+Dépenses!O$22+Dépenses!O$23+Dépenses!O27</f>
        <v>0</v>
      </c>
      <c r="K14" s="175">
        <f>Dépenses!O$14+Dépenses!O$16+Dépenses!O$17+Dépenses!O$18+Dépenses!O$24+Dépenses!O$27+Dépenses!O$28+Dépenses!O12+Dépenses!O20+Dépenses!O21</f>
        <v>0</v>
      </c>
      <c r="L14" s="178">
        <f t="shared" ref="L14:L19" si="6">H14+I14+J14+K14</f>
        <v>0</v>
      </c>
      <c r="M14" s="178">
        <f>Dépenses!O$13</f>
        <v>0</v>
      </c>
      <c r="N14" s="175">
        <f t="shared" si="1"/>
        <v>0</v>
      </c>
    </row>
    <row r="15" spans="1:14" s="175" customFormat="1" ht="15.75">
      <c r="A15" s="174" t="s">
        <v>58</v>
      </c>
      <c r="B15" s="222">
        <f>SUMIF('Crédit Mutuel'!C80:C87,"Recettes",'Crédit Mutuel'!I80:I87)</f>
        <v>0</v>
      </c>
      <c r="C15" s="175">
        <v>45000</v>
      </c>
      <c r="D15" s="175">
        <f t="shared" si="2"/>
        <v>-45000</v>
      </c>
      <c r="E15" s="176">
        <f t="shared" si="4"/>
        <v>0</v>
      </c>
      <c r="F15" s="176">
        <f t="shared" si="5"/>
        <v>311000</v>
      </c>
      <c r="G15" s="177">
        <f t="shared" si="3"/>
        <v>-311000</v>
      </c>
      <c r="H15" s="177">
        <f>Dépenses!Q$9+Dépenses!Q$15+Dépenses!Q$26</f>
        <v>0</v>
      </c>
      <c r="I15" s="175">
        <f>Dépenses!Q$25</f>
        <v>0</v>
      </c>
      <c r="J15" s="175">
        <f>Dépenses!Q$7+Dépenses!Q$8+Dépenses!Q$10+Dépenses!Q$11+Dépenses!Q19+Dépenses!Q$22+Dépenses!Q$23+Dépenses!Q27</f>
        <v>0</v>
      </c>
      <c r="K15" s="175">
        <f>Dépenses!Q$14+Dépenses!Q$16+Dépenses!Q$17+Dépenses!Q$18+Dépenses!Q$24+Dépenses!Q$27+Dépenses!Q$28+Dépenses!Q12+Dépenses!Q20+Dépenses!Q21</f>
        <v>0</v>
      </c>
      <c r="L15" s="178">
        <f t="shared" si="6"/>
        <v>0</v>
      </c>
      <c r="M15" s="178">
        <f>Dépenses!Q$13</f>
        <v>0</v>
      </c>
      <c r="N15" s="175">
        <f t="shared" si="1"/>
        <v>0</v>
      </c>
    </row>
    <row r="16" spans="1:14" s="175" customFormat="1" ht="15.75">
      <c r="A16" s="174" t="s">
        <v>59</v>
      </c>
      <c r="B16" s="222">
        <f>SUMIF('Crédit Mutuel'!C89:C97,"Recettes",'Crédit Mutuel'!I89:I97)</f>
        <v>0</v>
      </c>
      <c r="C16" s="175">
        <v>45000</v>
      </c>
      <c r="D16" s="175">
        <f t="shared" si="2"/>
        <v>-45000</v>
      </c>
      <c r="E16" s="176">
        <f t="shared" si="4"/>
        <v>0</v>
      </c>
      <c r="F16" s="176">
        <f t="shared" si="5"/>
        <v>356000</v>
      </c>
      <c r="G16" s="177">
        <f t="shared" si="3"/>
        <v>-356000</v>
      </c>
      <c r="H16" s="177">
        <f>Dépenses!S$9+Dépenses!S$15+Dépenses!S$26</f>
        <v>0</v>
      </c>
      <c r="I16" s="175">
        <f>Dépenses!S$25</f>
        <v>0</v>
      </c>
      <c r="J16" s="175">
        <f>Dépenses!S$7+Dépenses!S$8+Dépenses!S$10+Dépenses!S$11+Dépenses!S19+Dépenses!S$22+Dépenses!S$23+Dépenses!S27</f>
        <v>0</v>
      </c>
      <c r="K16" s="175">
        <f>Dépenses!S$14+Dépenses!S$16+Dépenses!S$17+Dépenses!S$18+Dépenses!S$24+Dépenses!S$27+Dépenses!S$28+Dépenses!S12+Dépenses!S20+Dépenses!S21</f>
        <v>0</v>
      </c>
      <c r="L16" s="178">
        <f t="shared" si="6"/>
        <v>0</v>
      </c>
      <c r="M16" s="178">
        <f>Dépenses!S$13</f>
        <v>0</v>
      </c>
      <c r="N16" s="175">
        <f t="shared" si="1"/>
        <v>0</v>
      </c>
    </row>
    <row r="17" spans="1:15" s="175" customFormat="1" ht="15.75">
      <c r="A17" s="174" t="s">
        <v>60</v>
      </c>
      <c r="B17" s="222">
        <f>SUMIF('Crédit Mutuel'!C99:C107,"Recettes",'Crédit Mutuel'!I99:I107)</f>
        <v>0</v>
      </c>
      <c r="C17" s="175">
        <v>45000</v>
      </c>
      <c r="D17" s="175">
        <f t="shared" si="2"/>
        <v>-45000</v>
      </c>
      <c r="E17" s="176">
        <f t="shared" si="4"/>
        <v>0</v>
      </c>
      <c r="F17" s="176">
        <f t="shared" si="5"/>
        <v>401000</v>
      </c>
      <c r="G17" s="177">
        <f t="shared" si="3"/>
        <v>-401000</v>
      </c>
      <c r="H17" s="177">
        <f>Dépenses!U$9+Dépenses!U$15+Dépenses!U$26</f>
        <v>0</v>
      </c>
      <c r="I17" s="175">
        <f>Dépenses!U$25</f>
        <v>0</v>
      </c>
      <c r="J17" s="175">
        <f>Dépenses!U$7+Dépenses!U$8+Dépenses!U$10+Dépenses!U$11+Dépenses!U19+Dépenses!U$22+Dépenses!U$23+Dépenses!U27</f>
        <v>0</v>
      </c>
      <c r="K17" s="175">
        <f>Dépenses!U$14+Dépenses!U$16+Dépenses!U$17+Dépenses!U$18+Dépenses!U$24+Dépenses!U$27+Dépenses!U$28+Dépenses!U12+Dépenses!U20+Dépenses!U21</f>
        <v>0</v>
      </c>
      <c r="L17" s="178">
        <f t="shared" si="6"/>
        <v>0</v>
      </c>
      <c r="M17" s="178">
        <f>Dépenses!U$13</f>
        <v>0</v>
      </c>
      <c r="N17" s="175">
        <f t="shared" si="1"/>
        <v>0</v>
      </c>
    </row>
    <row r="18" spans="1:15" s="175" customFormat="1" ht="15.75">
      <c r="A18" s="174" t="s">
        <v>61</v>
      </c>
      <c r="B18" s="222">
        <f>SUMIF('Crédit Mutuel'!C109:C118,"Recettes",'Crédit Mutuel'!I109:I118)</f>
        <v>0</v>
      </c>
      <c r="C18" s="175">
        <v>45000</v>
      </c>
      <c r="D18" s="175">
        <f t="shared" si="2"/>
        <v>-45000</v>
      </c>
      <c r="E18" s="176">
        <f t="shared" si="4"/>
        <v>0</v>
      </c>
      <c r="F18" s="176">
        <f t="shared" si="5"/>
        <v>446000</v>
      </c>
      <c r="G18" s="177">
        <f t="shared" si="3"/>
        <v>-446000</v>
      </c>
      <c r="H18" s="177">
        <f>Dépenses!W$9+Dépenses!W$15+Dépenses!W$26</f>
        <v>0</v>
      </c>
      <c r="I18" s="175">
        <f>Dépenses!W$25</f>
        <v>0</v>
      </c>
      <c r="J18" s="175">
        <f>Dépenses!W$7+Dépenses!W$8+Dépenses!W$10+Dépenses!W$11+Dépenses!W19+Dépenses!W$22+Dépenses!W$23+Dépenses!W27</f>
        <v>0</v>
      </c>
      <c r="K18" s="175">
        <f>Dépenses!W$14+Dépenses!W$16+Dépenses!W$17+Dépenses!W$18+Dépenses!W$24+Dépenses!W$27+Dépenses!W$28+Dépenses!W12+Dépenses!W20+Dépenses!W21</f>
        <v>0</v>
      </c>
      <c r="L18" s="178">
        <f t="shared" si="6"/>
        <v>0</v>
      </c>
      <c r="M18" s="178">
        <f>Dépenses!W$13</f>
        <v>0</v>
      </c>
      <c r="N18" s="175">
        <f t="shared" si="1"/>
        <v>0</v>
      </c>
    </row>
    <row r="19" spans="1:15" s="175" customFormat="1" ht="15.75">
      <c r="A19" s="174" t="s">
        <v>62</v>
      </c>
      <c r="B19" s="222">
        <f>SUMIF('Crédit Mutuel'!C120:C129,"Recettes",'Crédit Mutuel'!I120:I129)</f>
        <v>0</v>
      </c>
      <c r="C19" s="175">
        <v>45000</v>
      </c>
      <c r="D19" s="175">
        <f t="shared" si="2"/>
        <v>-45000</v>
      </c>
      <c r="E19" s="176">
        <f t="shared" si="4"/>
        <v>0</v>
      </c>
      <c r="F19" s="176">
        <f t="shared" si="5"/>
        <v>491000</v>
      </c>
      <c r="G19" s="177">
        <f t="shared" si="3"/>
        <v>-491000</v>
      </c>
      <c r="H19" s="177">
        <f>Dépenses!Y$9+Dépenses!Y$15+Dépenses!Y$26</f>
        <v>0</v>
      </c>
      <c r="I19" s="175">
        <f>Dépenses!Y$25</f>
        <v>0</v>
      </c>
      <c r="J19" s="175">
        <f>Dépenses!Y$7+Dépenses!Y$8+Dépenses!Y$10+Dépenses!Y$11+Dépenses!Y19+Dépenses!Y$22+Dépenses!Y$23+Dépenses!Y27</f>
        <v>0</v>
      </c>
      <c r="K19" s="175">
        <f>Dépenses!Y$14+Dépenses!Y$16+Dépenses!Y$17+Dépenses!Y$18+Dépenses!Y$24+Dépenses!Y$27+Dépenses!Y$28+Dépenses!Y12+Dépenses!Y20+Dépenses!Y21</f>
        <v>0</v>
      </c>
      <c r="L19" s="178">
        <f t="shared" si="6"/>
        <v>0</v>
      </c>
      <c r="M19" s="178">
        <f>Dépenses!Y$13</f>
        <v>0</v>
      </c>
      <c r="N19" s="175">
        <f t="shared" si="1"/>
        <v>0</v>
      </c>
    </row>
    <row r="20" spans="1:15" s="170" customFormat="1">
      <c r="A20" s="308" t="s">
        <v>5</v>
      </c>
      <c r="B20" s="309">
        <f>SUM(B8:B19)</f>
        <v>0</v>
      </c>
      <c r="C20" s="310"/>
      <c r="D20" s="310"/>
      <c r="E20" s="310"/>
      <c r="F20" s="310"/>
      <c r="G20" s="310"/>
      <c r="H20" s="311">
        <f t="shared" ref="H20:N20" si="7">SUM(H8:H19)</f>
        <v>0</v>
      </c>
      <c r="I20" s="311">
        <f t="shared" si="7"/>
        <v>0</v>
      </c>
      <c r="J20" s="311">
        <f t="shared" si="7"/>
        <v>0</v>
      </c>
      <c r="K20" s="311">
        <f t="shared" si="7"/>
        <v>0</v>
      </c>
      <c r="L20" s="312">
        <f t="shared" si="7"/>
        <v>0</v>
      </c>
      <c r="M20" s="312">
        <f t="shared" si="7"/>
        <v>0</v>
      </c>
      <c r="N20" s="313">
        <f t="shared" si="7"/>
        <v>0</v>
      </c>
      <c r="O20" s="177" t="s">
        <v>228</v>
      </c>
    </row>
    <row r="21" spans="1:15" s="175" customFormat="1" ht="15.75">
      <c r="A21" s="224"/>
      <c r="B21" s="225"/>
      <c r="E21" s="176"/>
      <c r="F21" s="176"/>
      <c r="G21" s="176"/>
      <c r="L21" s="230"/>
      <c r="M21" s="178"/>
    </row>
    <row r="22" spans="1:15" s="231" customFormat="1">
      <c r="A22" s="223" t="s">
        <v>66</v>
      </c>
      <c r="B22" s="232">
        <f t="shared" ref="B22:M22" si="8">AVERAGE(B8:B19)</f>
        <v>0</v>
      </c>
      <c r="C22" s="228">
        <f t="shared" si="8"/>
        <v>40916.666666666664</v>
      </c>
      <c r="D22" s="233">
        <f t="shared" si="8"/>
        <v>-40916.666666666664</v>
      </c>
      <c r="E22" s="232">
        <f t="shared" si="8"/>
        <v>0</v>
      </c>
      <c r="F22" s="179">
        <f t="shared" si="8"/>
        <v>257500</v>
      </c>
      <c r="G22" s="233">
        <f t="shared" si="8"/>
        <v>-257500</v>
      </c>
      <c r="H22" s="180">
        <f t="shared" si="8"/>
        <v>0</v>
      </c>
      <c r="I22" s="180">
        <f t="shared" si="8"/>
        <v>0</v>
      </c>
      <c r="J22" s="180">
        <f t="shared" si="8"/>
        <v>0</v>
      </c>
      <c r="K22" s="180">
        <f t="shared" si="8"/>
        <v>0</v>
      </c>
      <c r="L22" s="234">
        <f t="shared" si="8"/>
        <v>0</v>
      </c>
      <c r="M22" s="234">
        <f t="shared" si="8"/>
        <v>0</v>
      </c>
    </row>
    <row r="23" spans="1:15">
      <c r="B23" s="181"/>
    </row>
    <row r="25" spans="1:15">
      <c r="H25" s="182"/>
    </row>
    <row r="26" spans="1:15">
      <c r="C26" s="183"/>
      <c r="D26" s="183"/>
      <c r="H26" s="175"/>
    </row>
    <row r="27" spans="1:15">
      <c r="H27" s="175"/>
    </row>
    <row r="28" spans="1:15">
      <c r="H28" s="175"/>
    </row>
    <row r="29" spans="1:15">
      <c r="H29" s="175"/>
    </row>
    <row r="30" spans="1:15">
      <c r="H30" s="175"/>
    </row>
    <row r="31" spans="1:15">
      <c r="H31" s="175"/>
    </row>
    <row r="32" spans="1:15">
      <c r="H32" s="175"/>
    </row>
    <row r="33" spans="8:9">
      <c r="H33" s="175"/>
    </row>
    <row r="34" spans="8:9">
      <c r="H34" s="175"/>
    </row>
    <row r="35" spans="8:9">
      <c r="H35" s="175"/>
    </row>
    <row r="36" spans="8:9">
      <c r="H36" s="175"/>
    </row>
    <row r="37" spans="8:9">
      <c r="H37" s="175"/>
    </row>
    <row r="38" spans="8:9">
      <c r="H38" s="184"/>
    </row>
    <row r="40" spans="8:9">
      <c r="H40" s="176"/>
      <c r="I40" s="170"/>
    </row>
    <row r="41" spans="8:9">
      <c r="H41" s="175"/>
    </row>
  </sheetData>
  <conditionalFormatting sqref="N8:N19">
    <cfRule type="cellIs" dxfId="9" priority="10" operator="lessThan">
      <formula>0</formula>
    </cfRule>
  </conditionalFormatting>
  <conditionalFormatting sqref="N20">
    <cfRule type="cellIs" dxfId="8" priority="9" operator="lessThan">
      <formula>0</formula>
    </cfRule>
  </conditionalFormatting>
  <conditionalFormatting sqref="G8:G19">
    <cfRule type="cellIs" dxfId="7" priority="5" operator="lessThan">
      <formula>0</formula>
    </cfRule>
    <cfRule type="cellIs" dxfId="6" priority="8" operator="lessThan">
      <formula>0</formula>
    </cfRule>
  </conditionalFormatting>
  <conditionalFormatting sqref="D8:D19">
    <cfRule type="cellIs" dxfId="5" priority="6" operator="lessThan">
      <formula>0</formula>
    </cfRule>
    <cfRule type="cellIs" dxfId="4" priority="7" operator="lessThan">
      <formula>-32500</formula>
    </cfRule>
  </conditionalFormatting>
  <conditionalFormatting sqref="N20 P21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O20">
    <cfRule type="cellIs" dxfId="1" priority="1" operator="greaterThan">
      <formula>$N$20&gt;0</formula>
    </cfRule>
  </conditionalFormatting>
  <pageMargins left="0" right="0" top="0.98425196850393704" bottom="0.98425196850393704" header="0.51181102362204722" footer="0.51181102362204722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AL515"/>
  <sheetViews>
    <sheetView zoomScaleNormal="100" workbookViewId="0">
      <pane xSplit="4365" topLeftCell="C1" activePane="topRight"/>
      <selection activeCell="B29" sqref="B29"/>
      <selection pane="topRight" activeCell="E28" sqref="E28"/>
    </sheetView>
  </sheetViews>
  <sheetFormatPr baseColWidth="10" defaultColWidth="10.85546875" defaultRowHeight="15.75"/>
  <cols>
    <col min="1" max="1" width="3" style="23" customWidth="1"/>
    <col min="2" max="2" width="34.85546875" style="463" customWidth="1"/>
    <col min="3" max="3" width="12.42578125" style="26" customWidth="1"/>
    <col min="4" max="4" width="11.5703125" style="25" customWidth="1"/>
    <col min="5" max="5" width="16.28515625" style="453" customWidth="1"/>
    <col min="6" max="7" width="11.5703125" style="26" customWidth="1"/>
    <col min="8" max="8" width="16.28515625" style="26" customWidth="1"/>
    <col min="9" max="10" width="11.5703125" style="26" customWidth="1"/>
    <col min="11" max="11" width="16.28515625" style="26" customWidth="1"/>
    <col min="12" max="13" width="11.5703125" style="26" customWidth="1"/>
    <col min="14" max="14" width="16.28515625" style="26" customWidth="1"/>
    <col min="15" max="16" width="11.5703125" style="26" customWidth="1"/>
    <col min="17" max="17" width="16.28515625" style="26" customWidth="1"/>
    <col min="18" max="19" width="11.5703125" style="26" customWidth="1"/>
    <col min="20" max="20" width="16.28515625" style="26" customWidth="1"/>
    <col min="21" max="22" width="11.5703125" style="26" customWidth="1"/>
    <col min="23" max="23" width="16.28515625" style="26" customWidth="1"/>
    <col min="24" max="25" width="11.5703125" style="26" customWidth="1"/>
    <col min="26" max="26" width="16.28515625" style="26" customWidth="1"/>
    <col min="27" max="28" width="11.5703125" style="26" customWidth="1"/>
    <col min="29" max="29" width="16.28515625" style="26" customWidth="1"/>
    <col min="30" max="31" width="10.85546875" style="26"/>
    <col min="32" max="32" width="16.28515625" style="26" customWidth="1"/>
    <col min="33" max="34" width="10.85546875" style="26"/>
    <col min="35" max="35" width="16.28515625" style="26" customWidth="1"/>
    <col min="36" max="37" width="10.85546875" style="26"/>
    <col min="38" max="38" width="16.28515625" style="26" customWidth="1"/>
    <col min="39" max="16384" width="10.85546875" style="26"/>
  </cols>
  <sheetData>
    <row r="2" spans="1:38">
      <c r="B2" s="452" t="s">
        <v>414</v>
      </c>
    </row>
    <row r="3" spans="1:38" s="28" customFormat="1" ht="23.25" customHeight="1">
      <c r="A3" s="27"/>
      <c r="C3" s="454" t="s">
        <v>415</v>
      </c>
      <c r="D3" s="455" t="s">
        <v>416</v>
      </c>
      <c r="E3" s="456"/>
      <c r="F3" s="465"/>
      <c r="G3" s="465"/>
      <c r="H3" s="465"/>
      <c r="I3" s="465"/>
      <c r="J3" s="465"/>
      <c r="K3" s="465"/>
      <c r="L3" s="465"/>
      <c r="M3" s="465"/>
      <c r="N3" s="465"/>
      <c r="O3" s="465"/>
      <c r="P3" s="465"/>
      <c r="Q3" s="465"/>
      <c r="R3" s="465"/>
      <c r="S3" s="465"/>
      <c r="T3" s="465"/>
      <c r="U3" s="465"/>
      <c r="V3" s="465"/>
      <c r="W3" s="465"/>
      <c r="X3" s="465"/>
      <c r="Y3" s="465"/>
      <c r="Z3" s="465"/>
      <c r="AA3" s="465"/>
      <c r="AB3" s="465"/>
    </row>
    <row r="4" spans="1:38" s="30" customFormat="1" ht="24.75" customHeight="1">
      <c r="A4" s="29"/>
      <c r="C4" s="488">
        <v>42736</v>
      </c>
      <c r="D4" s="490"/>
      <c r="E4" s="490"/>
      <c r="F4" s="488">
        <v>42767</v>
      </c>
      <c r="G4" s="490"/>
      <c r="H4" s="490"/>
      <c r="I4" s="488">
        <v>42795</v>
      </c>
      <c r="J4" s="490"/>
      <c r="K4" s="490"/>
      <c r="L4" s="488">
        <v>42826</v>
      </c>
      <c r="M4" s="490"/>
      <c r="N4" s="490"/>
      <c r="O4" s="488">
        <v>42856</v>
      </c>
      <c r="P4" s="490"/>
      <c r="Q4" s="490"/>
      <c r="R4" s="488">
        <v>42887</v>
      </c>
      <c r="S4" s="490"/>
      <c r="T4" s="490"/>
      <c r="U4" s="488">
        <v>42917</v>
      </c>
      <c r="V4" s="490"/>
      <c r="W4" s="490"/>
      <c r="X4" s="488">
        <v>42948</v>
      </c>
      <c r="Y4" s="490"/>
      <c r="Z4" s="490"/>
      <c r="AA4" s="488">
        <v>42979</v>
      </c>
      <c r="AB4" s="490"/>
      <c r="AC4" s="490"/>
      <c r="AD4" s="488">
        <v>43009</v>
      </c>
      <c r="AE4" s="490"/>
      <c r="AF4" s="490"/>
      <c r="AG4" s="488">
        <v>43040</v>
      </c>
      <c r="AH4" s="490"/>
      <c r="AI4" s="490"/>
      <c r="AJ4" s="488">
        <v>43070</v>
      </c>
      <c r="AK4" s="490"/>
      <c r="AL4" s="490"/>
    </row>
    <row r="5" spans="1:38" s="30" customFormat="1" ht="24.75" customHeight="1">
      <c r="A5" s="29"/>
      <c r="B5" s="457" t="s">
        <v>338</v>
      </c>
      <c r="C5" s="215">
        <f>SUM(C8:C32)</f>
        <v>0</v>
      </c>
      <c r="D5" s="218">
        <f>SUM(D7:D32)</f>
        <v>0</v>
      </c>
      <c r="E5" s="464" t="s">
        <v>417</v>
      </c>
      <c r="F5" s="215">
        <f>SUM(F8:F32)</f>
        <v>0</v>
      </c>
      <c r="G5" s="218">
        <f>SUM(G7:G32)</f>
        <v>0</v>
      </c>
      <c r="H5" s="464" t="s">
        <v>417</v>
      </c>
      <c r="I5" s="215">
        <f>SUM(I8:I32)</f>
        <v>0</v>
      </c>
      <c r="J5" s="218">
        <f>SUM(J7:J32)</f>
        <v>0</v>
      </c>
      <c r="K5" s="464" t="s">
        <v>417</v>
      </c>
      <c r="L5" s="215">
        <f>SUM(L8:L32)</f>
        <v>0</v>
      </c>
      <c r="M5" s="218">
        <f>SUM(M7:M32)</f>
        <v>0</v>
      </c>
      <c r="N5" s="464" t="s">
        <v>417</v>
      </c>
      <c r="O5" s="215">
        <f>SUM(O8:O32)</f>
        <v>0</v>
      </c>
      <c r="P5" s="218">
        <f>SUM(P7:P32)</f>
        <v>0</v>
      </c>
      <c r="Q5" s="464" t="s">
        <v>417</v>
      </c>
      <c r="R5" s="215">
        <f>SUM(R8:R32)</f>
        <v>0</v>
      </c>
      <c r="S5" s="218">
        <f>SUM(S7:S32)</f>
        <v>0</v>
      </c>
      <c r="T5" s="464" t="s">
        <v>417</v>
      </c>
      <c r="U5" s="215">
        <f>SUM(U8:U32)</f>
        <v>0</v>
      </c>
      <c r="V5" s="218">
        <f>SUM(V7:V32)</f>
        <v>0</v>
      </c>
      <c r="W5" s="464" t="s">
        <v>417</v>
      </c>
      <c r="X5" s="215">
        <f>SUM(X8:X32)</f>
        <v>0</v>
      </c>
      <c r="Y5" s="218">
        <f>SUM(Y7:Y32)</f>
        <v>0</v>
      </c>
      <c r="Z5" s="464" t="s">
        <v>417</v>
      </c>
      <c r="AA5" s="215">
        <f>SUM(AA8:AA32)</f>
        <v>0</v>
      </c>
      <c r="AB5" s="218">
        <f>SUM(AB7:AB32)</f>
        <v>0</v>
      </c>
      <c r="AC5" s="464" t="s">
        <v>417</v>
      </c>
      <c r="AD5" s="215">
        <f>SUM(AD8:AD32)</f>
        <v>0</v>
      </c>
      <c r="AE5" s="218">
        <f>SUM(AE7:AE32)</f>
        <v>0</v>
      </c>
      <c r="AF5" s="464" t="s">
        <v>417</v>
      </c>
      <c r="AG5" s="215">
        <f>SUM(AG8:AG32)</f>
        <v>0</v>
      </c>
      <c r="AH5" s="218">
        <f>SUM(AH7:AH32)</f>
        <v>0</v>
      </c>
      <c r="AI5" s="464" t="s">
        <v>417</v>
      </c>
      <c r="AJ5" s="215">
        <f>SUM(AJ8:AJ32)</f>
        <v>0</v>
      </c>
      <c r="AK5" s="218">
        <f>SUM(AK7:AK32)</f>
        <v>0</v>
      </c>
      <c r="AL5" s="464" t="s">
        <v>417</v>
      </c>
    </row>
    <row r="6" spans="1:38" ht="15">
      <c r="B6" s="26"/>
      <c r="C6" s="31"/>
      <c r="D6" s="24"/>
      <c r="E6" s="458"/>
    </row>
    <row r="7" spans="1:38">
      <c r="B7" s="459" t="s">
        <v>109</v>
      </c>
      <c r="C7" s="469"/>
      <c r="D7" s="466"/>
      <c r="E7" s="472"/>
      <c r="F7" s="469"/>
      <c r="G7" s="466"/>
      <c r="H7" s="472"/>
      <c r="I7" s="469"/>
      <c r="J7" s="466"/>
      <c r="K7" s="472"/>
      <c r="L7" s="469"/>
      <c r="M7" s="466"/>
      <c r="N7" s="472"/>
      <c r="O7" s="469"/>
      <c r="P7" s="466"/>
      <c r="Q7" s="472"/>
      <c r="R7" s="469"/>
      <c r="S7" s="466"/>
      <c r="T7" s="472"/>
      <c r="U7" s="469"/>
      <c r="V7" s="466"/>
      <c r="W7" s="472"/>
      <c r="X7" s="469"/>
      <c r="Y7" s="466"/>
      <c r="Z7" s="472"/>
      <c r="AA7" s="469"/>
      <c r="AB7" s="466"/>
      <c r="AC7" s="472"/>
      <c r="AD7" s="469"/>
      <c r="AE7" s="466"/>
      <c r="AF7" s="472"/>
      <c r="AG7" s="469"/>
      <c r="AH7" s="466"/>
      <c r="AI7" s="472"/>
      <c r="AJ7" s="469"/>
      <c r="AK7" s="466"/>
      <c r="AL7" s="472"/>
    </row>
    <row r="8" spans="1:38">
      <c r="B8" s="459" t="s">
        <v>91</v>
      </c>
      <c r="C8" s="470"/>
      <c r="D8" s="467"/>
      <c r="E8" s="460"/>
      <c r="F8" s="470"/>
      <c r="G8" s="467"/>
      <c r="H8" s="460"/>
      <c r="I8" s="470"/>
      <c r="J8" s="467"/>
      <c r="K8" s="460"/>
      <c r="L8" s="470"/>
      <c r="M8" s="467"/>
      <c r="N8" s="460"/>
      <c r="O8" s="470"/>
      <c r="P8" s="467"/>
      <c r="Q8" s="460"/>
      <c r="R8" s="470"/>
      <c r="S8" s="467"/>
      <c r="T8" s="460"/>
      <c r="U8" s="470"/>
      <c r="V8" s="467"/>
      <c r="W8" s="460"/>
      <c r="X8" s="470"/>
      <c r="Y8" s="467"/>
      <c r="Z8" s="460"/>
      <c r="AA8" s="470"/>
      <c r="AB8" s="467"/>
      <c r="AC8" s="460"/>
      <c r="AD8" s="470"/>
      <c r="AE8" s="467"/>
      <c r="AF8" s="460"/>
      <c r="AG8" s="470"/>
      <c r="AH8" s="467"/>
      <c r="AI8" s="460"/>
      <c r="AJ8" s="470"/>
      <c r="AK8" s="467"/>
      <c r="AL8" s="460"/>
    </row>
    <row r="9" spans="1:38">
      <c r="B9" s="459" t="s">
        <v>82</v>
      </c>
      <c r="C9" s="470"/>
      <c r="D9" s="467"/>
      <c r="E9" s="460"/>
      <c r="F9" s="470"/>
      <c r="G9" s="467"/>
      <c r="H9" s="460"/>
      <c r="I9" s="470"/>
      <c r="J9" s="467"/>
      <c r="K9" s="460"/>
      <c r="L9" s="470"/>
      <c r="M9" s="467"/>
      <c r="N9" s="460"/>
      <c r="O9" s="470"/>
      <c r="P9" s="467"/>
      <c r="Q9" s="460"/>
      <c r="R9" s="470"/>
      <c r="S9" s="467"/>
      <c r="T9" s="460"/>
      <c r="U9" s="470"/>
      <c r="V9" s="467"/>
      <c r="W9" s="460"/>
      <c r="X9" s="470"/>
      <c r="Y9" s="467"/>
      <c r="Z9" s="460"/>
      <c r="AA9" s="470"/>
      <c r="AB9" s="467"/>
      <c r="AC9" s="460"/>
      <c r="AD9" s="470"/>
      <c r="AE9" s="467"/>
      <c r="AF9" s="460"/>
      <c r="AG9" s="470"/>
      <c r="AH9" s="467"/>
      <c r="AI9" s="460"/>
      <c r="AJ9" s="470"/>
      <c r="AK9" s="467"/>
      <c r="AL9" s="460"/>
    </row>
    <row r="10" spans="1:38">
      <c r="B10" s="459" t="s">
        <v>256</v>
      </c>
      <c r="C10" s="470"/>
      <c r="D10" s="467"/>
      <c r="E10" s="460"/>
      <c r="F10" s="470"/>
      <c r="G10" s="467"/>
      <c r="H10" s="460"/>
      <c r="I10" s="470"/>
      <c r="J10" s="467"/>
      <c r="K10" s="460"/>
      <c r="L10" s="470"/>
      <c r="M10" s="467"/>
      <c r="N10" s="460"/>
      <c r="O10" s="470"/>
      <c r="P10" s="467"/>
      <c r="Q10" s="460"/>
      <c r="R10" s="470"/>
      <c r="S10" s="467"/>
      <c r="T10" s="460"/>
      <c r="U10" s="470"/>
      <c r="V10" s="467"/>
      <c r="W10" s="460"/>
      <c r="X10" s="470"/>
      <c r="Y10" s="467"/>
      <c r="Z10" s="460"/>
      <c r="AA10" s="470"/>
      <c r="AB10" s="467"/>
      <c r="AC10" s="460"/>
      <c r="AD10" s="470"/>
      <c r="AE10" s="467"/>
      <c r="AF10" s="460"/>
      <c r="AG10" s="470"/>
      <c r="AH10" s="467"/>
      <c r="AI10" s="460"/>
      <c r="AJ10" s="470"/>
      <c r="AK10" s="467"/>
      <c r="AL10" s="460"/>
    </row>
    <row r="11" spans="1:38">
      <c r="B11" s="459" t="s">
        <v>75</v>
      </c>
      <c r="C11" s="470"/>
      <c r="D11" s="467"/>
      <c r="E11" s="460"/>
      <c r="F11" s="470"/>
      <c r="G11" s="467"/>
      <c r="H11" s="460"/>
      <c r="I11" s="470"/>
      <c r="J11" s="467"/>
      <c r="K11" s="460"/>
      <c r="L11" s="470"/>
      <c r="M11" s="467"/>
      <c r="N11" s="460"/>
      <c r="O11" s="470"/>
      <c r="P11" s="467"/>
      <c r="Q11" s="460"/>
      <c r="R11" s="470"/>
      <c r="S11" s="467"/>
      <c r="T11" s="460"/>
      <c r="U11" s="470"/>
      <c r="V11" s="467"/>
      <c r="W11" s="460"/>
      <c r="X11" s="470"/>
      <c r="Y11" s="467"/>
      <c r="Z11" s="460"/>
      <c r="AA11" s="470"/>
      <c r="AB11" s="467"/>
      <c r="AC11" s="460"/>
      <c r="AD11" s="470"/>
      <c r="AE11" s="467"/>
      <c r="AF11" s="460"/>
      <c r="AG11" s="470"/>
      <c r="AH11" s="467"/>
      <c r="AI11" s="460"/>
      <c r="AJ11" s="470"/>
      <c r="AK11" s="467"/>
      <c r="AL11" s="460"/>
    </row>
    <row r="12" spans="1:38">
      <c r="B12" s="459" t="s">
        <v>96</v>
      </c>
      <c r="C12" s="470"/>
      <c r="D12" s="467"/>
      <c r="E12" s="460"/>
      <c r="F12" s="470"/>
      <c r="G12" s="467"/>
      <c r="H12" s="460"/>
      <c r="I12" s="470"/>
      <c r="J12" s="467"/>
      <c r="K12" s="460"/>
      <c r="L12" s="470"/>
      <c r="M12" s="467"/>
      <c r="N12" s="460"/>
      <c r="O12" s="470"/>
      <c r="P12" s="467"/>
      <c r="Q12" s="460"/>
      <c r="R12" s="470"/>
      <c r="S12" s="467"/>
      <c r="T12" s="460"/>
      <c r="U12" s="470"/>
      <c r="V12" s="467"/>
      <c r="W12" s="460"/>
      <c r="X12" s="470"/>
      <c r="Y12" s="467"/>
      <c r="Z12" s="460"/>
      <c r="AA12" s="470"/>
      <c r="AB12" s="467"/>
      <c r="AC12" s="460"/>
      <c r="AD12" s="470"/>
      <c r="AE12" s="467"/>
      <c r="AF12" s="460"/>
      <c r="AG12" s="470"/>
      <c r="AH12" s="467"/>
      <c r="AI12" s="460"/>
      <c r="AJ12" s="470"/>
      <c r="AK12" s="467"/>
      <c r="AL12" s="460"/>
    </row>
    <row r="13" spans="1:38">
      <c r="B13" s="459" t="s">
        <v>219</v>
      </c>
      <c r="C13" s="470"/>
      <c r="D13" s="467"/>
      <c r="E13" s="460"/>
      <c r="F13" s="470"/>
      <c r="G13" s="467"/>
      <c r="H13" s="460"/>
      <c r="I13" s="470"/>
      <c r="J13" s="467"/>
      <c r="K13" s="460"/>
      <c r="L13" s="470"/>
      <c r="M13" s="467"/>
      <c r="N13" s="460"/>
      <c r="O13" s="470"/>
      <c r="P13" s="467"/>
      <c r="Q13" s="460"/>
      <c r="R13" s="470"/>
      <c r="S13" s="467"/>
      <c r="T13" s="460"/>
      <c r="U13" s="470"/>
      <c r="V13" s="467"/>
      <c r="W13" s="460"/>
      <c r="X13" s="470"/>
      <c r="Y13" s="467"/>
      <c r="Z13" s="460"/>
      <c r="AA13" s="470"/>
      <c r="AB13" s="467"/>
      <c r="AC13" s="460"/>
      <c r="AD13" s="470"/>
      <c r="AE13" s="467"/>
      <c r="AF13" s="460"/>
      <c r="AG13" s="470"/>
      <c r="AH13" s="467"/>
      <c r="AI13" s="460"/>
      <c r="AJ13" s="470"/>
      <c r="AK13" s="467"/>
      <c r="AL13" s="460"/>
    </row>
    <row r="14" spans="1:38">
      <c r="B14" s="461" t="s">
        <v>305</v>
      </c>
      <c r="C14" s="470"/>
      <c r="D14" s="467"/>
      <c r="E14" s="460"/>
      <c r="F14" s="470"/>
      <c r="G14" s="467"/>
      <c r="H14" s="460"/>
      <c r="I14" s="470"/>
      <c r="J14" s="467"/>
      <c r="K14" s="460"/>
      <c r="L14" s="470"/>
      <c r="M14" s="467"/>
      <c r="N14" s="460"/>
      <c r="O14" s="470"/>
      <c r="P14" s="467"/>
      <c r="Q14" s="460"/>
      <c r="R14" s="470"/>
      <c r="S14" s="467"/>
      <c r="T14" s="460"/>
      <c r="U14" s="470"/>
      <c r="V14" s="467"/>
      <c r="W14" s="460"/>
      <c r="X14" s="470"/>
      <c r="Y14" s="467"/>
      <c r="Z14" s="460"/>
      <c r="AA14" s="470"/>
      <c r="AB14" s="467"/>
      <c r="AC14" s="460"/>
      <c r="AD14" s="470"/>
      <c r="AE14" s="467"/>
      <c r="AF14" s="460"/>
      <c r="AG14" s="470"/>
      <c r="AH14" s="467"/>
      <c r="AI14" s="460"/>
      <c r="AJ14" s="470"/>
      <c r="AK14" s="467"/>
      <c r="AL14" s="460"/>
    </row>
    <row r="15" spans="1:38">
      <c r="B15" s="459" t="s">
        <v>268</v>
      </c>
      <c r="C15" s="470"/>
      <c r="D15" s="467"/>
      <c r="E15" s="460"/>
      <c r="F15" s="470"/>
      <c r="G15" s="467"/>
      <c r="H15" s="460"/>
      <c r="I15" s="470"/>
      <c r="J15" s="467"/>
      <c r="K15" s="460"/>
      <c r="L15" s="470"/>
      <c r="M15" s="467"/>
      <c r="N15" s="460"/>
      <c r="O15" s="470"/>
      <c r="P15" s="467"/>
      <c r="Q15" s="460"/>
      <c r="R15" s="470"/>
      <c r="S15" s="467"/>
      <c r="T15" s="460"/>
      <c r="U15" s="470"/>
      <c r="V15" s="467"/>
      <c r="W15" s="460"/>
      <c r="X15" s="470"/>
      <c r="Y15" s="467"/>
      <c r="Z15" s="460"/>
      <c r="AA15" s="470"/>
      <c r="AB15" s="467"/>
      <c r="AC15" s="460"/>
      <c r="AD15" s="470"/>
      <c r="AE15" s="467"/>
      <c r="AF15" s="460"/>
      <c r="AG15" s="470"/>
      <c r="AH15" s="467"/>
      <c r="AI15" s="460"/>
      <c r="AJ15" s="470"/>
      <c r="AK15" s="467"/>
      <c r="AL15" s="460"/>
    </row>
    <row r="16" spans="1:38">
      <c r="B16" s="459" t="s">
        <v>89</v>
      </c>
      <c r="C16" s="470"/>
      <c r="D16" s="467"/>
      <c r="E16" s="460"/>
      <c r="F16" s="470"/>
      <c r="G16" s="467"/>
      <c r="H16" s="460"/>
      <c r="I16" s="470"/>
      <c r="J16" s="467"/>
      <c r="K16" s="460"/>
      <c r="L16" s="470"/>
      <c r="M16" s="467"/>
      <c r="N16" s="460"/>
      <c r="O16" s="470"/>
      <c r="P16" s="467"/>
      <c r="Q16" s="460"/>
      <c r="R16" s="470"/>
      <c r="S16" s="467"/>
      <c r="T16" s="460"/>
      <c r="U16" s="470"/>
      <c r="V16" s="467"/>
      <c r="W16" s="460"/>
      <c r="X16" s="470"/>
      <c r="Y16" s="467"/>
      <c r="Z16" s="460"/>
      <c r="AA16" s="470"/>
      <c r="AB16" s="467"/>
      <c r="AC16" s="460"/>
      <c r="AD16" s="470"/>
      <c r="AE16" s="467"/>
      <c r="AF16" s="460"/>
      <c r="AG16" s="470"/>
      <c r="AH16" s="467"/>
      <c r="AI16" s="460"/>
      <c r="AJ16" s="470"/>
      <c r="AK16" s="467"/>
      <c r="AL16" s="460"/>
    </row>
    <row r="17" spans="2:38">
      <c r="B17" s="459" t="s">
        <v>238</v>
      </c>
      <c r="C17" s="470"/>
      <c r="D17" s="467"/>
      <c r="E17" s="460"/>
      <c r="F17" s="470"/>
      <c r="G17" s="467"/>
      <c r="H17" s="460"/>
      <c r="I17" s="470"/>
      <c r="J17" s="467"/>
      <c r="K17" s="460"/>
      <c r="L17" s="470"/>
      <c r="M17" s="467"/>
      <c r="N17" s="460"/>
      <c r="O17" s="470"/>
      <c r="P17" s="467"/>
      <c r="Q17" s="460"/>
      <c r="R17" s="470"/>
      <c r="S17" s="467"/>
      <c r="T17" s="460"/>
      <c r="U17" s="470"/>
      <c r="V17" s="467"/>
      <c r="W17" s="460"/>
      <c r="X17" s="470"/>
      <c r="Y17" s="467"/>
      <c r="Z17" s="460"/>
      <c r="AA17" s="470"/>
      <c r="AB17" s="467"/>
      <c r="AC17" s="460"/>
      <c r="AD17" s="470"/>
      <c r="AE17" s="467"/>
      <c r="AF17" s="460"/>
      <c r="AG17" s="470"/>
      <c r="AH17" s="467"/>
      <c r="AI17" s="460"/>
      <c r="AJ17" s="470"/>
      <c r="AK17" s="467"/>
      <c r="AL17" s="460"/>
    </row>
    <row r="18" spans="2:38">
      <c r="B18" s="459" t="s">
        <v>235</v>
      </c>
      <c r="C18" s="470"/>
      <c r="D18" s="467"/>
      <c r="E18" s="460"/>
      <c r="F18" s="470"/>
      <c r="G18" s="467"/>
      <c r="H18" s="460"/>
      <c r="I18" s="470"/>
      <c r="J18" s="467"/>
      <c r="K18" s="460"/>
      <c r="L18" s="470"/>
      <c r="M18" s="467"/>
      <c r="N18" s="460"/>
      <c r="O18" s="470"/>
      <c r="P18" s="467"/>
      <c r="Q18" s="460"/>
      <c r="R18" s="470"/>
      <c r="S18" s="467"/>
      <c r="T18" s="460"/>
      <c r="U18" s="470"/>
      <c r="V18" s="467"/>
      <c r="W18" s="460"/>
      <c r="X18" s="470"/>
      <c r="Y18" s="467"/>
      <c r="Z18" s="460"/>
      <c r="AA18" s="470"/>
      <c r="AB18" s="467"/>
      <c r="AC18" s="460"/>
      <c r="AD18" s="470"/>
      <c r="AE18" s="467"/>
      <c r="AF18" s="460"/>
      <c r="AG18" s="470"/>
      <c r="AH18" s="467"/>
      <c r="AI18" s="460"/>
      <c r="AJ18" s="470"/>
      <c r="AK18" s="467"/>
      <c r="AL18" s="460"/>
    </row>
    <row r="19" spans="2:38">
      <c r="B19" s="459" t="s">
        <v>224</v>
      </c>
      <c r="C19" s="470"/>
      <c r="D19" s="467"/>
      <c r="E19" s="460"/>
      <c r="F19" s="470"/>
      <c r="G19" s="467"/>
      <c r="H19" s="460"/>
      <c r="I19" s="470"/>
      <c r="J19" s="467"/>
      <c r="K19" s="460"/>
      <c r="L19" s="470"/>
      <c r="M19" s="467"/>
      <c r="N19" s="460"/>
      <c r="O19" s="470"/>
      <c r="P19" s="467"/>
      <c r="Q19" s="460"/>
      <c r="R19" s="470"/>
      <c r="S19" s="467"/>
      <c r="T19" s="460"/>
      <c r="U19" s="470"/>
      <c r="V19" s="467"/>
      <c r="W19" s="460"/>
      <c r="X19" s="470"/>
      <c r="Y19" s="467"/>
      <c r="Z19" s="460"/>
      <c r="AA19" s="470"/>
      <c r="AB19" s="467"/>
      <c r="AC19" s="460"/>
      <c r="AD19" s="470"/>
      <c r="AE19" s="467"/>
      <c r="AF19" s="460"/>
      <c r="AG19" s="470"/>
      <c r="AH19" s="467"/>
      <c r="AI19" s="460"/>
      <c r="AJ19" s="470"/>
      <c r="AK19" s="467"/>
      <c r="AL19" s="460"/>
    </row>
    <row r="20" spans="2:38">
      <c r="B20" s="459" t="s">
        <v>198</v>
      </c>
      <c r="C20" s="470"/>
      <c r="D20" s="467"/>
      <c r="E20" s="460"/>
      <c r="F20" s="470"/>
      <c r="G20" s="467"/>
      <c r="H20" s="460"/>
      <c r="I20" s="470"/>
      <c r="J20" s="467"/>
      <c r="K20" s="460"/>
      <c r="L20" s="470"/>
      <c r="M20" s="467"/>
      <c r="N20" s="460"/>
      <c r="O20" s="470"/>
      <c r="P20" s="467"/>
      <c r="Q20" s="460"/>
      <c r="R20" s="470"/>
      <c r="S20" s="467"/>
      <c r="T20" s="460"/>
      <c r="U20" s="470"/>
      <c r="V20" s="467"/>
      <c r="W20" s="460"/>
      <c r="X20" s="470"/>
      <c r="Y20" s="467"/>
      <c r="Z20" s="460"/>
      <c r="AA20" s="470"/>
      <c r="AB20" s="467"/>
      <c r="AC20" s="460"/>
      <c r="AD20" s="470"/>
      <c r="AE20" s="467"/>
      <c r="AF20" s="460"/>
      <c r="AG20" s="470"/>
      <c r="AH20" s="467"/>
      <c r="AI20" s="460"/>
      <c r="AJ20" s="470"/>
      <c r="AK20" s="467"/>
      <c r="AL20" s="460"/>
    </row>
    <row r="21" spans="2:38">
      <c r="B21" s="459" t="s">
        <v>90</v>
      </c>
      <c r="C21" s="470"/>
      <c r="D21" s="467"/>
      <c r="E21" s="460"/>
      <c r="F21" s="470"/>
      <c r="G21" s="467"/>
      <c r="H21" s="460"/>
      <c r="I21" s="470"/>
      <c r="J21" s="467"/>
      <c r="K21" s="460"/>
      <c r="L21" s="470"/>
      <c r="M21" s="467"/>
      <c r="N21" s="460"/>
      <c r="O21" s="470"/>
      <c r="P21" s="467"/>
      <c r="Q21" s="460"/>
      <c r="R21" s="470"/>
      <c r="S21" s="467"/>
      <c r="T21" s="460"/>
      <c r="U21" s="470"/>
      <c r="V21" s="467"/>
      <c r="W21" s="460"/>
      <c r="X21" s="470"/>
      <c r="Y21" s="467"/>
      <c r="Z21" s="460"/>
      <c r="AA21" s="470"/>
      <c r="AB21" s="467"/>
      <c r="AC21" s="460"/>
      <c r="AD21" s="470"/>
      <c r="AE21" s="467"/>
      <c r="AF21" s="460"/>
      <c r="AG21" s="470"/>
      <c r="AH21" s="467"/>
      <c r="AI21" s="460"/>
      <c r="AJ21" s="470"/>
      <c r="AK21" s="467"/>
      <c r="AL21" s="460"/>
    </row>
    <row r="22" spans="2:38">
      <c r="B22" s="459" t="s">
        <v>79</v>
      </c>
      <c r="C22" s="470"/>
      <c r="D22" s="467"/>
      <c r="E22" s="460"/>
      <c r="F22" s="470"/>
      <c r="G22" s="467"/>
      <c r="H22" s="460"/>
      <c r="I22" s="470"/>
      <c r="J22" s="467"/>
      <c r="K22" s="460"/>
      <c r="L22" s="470"/>
      <c r="M22" s="467"/>
      <c r="N22" s="460"/>
      <c r="O22" s="470"/>
      <c r="P22" s="467"/>
      <c r="Q22" s="460"/>
      <c r="R22" s="470"/>
      <c r="S22" s="467"/>
      <c r="T22" s="460"/>
      <c r="U22" s="470"/>
      <c r="V22" s="467"/>
      <c r="W22" s="460"/>
      <c r="X22" s="470"/>
      <c r="Y22" s="467"/>
      <c r="Z22" s="460"/>
      <c r="AA22" s="470"/>
      <c r="AB22" s="467"/>
      <c r="AC22" s="460"/>
      <c r="AD22" s="470"/>
      <c r="AE22" s="467"/>
      <c r="AF22" s="460"/>
      <c r="AG22" s="470"/>
      <c r="AH22" s="467"/>
      <c r="AI22" s="460"/>
      <c r="AJ22" s="470"/>
      <c r="AK22" s="467"/>
      <c r="AL22" s="460"/>
    </row>
    <row r="23" spans="2:38">
      <c r="B23" s="459" t="s">
        <v>124</v>
      </c>
      <c r="C23" s="470"/>
      <c r="D23" s="467"/>
      <c r="E23" s="460"/>
      <c r="F23" s="470"/>
      <c r="G23" s="467"/>
      <c r="H23" s="460"/>
      <c r="I23" s="470"/>
      <c r="J23" s="467"/>
      <c r="K23" s="460"/>
      <c r="L23" s="470"/>
      <c r="M23" s="467"/>
      <c r="N23" s="460"/>
      <c r="O23" s="470"/>
      <c r="P23" s="467"/>
      <c r="Q23" s="460"/>
      <c r="R23" s="470"/>
      <c r="S23" s="467"/>
      <c r="T23" s="460"/>
      <c r="U23" s="470"/>
      <c r="V23" s="467"/>
      <c r="W23" s="460"/>
      <c r="X23" s="470"/>
      <c r="Y23" s="467"/>
      <c r="Z23" s="460"/>
      <c r="AA23" s="470"/>
      <c r="AB23" s="467"/>
      <c r="AC23" s="460"/>
      <c r="AD23" s="470"/>
      <c r="AE23" s="467"/>
      <c r="AF23" s="460"/>
      <c r="AG23" s="470"/>
      <c r="AH23" s="467"/>
      <c r="AI23" s="460"/>
      <c r="AJ23" s="470"/>
      <c r="AK23" s="467"/>
      <c r="AL23" s="460"/>
    </row>
    <row r="24" spans="2:38">
      <c r="B24" s="459" t="s">
        <v>92</v>
      </c>
      <c r="C24" s="470"/>
      <c r="D24" s="467"/>
      <c r="E24" s="460"/>
      <c r="F24" s="470"/>
      <c r="G24" s="467"/>
      <c r="H24" s="460"/>
      <c r="I24" s="470"/>
      <c r="J24" s="467"/>
      <c r="K24" s="460"/>
      <c r="L24" s="470"/>
      <c r="M24" s="467"/>
      <c r="N24" s="460"/>
      <c r="O24" s="470"/>
      <c r="P24" s="467"/>
      <c r="Q24" s="460"/>
      <c r="R24" s="470"/>
      <c r="S24" s="467"/>
      <c r="T24" s="460"/>
      <c r="U24" s="470"/>
      <c r="V24" s="467"/>
      <c r="W24" s="460"/>
      <c r="X24" s="470"/>
      <c r="Y24" s="467"/>
      <c r="Z24" s="460"/>
      <c r="AA24" s="470"/>
      <c r="AB24" s="467"/>
      <c r="AC24" s="460"/>
      <c r="AD24" s="470"/>
      <c r="AE24" s="467"/>
      <c r="AF24" s="460"/>
      <c r="AG24" s="470"/>
      <c r="AH24" s="467"/>
      <c r="AI24" s="460"/>
      <c r="AJ24" s="470"/>
      <c r="AK24" s="467"/>
      <c r="AL24" s="460"/>
    </row>
    <row r="25" spans="2:38">
      <c r="B25" s="459" t="s">
        <v>76</v>
      </c>
      <c r="C25" s="470"/>
      <c r="D25" s="467"/>
      <c r="E25" s="460"/>
      <c r="F25" s="470"/>
      <c r="G25" s="467"/>
      <c r="H25" s="460"/>
      <c r="I25" s="470"/>
      <c r="J25" s="467"/>
      <c r="K25" s="460"/>
      <c r="L25" s="470"/>
      <c r="M25" s="467"/>
      <c r="N25" s="460"/>
      <c r="O25" s="470"/>
      <c r="P25" s="467"/>
      <c r="Q25" s="460"/>
      <c r="R25" s="470"/>
      <c r="S25" s="467"/>
      <c r="T25" s="460"/>
      <c r="U25" s="470"/>
      <c r="V25" s="467"/>
      <c r="W25" s="460"/>
      <c r="X25" s="470"/>
      <c r="Y25" s="467"/>
      <c r="Z25" s="460"/>
      <c r="AA25" s="470"/>
      <c r="AB25" s="467"/>
      <c r="AC25" s="460"/>
      <c r="AD25" s="470"/>
      <c r="AE25" s="467"/>
      <c r="AF25" s="460"/>
      <c r="AG25" s="470"/>
      <c r="AH25" s="467"/>
      <c r="AI25" s="460"/>
      <c r="AJ25" s="470"/>
      <c r="AK25" s="467"/>
      <c r="AL25" s="460"/>
    </row>
    <row r="26" spans="2:38">
      <c r="B26" s="459" t="s">
        <v>88</v>
      </c>
      <c r="C26" s="470"/>
      <c r="D26" s="467"/>
      <c r="E26" s="460"/>
      <c r="F26" s="470"/>
      <c r="G26" s="467"/>
      <c r="H26" s="460"/>
      <c r="I26" s="470"/>
      <c r="J26" s="467"/>
      <c r="K26" s="460"/>
      <c r="L26" s="470"/>
      <c r="M26" s="467"/>
      <c r="N26" s="460"/>
      <c r="O26" s="470"/>
      <c r="P26" s="467"/>
      <c r="Q26" s="460"/>
      <c r="R26" s="470"/>
      <c r="S26" s="467"/>
      <c r="T26" s="460"/>
      <c r="U26" s="470"/>
      <c r="V26" s="467"/>
      <c r="W26" s="460"/>
      <c r="X26" s="470"/>
      <c r="Y26" s="467"/>
      <c r="Z26" s="460"/>
      <c r="AA26" s="470"/>
      <c r="AB26" s="467"/>
      <c r="AC26" s="460"/>
      <c r="AD26" s="470"/>
      <c r="AE26" s="467"/>
      <c r="AF26" s="460"/>
      <c r="AG26" s="470"/>
      <c r="AH26" s="467"/>
      <c r="AI26" s="460"/>
      <c r="AJ26" s="470"/>
      <c r="AK26" s="467"/>
      <c r="AL26" s="460"/>
    </row>
    <row r="27" spans="2:38">
      <c r="B27" s="459" t="s">
        <v>81</v>
      </c>
      <c r="C27" s="470"/>
      <c r="D27" s="467"/>
      <c r="E27" s="460"/>
      <c r="F27" s="470"/>
      <c r="G27" s="467"/>
      <c r="H27" s="460"/>
      <c r="I27" s="470"/>
      <c r="J27" s="467"/>
      <c r="K27" s="460"/>
      <c r="L27" s="470"/>
      <c r="M27" s="467"/>
      <c r="N27" s="460"/>
      <c r="O27" s="470"/>
      <c r="P27" s="467"/>
      <c r="Q27" s="460"/>
      <c r="R27" s="470"/>
      <c r="S27" s="467"/>
      <c r="T27" s="460"/>
      <c r="U27" s="470"/>
      <c r="V27" s="467"/>
      <c r="W27" s="460"/>
      <c r="X27" s="470"/>
      <c r="Y27" s="467"/>
      <c r="Z27" s="460"/>
      <c r="AA27" s="470"/>
      <c r="AB27" s="467"/>
      <c r="AC27" s="460"/>
      <c r="AD27" s="470"/>
      <c r="AE27" s="467"/>
      <c r="AF27" s="460"/>
      <c r="AG27" s="470"/>
      <c r="AH27" s="467"/>
      <c r="AI27" s="460"/>
      <c r="AJ27" s="470"/>
      <c r="AK27" s="467"/>
      <c r="AL27" s="460"/>
    </row>
    <row r="28" spans="2:38">
      <c r="B28" s="459" t="s">
        <v>118</v>
      </c>
      <c r="C28" s="470"/>
      <c r="D28" s="467"/>
      <c r="E28" s="460"/>
      <c r="F28" s="470"/>
      <c r="G28" s="467"/>
      <c r="H28" s="460"/>
      <c r="I28" s="470"/>
      <c r="J28" s="467"/>
      <c r="K28" s="460"/>
      <c r="L28" s="470"/>
      <c r="M28" s="467"/>
      <c r="N28" s="460"/>
      <c r="O28" s="470"/>
      <c r="P28" s="467"/>
      <c r="Q28" s="460"/>
      <c r="R28" s="470"/>
      <c r="S28" s="467"/>
      <c r="T28" s="460"/>
      <c r="U28" s="470"/>
      <c r="V28" s="467"/>
      <c r="W28" s="460"/>
      <c r="X28" s="470"/>
      <c r="Y28" s="467"/>
      <c r="Z28" s="460"/>
      <c r="AA28" s="470"/>
      <c r="AB28" s="467"/>
      <c r="AC28" s="460"/>
      <c r="AD28" s="470"/>
      <c r="AE28" s="467"/>
      <c r="AF28" s="460"/>
      <c r="AG28" s="470"/>
      <c r="AH28" s="467"/>
      <c r="AI28" s="460"/>
      <c r="AJ28" s="470"/>
      <c r="AK28" s="467"/>
      <c r="AL28" s="460"/>
    </row>
    <row r="29" spans="2:38">
      <c r="B29" s="459" t="s">
        <v>78</v>
      </c>
      <c r="C29" s="470"/>
      <c r="D29" s="467"/>
      <c r="E29" s="460"/>
      <c r="F29" s="470"/>
      <c r="G29" s="467"/>
      <c r="H29" s="460"/>
      <c r="I29" s="470"/>
      <c r="J29" s="467"/>
      <c r="K29" s="460"/>
      <c r="L29" s="470"/>
      <c r="M29" s="467"/>
      <c r="N29" s="460"/>
      <c r="O29" s="470"/>
      <c r="P29" s="467"/>
      <c r="Q29" s="460"/>
      <c r="R29" s="470"/>
      <c r="S29" s="467"/>
      <c r="T29" s="460"/>
      <c r="U29" s="470"/>
      <c r="V29" s="467"/>
      <c r="W29" s="460"/>
      <c r="X29" s="470"/>
      <c r="Y29" s="467"/>
      <c r="Z29" s="460"/>
      <c r="AA29" s="470"/>
      <c r="AB29" s="467"/>
      <c r="AC29" s="460"/>
      <c r="AD29" s="470"/>
      <c r="AE29" s="467"/>
      <c r="AF29" s="460"/>
      <c r="AG29" s="470"/>
      <c r="AH29" s="467"/>
      <c r="AI29" s="460"/>
      <c r="AJ29" s="470"/>
      <c r="AK29" s="467"/>
      <c r="AL29" s="460"/>
    </row>
    <row r="30" spans="2:38">
      <c r="B30" s="459" t="s">
        <v>95</v>
      </c>
      <c r="C30" s="470"/>
      <c r="D30" s="467"/>
      <c r="E30" s="460"/>
      <c r="F30" s="470"/>
      <c r="G30" s="467"/>
      <c r="H30" s="460"/>
      <c r="I30" s="470"/>
      <c r="J30" s="467"/>
      <c r="K30" s="460"/>
      <c r="L30" s="470"/>
      <c r="M30" s="467"/>
      <c r="N30" s="460"/>
      <c r="O30" s="470"/>
      <c r="P30" s="467"/>
      <c r="Q30" s="460"/>
      <c r="R30" s="470"/>
      <c r="S30" s="467"/>
      <c r="T30" s="460"/>
      <c r="U30" s="470"/>
      <c r="V30" s="467"/>
      <c r="W30" s="460"/>
      <c r="X30" s="470"/>
      <c r="Y30" s="467"/>
      <c r="Z30" s="460"/>
      <c r="AA30" s="470"/>
      <c r="AB30" s="467"/>
      <c r="AC30" s="460"/>
      <c r="AD30" s="470"/>
      <c r="AE30" s="467"/>
      <c r="AF30" s="460"/>
      <c r="AG30" s="470"/>
      <c r="AH30" s="467"/>
      <c r="AI30" s="460"/>
      <c r="AJ30" s="470"/>
      <c r="AK30" s="467"/>
      <c r="AL30" s="460"/>
    </row>
    <row r="31" spans="2:38">
      <c r="B31" s="459" t="s">
        <v>116</v>
      </c>
      <c r="C31" s="470"/>
      <c r="D31" s="467"/>
      <c r="E31" s="460"/>
      <c r="F31" s="470"/>
      <c r="G31" s="467"/>
      <c r="H31" s="460"/>
      <c r="I31" s="470"/>
      <c r="J31" s="467"/>
      <c r="K31" s="460"/>
      <c r="L31" s="470"/>
      <c r="M31" s="467"/>
      <c r="N31" s="460"/>
      <c r="O31" s="470"/>
      <c r="P31" s="467"/>
      <c r="Q31" s="460"/>
      <c r="R31" s="470"/>
      <c r="S31" s="467"/>
      <c r="T31" s="460"/>
      <c r="U31" s="470"/>
      <c r="V31" s="467"/>
      <c r="W31" s="460"/>
      <c r="X31" s="470"/>
      <c r="Y31" s="467"/>
      <c r="Z31" s="460"/>
      <c r="AA31" s="470"/>
      <c r="AB31" s="467"/>
      <c r="AC31" s="460"/>
      <c r="AD31" s="470"/>
      <c r="AE31" s="467"/>
      <c r="AF31" s="460"/>
      <c r="AG31" s="470"/>
      <c r="AH31" s="467"/>
      <c r="AI31" s="460"/>
      <c r="AJ31" s="470"/>
      <c r="AK31" s="467"/>
      <c r="AL31" s="460"/>
    </row>
    <row r="32" spans="2:38">
      <c r="B32" s="459" t="s">
        <v>258</v>
      </c>
      <c r="C32" s="471"/>
      <c r="D32" s="468"/>
      <c r="E32" s="462"/>
      <c r="F32" s="471"/>
      <c r="G32" s="468"/>
      <c r="H32" s="462"/>
      <c r="I32" s="471"/>
      <c r="J32" s="468"/>
      <c r="K32" s="462"/>
      <c r="L32" s="471"/>
      <c r="M32" s="468"/>
      <c r="N32" s="462"/>
      <c r="O32" s="471"/>
      <c r="P32" s="468"/>
      <c r="Q32" s="462"/>
      <c r="R32" s="471"/>
      <c r="S32" s="468"/>
      <c r="T32" s="462"/>
      <c r="U32" s="471"/>
      <c r="V32" s="468"/>
      <c r="W32" s="462"/>
      <c r="X32" s="471"/>
      <c r="Y32" s="468"/>
      <c r="Z32" s="462"/>
      <c r="AA32" s="471"/>
      <c r="AB32" s="468"/>
      <c r="AC32" s="462"/>
      <c r="AD32" s="471"/>
      <c r="AE32" s="468"/>
      <c r="AF32" s="462"/>
      <c r="AG32" s="471"/>
      <c r="AH32" s="468"/>
      <c r="AI32" s="462"/>
      <c r="AJ32" s="471"/>
      <c r="AK32" s="468"/>
      <c r="AL32" s="462"/>
    </row>
    <row r="33" spans="3:5">
      <c r="C33" s="31"/>
      <c r="D33" s="24"/>
      <c r="E33" s="458"/>
    </row>
    <row r="34" spans="3:5">
      <c r="C34" s="31"/>
      <c r="D34" s="24"/>
      <c r="E34" s="458"/>
    </row>
    <row r="35" spans="3:5">
      <c r="C35" s="31"/>
      <c r="D35" s="24"/>
      <c r="E35" s="458"/>
    </row>
    <row r="36" spans="3:5">
      <c r="C36" s="31"/>
      <c r="D36" s="24"/>
      <c r="E36" s="458"/>
    </row>
    <row r="37" spans="3:5">
      <c r="C37" s="31"/>
      <c r="D37" s="24"/>
      <c r="E37" s="458"/>
    </row>
    <row r="38" spans="3:5">
      <c r="C38" s="31"/>
      <c r="D38" s="24"/>
      <c r="E38" s="458"/>
    </row>
    <row r="39" spans="3:5">
      <c r="C39" s="31"/>
      <c r="D39" s="24"/>
      <c r="E39" s="458"/>
    </row>
    <row r="40" spans="3:5">
      <c r="C40" s="31"/>
      <c r="D40" s="24"/>
      <c r="E40" s="458"/>
    </row>
    <row r="41" spans="3:5">
      <c r="C41" s="31"/>
      <c r="D41" s="24"/>
      <c r="E41" s="458"/>
    </row>
    <row r="42" spans="3:5">
      <c r="C42" s="31"/>
      <c r="D42" s="24"/>
      <c r="E42" s="458"/>
    </row>
    <row r="43" spans="3:5">
      <c r="C43" s="31"/>
      <c r="D43" s="24"/>
      <c r="E43" s="458"/>
    </row>
    <row r="44" spans="3:5">
      <c r="C44" s="31"/>
      <c r="D44" s="24"/>
      <c r="E44" s="458"/>
    </row>
    <row r="45" spans="3:5">
      <c r="C45" s="31"/>
      <c r="D45" s="24"/>
      <c r="E45" s="458"/>
    </row>
    <row r="46" spans="3:5">
      <c r="C46" s="31"/>
      <c r="D46" s="24"/>
      <c r="E46" s="458"/>
    </row>
    <row r="47" spans="3:5">
      <c r="C47" s="31"/>
      <c r="D47" s="24"/>
      <c r="E47" s="458"/>
    </row>
    <row r="48" spans="3:5">
      <c r="C48" s="31"/>
      <c r="D48" s="24"/>
      <c r="E48" s="458"/>
    </row>
    <row r="49" spans="3:5">
      <c r="C49" s="31"/>
      <c r="D49" s="24"/>
      <c r="E49" s="458"/>
    </row>
    <row r="50" spans="3:5">
      <c r="C50" s="31"/>
      <c r="D50" s="24"/>
      <c r="E50" s="458"/>
    </row>
    <row r="51" spans="3:5">
      <c r="C51" s="31"/>
      <c r="D51" s="24"/>
      <c r="E51" s="458"/>
    </row>
    <row r="52" spans="3:5">
      <c r="C52" s="31"/>
      <c r="D52" s="24"/>
      <c r="E52" s="458"/>
    </row>
    <row r="53" spans="3:5">
      <c r="C53" s="31"/>
      <c r="D53" s="24"/>
      <c r="E53" s="458"/>
    </row>
    <row r="54" spans="3:5">
      <c r="C54" s="31"/>
      <c r="D54" s="24"/>
      <c r="E54" s="458"/>
    </row>
    <row r="55" spans="3:5">
      <c r="C55" s="31"/>
      <c r="D55" s="24"/>
      <c r="E55" s="458"/>
    </row>
    <row r="56" spans="3:5">
      <c r="C56" s="31"/>
      <c r="D56" s="24"/>
      <c r="E56" s="458"/>
    </row>
    <row r="57" spans="3:5">
      <c r="C57" s="31"/>
      <c r="D57" s="24"/>
      <c r="E57" s="458"/>
    </row>
    <row r="58" spans="3:5">
      <c r="C58" s="31"/>
      <c r="D58" s="24"/>
      <c r="E58" s="458"/>
    </row>
    <row r="59" spans="3:5">
      <c r="C59" s="31"/>
      <c r="D59" s="24"/>
      <c r="E59" s="458"/>
    </row>
    <row r="60" spans="3:5">
      <c r="C60" s="31"/>
      <c r="D60" s="24"/>
      <c r="E60" s="458"/>
    </row>
    <row r="61" spans="3:5">
      <c r="C61" s="31"/>
      <c r="D61" s="24"/>
      <c r="E61" s="458"/>
    </row>
    <row r="62" spans="3:5">
      <c r="C62" s="31"/>
      <c r="D62" s="24"/>
      <c r="E62" s="458"/>
    </row>
    <row r="63" spans="3:5">
      <c r="C63" s="31"/>
      <c r="D63" s="24"/>
      <c r="E63" s="458"/>
    </row>
    <row r="64" spans="3:5">
      <c r="C64" s="31"/>
      <c r="D64" s="24"/>
      <c r="E64" s="458"/>
    </row>
    <row r="65" spans="3:5">
      <c r="C65" s="31"/>
      <c r="D65" s="24"/>
      <c r="E65" s="458"/>
    </row>
    <row r="66" spans="3:5">
      <c r="C66" s="31"/>
      <c r="D66" s="24"/>
      <c r="E66" s="458"/>
    </row>
    <row r="67" spans="3:5">
      <c r="C67" s="31"/>
      <c r="D67" s="24"/>
      <c r="E67" s="458"/>
    </row>
    <row r="68" spans="3:5">
      <c r="C68" s="31"/>
      <c r="D68" s="24"/>
      <c r="E68" s="458"/>
    </row>
    <row r="69" spans="3:5">
      <c r="C69" s="31"/>
      <c r="D69" s="24"/>
      <c r="E69" s="458"/>
    </row>
    <row r="70" spans="3:5">
      <c r="C70" s="31"/>
      <c r="D70" s="24"/>
      <c r="E70" s="458"/>
    </row>
    <row r="71" spans="3:5">
      <c r="C71" s="31"/>
      <c r="D71" s="24"/>
      <c r="E71" s="458"/>
    </row>
    <row r="72" spans="3:5">
      <c r="C72" s="31"/>
      <c r="D72" s="24"/>
      <c r="E72" s="458"/>
    </row>
    <row r="73" spans="3:5">
      <c r="C73" s="31"/>
      <c r="D73" s="24"/>
      <c r="E73" s="458"/>
    </row>
    <row r="74" spans="3:5">
      <c r="C74" s="31"/>
      <c r="D74" s="24"/>
      <c r="E74" s="458"/>
    </row>
    <row r="75" spans="3:5">
      <c r="C75" s="31"/>
      <c r="D75" s="24"/>
      <c r="E75" s="458"/>
    </row>
    <row r="76" spans="3:5">
      <c r="C76" s="31"/>
      <c r="D76" s="24"/>
      <c r="E76" s="458"/>
    </row>
    <row r="77" spans="3:5">
      <c r="C77" s="31"/>
      <c r="D77" s="24"/>
      <c r="E77" s="458"/>
    </row>
    <row r="78" spans="3:5">
      <c r="C78" s="31"/>
      <c r="D78" s="24"/>
      <c r="E78" s="458"/>
    </row>
    <row r="79" spans="3:5">
      <c r="C79" s="31"/>
      <c r="D79" s="24"/>
      <c r="E79" s="458"/>
    </row>
    <row r="80" spans="3:5">
      <c r="C80" s="31"/>
      <c r="D80" s="24"/>
      <c r="E80" s="458"/>
    </row>
    <row r="81" spans="3:5">
      <c r="C81" s="31"/>
      <c r="D81" s="24"/>
      <c r="E81" s="458"/>
    </row>
    <row r="82" spans="3:5">
      <c r="C82" s="31"/>
      <c r="D82" s="24"/>
      <c r="E82" s="458"/>
    </row>
    <row r="83" spans="3:5">
      <c r="C83" s="31"/>
      <c r="D83" s="24"/>
      <c r="E83" s="458"/>
    </row>
    <row r="84" spans="3:5">
      <c r="C84" s="31"/>
      <c r="D84" s="24"/>
      <c r="E84" s="458"/>
    </row>
    <row r="85" spans="3:5">
      <c r="C85" s="31"/>
      <c r="D85" s="24"/>
      <c r="E85" s="458"/>
    </row>
    <row r="86" spans="3:5">
      <c r="C86" s="31"/>
      <c r="D86" s="24"/>
      <c r="E86" s="458"/>
    </row>
    <row r="87" spans="3:5">
      <c r="C87" s="31"/>
      <c r="D87" s="24"/>
      <c r="E87" s="458"/>
    </row>
    <row r="88" spans="3:5">
      <c r="C88" s="31"/>
      <c r="D88" s="24"/>
      <c r="E88" s="458"/>
    </row>
    <row r="89" spans="3:5">
      <c r="C89" s="31"/>
      <c r="D89" s="24"/>
      <c r="E89" s="458"/>
    </row>
    <row r="90" spans="3:5">
      <c r="C90" s="31"/>
      <c r="D90" s="24"/>
      <c r="E90" s="458"/>
    </row>
    <row r="91" spans="3:5">
      <c r="C91" s="31"/>
      <c r="D91" s="24"/>
      <c r="E91" s="458"/>
    </row>
    <row r="92" spans="3:5">
      <c r="C92" s="31"/>
      <c r="D92" s="24"/>
      <c r="E92" s="458"/>
    </row>
    <row r="93" spans="3:5">
      <c r="C93" s="31"/>
      <c r="D93" s="24"/>
      <c r="E93" s="458"/>
    </row>
    <row r="94" spans="3:5">
      <c r="C94" s="31"/>
      <c r="D94" s="24"/>
      <c r="E94" s="458"/>
    </row>
    <row r="95" spans="3:5">
      <c r="C95" s="31"/>
      <c r="D95" s="24"/>
      <c r="E95" s="458"/>
    </row>
    <row r="96" spans="3:5">
      <c r="C96" s="31"/>
      <c r="D96" s="24"/>
      <c r="E96" s="458"/>
    </row>
    <row r="97" spans="3:5">
      <c r="C97" s="31"/>
      <c r="D97" s="24"/>
      <c r="E97" s="458"/>
    </row>
    <row r="98" spans="3:5">
      <c r="C98" s="31"/>
      <c r="D98" s="24"/>
      <c r="E98" s="458"/>
    </row>
    <row r="99" spans="3:5">
      <c r="C99" s="31"/>
      <c r="D99" s="24"/>
      <c r="E99" s="458"/>
    </row>
    <row r="100" spans="3:5">
      <c r="C100" s="31"/>
      <c r="D100" s="24"/>
      <c r="E100" s="458"/>
    </row>
    <row r="101" spans="3:5">
      <c r="C101" s="31"/>
      <c r="D101" s="24"/>
      <c r="E101" s="458"/>
    </row>
    <row r="102" spans="3:5">
      <c r="C102" s="31"/>
      <c r="D102" s="24"/>
      <c r="E102" s="458"/>
    </row>
    <row r="103" spans="3:5">
      <c r="C103" s="31"/>
      <c r="D103" s="24"/>
      <c r="E103" s="458"/>
    </row>
    <row r="104" spans="3:5">
      <c r="C104" s="31"/>
      <c r="D104" s="24"/>
      <c r="E104" s="458"/>
    </row>
    <row r="105" spans="3:5">
      <c r="C105" s="31"/>
      <c r="D105" s="24"/>
      <c r="E105" s="458"/>
    </row>
    <row r="106" spans="3:5">
      <c r="C106" s="31"/>
      <c r="D106" s="24"/>
      <c r="E106" s="458"/>
    </row>
    <row r="107" spans="3:5">
      <c r="C107" s="31"/>
      <c r="D107" s="24"/>
      <c r="E107" s="458"/>
    </row>
    <row r="108" spans="3:5">
      <c r="C108" s="31"/>
      <c r="D108" s="24"/>
      <c r="E108" s="458"/>
    </row>
    <row r="109" spans="3:5">
      <c r="C109" s="31"/>
      <c r="D109" s="24"/>
      <c r="E109" s="458"/>
    </row>
    <row r="110" spans="3:5">
      <c r="C110" s="31"/>
      <c r="D110" s="24"/>
      <c r="E110" s="458"/>
    </row>
    <row r="111" spans="3:5">
      <c r="C111" s="31"/>
      <c r="D111" s="24"/>
      <c r="E111" s="458"/>
    </row>
    <row r="112" spans="3:5">
      <c r="C112" s="31"/>
      <c r="D112" s="24"/>
      <c r="E112" s="458"/>
    </row>
    <row r="113" spans="3:5">
      <c r="C113" s="31"/>
      <c r="D113" s="24"/>
      <c r="E113" s="458"/>
    </row>
    <row r="114" spans="3:5">
      <c r="C114" s="31"/>
      <c r="D114" s="24"/>
      <c r="E114" s="458"/>
    </row>
    <row r="115" spans="3:5">
      <c r="C115" s="31"/>
      <c r="D115" s="24"/>
      <c r="E115" s="458"/>
    </row>
    <row r="116" spans="3:5">
      <c r="C116" s="31"/>
      <c r="D116" s="24"/>
      <c r="E116" s="458"/>
    </row>
    <row r="117" spans="3:5">
      <c r="C117" s="31"/>
      <c r="D117" s="24"/>
      <c r="E117" s="458"/>
    </row>
    <row r="118" spans="3:5">
      <c r="C118" s="31"/>
      <c r="D118" s="24"/>
      <c r="E118" s="458"/>
    </row>
    <row r="119" spans="3:5">
      <c r="C119" s="31"/>
      <c r="D119" s="24"/>
      <c r="E119" s="458"/>
    </row>
    <row r="120" spans="3:5">
      <c r="C120" s="31"/>
      <c r="D120" s="24"/>
      <c r="E120" s="458"/>
    </row>
    <row r="121" spans="3:5">
      <c r="C121" s="31"/>
      <c r="D121" s="24"/>
      <c r="E121" s="458"/>
    </row>
    <row r="122" spans="3:5">
      <c r="C122" s="31"/>
      <c r="D122" s="24"/>
      <c r="E122" s="458"/>
    </row>
    <row r="123" spans="3:5">
      <c r="C123" s="31"/>
      <c r="D123" s="24"/>
      <c r="E123" s="458"/>
    </row>
    <row r="124" spans="3:5">
      <c r="C124" s="31"/>
      <c r="D124" s="24"/>
      <c r="E124" s="458"/>
    </row>
    <row r="125" spans="3:5">
      <c r="C125" s="31"/>
      <c r="D125" s="24"/>
      <c r="E125" s="458"/>
    </row>
    <row r="126" spans="3:5">
      <c r="C126" s="31"/>
      <c r="D126" s="24"/>
      <c r="E126" s="458"/>
    </row>
    <row r="127" spans="3:5">
      <c r="C127" s="31"/>
      <c r="D127" s="24"/>
      <c r="E127" s="458"/>
    </row>
    <row r="128" spans="3:5">
      <c r="C128" s="31"/>
      <c r="D128" s="24"/>
      <c r="E128" s="458"/>
    </row>
    <row r="129" spans="3:5">
      <c r="C129" s="31"/>
      <c r="D129" s="24"/>
      <c r="E129" s="458"/>
    </row>
    <row r="130" spans="3:5">
      <c r="C130" s="31"/>
      <c r="D130" s="24"/>
      <c r="E130" s="458"/>
    </row>
    <row r="131" spans="3:5">
      <c r="C131" s="31"/>
      <c r="D131" s="24"/>
      <c r="E131" s="458"/>
    </row>
    <row r="132" spans="3:5">
      <c r="C132" s="31"/>
      <c r="D132" s="24"/>
      <c r="E132" s="458"/>
    </row>
    <row r="133" spans="3:5">
      <c r="C133" s="31"/>
      <c r="D133" s="24"/>
      <c r="E133" s="458"/>
    </row>
    <row r="134" spans="3:5">
      <c r="C134" s="31"/>
      <c r="D134" s="24"/>
      <c r="E134" s="458"/>
    </row>
    <row r="135" spans="3:5">
      <c r="C135" s="31"/>
      <c r="D135" s="24"/>
      <c r="E135" s="458"/>
    </row>
    <row r="136" spans="3:5">
      <c r="C136" s="31"/>
      <c r="D136" s="24"/>
      <c r="E136" s="458"/>
    </row>
    <row r="137" spans="3:5">
      <c r="C137" s="31"/>
      <c r="D137" s="24"/>
      <c r="E137" s="458"/>
    </row>
    <row r="138" spans="3:5">
      <c r="C138" s="31"/>
      <c r="D138" s="24"/>
      <c r="E138" s="458"/>
    </row>
    <row r="139" spans="3:5">
      <c r="C139" s="31"/>
      <c r="D139" s="24"/>
      <c r="E139" s="458"/>
    </row>
    <row r="140" spans="3:5">
      <c r="C140" s="31"/>
      <c r="D140" s="24"/>
      <c r="E140" s="458"/>
    </row>
    <row r="141" spans="3:5">
      <c r="C141" s="31"/>
      <c r="D141" s="24"/>
      <c r="E141" s="458"/>
    </row>
    <row r="142" spans="3:5">
      <c r="C142" s="31"/>
      <c r="D142" s="24"/>
      <c r="E142" s="458"/>
    </row>
    <row r="143" spans="3:5">
      <c r="C143" s="31"/>
      <c r="D143" s="24"/>
      <c r="E143" s="458"/>
    </row>
    <row r="144" spans="3:5">
      <c r="C144" s="31"/>
      <c r="D144" s="24"/>
      <c r="E144" s="458"/>
    </row>
    <row r="145" spans="3:5">
      <c r="C145" s="31"/>
      <c r="D145" s="24"/>
      <c r="E145" s="458"/>
    </row>
    <row r="146" spans="3:5">
      <c r="C146" s="31"/>
      <c r="D146" s="24"/>
      <c r="E146" s="458"/>
    </row>
    <row r="147" spans="3:5">
      <c r="C147" s="31"/>
      <c r="D147" s="24"/>
      <c r="E147" s="458"/>
    </row>
    <row r="148" spans="3:5">
      <c r="C148" s="31"/>
      <c r="D148" s="24"/>
      <c r="E148" s="458"/>
    </row>
    <row r="149" spans="3:5">
      <c r="C149" s="31"/>
      <c r="D149" s="24"/>
      <c r="E149" s="458"/>
    </row>
    <row r="150" spans="3:5">
      <c r="C150" s="31"/>
      <c r="D150" s="24"/>
      <c r="E150" s="458"/>
    </row>
    <row r="151" spans="3:5">
      <c r="C151" s="31"/>
      <c r="D151" s="24"/>
      <c r="E151" s="458"/>
    </row>
    <row r="152" spans="3:5">
      <c r="C152" s="31"/>
      <c r="D152" s="24"/>
      <c r="E152" s="458"/>
    </row>
    <row r="153" spans="3:5">
      <c r="C153" s="31"/>
      <c r="D153" s="24"/>
      <c r="E153" s="458"/>
    </row>
    <row r="154" spans="3:5">
      <c r="C154" s="31"/>
      <c r="D154" s="24"/>
      <c r="E154" s="458"/>
    </row>
    <row r="155" spans="3:5">
      <c r="C155" s="31"/>
      <c r="D155" s="24"/>
      <c r="E155" s="458"/>
    </row>
    <row r="156" spans="3:5">
      <c r="C156" s="31"/>
      <c r="D156" s="24"/>
      <c r="E156" s="458"/>
    </row>
    <row r="157" spans="3:5">
      <c r="C157" s="31"/>
      <c r="D157" s="24"/>
      <c r="E157" s="458"/>
    </row>
    <row r="158" spans="3:5">
      <c r="C158" s="31"/>
      <c r="D158" s="24"/>
      <c r="E158" s="458"/>
    </row>
    <row r="159" spans="3:5">
      <c r="C159" s="31"/>
      <c r="D159" s="24"/>
      <c r="E159" s="458"/>
    </row>
    <row r="160" spans="3:5">
      <c r="C160" s="31"/>
      <c r="D160" s="24"/>
      <c r="E160" s="458"/>
    </row>
    <row r="161" spans="3:5">
      <c r="C161" s="31"/>
      <c r="D161" s="24"/>
      <c r="E161" s="458"/>
    </row>
    <row r="162" spans="3:5">
      <c r="C162" s="31"/>
      <c r="D162" s="24"/>
      <c r="E162" s="458"/>
    </row>
    <row r="163" spans="3:5">
      <c r="C163" s="31"/>
      <c r="D163" s="24"/>
      <c r="E163" s="458"/>
    </row>
    <row r="164" spans="3:5">
      <c r="C164" s="31"/>
      <c r="D164" s="24"/>
      <c r="E164" s="458"/>
    </row>
    <row r="165" spans="3:5">
      <c r="C165" s="31"/>
      <c r="D165" s="24"/>
      <c r="E165" s="458"/>
    </row>
    <row r="166" spans="3:5">
      <c r="C166" s="31"/>
      <c r="D166" s="24"/>
      <c r="E166" s="458"/>
    </row>
    <row r="167" spans="3:5">
      <c r="C167" s="31"/>
      <c r="D167" s="24"/>
      <c r="E167" s="458"/>
    </row>
    <row r="168" spans="3:5">
      <c r="C168" s="31"/>
      <c r="D168" s="24"/>
      <c r="E168" s="458"/>
    </row>
    <row r="169" spans="3:5">
      <c r="C169" s="31"/>
      <c r="D169" s="24"/>
      <c r="E169" s="458"/>
    </row>
    <row r="170" spans="3:5">
      <c r="C170" s="31"/>
      <c r="D170" s="24"/>
      <c r="E170" s="458"/>
    </row>
    <row r="171" spans="3:5">
      <c r="C171" s="31"/>
      <c r="D171" s="24"/>
      <c r="E171" s="458"/>
    </row>
    <row r="172" spans="3:5">
      <c r="C172" s="31"/>
      <c r="D172" s="24"/>
      <c r="E172" s="458"/>
    </row>
    <row r="173" spans="3:5">
      <c r="C173" s="31"/>
      <c r="D173" s="24"/>
      <c r="E173" s="458"/>
    </row>
    <row r="174" spans="3:5">
      <c r="C174" s="31"/>
      <c r="D174" s="24"/>
      <c r="E174" s="458"/>
    </row>
    <row r="175" spans="3:5">
      <c r="C175" s="31"/>
      <c r="D175" s="24"/>
      <c r="E175" s="458"/>
    </row>
    <row r="176" spans="3:5">
      <c r="C176" s="31"/>
      <c r="D176" s="24"/>
      <c r="E176" s="458"/>
    </row>
    <row r="177" spans="3:5">
      <c r="C177" s="31"/>
      <c r="D177" s="24"/>
      <c r="E177" s="458"/>
    </row>
    <row r="178" spans="3:5">
      <c r="C178" s="31"/>
      <c r="D178" s="24"/>
      <c r="E178" s="458"/>
    </row>
    <row r="179" spans="3:5">
      <c r="C179" s="31"/>
      <c r="D179" s="24"/>
      <c r="E179" s="458"/>
    </row>
    <row r="180" spans="3:5">
      <c r="C180" s="31"/>
      <c r="D180" s="24"/>
      <c r="E180" s="458"/>
    </row>
    <row r="181" spans="3:5">
      <c r="C181" s="31"/>
      <c r="D181" s="24"/>
      <c r="E181" s="458"/>
    </row>
    <row r="182" spans="3:5">
      <c r="C182" s="31"/>
      <c r="D182" s="24"/>
      <c r="E182" s="458"/>
    </row>
    <row r="183" spans="3:5">
      <c r="C183" s="31"/>
      <c r="D183" s="24"/>
      <c r="E183" s="458"/>
    </row>
    <row r="184" spans="3:5">
      <c r="C184" s="31"/>
      <c r="D184" s="24"/>
      <c r="E184" s="458"/>
    </row>
    <row r="185" spans="3:5">
      <c r="C185" s="31"/>
      <c r="D185" s="24"/>
      <c r="E185" s="458"/>
    </row>
    <row r="186" spans="3:5">
      <c r="C186" s="31"/>
      <c r="D186" s="24"/>
      <c r="E186" s="458"/>
    </row>
    <row r="187" spans="3:5">
      <c r="C187" s="31"/>
      <c r="D187" s="24"/>
      <c r="E187" s="458"/>
    </row>
    <row r="188" spans="3:5">
      <c r="C188" s="31"/>
      <c r="D188" s="24"/>
      <c r="E188" s="458"/>
    </row>
    <row r="189" spans="3:5">
      <c r="C189" s="31"/>
      <c r="D189" s="24"/>
      <c r="E189" s="458"/>
    </row>
    <row r="190" spans="3:5">
      <c r="C190" s="31"/>
      <c r="D190" s="24"/>
      <c r="E190" s="458"/>
    </row>
    <row r="191" spans="3:5">
      <c r="C191" s="31"/>
      <c r="D191" s="24"/>
      <c r="E191" s="458"/>
    </row>
    <row r="192" spans="3:5">
      <c r="C192" s="31"/>
      <c r="D192" s="24"/>
      <c r="E192" s="458"/>
    </row>
    <row r="193" spans="3:5">
      <c r="C193" s="31"/>
      <c r="D193" s="24"/>
      <c r="E193" s="458"/>
    </row>
    <row r="194" spans="3:5">
      <c r="C194" s="31"/>
      <c r="D194" s="24"/>
      <c r="E194" s="458"/>
    </row>
    <row r="195" spans="3:5">
      <c r="C195" s="31"/>
      <c r="D195" s="24"/>
      <c r="E195" s="458"/>
    </row>
    <row r="196" spans="3:5">
      <c r="C196" s="31"/>
      <c r="D196" s="24"/>
      <c r="E196" s="458"/>
    </row>
    <row r="197" spans="3:5">
      <c r="C197" s="31"/>
      <c r="D197" s="24"/>
      <c r="E197" s="458"/>
    </row>
    <row r="198" spans="3:5">
      <c r="C198" s="31"/>
      <c r="D198" s="24"/>
      <c r="E198" s="458"/>
    </row>
    <row r="199" spans="3:5">
      <c r="C199" s="31"/>
      <c r="D199" s="24"/>
      <c r="E199" s="458"/>
    </row>
    <row r="200" spans="3:5">
      <c r="C200" s="31"/>
      <c r="D200" s="24"/>
      <c r="E200" s="458"/>
    </row>
    <row r="201" spans="3:5">
      <c r="C201" s="31"/>
      <c r="D201" s="24"/>
      <c r="E201" s="458"/>
    </row>
    <row r="202" spans="3:5">
      <c r="C202" s="31"/>
      <c r="D202" s="24"/>
      <c r="E202" s="458"/>
    </row>
    <row r="203" spans="3:5">
      <c r="C203" s="31"/>
      <c r="D203" s="24"/>
      <c r="E203" s="458"/>
    </row>
    <row r="204" spans="3:5">
      <c r="C204" s="31"/>
      <c r="D204" s="24"/>
      <c r="E204" s="458"/>
    </row>
    <row r="205" spans="3:5">
      <c r="C205" s="31"/>
      <c r="D205" s="24"/>
      <c r="E205" s="458"/>
    </row>
    <row r="206" spans="3:5">
      <c r="C206" s="31"/>
      <c r="D206" s="24"/>
      <c r="E206" s="458"/>
    </row>
    <row r="207" spans="3:5">
      <c r="C207" s="31"/>
      <c r="D207" s="24"/>
      <c r="E207" s="458"/>
    </row>
    <row r="208" spans="3:5">
      <c r="C208" s="31"/>
      <c r="D208" s="24"/>
      <c r="E208" s="458"/>
    </row>
    <row r="209" spans="3:5">
      <c r="C209" s="31"/>
      <c r="D209" s="24"/>
      <c r="E209" s="458"/>
    </row>
    <row r="210" spans="3:5">
      <c r="C210" s="31"/>
      <c r="D210" s="24"/>
      <c r="E210" s="458"/>
    </row>
    <row r="211" spans="3:5">
      <c r="C211" s="31"/>
      <c r="D211" s="24"/>
      <c r="E211" s="458"/>
    </row>
    <row r="212" spans="3:5">
      <c r="C212" s="31"/>
      <c r="D212" s="24"/>
      <c r="E212" s="458"/>
    </row>
    <row r="213" spans="3:5">
      <c r="C213" s="31"/>
      <c r="D213" s="24"/>
      <c r="E213" s="458"/>
    </row>
    <row r="214" spans="3:5">
      <c r="C214" s="31"/>
      <c r="D214" s="24"/>
      <c r="E214" s="458"/>
    </row>
    <row r="215" spans="3:5">
      <c r="C215" s="31"/>
      <c r="D215" s="24"/>
      <c r="E215" s="458"/>
    </row>
    <row r="216" spans="3:5">
      <c r="C216" s="31"/>
      <c r="D216" s="24"/>
      <c r="E216" s="458"/>
    </row>
    <row r="217" spans="3:5">
      <c r="C217" s="31"/>
      <c r="D217" s="24"/>
      <c r="E217" s="458"/>
    </row>
    <row r="218" spans="3:5">
      <c r="C218" s="31"/>
      <c r="D218" s="24"/>
      <c r="E218" s="458"/>
    </row>
    <row r="219" spans="3:5">
      <c r="C219" s="31"/>
      <c r="D219" s="24"/>
      <c r="E219" s="458"/>
    </row>
    <row r="220" spans="3:5">
      <c r="C220" s="31"/>
      <c r="D220" s="24"/>
      <c r="E220" s="458"/>
    </row>
    <row r="221" spans="3:5">
      <c r="C221" s="31"/>
      <c r="D221" s="24"/>
      <c r="E221" s="458"/>
    </row>
    <row r="222" spans="3:5">
      <c r="C222" s="31"/>
      <c r="D222" s="24"/>
      <c r="E222" s="458"/>
    </row>
    <row r="223" spans="3:5">
      <c r="C223" s="31"/>
      <c r="D223" s="24"/>
      <c r="E223" s="458"/>
    </row>
    <row r="224" spans="3:5">
      <c r="C224" s="31"/>
      <c r="D224" s="24"/>
      <c r="E224" s="458"/>
    </row>
    <row r="225" spans="3:5">
      <c r="C225" s="31"/>
      <c r="D225" s="24"/>
      <c r="E225" s="458"/>
    </row>
    <row r="226" spans="3:5">
      <c r="C226" s="31"/>
      <c r="D226" s="24"/>
      <c r="E226" s="458"/>
    </row>
    <row r="227" spans="3:5">
      <c r="C227" s="31"/>
      <c r="D227" s="24"/>
      <c r="E227" s="458"/>
    </row>
    <row r="228" spans="3:5">
      <c r="C228" s="31"/>
      <c r="D228" s="24"/>
      <c r="E228" s="458"/>
    </row>
    <row r="229" spans="3:5">
      <c r="C229" s="31"/>
      <c r="D229" s="24"/>
      <c r="E229" s="458"/>
    </row>
    <row r="230" spans="3:5">
      <c r="C230" s="31"/>
      <c r="D230" s="24"/>
      <c r="E230" s="458"/>
    </row>
    <row r="231" spans="3:5">
      <c r="C231" s="31"/>
      <c r="D231" s="24"/>
      <c r="E231" s="458"/>
    </row>
    <row r="232" spans="3:5">
      <c r="C232" s="31"/>
      <c r="D232" s="24"/>
      <c r="E232" s="458"/>
    </row>
    <row r="233" spans="3:5">
      <c r="C233" s="31"/>
      <c r="D233" s="24"/>
      <c r="E233" s="458"/>
    </row>
    <row r="234" spans="3:5">
      <c r="C234" s="31"/>
      <c r="D234" s="24"/>
      <c r="E234" s="458"/>
    </row>
    <row r="235" spans="3:5">
      <c r="C235" s="31"/>
      <c r="D235" s="24"/>
      <c r="E235" s="458"/>
    </row>
    <row r="236" spans="3:5">
      <c r="C236" s="31"/>
      <c r="D236" s="24"/>
      <c r="E236" s="458"/>
    </row>
    <row r="237" spans="3:5">
      <c r="C237" s="31"/>
      <c r="D237" s="24"/>
      <c r="E237" s="458"/>
    </row>
    <row r="238" spans="3:5">
      <c r="C238" s="31"/>
      <c r="D238" s="24"/>
      <c r="E238" s="458"/>
    </row>
    <row r="239" spans="3:5">
      <c r="C239" s="31"/>
      <c r="D239" s="24"/>
      <c r="E239" s="458"/>
    </row>
    <row r="240" spans="3:5">
      <c r="C240" s="31"/>
      <c r="D240" s="24"/>
      <c r="E240" s="458"/>
    </row>
    <row r="241" spans="3:5">
      <c r="C241" s="31"/>
      <c r="D241" s="24"/>
      <c r="E241" s="458"/>
    </row>
    <row r="242" spans="3:5">
      <c r="C242" s="31"/>
      <c r="D242" s="24"/>
      <c r="E242" s="458"/>
    </row>
    <row r="243" spans="3:5">
      <c r="C243" s="31"/>
      <c r="D243" s="24"/>
      <c r="E243" s="458"/>
    </row>
    <row r="244" spans="3:5">
      <c r="C244" s="31"/>
      <c r="D244" s="24"/>
      <c r="E244" s="458"/>
    </row>
    <row r="245" spans="3:5">
      <c r="C245" s="31"/>
      <c r="D245" s="24"/>
      <c r="E245" s="458"/>
    </row>
    <row r="246" spans="3:5">
      <c r="C246" s="31"/>
      <c r="D246" s="24"/>
      <c r="E246" s="458"/>
    </row>
    <row r="247" spans="3:5">
      <c r="C247" s="31"/>
      <c r="D247" s="24"/>
      <c r="E247" s="458"/>
    </row>
    <row r="248" spans="3:5">
      <c r="C248" s="31"/>
      <c r="D248" s="24"/>
      <c r="E248" s="458"/>
    </row>
    <row r="249" spans="3:5">
      <c r="C249" s="31"/>
      <c r="D249" s="24"/>
      <c r="E249" s="458"/>
    </row>
    <row r="250" spans="3:5">
      <c r="C250" s="31"/>
      <c r="D250" s="24"/>
      <c r="E250" s="458"/>
    </row>
    <row r="251" spans="3:5">
      <c r="C251" s="31"/>
      <c r="D251" s="24"/>
      <c r="E251" s="458"/>
    </row>
    <row r="252" spans="3:5">
      <c r="C252" s="31"/>
      <c r="D252" s="24"/>
      <c r="E252" s="458"/>
    </row>
    <row r="253" spans="3:5">
      <c r="C253" s="31"/>
      <c r="D253" s="24"/>
      <c r="E253" s="458"/>
    </row>
    <row r="254" spans="3:5">
      <c r="C254" s="31"/>
      <c r="D254" s="24"/>
      <c r="E254" s="458"/>
    </row>
    <row r="255" spans="3:5">
      <c r="C255" s="31"/>
      <c r="D255" s="24"/>
      <c r="E255" s="458"/>
    </row>
    <row r="256" spans="3:5">
      <c r="C256" s="31"/>
      <c r="D256" s="24"/>
      <c r="E256" s="458"/>
    </row>
    <row r="257" spans="3:5">
      <c r="C257" s="31"/>
      <c r="D257" s="24"/>
      <c r="E257" s="458"/>
    </row>
    <row r="258" spans="3:5">
      <c r="C258" s="31"/>
      <c r="D258" s="24"/>
      <c r="E258" s="458"/>
    </row>
    <row r="259" spans="3:5">
      <c r="C259" s="31"/>
      <c r="D259" s="24"/>
      <c r="E259" s="458"/>
    </row>
    <row r="260" spans="3:5">
      <c r="C260" s="31"/>
      <c r="D260" s="24"/>
      <c r="E260" s="458"/>
    </row>
    <row r="261" spans="3:5">
      <c r="C261" s="31"/>
      <c r="D261" s="24"/>
      <c r="E261" s="458"/>
    </row>
    <row r="262" spans="3:5">
      <c r="C262" s="31"/>
      <c r="D262" s="24"/>
      <c r="E262" s="458"/>
    </row>
    <row r="263" spans="3:5">
      <c r="C263" s="31"/>
      <c r="D263" s="24"/>
      <c r="E263" s="458"/>
    </row>
    <row r="264" spans="3:5">
      <c r="C264" s="31"/>
      <c r="D264" s="24"/>
      <c r="E264" s="458"/>
    </row>
    <row r="265" spans="3:5">
      <c r="C265" s="31"/>
      <c r="D265" s="24"/>
      <c r="E265" s="458"/>
    </row>
    <row r="266" spans="3:5">
      <c r="C266" s="31"/>
      <c r="D266" s="24"/>
      <c r="E266" s="458"/>
    </row>
    <row r="267" spans="3:5">
      <c r="C267" s="31"/>
      <c r="D267" s="24"/>
      <c r="E267" s="458"/>
    </row>
    <row r="268" spans="3:5">
      <c r="C268" s="31"/>
      <c r="D268" s="24"/>
      <c r="E268" s="458"/>
    </row>
    <row r="269" spans="3:5">
      <c r="C269" s="31"/>
      <c r="D269" s="24"/>
      <c r="E269" s="458"/>
    </row>
    <row r="270" spans="3:5">
      <c r="C270" s="31"/>
      <c r="D270" s="24"/>
      <c r="E270" s="458"/>
    </row>
    <row r="271" spans="3:5">
      <c r="C271" s="31"/>
      <c r="D271" s="24"/>
      <c r="E271" s="458"/>
    </row>
    <row r="272" spans="3:5">
      <c r="C272" s="31"/>
      <c r="D272" s="24"/>
      <c r="E272" s="458"/>
    </row>
    <row r="273" spans="3:5">
      <c r="C273" s="31"/>
      <c r="D273" s="24"/>
      <c r="E273" s="458"/>
    </row>
    <row r="274" spans="3:5">
      <c r="C274" s="31"/>
      <c r="D274" s="24"/>
      <c r="E274" s="458"/>
    </row>
    <row r="275" spans="3:5">
      <c r="C275" s="31"/>
      <c r="D275" s="24"/>
      <c r="E275" s="458"/>
    </row>
    <row r="276" spans="3:5">
      <c r="C276" s="31"/>
      <c r="D276" s="24"/>
      <c r="E276" s="458"/>
    </row>
    <row r="277" spans="3:5">
      <c r="C277" s="31"/>
      <c r="D277" s="24"/>
      <c r="E277" s="458"/>
    </row>
    <row r="278" spans="3:5">
      <c r="C278" s="31"/>
      <c r="D278" s="24"/>
      <c r="E278" s="458"/>
    </row>
    <row r="279" spans="3:5">
      <c r="C279" s="31"/>
      <c r="D279" s="24"/>
      <c r="E279" s="458"/>
    </row>
    <row r="280" spans="3:5">
      <c r="C280" s="31"/>
      <c r="D280" s="24"/>
      <c r="E280" s="458"/>
    </row>
    <row r="281" spans="3:5">
      <c r="C281" s="31"/>
      <c r="D281" s="24"/>
      <c r="E281" s="458"/>
    </row>
    <row r="282" spans="3:5">
      <c r="C282" s="31"/>
      <c r="D282" s="24"/>
      <c r="E282" s="458"/>
    </row>
    <row r="283" spans="3:5">
      <c r="C283" s="31"/>
      <c r="D283" s="24"/>
      <c r="E283" s="458"/>
    </row>
    <row r="284" spans="3:5">
      <c r="C284" s="31"/>
      <c r="D284" s="24"/>
      <c r="E284" s="458"/>
    </row>
    <row r="285" spans="3:5">
      <c r="C285" s="31"/>
      <c r="D285" s="24"/>
      <c r="E285" s="458"/>
    </row>
    <row r="286" spans="3:5">
      <c r="C286" s="31"/>
      <c r="D286" s="24"/>
      <c r="E286" s="458"/>
    </row>
    <row r="287" spans="3:5">
      <c r="C287" s="31"/>
      <c r="D287" s="24"/>
      <c r="E287" s="458"/>
    </row>
    <row r="288" spans="3:5">
      <c r="C288" s="31"/>
      <c r="D288" s="24"/>
      <c r="E288" s="458"/>
    </row>
    <row r="289" spans="3:5">
      <c r="C289" s="31"/>
      <c r="D289" s="24"/>
      <c r="E289" s="458"/>
    </row>
    <row r="290" spans="3:5">
      <c r="C290" s="31"/>
      <c r="D290" s="24"/>
      <c r="E290" s="458"/>
    </row>
    <row r="291" spans="3:5">
      <c r="C291" s="31"/>
      <c r="D291" s="24"/>
      <c r="E291" s="458"/>
    </row>
    <row r="292" spans="3:5">
      <c r="C292" s="31"/>
      <c r="D292" s="24"/>
      <c r="E292" s="458"/>
    </row>
    <row r="293" spans="3:5">
      <c r="C293" s="31"/>
      <c r="D293" s="24"/>
      <c r="E293" s="458"/>
    </row>
    <row r="294" spans="3:5">
      <c r="C294" s="31"/>
      <c r="D294" s="24"/>
      <c r="E294" s="458"/>
    </row>
    <row r="295" spans="3:5">
      <c r="C295" s="31"/>
      <c r="D295" s="24"/>
      <c r="E295" s="458"/>
    </row>
    <row r="296" spans="3:5">
      <c r="C296" s="31"/>
      <c r="D296" s="24"/>
      <c r="E296" s="458"/>
    </row>
    <row r="297" spans="3:5">
      <c r="C297" s="31"/>
      <c r="D297" s="24"/>
      <c r="E297" s="458"/>
    </row>
    <row r="298" spans="3:5">
      <c r="C298" s="31"/>
      <c r="D298" s="24"/>
      <c r="E298" s="458"/>
    </row>
    <row r="299" spans="3:5">
      <c r="C299" s="31"/>
      <c r="D299" s="24"/>
      <c r="E299" s="458"/>
    </row>
    <row r="300" spans="3:5">
      <c r="C300" s="31"/>
      <c r="D300" s="24"/>
      <c r="E300" s="458"/>
    </row>
    <row r="301" spans="3:5">
      <c r="C301" s="31"/>
      <c r="D301" s="24"/>
      <c r="E301" s="458"/>
    </row>
    <row r="302" spans="3:5">
      <c r="C302" s="31"/>
      <c r="D302" s="24"/>
      <c r="E302" s="458"/>
    </row>
    <row r="303" spans="3:5">
      <c r="C303" s="31"/>
      <c r="D303" s="24"/>
      <c r="E303" s="458"/>
    </row>
    <row r="304" spans="3:5">
      <c r="C304" s="31"/>
      <c r="D304" s="24"/>
      <c r="E304" s="458"/>
    </row>
    <row r="305" spans="3:5">
      <c r="C305" s="31"/>
      <c r="D305" s="24"/>
      <c r="E305" s="458"/>
    </row>
    <row r="306" spans="3:5">
      <c r="C306" s="31"/>
      <c r="D306" s="24"/>
      <c r="E306" s="458"/>
    </row>
    <row r="307" spans="3:5">
      <c r="C307" s="31"/>
      <c r="D307" s="24"/>
      <c r="E307" s="458"/>
    </row>
    <row r="308" spans="3:5">
      <c r="C308" s="31"/>
      <c r="D308" s="24"/>
      <c r="E308" s="458"/>
    </row>
    <row r="309" spans="3:5">
      <c r="C309" s="31"/>
      <c r="D309" s="24"/>
      <c r="E309" s="458"/>
    </row>
    <row r="310" spans="3:5">
      <c r="C310" s="31"/>
      <c r="D310" s="24"/>
      <c r="E310" s="458"/>
    </row>
    <row r="311" spans="3:5">
      <c r="C311" s="31"/>
      <c r="D311" s="24"/>
      <c r="E311" s="458"/>
    </row>
    <row r="312" spans="3:5">
      <c r="C312" s="31"/>
      <c r="D312" s="24"/>
      <c r="E312" s="458"/>
    </row>
    <row r="313" spans="3:5">
      <c r="C313" s="31"/>
      <c r="D313" s="24"/>
      <c r="E313" s="458"/>
    </row>
    <row r="314" spans="3:5">
      <c r="C314" s="31"/>
      <c r="D314" s="24"/>
      <c r="E314" s="458"/>
    </row>
    <row r="315" spans="3:5">
      <c r="C315" s="31"/>
      <c r="D315" s="24"/>
      <c r="E315" s="458"/>
    </row>
    <row r="316" spans="3:5">
      <c r="C316" s="31"/>
      <c r="D316" s="24"/>
      <c r="E316" s="458"/>
    </row>
    <row r="317" spans="3:5">
      <c r="C317" s="31"/>
      <c r="D317" s="24"/>
      <c r="E317" s="458"/>
    </row>
    <row r="318" spans="3:5">
      <c r="C318" s="31"/>
      <c r="D318" s="24"/>
      <c r="E318" s="458"/>
    </row>
    <row r="319" spans="3:5">
      <c r="C319" s="31"/>
      <c r="D319" s="24"/>
      <c r="E319" s="458"/>
    </row>
    <row r="320" spans="3:5">
      <c r="C320" s="31"/>
      <c r="D320" s="24"/>
      <c r="E320" s="458"/>
    </row>
    <row r="321" spans="3:5">
      <c r="C321" s="31"/>
      <c r="D321" s="24"/>
      <c r="E321" s="458"/>
    </row>
    <row r="322" spans="3:5">
      <c r="C322" s="31"/>
      <c r="D322" s="24"/>
      <c r="E322" s="458"/>
    </row>
    <row r="323" spans="3:5">
      <c r="C323" s="31"/>
      <c r="D323" s="24"/>
      <c r="E323" s="458"/>
    </row>
    <row r="324" spans="3:5">
      <c r="C324" s="31"/>
      <c r="D324" s="24"/>
      <c r="E324" s="458"/>
    </row>
    <row r="325" spans="3:5">
      <c r="C325" s="31"/>
      <c r="D325" s="24"/>
      <c r="E325" s="458"/>
    </row>
    <row r="326" spans="3:5">
      <c r="C326" s="31"/>
      <c r="D326" s="24"/>
      <c r="E326" s="458"/>
    </row>
    <row r="327" spans="3:5">
      <c r="C327" s="31"/>
      <c r="D327" s="24"/>
      <c r="E327" s="458"/>
    </row>
    <row r="328" spans="3:5">
      <c r="C328" s="31"/>
      <c r="D328" s="24"/>
      <c r="E328" s="458"/>
    </row>
    <row r="329" spans="3:5">
      <c r="C329" s="31"/>
      <c r="D329" s="24"/>
      <c r="E329" s="458"/>
    </row>
    <row r="330" spans="3:5">
      <c r="C330" s="31"/>
      <c r="D330" s="24"/>
      <c r="E330" s="458"/>
    </row>
    <row r="331" spans="3:5">
      <c r="C331" s="31"/>
      <c r="D331" s="24"/>
      <c r="E331" s="458"/>
    </row>
    <row r="332" spans="3:5">
      <c r="C332" s="31"/>
      <c r="D332" s="24"/>
      <c r="E332" s="458"/>
    </row>
    <row r="333" spans="3:5">
      <c r="C333" s="31"/>
      <c r="D333" s="24"/>
      <c r="E333" s="458"/>
    </row>
    <row r="334" spans="3:5">
      <c r="C334" s="31"/>
      <c r="D334" s="24"/>
      <c r="E334" s="458"/>
    </row>
    <row r="335" spans="3:5">
      <c r="C335" s="31"/>
      <c r="D335" s="24"/>
      <c r="E335" s="458"/>
    </row>
    <row r="336" spans="3:5">
      <c r="C336" s="31"/>
      <c r="D336" s="24"/>
      <c r="E336" s="458"/>
    </row>
    <row r="337" spans="3:5">
      <c r="C337" s="31"/>
      <c r="D337" s="24"/>
      <c r="E337" s="458"/>
    </row>
    <row r="338" spans="3:5">
      <c r="C338" s="31"/>
      <c r="D338" s="24"/>
      <c r="E338" s="458"/>
    </row>
    <row r="339" spans="3:5">
      <c r="C339" s="31"/>
      <c r="D339" s="24"/>
      <c r="E339" s="458"/>
    </row>
    <row r="340" spans="3:5">
      <c r="C340" s="31"/>
      <c r="D340" s="24"/>
      <c r="E340" s="458"/>
    </row>
    <row r="341" spans="3:5">
      <c r="C341" s="31"/>
      <c r="D341" s="24"/>
      <c r="E341" s="458"/>
    </row>
    <row r="342" spans="3:5">
      <c r="C342" s="31"/>
      <c r="D342" s="24"/>
      <c r="E342" s="458"/>
    </row>
    <row r="343" spans="3:5">
      <c r="C343" s="31"/>
      <c r="D343" s="24"/>
      <c r="E343" s="458"/>
    </row>
    <row r="344" spans="3:5">
      <c r="C344" s="31"/>
      <c r="D344" s="24"/>
      <c r="E344" s="458"/>
    </row>
    <row r="345" spans="3:5">
      <c r="C345" s="31"/>
      <c r="D345" s="24"/>
      <c r="E345" s="458"/>
    </row>
    <row r="346" spans="3:5">
      <c r="C346" s="31"/>
      <c r="D346" s="24"/>
      <c r="E346" s="458"/>
    </row>
    <row r="347" spans="3:5">
      <c r="C347" s="31"/>
      <c r="D347" s="24"/>
      <c r="E347" s="458"/>
    </row>
    <row r="348" spans="3:5">
      <c r="C348" s="31"/>
      <c r="D348" s="24"/>
      <c r="E348" s="458"/>
    </row>
    <row r="349" spans="3:5">
      <c r="C349" s="31"/>
      <c r="D349" s="24"/>
      <c r="E349" s="458"/>
    </row>
    <row r="350" spans="3:5">
      <c r="C350" s="31"/>
      <c r="D350" s="24"/>
      <c r="E350" s="458"/>
    </row>
    <row r="351" spans="3:5">
      <c r="C351" s="31"/>
      <c r="D351" s="24"/>
      <c r="E351" s="458"/>
    </row>
    <row r="352" spans="3:5">
      <c r="C352" s="31"/>
      <c r="D352" s="24"/>
      <c r="E352" s="458"/>
    </row>
    <row r="353" spans="3:5">
      <c r="C353" s="31"/>
      <c r="D353" s="24"/>
      <c r="E353" s="458"/>
    </row>
    <row r="354" spans="3:5">
      <c r="C354" s="31"/>
      <c r="D354" s="24"/>
      <c r="E354" s="458"/>
    </row>
    <row r="355" spans="3:5">
      <c r="C355" s="31"/>
      <c r="D355" s="24"/>
      <c r="E355" s="458"/>
    </row>
    <row r="356" spans="3:5">
      <c r="C356" s="31"/>
      <c r="D356" s="24"/>
      <c r="E356" s="458"/>
    </row>
    <row r="357" spans="3:5">
      <c r="C357" s="31"/>
      <c r="D357" s="24"/>
      <c r="E357" s="458"/>
    </row>
    <row r="358" spans="3:5">
      <c r="C358" s="31"/>
      <c r="D358" s="24"/>
      <c r="E358" s="458"/>
    </row>
    <row r="359" spans="3:5">
      <c r="C359" s="31"/>
      <c r="D359" s="24"/>
      <c r="E359" s="458"/>
    </row>
    <row r="360" spans="3:5">
      <c r="C360" s="31"/>
      <c r="D360" s="24"/>
      <c r="E360" s="458"/>
    </row>
    <row r="361" spans="3:5">
      <c r="C361" s="31"/>
      <c r="D361" s="24"/>
      <c r="E361" s="458"/>
    </row>
    <row r="362" spans="3:5">
      <c r="C362" s="31"/>
      <c r="D362" s="24"/>
      <c r="E362" s="458"/>
    </row>
    <row r="363" spans="3:5">
      <c r="C363" s="31"/>
      <c r="D363" s="24"/>
      <c r="E363" s="458"/>
    </row>
    <row r="364" spans="3:5">
      <c r="C364" s="31"/>
      <c r="D364" s="24"/>
      <c r="E364" s="458"/>
    </row>
    <row r="365" spans="3:5">
      <c r="C365" s="31"/>
      <c r="D365" s="24"/>
      <c r="E365" s="458"/>
    </row>
    <row r="366" spans="3:5">
      <c r="C366" s="31"/>
      <c r="D366" s="24"/>
      <c r="E366" s="458"/>
    </row>
    <row r="367" spans="3:5">
      <c r="C367" s="31"/>
      <c r="D367" s="24"/>
      <c r="E367" s="458"/>
    </row>
    <row r="368" spans="3:5">
      <c r="C368" s="31"/>
      <c r="D368" s="24"/>
      <c r="E368" s="458"/>
    </row>
    <row r="369" spans="3:5">
      <c r="C369" s="31"/>
      <c r="D369" s="24"/>
      <c r="E369" s="458"/>
    </row>
    <row r="370" spans="3:5">
      <c r="C370" s="31"/>
      <c r="D370" s="24"/>
      <c r="E370" s="458"/>
    </row>
    <row r="371" spans="3:5">
      <c r="C371" s="31"/>
      <c r="D371" s="24"/>
      <c r="E371" s="458"/>
    </row>
    <row r="372" spans="3:5">
      <c r="C372" s="31"/>
      <c r="D372" s="24"/>
      <c r="E372" s="458"/>
    </row>
    <row r="373" spans="3:5">
      <c r="C373" s="31"/>
      <c r="D373" s="24"/>
      <c r="E373" s="458"/>
    </row>
    <row r="374" spans="3:5">
      <c r="C374" s="31"/>
      <c r="D374" s="24"/>
      <c r="E374" s="458"/>
    </row>
    <row r="375" spans="3:5">
      <c r="C375" s="31"/>
      <c r="D375" s="24"/>
      <c r="E375" s="458"/>
    </row>
    <row r="376" spans="3:5">
      <c r="C376" s="31"/>
      <c r="D376" s="24"/>
      <c r="E376" s="458"/>
    </row>
    <row r="377" spans="3:5">
      <c r="C377" s="31"/>
      <c r="D377" s="24"/>
      <c r="E377" s="458"/>
    </row>
    <row r="378" spans="3:5">
      <c r="C378" s="31"/>
      <c r="D378" s="24"/>
      <c r="E378" s="458"/>
    </row>
    <row r="379" spans="3:5">
      <c r="C379" s="31"/>
      <c r="D379" s="24"/>
      <c r="E379" s="458"/>
    </row>
    <row r="380" spans="3:5">
      <c r="C380" s="31"/>
      <c r="D380" s="24"/>
      <c r="E380" s="458"/>
    </row>
    <row r="381" spans="3:5">
      <c r="C381" s="31"/>
      <c r="D381" s="24"/>
      <c r="E381" s="458"/>
    </row>
    <row r="382" spans="3:5">
      <c r="C382" s="31"/>
      <c r="D382" s="24"/>
      <c r="E382" s="458"/>
    </row>
    <row r="383" spans="3:5">
      <c r="C383" s="31"/>
      <c r="D383" s="24"/>
      <c r="E383" s="458"/>
    </row>
    <row r="384" spans="3:5">
      <c r="C384" s="31"/>
      <c r="D384" s="24"/>
      <c r="E384" s="458"/>
    </row>
    <row r="385" spans="3:5">
      <c r="C385" s="31"/>
      <c r="D385" s="24"/>
      <c r="E385" s="458"/>
    </row>
    <row r="386" spans="3:5">
      <c r="C386" s="31"/>
      <c r="D386" s="24"/>
      <c r="E386" s="458"/>
    </row>
    <row r="387" spans="3:5">
      <c r="C387" s="31"/>
      <c r="D387" s="24"/>
      <c r="E387" s="458"/>
    </row>
    <row r="388" spans="3:5">
      <c r="C388" s="31"/>
      <c r="D388" s="24"/>
      <c r="E388" s="458"/>
    </row>
    <row r="389" spans="3:5">
      <c r="C389" s="31"/>
      <c r="D389" s="24"/>
      <c r="E389" s="458"/>
    </row>
    <row r="390" spans="3:5">
      <c r="C390" s="31"/>
      <c r="D390" s="24"/>
      <c r="E390" s="458"/>
    </row>
    <row r="391" spans="3:5">
      <c r="C391" s="31"/>
      <c r="D391" s="24"/>
      <c r="E391" s="458"/>
    </row>
    <row r="392" spans="3:5">
      <c r="C392" s="31"/>
      <c r="D392" s="24"/>
      <c r="E392" s="458"/>
    </row>
    <row r="393" spans="3:5">
      <c r="C393" s="31"/>
      <c r="D393" s="24"/>
      <c r="E393" s="458"/>
    </row>
    <row r="394" spans="3:5">
      <c r="C394" s="31"/>
      <c r="D394" s="24"/>
      <c r="E394" s="458"/>
    </row>
    <row r="395" spans="3:5">
      <c r="C395" s="31"/>
      <c r="D395" s="24"/>
      <c r="E395" s="458"/>
    </row>
    <row r="396" spans="3:5">
      <c r="C396" s="31"/>
      <c r="D396" s="24"/>
      <c r="E396" s="458"/>
    </row>
    <row r="397" spans="3:5">
      <c r="C397" s="31"/>
      <c r="D397" s="24"/>
      <c r="E397" s="458"/>
    </row>
    <row r="398" spans="3:5">
      <c r="C398" s="31"/>
      <c r="D398" s="24"/>
      <c r="E398" s="458"/>
    </row>
    <row r="399" spans="3:5">
      <c r="C399" s="31"/>
      <c r="D399" s="24"/>
      <c r="E399" s="458"/>
    </row>
    <row r="400" spans="3:5">
      <c r="C400" s="31"/>
      <c r="D400" s="24"/>
      <c r="E400" s="458"/>
    </row>
    <row r="401" spans="3:5">
      <c r="C401" s="31"/>
      <c r="D401" s="24"/>
      <c r="E401" s="458"/>
    </row>
    <row r="402" spans="3:5">
      <c r="C402" s="31"/>
      <c r="D402" s="24"/>
      <c r="E402" s="458"/>
    </row>
    <row r="403" spans="3:5">
      <c r="C403" s="31"/>
      <c r="D403" s="24"/>
      <c r="E403" s="458"/>
    </row>
    <row r="404" spans="3:5">
      <c r="C404" s="31"/>
      <c r="D404" s="24"/>
      <c r="E404" s="458"/>
    </row>
    <row r="405" spans="3:5">
      <c r="C405" s="31"/>
      <c r="D405" s="24"/>
      <c r="E405" s="458"/>
    </row>
    <row r="406" spans="3:5">
      <c r="C406" s="31"/>
      <c r="D406" s="24"/>
      <c r="E406" s="458"/>
    </row>
    <row r="407" spans="3:5">
      <c r="C407" s="31"/>
      <c r="D407" s="24"/>
      <c r="E407" s="458"/>
    </row>
    <row r="408" spans="3:5">
      <c r="C408" s="31"/>
      <c r="D408" s="24"/>
      <c r="E408" s="458"/>
    </row>
    <row r="409" spans="3:5">
      <c r="C409" s="31"/>
      <c r="D409" s="24"/>
      <c r="E409" s="458"/>
    </row>
    <row r="410" spans="3:5">
      <c r="C410" s="31"/>
      <c r="D410" s="24"/>
      <c r="E410" s="458"/>
    </row>
    <row r="411" spans="3:5">
      <c r="C411" s="31"/>
      <c r="D411" s="24"/>
      <c r="E411" s="458"/>
    </row>
    <row r="412" spans="3:5">
      <c r="C412" s="31"/>
      <c r="D412" s="24"/>
      <c r="E412" s="458"/>
    </row>
    <row r="413" spans="3:5">
      <c r="C413" s="31"/>
      <c r="D413" s="24"/>
      <c r="E413" s="458"/>
    </row>
    <row r="414" spans="3:5">
      <c r="C414" s="31"/>
      <c r="D414" s="24"/>
      <c r="E414" s="458"/>
    </row>
    <row r="415" spans="3:5">
      <c r="C415" s="31"/>
      <c r="D415" s="24"/>
      <c r="E415" s="458"/>
    </row>
    <row r="416" spans="3:5">
      <c r="C416" s="31"/>
      <c r="D416" s="24"/>
      <c r="E416" s="458"/>
    </row>
    <row r="417" spans="3:5">
      <c r="C417" s="31"/>
      <c r="D417" s="24"/>
      <c r="E417" s="458"/>
    </row>
    <row r="418" spans="3:5">
      <c r="C418" s="31"/>
      <c r="D418" s="24"/>
      <c r="E418" s="458"/>
    </row>
    <row r="419" spans="3:5">
      <c r="C419" s="31"/>
      <c r="D419" s="24"/>
      <c r="E419" s="458"/>
    </row>
    <row r="420" spans="3:5">
      <c r="C420" s="31"/>
      <c r="D420" s="24"/>
      <c r="E420" s="458"/>
    </row>
    <row r="421" spans="3:5">
      <c r="C421" s="31"/>
      <c r="D421" s="24"/>
      <c r="E421" s="458"/>
    </row>
    <row r="422" spans="3:5">
      <c r="C422" s="31"/>
      <c r="D422" s="24"/>
      <c r="E422" s="458"/>
    </row>
    <row r="423" spans="3:5">
      <c r="C423" s="31"/>
      <c r="D423" s="24"/>
      <c r="E423" s="458"/>
    </row>
    <row r="424" spans="3:5">
      <c r="C424" s="31"/>
      <c r="D424" s="24"/>
      <c r="E424" s="458"/>
    </row>
    <row r="425" spans="3:5">
      <c r="C425" s="31"/>
      <c r="D425" s="24"/>
      <c r="E425" s="458"/>
    </row>
    <row r="426" spans="3:5">
      <c r="C426" s="31"/>
      <c r="D426" s="24"/>
      <c r="E426" s="458"/>
    </row>
    <row r="427" spans="3:5">
      <c r="C427" s="31"/>
      <c r="D427" s="24"/>
      <c r="E427" s="458"/>
    </row>
    <row r="428" spans="3:5">
      <c r="C428" s="31"/>
      <c r="D428" s="24"/>
      <c r="E428" s="458"/>
    </row>
    <row r="429" spans="3:5">
      <c r="C429" s="31"/>
      <c r="D429" s="24"/>
      <c r="E429" s="458"/>
    </row>
    <row r="430" spans="3:5">
      <c r="C430" s="31"/>
      <c r="D430" s="24"/>
      <c r="E430" s="458"/>
    </row>
    <row r="431" spans="3:5">
      <c r="C431" s="31"/>
      <c r="D431" s="24"/>
      <c r="E431" s="458"/>
    </row>
    <row r="432" spans="3:5">
      <c r="C432" s="31"/>
      <c r="D432" s="24"/>
      <c r="E432" s="458"/>
    </row>
    <row r="433" spans="3:5">
      <c r="C433" s="31"/>
      <c r="D433" s="24"/>
      <c r="E433" s="458"/>
    </row>
    <row r="434" spans="3:5">
      <c r="C434" s="31"/>
      <c r="D434" s="24"/>
      <c r="E434" s="458"/>
    </row>
    <row r="435" spans="3:5">
      <c r="C435" s="31"/>
      <c r="D435" s="24"/>
      <c r="E435" s="458"/>
    </row>
    <row r="436" spans="3:5">
      <c r="C436" s="31"/>
      <c r="D436" s="24"/>
      <c r="E436" s="458"/>
    </row>
    <row r="437" spans="3:5">
      <c r="C437" s="31"/>
      <c r="D437" s="24"/>
      <c r="E437" s="458"/>
    </row>
    <row r="438" spans="3:5">
      <c r="C438" s="31"/>
      <c r="D438" s="24"/>
      <c r="E438" s="458"/>
    </row>
    <row r="439" spans="3:5">
      <c r="C439" s="31"/>
      <c r="D439" s="24"/>
      <c r="E439" s="458"/>
    </row>
    <row r="440" spans="3:5">
      <c r="C440" s="31"/>
      <c r="D440" s="24"/>
      <c r="E440" s="458"/>
    </row>
    <row r="441" spans="3:5">
      <c r="C441" s="31"/>
      <c r="D441" s="24"/>
      <c r="E441" s="458"/>
    </row>
    <row r="442" spans="3:5">
      <c r="C442" s="31"/>
      <c r="D442" s="24"/>
      <c r="E442" s="458"/>
    </row>
    <row r="443" spans="3:5">
      <c r="C443" s="31"/>
      <c r="D443" s="24"/>
      <c r="E443" s="458"/>
    </row>
    <row r="444" spans="3:5">
      <c r="C444" s="31"/>
      <c r="D444" s="24"/>
      <c r="E444" s="458"/>
    </row>
    <row r="445" spans="3:5">
      <c r="C445" s="31"/>
      <c r="D445" s="24"/>
      <c r="E445" s="458"/>
    </row>
    <row r="446" spans="3:5">
      <c r="C446" s="31"/>
      <c r="D446" s="24"/>
      <c r="E446" s="458"/>
    </row>
    <row r="447" spans="3:5">
      <c r="C447" s="31"/>
      <c r="D447" s="24"/>
      <c r="E447" s="458"/>
    </row>
    <row r="448" spans="3:5">
      <c r="C448" s="31"/>
      <c r="D448" s="24"/>
      <c r="E448" s="458"/>
    </row>
    <row r="449" spans="3:5">
      <c r="C449" s="31"/>
      <c r="D449" s="24"/>
      <c r="E449" s="458"/>
    </row>
    <row r="450" spans="3:5">
      <c r="C450" s="31"/>
      <c r="D450" s="24"/>
      <c r="E450" s="458"/>
    </row>
    <row r="451" spans="3:5">
      <c r="C451" s="31"/>
      <c r="D451" s="24"/>
      <c r="E451" s="458"/>
    </row>
    <row r="452" spans="3:5">
      <c r="C452" s="31"/>
      <c r="D452" s="24"/>
      <c r="E452" s="458"/>
    </row>
    <row r="453" spans="3:5">
      <c r="C453" s="31"/>
      <c r="D453" s="24"/>
      <c r="E453" s="458"/>
    </row>
    <row r="454" spans="3:5">
      <c r="C454" s="31"/>
      <c r="D454" s="24"/>
      <c r="E454" s="458"/>
    </row>
    <row r="455" spans="3:5">
      <c r="C455" s="31"/>
      <c r="D455" s="24"/>
      <c r="E455" s="458"/>
    </row>
    <row r="456" spans="3:5">
      <c r="C456" s="31"/>
      <c r="D456" s="24"/>
      <c r="E456" s="458"/>
    </row>
    <row r="457" spans="3:5">
      <c r="C457" s="31"/>
      <c r="D457" s="24"/>
      <c r="E457" s="458"/>
    </row>
    <row r="458" spans="3:5">
      <c r="C458" s="31"/>
      <c r="D458" s="24"/>
      <c r="E458" s="458"/>
    </row>
    <row r="459" spans="3:5">
      <c r="C459" s="31"/>
      <c r="D459" s="24"/>
      <c r="E459" s="458"/>
    </row>
    <row r="460" spans="3:5">
      <c r="C460" s="31"/>
      <c r="D460" s="24"/>
      <c r="E460" s="458"/>
    </row>
    <row r="461" spans="3:5">
      <c r="C461" s="31"/>
      <c r="D461" s="24"/>
      <c r="E461" s="458"/>
    </row>
    <row r="462" spans="3:5">
      <c r="C462" s="31"/>
      <c r="D462" s="24"/>
      <c r="E462" s="458"/>
    </row>
    <row r="463" spans="3:5">
      <c r="C463" s="31"/>
      <c r="D463" s="24"/>
      <c r="E463" s="458"/>
    </row>
    <row r="464" spans="3:5">
      <c r="C464" s="31"/>
      <c r="D464" s="24"/>
      <c r="E464" s="458"/>
    </row>
    <row r="465" spans="3:5">
      <c r="C465" s="31"/>
      <c r="D465" s="24"/>
      <c r="E465" s="458"/>
    </row>
    <row r="466" spans="3:5">
      <c r="C466" s="31"/>
      <c r="D466" s="24"/>
      <c r="E466" s="458"/>
    </row>
    <row r="467" spans="3:5">
      <c r="C467" s="31"/>
      <c r="D467" s="24"/>
      <c r="E467" s="458"/>
    </row>
    <row r="468" spans="3:5">
      <c r="C468" s="31"/>
      <c r="D468" s="24"/>
      <c r="E468" s="458"/>
    </row>
    <row r="469" spans="3:5">
      <c r="C469" s="31"/>
      <c r="D469" s="24"/>
      <c r="E469" s="458"/>
    </row>
    <row r="470" spans="3:5">
      <c r="C470" s="31"/>
      <c r="D470" s="24"/>
      <c r="E470" s="458"/>
    </row>
    <row r="471" spans="3:5">
      <c r="C471" s="31"/>
      <c r="D471" s="24"/>
      <c r="E471" s="458"/>
    </row>
    <row r="472" spans="3:5">
      <c r="C472" s="31"/>
      <c r="D472" s="24"/>
      <c r="E472" s="458"/>
    </row>
    <row r="473" spans="3:5">
      <c r="C473" s="31"/>
      <c r="D473" s="24"/>
      <c r="E473" s="458"/>
    </row>
    <row r="474" spans="3:5">
      <c r="C474" s="31"/>
      <c r="D474" s="24"/>
      <c r="E474" s="458"/>
    </row>
    <row r="475" spans="3:5">
      <c r="C475" s="31"/>
      <c r="D475" s="24"/>
      <c r="E475" s="458"/>
    </row>
    <row r="476" spans="3:5">
      <c r="C476" s="31"/>
      <c r="D476" s="24"/>
      <c r="E476" s="458"/>
    </row>
    <row r="477" spans="3:5">
      <c r="C477" s="31"/>
      <c r="D477" s="24"/>
      <c r="E477" s="458"/>
    </row>
    <row r="478" spans="3:5">
      <c r="C478" s="31"/>
      <c r="D478" s="24"/>
      <c r="E478" s="458"/>
    </row>
    <row r="479" spans="3:5">
      <c r="C479" s="31"/>
      <c r="D479" s="24"/>
      <c r="E479" s="458"/>
    </row>
    <row r="480" spans="3:5">
      <c r="C480" s="31"/>
      <c r="D480" s="24"/>
      <c r="E480" s="458"/>
    </row>
    <row r="481" spans="3:5">
      <c r="C481" s="31"/>
      <c r="D481" s="24"/>
      <c r="E481" s="458"/>
    </row>
    <row r="482" spans="3:5">
      <c r="C482" s="31"/>
      <c r="D482" s="24"/>
      <c r="E482" s="458"/>
    </row>
    <row r="483" spans="3:5">
      <c r="C483" s="31"/>
      <c r="D483" s="24"/>
      <c r="E483" s="458"/>
    </row>
    <row r="484" spans="3:5">
      <c r="C484" s="31"/>
      <c r="D484" s="24"/>
      <c r="E484" s="458"/>
    </row>
    <row r="485" spans="3:5">
      <c r="C485" s="31"/>
      <c r="D485" s="24"/>
      <c r="E485" s="458"/>
    </row>
    <row r="486" spans="3:5">
      <c r="C486" s="31"/>
      <c r="D486" s="24"/>
      <c r="E486" s="458"/>
    </row>
    <row r="487" spans="3:5">
      <c r="C487" s="31"/>
      <c r="D487" s="24"/>
      <c r="E487" s="458"/>
    </row>
    <row r="488" spans="3:5">
      <c r="C488" s="31"/>
      <c r="D488" s="24"/>
      <c r="E488" s="458"/>
    </row>
    <row r="489" spans="3:5">
      <c r="C489" s="31"/>
      <c r="D489" s="24"/>
      <c r="E489" s="458"/>
    </row>
    <row r="490" spans="3:5">
      <c r="C490" s="31"/>
      <c r="D490" s="24"/>
      <c r="E490" s="458"/>
    </row>
    <row r="491" spans="3:5">
      <c r="C491" s="31"/>
      <c r="D491" s="24"/>
      <c r="E491" s="458"/>
    </row>
    <row r="492" spans="3:5">
      <c r="C492" s="31"/>
      <c r="D492" s="24"/>
      <c r="E492" s="458"/>
    </row>
    <row r="493" spans="3:5">
      <c r="C493" s="31"/>
      <c r="D493" s="24"/>
      <c r="E493" s="458"/>
    </row>
    <row r="494" spans="3:5">
      <c r="C494" s="31"/>
      <c r="D494" s="24"/>
      <c r="E494" s="458"/>
    </row>
    <row r="495" spans="3:5">
      <c r="C495" s="31"/>
      <c r="D495" s="24"/>
      <c r="E495" s="458"/>
    </row>
    <row r="496" spans="3:5">
      <c r="C496" s="31"/>
      <c r="D496" s="24"/>
      <c r="E496" s="458"/>
    </row>
    <row r="497" spans="3:5">
      <c r="C497" s="31"/>
      <c r="D497" s="24"/>
      <c r="E497" s="458"/>
    </row>
    <row r="498" spans="3:5">
      <c r="C498" s="31"/>
      <c r="D498" s="24"/>
      <c r="E498" s="458"/>
    </row>
    <row r="499" spans="3:5">
      <c r="C499" s="31"/>
      <c r="D499" s="24"/>
      <c r="E499" s="458"/>
    </row>
    <row r="500" spans="3:5">
      <c r="C500" s="31"/>
      <c r="D500" s="24"/>
      <c r="E500" s="458"/>
    </row>
    <row r="501" spans="3:5">
      <c r="C501" s="31"/>
      <c r="D501" s="24"/>
      <c r="E501" s="458"/>
    </row>
    <row r="502" spans="3:5">
      <c r="C502" s="31"/>
      <c r="D502" s="24"/>
      <c r="E502" s="458"/>
    </row>
    <row r="503" spans="3:5">
      <c r="C503" s="31"/>
      <c r="D503" s="24"/>
      <c r="E503" s="458"/>
    </row>
    <row r="504" spans="3:5">
      <c r="C504" s="31"/>
      <c r="D504" s="24"/>
      <c r="E504" s="458"/>
    </row>
    <row r="505" spans="3:5">
      <c r="C505" s="31"/>
      <c r="D505" s="24"/>
      <c r="E505" s="458"/>
    </row>
    <row r="506" spans="3:5">
      <c r="C506" s="31"/>
      <c r="D506" s="24"/>
      <c r="E506" s="458"/>
    </row>
    <row r="507" spans="3:5">
      <c r="C507" s="31"/>
      <c r="D507" s="24"/>
      <c r="E507" s="458"/>
    </row>
    <row r="508" spans="3:5">
      <c r="C508" s="31"/>
      <c r="D508" s="24"/>
      <c r="E508" s="458"/>
    </row>
    <row r="509" spans="3:5">
      <c r="C509" s="31"/>
      <c r="D509" s="24"/>
      <c r="E509" s="458"/>
    </row>
    <row r="510" spans="3:5">
      <c r="C510" s="31"/>
      <c r="D510" s="24"/>
      <c r="E510" s="458"/>
    </row>
    <row r="511" spans="3:5">
      <c r="C511" s="31"/>
      <c r="D511" s="24"/>
      <c r="E511" s="458"/>
    </row>
    <row r="512" spans="3:5">
      <c r="C512" s="31"/>
      <c r="D512" s="24"/>
      <c r="E512" s="458"/>
    </row>
    <row r="513" spans="3:5">
      <c r="C513" s="31"/>
      <c r="D513" s="24"/>
      <c r="E513" s="458"/>
    </row>
    <row r="514" spans="3:5">
      <c r="C514" s="31"/>
      <c r="D514" s="24"/>
      <c r="E514" s="458"/>
    </row>
    <row r="515" spans="3:5">
      <c r="C515" s="31"/>
      <c r="D515" s="24"/>
      <c r="E515" s="458"/>
    </row>
  </sheetData>
  <mergeCells count="12">
    <mergeCell ref="AD4:AF4"/>
    <mergeCell ref="AG4:AI4"/>
    <mergeCell ref="AJ4:AL4"/>
    <mergeCell ref="C4:E4"/>
    <mergeCell ref="F4:H4"/>
    <mergeCell ref="I4:K4"/>
    <mergeCell ref="L4:N4"/>
    <mergeCell ref="O4:Q4"/>
    <mergeCell ref="R4:T4"/>
    <mergeCell ref="U4:W4"/>
    <mergeCell ref="X4:Z4"/>
    <mergeCell ref="AA4:AC4"/>
  </mergeCells>
  <conditionalFormatting sqref="E7:E32 H7:H32 K7:K32 Q7:Q32 N7:N32 T7:T32 AI7:AI32 W7:W32 AL7:AL32 Z7:Z32 AF7:AF32 AC7:AC32">
    <cfRule type="timePeriod" dxfId="0" priority="1" timePeriod="thisWeek">
      <formula>AND(TODAY()-ROUNDDOWN(E7,0)&lt;=WEEKDAY(TODAY())-1,ROUNDDOWN(E7,0)-TODAY()&lt;=7-WEEKDAY(TODAY()))</formula>
    </cfRule>
  </conditionalFormatting>
  <pageMargins left="0" right="0" top="0" bottom="0" header="0.51181102362204722" footer="0.51181102362204722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06"/>
  <sheetViews>
    <sheetView topLeftCell="B1" zoomScale="130" zoomScaleNormal="130" zoomScaleSheetLayoutView="100" zoomScalePageLayoutView="130" workbookViewId="0">
      <pane ySplit="2415" topLeftCell="A68" activePane="bottomLeft"/>
      <selection activeCell="O6" sqref="O6"/>
      <selection pane="bottomLeft" activeCell="T41" sqref="T41"/>
    </sheetView>
  </sheetViews>
  <sheetFormatPr baseColWidth="10" defaultColWidth="10.85546875" defaultRowHeight="11.25"/>
  <cols>
    <col min="1" max="1" width="2.42578125" style="42" customWidth="1"/>
    <col min="2" max="2" width="2.85546875" style="42" customWidth="1"/>
    <col min="3" max="3" width="2" style="42" customWidth="1"/>
    <col min="4" max="8" width="10.85546875" style="42"/>
    <col min="9" max="9" width="5" style="42" customWidth="1"/>
    <col min="10" max="10" width="4.42578125" style="42" customWidth="1"/>
    <col min="11" max="11" width="13.42578125" style="42" customWidth="1"/>
    <col min="12" max="12" width="6.140625" style="42" customWidth="1"/>
    <col min="13" max="13" width="18.28515625" style="42" customWidth="1"/>
    <col min="14" max="14" width="6.140625" style="42" customWidth="1"/>
    <col min="15" max="15" width="18.28515625" style="42" customWidth="1"/>
    <col min="16" max="16" width="7.42578125" style="42" customWidth="1"/>
    <col min="17" max="17" width="22.42578125" style="42" customWidth="1"/>
    <col min="18" max="18" width="11.42578125" style="42" bestFit="1" customWidth="1"/>
    <col min="19" max="16384" width="10.85546875" style="42"/>
  </cols>
  <sheetData>
    <row r="1" spans="1:17" ht="11.25" customHeight="1">
      <c r="A1" s="493" t="s">
        <v>125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4"/>
    </row>
    <row r="2" spans="1:17" ht="11.2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4"/>
    </row>
    <row r="4" spans="1:17" ht="15.75">
      <c r="B4" s="495" t="s">
        <v>126</v>
      </c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</row>
    <row r="5" spans="1:17" ht="3" customHeight="1"/>
    <row r="6" spans="1:17" ht="22.5" customHeight="1">
      <c r="A6" s="148"/>
      <c r="B6" s="43"/>
      <c r="C6" s="44"/>
      <c r="D6" s="496" t="s">
        <v>127</v>
      </c>
      <c r="E6" s="496"/>
      <c r="F6" s="496"/>
      <c r="G6" s="496"/>
      <c r="H6" s="496"/>
      <c r="I6" s="496"/>
      <c r="J6" s="45"/>
      <c r="K6" s="46" t="s">
        <v>245</v>
      </c>
      <c r="L6" s="45"/>
      <c r="M6" s="46" t="s">
        <v>246</v>
      </c>
      <c r="N6" s="45"/>
      <c r="O6" s="314" t="s">
        <v>367</v>
      </c>
      <c r="P6" s="45"/>
      <c r="Q6" s="46" t="s">
        <v>247</v>
      </c>
    </row>
    <row r="7" spans="1:17" ht="3" customHeight="1">
      <c r="A7" s="497" t="s">
        <v>129</v>
      </c>
      <c r="B7" s="43"/>
      <c r="C7" s="44"/>
      <c r="D7" s="147"/>
      <c r="E7" s="147"/>
      <c r="F7" s="147"/>
      <c r="G7" s="147"/>
      <c r="H7" s="147"/>
      <c r="I7" s="147"/>
      <c r="J7" s="48"/>
      <c r="K7" s="147"/>
      <c r="L7" s="48"/>
      <c r="M7" s="221"/>
      <c r="N7" s="48"/>
      <c r="O7" s="147"/>
      <c r="P7" s="48"/>
      <c r="Q7" s="185"/>
    </row>
    <row r="8" spans="1:17" ht="11.25" customHeight="1">
      <c r="A8" s="491"/>
      <c r="B8" s="50"/>
      <c r="C8" s="51"/>
      <c r="D8" s="52" t="s">
        <v>130</v>
      </c>
      <c r="E8" s="53"/>
      <c r="F8" s="53"/>
      <c r="G8" s="53"/>
      <c r="H8" s="53"/>
      <c r="I8" s="53"/>
      <c r="J8" s="48"/>
      <c r="K8" s="48"/>
      <c r="L8" s="48"/>
      <c r="M8" s="48"/>
      <c r="N8" s="48"/>
      <c r="O8" s="48"/>
      <c r="P8" s="48"/>
      <c r="Q8" s="48"/>
    </row>
    <row r="9" spans="1:17" ht="3" customHeight="1">
      <c r="A9" s="491"/>
      <c r="B9" s="54"/>
      <c r="C9" s="55"/>
      <c r="D9" s="56"/>
      <c r="E9" s="57"/>
      <c r="F9" s="57"/>
      <c r="G9" s="57"/>
      <c r="H9" s="57"/>
      <c r="I9" s="57"/>
      <c r="J9" s="147"/>
      <c r="K9" s="58"/>
      <c r="L9" s="221"/>
      <c r="M9" s="58"/>
      <c r="N9" s="147"/>
      <c r="O9" s="58"/>
      <c r="P9" s="185"/>
      <c r="Q9" s="58"/>
    </row>
    <row r="10" spans="1:17" ht="12" customHeight="1">
      <c r="A10" s="491"/>
      <c r="B10" s="59"/>
      <c r="C10" s="60"/>
      <c r="D10" s="60" t="s">
        <v>131</v>
      </c>
      <c r="E10" s="61"/>
      <c r="F10" s="61"/>
      <c r="G10" s="61"/>
      <c r="H10" s="61"/>
      <c r="I10" s="61"/>
      <c r="J10" s="62"/>
      <c r="K10" s="149">
        <f>K11+K12</f>
        <v>146938</v>
      </c>
      <c r="L10" s="62"/>
      <c r="M10" s="149">
        <f>M11+M12</f>
        <v>180000</v>
      </c>
      <c r="N10" s="62"/>
      <c r="O10" s="149">
        <f>O11+O12</f>
        <v>0</v>
      </c>
      <c r="P10" s="62"/>
      <c r="Q10" s="149">
        <f>Q11+Q12</f>
        <v>57522</v>
      </c>
    </row>
    <row r="11" spans="1:17" ht="12" customHeight="1">
      <c r="A11" s="491"/>
      <c r="B11" s="63"/>
      <c r="C11" s="64" t="s">
        <v>132</v>
      </c>
      <c r="D11" s="61" t="s">
        <v>133</v>
      </c>
      <c r="E11" s="61"/>
      <c r="F11" s="61"/>
      <c r="G11" s="61"/>
      <c r="H11" s="61"/>
      <c r="I11" s="61"/>
      <c r="J11" s="66"/>
      <c r="K11" s="65">
        <v>146933</v>
      </c>
      <c r="L11" s="66"/>
      <c r="M11" s="65">
        <v>180000</v>
      </c>
      <c r="N11" s="66"/>
      <c r="O11" s="65">
        <f>'Ecart objectif'!H20+'Ecart objectif'!J20</f>
        <v>0</v>
      </c>
      <c r="P11" s="66"/>
      <c r="Q11" s="65">
        <v>57522</v>
      </c>
    </row>
    <row r="12" spans="1:17" ht="12" customHeight="1">
      <c r="A12" s="491"/>
      <c r="B12" s="63"/>
      <c r="C12" s="64" t="s">
        <v>132</v>
      </c>
      <c r="D12" s="61" t="s">
        <v>134</v>
      </c>
      <c r="E12" s="61"/>
      <c r="F12" s="61"/>
      <c r="G12" s="61"/>
      <c r="H12" s="498"/>
      <c r="I12" s="499"/>
      <c r="J12" s="68"/>
      <c r="K12" s="67">
        <v>5</v>
      </c>
      <c r="L12" s="68"/>
      <c r="M12" s="67">
        <v>0</v>
      </c>
      <c r="N12" s="68"/>
      <c r="O12" s="67">
        <v>0</v>
      </c>
      <c r="P12" s="68"/>
      <c r="Q12" s="67">
        <v>0</v>
      </c>
    </row>
    <row r="13" spans="1:17" ht="3" customHeight="1">
      <c r="A13" s="491"/>
      <c r="B13" s="69"/>
      <c r="C13" s="70"/>
      <c r="D13" s="71"/>
      <c r="E13" s="71"/>
      <c r="F13" s="71"/>
      <c r="G13" s="71"/>
      <c r="H13" s="71"/>
      <c r="I13" s="71"/>
      <c r="J13" s="72"/>
      <c r="K13" s="72">
        <v>0</v>
      </c>
      <c r="L13" s="72"/>
      <c r="M13" s="72">
        <v>0</v>
      </c>
      <c r="N13" s="72"/>
      <c r="O13" s="72">
        <v>0</v>
      </c>
      <c r="P13" s="72"/>
      <c r="Q13" s="72">
        <v>0</v>
      </c>
    </row>
    <row r="14" spans="1:17" ht="3" customHeight="1">
      <c r="A14" s="491"/>
      <c r="B14" s="73"/>
      <c r="C14" s="74"/>
      <c r="D14" s="44"/>
      <c r="E14" s="44"/>
      <c r="F14" s="44"/>
      <c r="G14" s="44"/>
      <c r="H14" s="44"/>
      <c r="I14" s="44"/>
      <c r="J14" s="75"/>
      <c r="K14" s="44"/>
      <c r="L14" s="75"/>
      <c r="M14" s="44"/>
      <c r="N14" s="75"/>
      <c r="O14" s="44"/>
      <c r="P14" s="75"/>
      <c r="Q14" s="44"/>
    </row>
    <row r="15" spans="1:17" ht="12" customHeight="1">
      <c r="A15" s="491"/>
      <c r="B15" s="63"/>
      <c r="C15" s="64" t="s">
        <v>132</v>
      </c>
      <c r="D15" s="60" t="s">
        <v>135</v>
      </c>
      <c r="E15" s="61"/>
      <c r="F15" s="61"/>
      <c r="G15" s="61"/>
      <c r="H15" s="61"/>
      <c r="I15" s="61"/>
      <c r="J15" s="76"/>
      <c r="K15" s="150">
        <v>14831</v>
      </c>
      <c r="L15" s="76"/>
      <c r="M15" s="150">
        <v>5000</v>
      </c>
      <c r="N15" s="76"/>
      <c r="O15" s="150">
        <v>5000</v>
      </c>
      <c r="P15" s="76"/>
      <c r="Q15" s="150">
        <f>79+67+1200+340+55+100+120</f>
        <v>1961</v>
      </c>
    </row>
    <row r="16" spans="1:17" ht="3" customHeight="1">
      <c r="A16" s="491"/>
      <c r="B16" s="69"/>
      <c r="C16" s="70"/>
      <c r="D16" s="77"/>
      <c r="E16" s="71"/>
      <c r="F16" s="71"/>
      <c r="G16" s="71"/>
      <c r="H16" s="71"/>
      <c r="I16" s="71"/>
      <c r="J16" s="78"/>
      <c r="K16" s="78"/>
      <c r="L16" s="78"/>
      <c r="M16" s="78"/>
      <c r="N16" s="78"/>
      <c r="O16" s="78"/>
      <c r="P16" s="78"/>
      <c r="Q16" s="78"/>
    </row>
    <row r="17" spans="1:17" ht="3" customHeight="1">
      <c r="A17" s="491"/>
      <c r="B17" s="73"/>
      <c r="C17" s="74"/>
      <c r="D17" s="44"/>
      <c r="E17" s="44"/>
      <c r="F17" s="44"/>
      <c r="G17" s="44"/>
      <c r="H17" s="44"/>
      <c r="I17" s="44"/>
      <c r="J17" s="75"/>
      <c r="K17" s="44"/>
      <c r="L17" s="75"/>
      <c r="M17" s="44"/>
      <c r="N17" s="75"/>
      <c r="O17" s="44"/>
      <c r="P17" s="75"/>
      <c r="Q17" s="44"/>
    </row>
    <row r="18" spans="1:17" ht="12" customHeight="1">
      <c r="A18" s="491"/>
      <c r="B18" s="63"/>
      <c r="C18" s="64" t="s">
        <v>132</v>
      </c>
      <c r="D18" s="60" t="s">
        <v>136</v>
      </c>
      <c r="E18" s="61"/>
      <c r="F18" s="61"/>
      <c r="G18" s="61"/>
      <c r="H18" s="61"/>
      <c r="I18" s="61"/>
      <c r="J18" s="76"/>
      <c r="K18" s="150">
        <v>0</v>
      </c>
      <c r="L18" s="76"/>
      <c r="M18" s="150">
        <v>0</v>
      </c>
      <c r="N18" s="76"/>
      <c r="O18" s="150">
        <v>0</v>
      </c>
      <c r="P18" s="76"/>
      <c r="Q18" s="150">
        <v>0</v>
      </c>
    </row>
    <row r="19" spans="1:17" ht="3" customHeight="1">
      <c r="A19" s="491"/>
      <c r="B19" s="69"/>
      <c r="C19" s="70"/>
      <c r="D19" s="71"/>
      <c r="E19" s="71"/>
      <c r="F19" s="71"/>
      <c r="G19" s="71"/>
      <c r="H19" s="71"/>
      <c r="I19" s="71"/>
      <c r="J19" s="72"/>
      <c r="K19" s="71"/>
      <c r="L19" s="72"/>
      <c r="M19" s="71"/>
      <c r="N19" s="72"/>
      <c r="O19" s="71"/>
      <c r="P19" s="72"/>
      <c r="Q19" s="71"/>
    </row>
    <row r="20" spans="1:17" ht="3" customHeight="1">
      <c r="A20" s="491"/>
      <c r="B20" s="79"/>
      <c r="C20" s="80"/>
      <c r="D20" s="81"/>
      <c r="E20" s="81"/>
      <c r="F20" s="81"/>
      <c r="G20" s="81"/>
      <c r="H20" s="81"/>
      <c r="I20" s="81"/>
      <c r="J20" s="82"/>
      <c r="K20" s="81"/>
      <c r="L20" s="82"/>
      <c r="M20" s="81"/>
      <c r="N20" s="82"/>
      <c r="O20" s="81"/>
      <c r="P20" s="82"/>
      <c r="Q20" s="81"/>
    </row>
    <row r="21" spans="1:17">
      <c r="A21" s="491"/>
      <c r="B21" s="83"/>
      <c r="C21" s="84"/>
      <c r="D21" s="85" t="s">
        <v>1</v>
      </c>
      <c r="E21" s="51"/>
      <c r="F21" s="51"/>
      <c r="G21" s="51"/>
      <c r="H21" s="51"/>
      <c r="I21" s="51"/>
      <c r="J21" s="86"/>
      <c r="K21" s="151">
        <f>K10+K15+K18</f>
        <v>161769</v>
      </c>
      <c r="L21" s="86"/>
      <c r="M21" s="151">
        <f>M10+M15+M18</f>
        <v>185000</v>
      </c>
      <c r="N21" s="86"/>
      <c r="O21" s="151">
        <f>O10+O15+O18</f>
        <v>5000</v>
      </c>
      <c r="P21" s="86"/>
      <c r="Q21" s="151">
        <f>Q10+Q15+Q18</f>
        <v>59483</v>
      </c>
    </row>
    <row r="22" spans="1:17" ht="3" customHeight="1">
      <c r="A22" s="491"/>
      <c r="B22" s="87"/>
      <c r="C22" s="88"/>
      <c r="D22" s="89"/>
      <c r="E22" s="89"/>
      <c r="F22" s="89"/>
      <c r="G22" s="89"/>
      <c r="H22" s="89"/>
      <c r="I22" s="89"/>
      <c r="J22" s="90"/>
      <c r="K22" s="89"/>
      <c r="L22" s="90"/>
      <c r="M22" s="89"/>
      <c r="N22" s="90"/>
      <c r="O22" s="89"/>
      <c r="P22" s="90"/>
      <c r="Q22" s="89"/>
    </row>
    <row r="23" spans="1:17" ht="3" customHeight="1">
      <c r="A23" s="491"/>
      <c r="B23" s="73"/>
      <c r="C23" s="74"/>
      <c r="D23" s="44"/>
      <c r="E23" s="44"/>
      <c r="F23" s="44"/>
      <c r="G23" s="44"/>
      <c r="H23" s="44"/>
      <c r="I23" s="44"/>
      <c r="J23" s="75"/>
      <c r="K23" s="44"/>
      <c r="L23" s="75"/>
      <c r="M23" s="44"/>
      <c r="N23" s="75"/>
      <c r="O23" s="44"/>
      <c r="P23" s="75"/>
      <c r="Q23" s="44"/>
    </row>
    <row r="24" spans="1:17">
      <c r="A24" s="491"/>
      <c r="B24" s="50"/>
      <c r="C24" s="51"/>
      <c r="D24" s="52" t="s">
        <v>137</v>
      </c>
      <c r="E24" s="53"/>
      <c r="F24" s="53"/>
      <c r="G24" s="53"/>
      <c r="H24" s="53"/>
      <c r="I24" s="53"/>
      <c r="J24" s="91"/>
      <c r="K24" s="92" t="s">
        <v>128</v>
      </c>
      <c r="L24" s="91"/>
      <c r="M24" s="92" t="s">
        <v>128</v>
      </c>
      <c r="N24" s="91"/>
      <c r="O24" s="92" t="s">
        <v>128</v>
      </c>
      <c r="P24" s="91"/>
      <c r="Q24" s="92" t="s">
        <v>128</v>
      </c>
    </row>
    <row r="25" spans="1:17" ht="3" customHeight="1">
      <c r="A25" s="491"/>
      <c r="B25" s="54"/>
      <c r="C25" s="55"/>
      <c r="D25" s="56"/>
      <c r="E25" s="57"/>
      <c r="F25" s="57"/>
      <c r="G25" s="57"/>
      <c r="H25" s="57"/>
      <c r="I25" s="57"/>
      <c r="J25" s="68"/>
      <c r="K25" s="44"/>
      <c r="L25" s="68"/>
      <c r="M25" s="44"/>
      <c r="N25" s="68"/>
      <c r="O25" s="44"/>
      <c r="P25" s="68"/>
      <c r="Q25" s="44"/>
    </row>
    <row r="26" spans="1:17" ht="12" customHeight="1">
      <c r="A26" s="491"/>
      <c r="B26" s="93"/>
      <c r="C26" s="94"/>
      <c r="D26" s="95" t="s">
        <v>138</v>
      </c>
      <c r="E26" s="96"/>
      <c r="F26" s="96"/>
      <c r="G26" s="96"/>
      <c r="H26" s="96"/>
      <c r="I26" s="96"/>
      <c r="J26" s="97"/>
      <c r="K26" s="153"/>
      <c r="L26" s="97"/>
      <c r="M26" s="153"/>
      <c r="N26" s="97"/>
      <c r="O26" s="153"/>
      <c r="P26" s="97"/>
      <c r="Q26" s="153"/>
    </row>
    <row r="27" spans="1:17" ht="12" customHeight="1">
      <c r="A27" s="491"/>
      <c r="B27" s="59"/>
      <c r="C27" s="64" t="s">
        <v>132</v>
      </c>
      <c r="D27" s="61" t="s">
        <v>139</v>
      </c>
      <c r="E27" s="61"/>
      <c r="F27" s="61"/>
      <c r="G27" s="61"/>
      <c r="H27" s="61"/>
      <c r="I27" s="61"/>
      <c r="J27" s="68"/>
      <c r="K27" s="98">
        <v>22700</v>
      </c>
      <c r="L27" s="68"/>
      <c r="M27" s="98">
        <v>30000</v>
      </c>
      <c r="N27" s="68"/>
      <c r="O27" s="98">
        <v>30000</v>
      </c>
      <c r="P27" s="68"/>
      <c r="Q27" s="98">
        <v>10000</v>
      </c>
    </row>
    <row r="28" spans="1:17" ht="12" customHeight="1">
      <c r="A28" s="491"/>
      <c r="B28" s="63"/>
      <c r="C28" s="64" t="s">
        <v>132</v>
      </c>
      <c r="D28" s="61" t="s">
        <v>140</v>
      </c>
      <c r="E28" s="61"/>
      <c r="F28" s="61"/>
      <c r="G28" s="61"/>
      <c r="H28" s="61"/>
      <c r="I28" s="61"/>
      <c r="J28" s="68"/>
      <c r="K28" s="67">
        <v>29058</v>
      </c>
      <c r="L28" s="68"/>
      <c r="M28" s="67">
        <v>31000</v>
      </c>
      <c r="N28" s="68"/>
      <c r="O28" s="67">
        <v>31000</v>
      </c>
      <c r="P28" s="68"/>
      <c r="Q28" s="67">
        <v>11051</v>
      </c>
    </row>
    <row r="29" spans="1:17" ht="3" customHeight="1">
      <c r="A29" s="491"/>
      <c r="B29" s="69"/>
      <c r="C29" s="99"/>
      <c r="D29" s="71"/>
      <c r="E29" s="71"/>
      <c r="F29" s="71"/>
      <c r="G29" s="71"/>
      <c r="H29" s="71"/>
      <c r="I29" s="71"/>
      <c r="J29" s="72"/>
      <c r="K29" s="71"/>
      <c r="L29" s="72"/>
      <c r="M29" s="71"/>
      <c r="N29" s="72"/>
      <c r="O29" s="71"/>
      <c r="P29" s="72"/>
      <c r="Q29" s="71"/>
    </row>
    <row r="30" spans="1:17" ht="3" customHeight="1">
      <c r="A30" s="491"/>
      <c r="B30" s="79"/>
      <c r="C30" s="80"/>
      <c r="D30" s="81"/>
      <c r="E30" s="81"/>
      <c r="F30" s="81"/>
      <c r="G30" s="81"/>
      <c r="H30" s="81"/>
      <c r="I30" s="81"/>
      <c r="J30" s="82"/>
      <c r="K30" s="81"/>
      <c r="L30" s="82"/>
      <c r="M30" s="81"/>
      <c r="N30" s="82"/>
      <c r="O30" s="81"/>
      <c r="P30" s="82"/>
      <c r="Q30" s="81"/>
    </row>
    <row r="31" spans="1:17">
      <c r="A31" s="491"/>
      <c r="B31" s="83"/>
      <c r="C31" s="84"/>
      <c r="D31" s="85" t="s">
        <v>1</v>
      </c>
      <c r="E31" s="51"/>
      <c r="F31" s="51"/>
      <c r="G31" s="51"/>
      <c r="H31" s="51"/>
      <c r="I31" s="51"/>
      <c r="J31" s="86"/>
      <c r="K31" s="151">
        <f>K27+K28</f>
        <v>51758</v>
      </c>
      <c r="L31" s="86"/>
      <c r="M31" s="151">
        <f>M27+M28</f>
        <v>61000</v>
      </c>
      <c r="N31" s="86"/>
      <c r="O31" s="151">
        <f>O27+O28</f>
        <v>61000</v>
      </c>
      <c r="P31" s="86"/>
      <c r="Q31" s="151">
        <f>Q27+Q28</f>
        <v>21051</v>
      </c>
    </row>
    <row r="32" spans="1:17" ht="3" customHeight="1">
      <c r="A32" s="491"/>
      <c r="B32" s="87"/>
      <c r="C32" s="88"/>
      <c r="D32" s="89"/>
      <c r="E32" s="89"/>
      <c r="F32" s="89"/>
      <c r="G32" s="89"/>
      <c r="H32" s="89"/>
      <c r="I32" s="89"/>
      <c r="J32" s="90"/>
      <c r="K32" s="89"/>
      <c r="L32" s="90"/>
      <c r="M32" s="89"/>
      <c r="N32" s="90"/>
      <c r="O32" s="89"/>
      <c r="P32" s="90"/>
      <c r="Q32" s="89"/>
    </row>
    <row r="33" spans="1:17" ht="3" customHeight="1">
      <c r="A33" s="491"/>
      <c r="B33" s="100"/>
      <c r="C33" s="101"/>
      <c r="D33" s="55"/>
      <c r="E33" s="55"/>
      <c r="F33" s="55"/>
      <c r="G33" s="55"/>
      <c r="H33" s="55"/>
      <c r="I33" s="55"/>
      <c r="J33" s="102"/>
      <c r="K33" s="55"/>
      <c r="L33" s="102"/>
      <c r="M33" s="55"/>
      <c r="N33" s="102"/>
      <c r="O33" s="55"/>
      <c r="P33" s="102"/>
      <c r="Q33" s="55"/>
    </row>
    <row r="34" spans="1:17">
      <c r="A34" s="491"/>
      <c r="B34" s="63"/>
      <c r="C34" s="103"/>
      <c r="D34" s="60" t="s">
        <v>141</v>
      </c>
      <c r="E34" s="61"/>
      <c r="F34" s="61"/>
      <c r="G34" s="61"/>
      <c r="H34" s="61"/>
      <c r="I34" s="61"/>
      <c r="J34" s="48" t="s">
        <v>142</v>
      </c>
      <c r="K34" s="48" t="s">
        <v>143</v>
      </c>
      <c r="L34" s="48" t="s">
        <v>142</v>
      </c>
      <c r="M34" s="48" t="s">
        <v>143</v>
      </c>
      <c r="N34" s="48" t="s">
        <v>142</v>
      </c>
      <c r="O34" s="48" t="s">
        <v>143</v>
      </c>
      <c r="P34" s="48" t="s">
        <v>142</v>
      </c>
      <c r="Q34" s="48" t="s">
        <v>143</v>
      </c>
    </row>
    <row r="35" spans="1:17" ht="12" customHeight="1">
      <c r="A35" s="491"/>
      <c r="B35" s="104"/>
      <c r="C35" s="103"/>
      <c r="D35" s="61" t="s">
        <v>144</v>
      </c>
      <c r="E35" s="61"/>
      <c r="F35" s="61"/>
      <c r="G35" s="61"/>
      <c r="H35" s="61"/>
      <c r="I35" s="61"/>
      <c r="J35" s="105">
        <v>0</v>
      </c>
      <c r="K35" s="106">
        <f>J35*K31/100</f>
        <v>0</v>
      </c>
      <c r="L35" s="105">
        <v>0</v>
      </c>
      <c r="M35" s="106">
        <f>I35*M31/100</f>
        <v>0</v>
      </c>
      <c r="N35" s="105">
        <v>0</v>
      </c>
      <c r="O35" s="106">
        <f>K35*O31/100</f>
        <v>0</v>
      </c>
      <c r="P35" s="105">
        <v>0</v>
      </c>
      <c r="Q35" s="106">
        <f>O35*Q31/100</f>
        <v>0</v>
      </c>
    </row>
    <row r="36" spans="1:17" ht="12" customHeight="1">
      <c r="A36" s="491"/>
      <c r="B36" s="104"/>
      <c r="C36" s="103"/>
      <c r="D36" s="61" t="s">
        <v>145</v>
      </c>
      <c r="E36" s="61"/>
      <c r="F36" s="61"/>
      <c r="G36" s="61"/>
      <c r="H36" s="61"/>
      <c r="I36" s="61"/>
      <c r="J36" s="105">
        <v>100</v>
      </c>
      <c r="K36" s="106">
        <f>J36*K31/100</f>
        <v>51758</v>
      </c>
      <c r="L36" s="105">
        <v>100</v>
      </c>
      <c r="M36" s="106">
        <f>L36*M31/100</f>
        <v>61000</v>
      </c>
      <c r="N36" s="105">
        <v>100</v>
      </c>
      <c r="O36" s="106">
        <f>N36*O31/100</f>
        <v>61000</v>
      </c>
      <c r="P36" s="105">
        <v>100</v>
      </c>
      <c r="Q36" s="106">
        <f>P36*Q31/100</f>
        <v>21051</v>
      </c>
    </row>
    <row r="37" spans="1:17" ht="3" customHeight="1">
      <c r="A37" s="491"/>
      <c r="B37" s="107"/>
      <c r="C37" s="99"/>
      <c r="D37" s="71"/>
      <c r="E37" s="71"/>
      <c r="F37" s="71"/>
      <c r="G37" s="71"/>
      <c r="H37" s="71"/>
      <c r="I37" s="71"/>
      <c r="J37" s="72"/>
      <c r="K37" s="71"/>
      <c r="L37" s="72"/>
      <c r="M37" s="71"/>
      <c r="N37" s="72"/>
      <c r="O37" s="71"/>
      <c r="P37" s="72"/>
      <c r="Q37" s="71"/>
    </row>
    <row r="38" spans="1:17" ht="3" customHeight="1">
      <c r="A38" s="491"/>
      <c r="B38" s="108"/>
      <c r="C38" s="109"/>
      <c r="D38" s="44"/>
      <c r="E38" s="44"/>
      <c r="F38" s="44"/>
      <c r="G38" s="44"/>
      <c r="H38" s="44"/>
      <c r="I38" s="44"/>
      <c r="J38" s="75"/>
      <c r="K38" s="44"/>
      <c r="L38" s="75"/>
      <c r="M38" s="44"/>
      <c r="N38" s="75"/>
      <c r="O38" s="44"/>
      <c r="P38" s="75"/>
      <c r="Q38" s="44"/>
    </row>
    <row r="39" spans="1:17" ht="12" customHeight="1">
      <c r="A39" s="491"/>
      <c r="B39" s="110"/>
      <c r="C39" s="103"/>
      <c r="D39" s="60" t="s">
        <v>146</v>
      </c>
      <c r="E39" s="61"/>
      <c r="F39" s="61"/>
      <c r="G39" s="61"/>
      <c r="H39" s="61"/>
      <c r="I39" s="61"/>
      <c r="J39" s="91"/>
      <c r="K39" s="154"/>
      <c r="L39" s="91"/>
      <c r="M39" s="154"/>
      <c r="N39" s="91"/>
      <c r="O39" s="154"/>
      <c r="P39" s="91"/>
      <c r="Q39" s="154"/>
    </row>
    <row r="40" spans="1:17" ht="12" customHeight="1">
      <c r="A40" s="491"/>
      <c r="B40" s="110"/>
      <c r="C40" s="64" t="s">
        <v>132</v>
      </c>
      <c r="D40" s="61" t="s">
        <v>147</v>
      </c>
      <c r="E40" s="61"/>
      <c r="F40" s="61"/>
      <c r="G40" s="61"/>
      <c r="H40" s="61"/>
      <c r="I40" s="61"/>
      <c r="J40" s="68"/>
      <c r="K40" s="98">
        <v>82015</v>
      </c>
      <c r="L40" s="68"/>
      <c r="M40" s="98">
        <v>96000</v>
      </c>
      <c r="N40" s="68"/>
      <c r="O40" s="98">
        <v>96000</v>
      </c>
      <c r="P40" s="68"/>
      <c r="Q40" s="98">
        <v>31000</v>
      </c>
    </row>
    <row r="41" spans="1:17" ht="12" customHeight="1">
      <c r="A41" s="491"/>
      <c r="B41" s="110"/>
      <c r="C41" s="64" t="s">
        <v>132</v>
      </c>
      <c r="D41" s="61" t="s">
        <v>148</v>
      </c>
      <c r="E41" s="61"/>
      <c r="F41" s="61"/>
      <c r="G41" s="61"/>
      <c r="H41" s="61"/>
      <c r="I41" s="61"/>
      <c r="J41" s="61"/>
      <c r="K41" s="67">
        <v>42400</v>
      </c>
      <c r="L41" s="61"/>
      <c r="M41" s="67">
        <v>50000</v>
      </c>
      <c r="N41" s="61"/>
      <c r="O41" s="67">
        <v>50000</v>
      </c>
      <c r="P41" s="61"/>
      <c r="Q41" s="67">
        <v>15900</v>
      </c>
    </row>
    <row r="42" spans="1:17" ht="3" customHeight="1">
      <c r="A42" s="491"/>
      <c r="B42" s="107"/>
      <c r="C42" s="70"/>
      <c r="D42" s="71"/>
      <c r="E42" s="71"/>
      <c r="F42" s="71"/>
      <c r="G42" s="71"/>
      <c r="H42" s="71"/>
      <c r="I42" s="71"/>
      <c r="J42" s="71"/>
      <c r="K42" s="72"/>
      <c r="L42" s="71"/>
      <c r="M42" s="72"/>
      <c r="N42" s="71"/>
      <c r="O42" s="72"/>
      <c r="P42" s="71"/>
      <c r="Q42" s="72"/>
    </row>
    <row r="43" spans="1:17" ht="3" customHeight="1">
      <c r="A43" s="491"/>
      <c r="B43" s="111"/>
      <c r="C43" s="112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</row>
    <row r="44" spans="1:17">
      <c r="A44" s="491"/>
      <c r="B44" s="113"/>
      <c r="C44" s="114"/>
      <c r="D44" s="85" t="s">
        <v>149</v>
      </c>
      <c r="E44" s="51"/>
      <c r="F44" s="51"/>
      <c r="G44" s="51"/>
      <c r="H44" s="51"/>
      <c r="I44" s="51"/>
      <c r="J44" s="115"/>
      <c r="K44" s="155">
        <f>K40+K41</f>
        <v>124415</v>
      </c>
      <c r="L44" s="115"/>
      <c r="M44" s="155">
        <f>M40+M41</f>
        <v>146000</v>
      </c>
      <c r="N44" s="115"/>
      <c r="O44" s="155">
        <f>O40+O41</f>
        <v>146000</v>
      </c>
      <c r="P44" s="115"/>
      <c r="Q44" s="155">
        <f>Q40+Q41</f>
        <v>46900</v>
      </c>
    </row>
    <row r="45" spans="1:17" ht="3" customHeight="1">
      <c r="A45" s="491"/>
      <c r="B45" s="116"/>
      <c r="C45" s="117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</row>
    <row r="46" spans="1:17" ht="3" customHeight="1">
      <c r="A46" s="491"/>
      <c r="B46" s="43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</row>
    <row r="47" spans="1:17" ht="3" customHeight="1">
      <c r="A47" s="491"/>
      <c r="B47" s="118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</row>
    <row r="48" spans="1:17">
      <c r="A48" s="491"/>
      <c r="B48" s="119"/>
      <c r="C48" s="89"/>
      <c r="D48" s="120" t="s">
        <v>150</v>
      </c>
      <c r="E48" s="89"/>
      <c r="F48" s="89"/>
      <c r="G48" s="89"/>
      <c r="H48" s="89"/>
      <c r="I48" s="89"/>
      <c r="J48" s="91"/>
      <c r="K48" s="92" t="s">
        <v>128</v>
      </c>
      <c r="L48" s="91"/>
      <c r="M48" s="92" t="s">
        <v>128</v>
      </c>
      <c r="N48" s="91"/>
      <c r="O48" s="92" t="s">
        <v>128</v>
      </c>
      <c r="P48" s="91"/>
      <c r="Q48" s="92" t="s">
        <v>128</v>
      </c>
    </row>
    <row r="49" spans="1:17" ht="3" customHeight="1">
      <c r="A49" s="491"/>
      <c r="B49" s="54"/>
      <c r="C49" s="55"/>
      <c r="D49" s="121"/>
      <c r="E49" s="55"/>
      <c r="F49" s="55"/>
      <c r="G49" s="55"/>
      <c r="H49" s="55"/>
      <c r="I49" s="55"/>
      <c r="J49" s="61"/>
      <c r="K49" s="44"/>
      <c r="L49" s="61"/>
      <c r="M49" s="44"/>
      <c r="N49" s="61"/>
      <c r="O49" s="44"/>
      <c r="P49" s="61"/>
      <c r="Q49" s="44"/>
    </row>
    <row r="50" spans="1:17" ht="3" customHeight="1">
      <c r="A50" s="491"/>
      <c r="B50" s="122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</row>
    <row r="51" spans="1:17" ht="3" customHeight="1">
      <c r="A51" s="491"/>
      <c r="B51" s="123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</row>
    <row r="52" spans="1:17">
      <c r="A52" s="491"/>
      <c r="B52" s="50"/>
      <c r="C52" s="51"/>
      <c r="D52" s="85" t="s">
        <v>151</v>
      </c>
      <c r="E52" s="51"/>
      <c r="F52" s="51"/>
      <c r="G52" s="51"/>
      <c r="H52" s="51"/>
      <c r="I52" s="51"/>
      <c r="J52" s="51"/>
      <c r="K52" s="151">
        <f>K35+K44</f>
        <v>124415</v>
      </c>
      <c r="L52" s="51"/>
      <c r="M52" s="151">
        <f>M35+M44</f>
        <v>146000</v>
      </c>
      <c r="N52" s="51"/>
      <c r="O52" s="151">
        <f>O35+O44</f>
        <v>146000</v>
      </c>
      <c r="P52" s="51"/>
      <c r="Q52" s="151">
        <f>Q35+Q44</f>
        <v>46900</v>
      </c>
    </row>
    <row r="53" spans="1:17" ht="3" customHeight="1">
      <c r="A53" s="491"/>
      <c r="B53" s="11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</row>
    <row r="54" spans="1:17" ht="3" customHeight="1">
      <c r="A54" s="491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</row>
    <row r="55" spans="1:17" ht="11.25" customHeight="1">
      <c r="A55" s="491"/>
      <c r="B55" s="119"/>
      <c r="C55" s="89"/>
      <c r="D55" s="124" t="s">
        <v>152</v>
      </c>
      <c r="E55" s="89"/>
      <c r="F55" s="89"/>
      <c r="G55" s="89"/>
      <c r="H55" s="89"/>
      <c r="I55" s="89"/>
      <c r="J55" s="125" t="s">
        <v>153</v>
      </c>
      <c r="K55" s="152" t="s">
        <v>128</v>
      </c>
      <c r="L55" s="125" t="s">
        <v>153</v>
      </c>
      <c r="M55" s="152" t="s">
        <v>128</v>
      </c>
      <c r="N55" s="125" t="s">
        <v>153</v>
      </c>
      <c r="O55" s="152" t="s">
        <v>128</v>
      </c>
      <c r="P55" s="125" t="s">
        <v>153</v>
      </c>
      <c r="Q55" s="152" t="s">
        <v>128</v>
      </c>
    </row>
    <row r="56" spans="1:17" ht="11.25" customHeight="1">
      <c r="A56" s="491"/>
      <c r="B56" s="93"/>
      <c r="C56" s="94"/>
      <c r="D56" s="95" t="s">
        <v>154</v>
      </c>
      <c r="E56" s="94"/>
      <c r="F56" s="94"/>
      <c r="G56" s="94"/>
      <c r="H56" s="94"/>
      <c r="I56" s="94"/>
      <c r="J56" s="48"/>
      <c r="K56" s="48"/>
      <c r="L56" s="48"/>
      <c r="M56" s="48"/>
      <c r="N56" s="48"/>
      <c r="O56" s="48"/>
      <c r="P56" s="48"/>
      <c r="Q56" s="48"/>
    </row>
    <row r="57" spans="1:17" ht="12" customHeight="1">
      <c r="A57" s="491"/>
      <c r="B57" s="118"/>
      <c r="C57" s="61"/>
      <c r="D57" s="61" t="s">
        <v>155</v>
      </c>
      <c r="E57" s="61"/>
      <c r="F57" s="61"/>
      <c r="G57" s="61"/>
      <c r="H57" s="61"/>
      <c r="I57" s="61"/>
      <c r="J57" s="61"/>
      <c r="K57" s="67">
        <v>35</v>
      </c>
      <c r="L57" s="61"/>
      <c r="M57" s="67">
        <v>35</v>
      </c>
      <c r="N57" s="61"/>
      <c r="O57" s="67">
        <v>35</v>
      </c>
      <c r="P57" s="61"/>
      <c r="Q57" s="67">
        <v>35</v>
      </c>
    </row>
    <row r="58" spans="1:17" ht="12" customHeight="1">
      <c r="A58" s="491"/>
      <c r="B58" s="118"/>
      <c r="C58" s="61"/>
      <c r="D58" s="61" t="s">
        <v>156</v>
      </c>
      <c r="E58" s="61"/>
      <c r="F58" s="61"/>
      <c r="G58" s="61"/>
      <c r="H58" s="61"/>
      <c r="I58" s="61"/>
      <c r="J58" s="105">
        <v>46</v>
      </c>
      <c r="K58" s="106">
        <f>K57*J58</f>
        <v>1610</v>
      </c>
      <c r="L58" s="105">
        <v>46</v>
      </c>
      <c r="M58" s="106">
        <f>M57*L58</f>
        <v>1610</v>
      </c>
      <c r="N58" s="105">
        <v>46</v>
      </c>
      <c r="O58" s="106">
        <f>O57*N58</f>
        <v>1610</v>
      </c>
      <c r="P58" s="105">
        <v>17</v>
      </c>
      <c r="Q58" s="106">
        <f>Q57*P58</f>
        <v>595</v>
      </c>
    </row>
    <row r="59" spans="1:17" ht="12" customHeight="1">
      <c r="A59" s="491"/>
      <c r="B59" s="118"/>
      <c r="C59" s="61"/>
      <c r="D59" s="61" t="s">
        <v>157</v>
      </c>
      <c r="E59" s="61"/>
      <c r="F59" s="61"/>
      <c r="G59" s="61"/>
      <c r="H59" s="61"/>
      <c r="I59" s="61"/>
      <c r="J59" s="105">
        <v>80</v>
      </c>
      <c r="K59" s="106">
        <f>K58*J59/100</f>
        <v>1288</v>
      </c>
      <c r="L59" s="105">
        <v>80</v>
      </c>
      <c r="M59" s="106">
        <f>M58*L59/100</f>
        <v>1288</v>
      </c>
      <c r="N59" s="105">
        <v>80</v>
      </c>
      <c r="O59" s="106">
        <f>O58*N59/100</f>
        <v>1288</v>
      </c>
      <c r="P59" s="105">
        <v>80</v>
      </c>
      <c r="Q59" s="106">
        <f>Q58*P59/100</f>
        <v>476</v>
      </c>
    </row>
    <row r="60" spans="1:17" ht="12" customHeight="1">
      <c r="A60" s="491"/>
      <c r="B60" s="118"/>
      <c r="C60" s="61"/>
      <c r="D60" s="61" t="s">
        <v>158</v>
      </c>
      <c r="E60" s="61"/>
      <c r="F60" s="61"/>
      <c r="G60" s="61"/>
      <c r="H60" s="61"/>
      <c r="I60" s="61"/>
      <c r="J60" s="66"/>
      <c r="K60" s="67">
        <v>4</v>
      </c>
      <c r="L60" s="66"/>
      <c r="M60" s="67">
        <v>4</v>
      </c>
      <c r="N60" s="66"/>
      <c r="O60" s="67">
        <v>4</v>
      </c>
      <c r="P60" s="66"/>
      <c r="Q60" s="67">
        <v>4</v>
      </c>
    </row>
    <row r="61" spans="1:17" ht="3" customHeight="1">
      <c r="A61" s="491"/>
      <c r="B61" s="118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</row>
    <row r="62" spans="1:17" ht="3" customHeight="1">
      <c r="A62" s="491"/>
      <c r="B62" s="123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</row>
    <row r="63" spans="1:17">
      <c r="A63" s="491"/>
      <c r="B63" s="50"/>
      <c r="C63" s="51"/>
      <c r="D63" s="85" t="s">
        <v>159</v>
      </c>
      <c r="E63" s="51"/>
      <c r="F63" s="51"/>
      <c r="G63" s="51"/>
      <c r="H63" s="51"/>
      <c r="I63" s="51"/>
      <c r="J63" s="51"/>
      <c r="K63" s="151">
        <f>K60*K59</f>
        <v>5152</v>
      </c>
      <c r="L63" s="51"/>
      <c r="M63" s="151">
        <f>M60*M59</f>
        <v>5152</v>
      </c>
      <c r="N63" s="51"/>
      <c r="O63" s="151">
        <f>O60*O59</f>
        <v>5152</v>
      </c>
      <c r="P63" s="51"/>
      <c r="Q63" s="151">
        <f>Q60*Q59</f>
        <v>1904</v>
      </c>
    </row>
    <row r="64" spans="1:17" ht="3" customHeight="1">
      <c r="A64" s="491"/>
      <c r="B64" s="11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</row>
    <row r="65" spans="1:17" ht="3" customHeight="1">
      <c r="A65" s="491"/>
      <c r="B65" s="43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</row>
    <row r="66" spans="1:17">
      <c r="A66" s="491"/>
      <c r="B66" s="118"/>
      <c r="C66" s="61"/>
      <c r="D66" s="60" t="s">
        <v>160</v>
      </c>
      <c r="E66" s="61"/>
      <c r="F66" s="61"/>
      <c r="G66" s="61"/>
      <c r="H66" s="61"/>
      <c r="I66" s="61"/>
      <c r="J66" s="48"/>
      <c r="K66" s="152" t="s">
        <v>128</v>
      </c>
      <c r="L66" s="48"/>
      <c r="M66" s="152" t="s">
        <v>128</v>
      </c>
      <c r="N66" s="48"/>
      <c r="O66" s="152" t="s">
        <v>128</v>
      </c>
      <c r="P66" s="48"/>
      <c r="Q66" s="152" t="s">
        <v>128</v>
      </c>
    </row>
    <row r="67" spans="1:17" ht="12" customHeight="1">
      <c r="A67" s="491"/>
      <c r="B67" s="118"/>
      <c r="C67" s="61"/>
      <c r="D67" s="61" t="s">
        <v>161</v>
      </c>
      <c r="E67" s="61"/>
      <c r="F67" s="61"/>
      <c r="G67" s="61"/>
      <c r="H67" s="61"/>
      <c r="I67" s="61"/>
      <c r="J67" s="61"/>
      <c r="K67" s="65">
        <v>0</v>
      </c>
      <c r="L67" s="61"/>
      <c r="M67" s="65">
        <v>0</v>
      </c>
      <c r="N67" s="61"/>
      <c r="O67" s="65">
        <v>0</v>
      </c>
      <c r="P67" s="61"/>
      <c r="Q67" s="65">
        <v>0</v>
      </c>
    </row>
    <row r="68" spans="1:17" ht="12" customHeight="1">
      <c r="A68" s="491"/>
      <c r="B68" s="118"/>
      <c r="C68" s="61"/>
      <c r="D68" s="126" t="s">
        <v>162</v>
      </c>
      <c r="E68" s="61"/>
      <c r="F68" s="61"/>
      <c r="G68" s="61"/>
      <c r="H68" s="61"/>
      <c r="I68" s="61"/>
      <c r="J68" s="61"/>
      <c r="K68" s="67">
        <v>46</v>
      </c>
      <c r="L68" s="61"/>
      <c r="M68" s="67">
        <v>46</v>
      </c>
      <c r="N68" s="61"/>
      <c r="O68" s="67">
        <v>46</v>
      </c>
      <c r="P68" s="61"/>
      <c r="Q68" s="67">
        <v>17</v>
      </c>
    </row>
    <row r="69" spans="1:17" ht="3" customHeight="1">
      <c r="A69" s="491"/>
      <c r="B69" s="118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</row>
    <row r="70" spans="1:17" ht="3" customHeight="1">
      <c r="A70" s="491"/>
      <c r="B70" s="123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</row>
    <row r="71" spans="1:17">
      <c r="A71" s="491"/>
      <c r="B71" s="50"/>
      <c r="C71" s="51"/>
      <c r="D71" s="85" t="s">
        <v>163</v>
      </c>
      <c r="E71" s="51"/>
      <c r="F71" s="51"/>
      <c r="G71" s="51"/>
      <c r="H71" s="51"/>
      <c r="I71" s="51"/>
      <c r="J71" s="51"/>
      <c r="K71" s="151">
        <f>K67*K68</f>
        <v>0</v>
      </c>
      <c r="L71" s="51"/>
      <c r="M71" s="151">
        <f>M67*M68</f>
        <v>0</v>
      </c>
      <c r="N71" s="51"/>
      <c r="O71" s="151">
        <f>O67*O68</f>
        <v>0</v>
      </c>
      <c r="P71" s="51"/>
      <c r="Q71" s="151">
        <f>Q67*Q68</f>
        <v>0</v>
      </c>
    </row>
    <row r="72" spans="1:17" ht="3" customHeight="1">
      <c r="A72" s="491"/>
      <c r="B72" s="11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</row>
    <row r="73" spans="1:17" ht="3" customHeight="1">
      <c r="A73" s="491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</row>
    <row r="74" spans="1:17" ht="11.25" customHeight="1">
      <c r="A74" s="491"/>
      <c r="B74" s="119"/>
      <c r="C74" s="89"/>
      <c r="D74" s="124" t="s">
        <v>164</v>
      </c>
      <c r="E74" s="89"/>
      <c r="F74" s="89"/>
      <c r="G74" s="89"/>
      <c r="H74" s="89"/>
      <c r="I74" s="89"/>
      <c r="J74" s="96"/>
      <c r="K74" s="156" t="s">
        <v>128</v>
      </c>
      <c r="L74" s="96"/>
      <c r="M74" s="156" t="s">
        <v>128</v>
      </c>
      <c r="N74" s="96"/>
      <c r="O74" s="156" t="s">
        <v>128</v>
      </c>
      <c r="P74" s="96"/>
      <c r="Q74" s="156" t="s">
        <v>128</v>
      </c>
    </row>
    <row r="75" spans="1:17" ht="12" customHeight="1">
      <c r="A75" s="491"/>
      <c r="B75" s="93"/>
      <c r="C75" s="94"/>
      <c r="D75" s="94" t="s">
        <v>165</v>
      </c>
      <c r="E75" s="94"/>
      <c r="F75" s="94"/>
      <c r="G75" s="94"/>
      <c r="H75" s="94"/>
      <c r="I75" s="94"/>
      <c r="J75" s="94"/>
      <c r="K75" s="128">
        <f>K63</f>
        <v>5152</v>
      </c>
      <c r="L75" s="94"/>
      <c r="M75" s="128">
        <f>M63</f>
        <v>5152</v>
      </c>
      <c r="N75" s="94"/>
      <c r="O75" s="128">
        <f>O63</f>
        <v>5152</v>
      </c>
      <c r="P75" s="94"/>
      <c r="Q75" s="128">
        <f>Q63</f>
        <v>1904</v>
      </c>
    </row>
    <row r="76" spans="1:17" ht="12" customHeight="1">
      <c r="A76" s="491"/>
      <c r="B76" s="93"/>
      <c r="C76" s="94"/>
      <c r="D76" s="94" t="s">
        <v>166</v>
      </c>
      <c r="E76" s="94"/>
      <c r="F76" s="94"/>
      <c r="G76" s="94"/>
      <c r="H76" s="94"/>
      <c r="I76" s="94"/>
      <c r="J76" s="94"/>
      <c r="K76" s="128">
        <f>K71</f>
        <v>0</v>
      </c>
      <c r="L76" s="94"/>
      <c r="M76" s="128">
        <f>M71</f>
        <v>0</v>
      </c>
      <c r="N76" s="94"/>
      <c r="O76" s="128">
        <f>O71</f>
        <v>0</v>
      </c>
      <c r="P76" s="94"/>
      <c r="Q76" s="128">
        <f>Q71</f>
        <v>0</v>
      </c>
    </row>
    <row r="77" spans="1:17" ht="12" customHeight="1">
      <c r="A77" s="491"/>
      <c r="B77" s="93"/>
      <c r="C77" s="94"/>
      <c r="D77" s="94" t="s">
        <v>167</v>
      </c>
      <c r="E77" s="94"/>
      <c r="F77" s="94"/>
      <c r="G77" s="94"/>
      <c r="H77" s="94"/>
      <c r="I77" s="94"/>
      <c r="J77" s="94"/>
      <c r="K77" s="129">
        <f>K75+K76</f>
        <v>5152</v>
      </c>
      <c r="L77" s="94"/>
      <c r="M77" s="129">
        <f>M75+M76</f>
        <v>5152</v>
      </c>
      <c r="N77" s="94"/>
      <c r="O77" s="129">
        <f>O75+O76</f>
        <v>5152</v>
      </c>
      <c r="P77" s="94"/>
      <c r="Q77" s="129">
        <f>Q75+Q76</f>
        <v>1904</v>
      </c>
    </row>
    <row r="78" spans="1:17" ht="12" customHeight="1">
      <c r="A78" s="491"/>
      <c r="B78" s="93"/>
      <c r="C78" s="94"/>
      <c r="D78" s="94" t="s">
        <v>168</v>
      </c>
      <c r="E78" s="94"/>
      <c r="F78" s="94"/>
      <c r="G78" s="94"/>
      <c r="H78" s="94"/>
      <c r="I78" s="94"/>
      <c r="J78" s="94"/>
      <c r="K78" s="129">
        <f>K52</f>
        <v>124415</v>
      </c>
      <c r="L78" s="94"/>
      <c r="M78" s="129">
        <f>M52</f>
        <v>146000</v>
      </c>
      <c r="N78" s="94"/>
      <c r="O78" s="129">
        <f>O52</f>
        <v>146000</v>
      </c>
      <c r="P78" s="94"/>
      <c r="Q78" s="129">
        <f>Q52</f>
        <v>46900</v>
      </c>
    </row>
    <row r="79" spans="1:17" ht="3" customHeight="1">
      <c r="A79" s="491"/>
      <c r="B79" s="130"/>
      <c r="C79" s="131"/>
      <c r="D79" s="131"/>
      <c r="E79" s="131"/>
      <c r="F79" s="131"/>
      <c r="G79" s="131"/>
      <c r="H79" s="131"/>
      <c r="I79" s="131"/>
      <c r="J79" s="131"/>
      <c r="K79" s="131"/>
      <c r="L79" s="131"/>
      <c r="M79" s="131"/>
      <c r="N79" s="131"/>
      <c r="O79" s="131"/>
      <c r="P79" s="131"/>
      <c r="Q79" s="131"/>
    </row>
    <row r="80" spans="1:17" ht="3" customHeight="1">
      <c r="A80" s="491"/>
      <c r="B80" s="123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</row>
    <row r="81" spans="1:17">
      <c r="A81" s="491"/>
      <c r="B81" s="50"/>
      <c r="C81" s="51"/>
      <c r="D81" s="85" t="s">
        <v>169</v>
      </c>
      <c r="E81" s="51"/>
      <c r="F81" s="51"/>
      <c r="G81" s="51"/>
      <c r="H81" s="51"/>
      <c r="I81" s="51"/>
      <c r="J81" s="51"/>
      <c r="K81" s="151">
        <f>+K78/K77</f>
        <v>24.148874223602483</v>
      </c>
      <c r="L81" s="51"/>
      <c r="M81" s="151">
        <f>+M78/M77</f>
        <v>28.338509316770185</v>
      </c>
      <c r="N81" s="51"/>
      <c r="O81" s="151">
        <f>+O78/O77</f>
        <v>28.338509316770185</v>
      </c>
      <c r="P81" s="51"/>
      <c r="Q81" s="151">
        <f>+Q78/Q77</f>
        <v>24.632352941176471</v>
      </c>
    </row>
    <row r="82" spans="1:17" ht="3" customHeight="1">
      <c r="A82" s="492"/>
      <c r="B82" s="11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</row>
    <row r="83" spans="1:17" ht="3" customHeight="1">
      <c r="A83" s="47"/>
      <c r="B83" s="43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</row>
    <row r="84" spans="1:17">
      <c r="A84" s="491" t="s">
        <v>170</v>
      </c>
      <c r="B84" s="119"/>
      <c r="C84" s="89"/>
      <c r="D84" s="124" t="s">
        <v>171</v>
      </c>
      <c r="E84" s="89"/>
      <c r="F84" s="89"/>
      <c r="G84" s="89"/>
      <c r="H84" s="89"/>
      <c r="I84" s="89"/>
      <c r="J84" s="96"/>
      <c r="K84" s="156" t="s">
        <v>128</v>
      </c>
      <c r="L84" s="96"/>
      <c r="M84" s="156" t="s">
        <v>128</v>
      </c>
      <c r="N84" s="96"/>
      <c r="O84" s="156" t="s">
        <v>128</v>
      </c>
      <c r="P84" s="96"/>
      <c r="Q84" s="156" t="s">
        <v>128</v>
      </c>
    </row>
    <row r="85" spans="1:17" ht="12" customHeight="1">
      <c r="A85" s="491"/>
      <c r="B85" s="59" t="s">
        <v>172</v>
      </c>
      <c r="C85" s="64" t="s">
        <v>132</v>
      </c>
      <c r="D85" s="61" t="s">
        <v>18</v>
      </c>
      <c r="E85" s="61"/>
      <c r="F85" s="61"/>
      <c r="G85" s="61"/>
      <c r="H85" s="61"/>
      <c r="I85" s="61"/>
      <c r="J85" s="61"/>
      <c r="K85" s="67">
        <v>73494</v>
      </c>
      <c r="L85" s="61"/>
      <c r="M85" s="67">
        <v>78000</v>
      </c>
      <c r="N85" s="61"/>
      <c r="O85" s="67">
        <v>78000</v>
      </c>
      <c r="P85" s="61"/>
      <c r="Q85" s="67">
        <v>29368</v>
      </c>
    </row>
    <row r="86" spans="1:17" ht="12" customHeight="1">
      <c r="A86" s="491"/>
      <c r="B86" s="59" t="s">
        <v>173</v>
      </c>
      <c r="C86" s="64" t="s">
        <v>132</v>
      </c>
      <c r="D86" s="61" t="s">
        <v>0</v>
      </c>
      <c r="E86" s="61"/>
      <c r="F86" s="61"/>
      <c r="G86" s="61"/>
      <c r="H86" s="61"/>
      <c r="I86" s="61"/>
      <c r="J86" s="61"/>
      <c r="K86" s="67">
        <v>2932</v>
      </c>
      <c r="L86" s="61"/>
      <c r="M86" s="67">
        <v>3000</v>
      </c>
      <c r="N86" s="61"/>
      <c r="O86" s="67">
        <v>3000</v>
      </c>
      <c r="P86" s="61"/>
      <c r="Q86" s="67">
        <v>1000</v>
      </c>
    </row>
    <row r="87" spans="1:17" ht="12" customHeight="1">
      <c r="A87" s="491"/>
      <c r="B87" s="59" t="s">
        <v>174</v>
      </c>
      <c r="C87" s="64" t="s">
        <v>132</v>
      </c>
      <c r="D87" s="61" t="s">
        <v>175</v>
      </c>
      <c r="E87" s="61"/>
      <c r="F87" s="61"/>
      <c r="G87" s="61"/>
      <c r="H87" s="61"/>
      <c r="I87" s="61"/>
      <c r="J87" s="61"/>
      <c r="K87" s="67">
        <v>51758</v>
      </c>
      <c r="L87" s="61"/>
      <c r="M87" s="67">
        <v>61000</v>
      </c>
      <c r="N87" s="61"/>
      <c r="O87" s="67">
        <v>61000</v>
      </c>
      <c r="P87" s="61"/>
      <c r="Q87" s="67">
        <v>17252</v>
      </c>
    </row>
    <row r="88" spans="1:17" ht="12" customHeight="1">
      <c r="A88" s="491"/>
      <c r="B88" s="59" t="s">
        <v>176</v>
      </c>
      <c r="C88" s="64" t="s">
        <v>132</v>
      </c>
      <c r="D88" s="61" t="s">
        <v>177</v>
      </c>
      <c r="E88" s="61"/>
      <c r="F88" s="61"/>
      <c r="G88" s="61"/>
      <c r="H88" s="61"/>
      <c r="I88" s="61"/>
      <c r="J88" s="61"/>
      <c r="K88" s="67">
        <v>11516</v>
      </c>
      <c r="L88" s="61"/>
      <c r="M88" s="67">
        <v>11516</v>
      </c>
      <c r="N88" s="61"/>
      <c r="O88" s="67">
        <v>11516</v>
      </c>
      <c r="P88" s="61"/>
      <c r="Q88" s="67">
        <v>4000</v>
      </c>
    </row>
    <row r="89" spans="1:17" ht="12" customHeight="1">
      <c r="A89" s="491"/>
      <c r="B89" s="59" t="s">
        <v>178</v>
      </c>
      <c r="C89" s="64" t="s">
        <v>132</v>
      </c>
      <c r="D89" s="61" t="s">
        <v>2</v>
      </c>
      <c r="E89" s="61"/>
      <c r="F89" s="61"/>
      <c r="G89" s="61"/>
      <c r="H89" s="61"/>
      <c r="I89" s="61"/>
      <c r="J89" s="61"/>
      <c r="K89" s="67">
        <f>6703+836+835</f>
        <v>8374</v>
      </c>
      <c r="L89" s="61"/>
      <c r="M89" s="67">
        <v>8374</v>
      </c>
      <c r="N89" s="61"/>
      <c r="O89" s="67">
        <v>8374</v>
      </c>
      <c r="P89" s="61"/>
      <c r="Q89" s="67">
        <v>2800</v>
      </c>
    </row>
    <row r="90" spans="1:17" ht="12" customHeight="1">
      <c r="A90" s="491"/>
      <c r="B90" s="59" t="s">
        <v>179</v>
      </c>
      <c r="C90" s="64" t="s">
        <v>132</v>
      </c>
      <c r="D90" s="61" t="s">
        <v>180</v>
      </c>
      <c r="E90" s="61"/>
      <c r="F90" s="61"/>
      <c r="G90" s="61"/>
      <c r="H90" s="61"/>
      <c r="I90" s="61"/>
      <c r="J90" s="61"/>
      <c r="K90" s="67">
        <v>7222</v>
      </c>
      <c r="L90" s="61"/>
      <c r="M90" s="67">
        <v>7222</v>
      </c>
      <c r="N90" s="61"/>
      <c r="O90" s="67">
        <v>7222</v>
      </c>
      <c r="P90" s="61"/>
      <c r="Q90" s="67">
        <v>2500</v>
      </c>
    </row>
    <row r="91" spans="1:17" ht="12" customHeight="1">
      <c r="A91" s="491"/>
      <c r="B91" s="132" t="s">
        <v>181</v>
      </c>
      <c r="C91" s="70" t="s">
        <v>132</v>
      </c>
      <c r="D91" s="133" t="s">
        <v>23</v>
      </c>
      <c r="E91" s="71"/>
      <c r="F91" s="71"/>
      <c r="G91" s="71"/>
      <c r="H91" s="71"/>
      <c r="I91" s="71"/>
      <c r="J91" s="71"/>
      <c r="K91" s="67">
        <v>16892</v>
      </c>
      <c r="L91" s="71"/>
      <c r="M91" s="67">
        <v>16892</v>
      </c>
      <c r="N91" s="71"/>
      <c r="O91" s="67">
        <v>16892</v>
      </c>
      <c r="P91" s="71"/>
      <c r="Q91" s="67">
        <v>5630</v>
      </c>
    </row>
    <row r="92" spans="1:17" ht="3" customHeight="1">
      <c r="A92" s="491"/>
      <c r="B92" s="123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</row>
    <row r="93" spans="1:17" ht="12" customHeight="1">
      <c r="A93" s="491"/>
      <c r="B93" s="50"/>
      <c r="C93" s="51"/>
      <c r="D93" s="85" t="s">
        <v>1</v>
      </c>
      <c r="E93" s="51"/>
      <c r="F93" s="51"/>
      <c r="G93" s="51"/>
      <c r="H93" s="51"/>
      <c r="I93" s="51"/>
      <c r="J93" s="51"/>
      <c r="K93" s="151">
        <f>SUM(K85:K91)</f>
        <v>172188</v>
      </c>
      <c r="L93" s="51"/>
      <c r="M93" s="151">
        <f>SUM(M85:M91)</f>
        <v>186004</v>
      </c>
      <c r="N93" s="51"/>
      <c r="O93" s="151">
        <f>SUM(O85:O91)</f>
        <v>186004</v>
      </c>
      <c r="P93" s="51"/>
      <c r="Q93" s="151">
        <f>SUM(Q85:Q91)</f>
        <v>62550</v>
      </c>
    </row>
    <row r="94" spans="1:17" ht="3" customHeight="1">
      <c r="A94" s="492"/>
      <c r="B94" s="11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</row>
    <row r="95" spans="1:17" ht="3" customHeight="1">
      <c r="A95" s="134"/>
      <c r="B95" s="135"/>
      <c r="C95" s="136"/>
      <c r="D95" s="55"/>
      <c r="E95" s="55"/>
      <c r="F95" s="55"/>
      <c r="G95" s="55"/>
      <c r="H95" s="55"/>
      <c r="I95" s="55"/>
      <c r="J95" s="44"/>
      <c r="K95" s="44"/>
      <c r="L95" s="44"/>
      <c r="M95" s="44"/>
      <c r="N95" s="44"/>
      <c r="O95" s="44"/>
      <c r="P95" s="44"/>
      <c r="Q95" s="44"/>
    </row>
    <row r="96" spans="1:17">
      <c r="A96" s="118"/>
      <c r="B96" s="137"/>
      <c r="C96" s="84"/>
      <c r="D96" s="85" t="s">
        <v>182</v>
      </c>
      <c r="E96" s="51"/>
      <c r="F96" s="51"/>
      <c r="G96" s="51"/>
      <c r="H96" s="51"/>
      <c r="I96" s="51"/>
      <c r="J96" s="139"/>
      <c r="K96" s="138" t="s">
        <v>128</v>
      </c>
      <c r="L96" s="139"/>
      <c r="M96" s="138" t="s">
        <v>128</v>
      </c>
      <c r="N96" s="139"/>
      <c r="O96" s="138" t="s">
        <v>128</v>
      </c>
      <c r="P96" s="139"/>
      <c r="Q96" s="138" t="s">
        <v>128</v>
      </c>
    </row>
    <row r="97" spans="1:17" ht="3" customHeight="1">
      <c r="A97" s="43"/>
      <c r="B97" s="56"/>
      <c r="C97" s="136"/>
      <c r="D97" s="55"/>
      <c r="E97" s="55"/>
      <c r="F97" s="55"/>
      <c r="G97" s="55"/>
      <c r="H97" s="55"/>
      <c r="I97" s="55"/>
      <c r="J97" s="61"/>
      <c r="K97" s="44"/>
      <c r="L97" s="61"/>
      <c r="M97" s="44"/>
      <c r="N97" s="61"/>
      <c r="O97" s="44"/>
      <c r="P97" s="61"/>
      <c r="Q97" s="44"/>
    </row>
    <row r="98" spans="1:17" ht="3" customHeight="1">
      <c r="A98" s="94"/>
      <c r="B98" s="140"/>
      <c r="C98" s="141"/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</row>
    <row r="99" spans="1:17" s="94" customFormat="1">
      <c r="A99" s="127"/>
      <c r="B99" s="142" t="s">
        <v>183</v>
      </c>
      <c r="C99" s="143"/>
      <c r="D99" s="144"/>
      <c r="E99" s="144"/>
      <c r="F99" s="144"/>
      <c r="G99" s="144"/>
      <c r="H99" s="144" t="s">
        <v>192</v>
      </c>
      <c r="I99" s="144"/>
      <c r="J99" s="139"/>
      <c r="K99" s="157">
        <f>(1+(K93/(K52+K21)))*K81</f>
        <v>38.678499761066718</v>
      </c>
      <c r="L99" s="139"/>
      <c r="M99" s="157">
        <f>(1+(M93/(M52+M21)))*M81</f>
        <v>44.263210485823123</v>
      </c>
      <c r="N99" s="139"/>
      <c r="O99" s="157">
        <f>(1+(O93/(O52+O21)))*O81</f>
        <v>63.246297972111385</v>
      </c>
      <c r="P99" s="139"/>
      <c r="Q99" s="157">
        <f>(1+(Q93/(Q52+Q21)))*Q81</f>
        <v>39.115434603383669</v>
      </c>
    </row>
    <row r="100" spans="1:17" s="94" customFormat="1">
      <c r="A100" s="127"/>
      <c r="B100" s="142"/>
      <c r="C100" s="143"/>
      <c r="D100" s="144"/>
      <c r="E100" s="144"/>
      <c r="F100" s="144"/>
      <c r="G100" s="144"/>
      <c r="H100" s="144"/>
      <c r="I100" s="144"/>
      <c r="J100" s="139"/>
      <c r="K100" s="157"/>
      <c r="L100" s="139"/>
      <c r="M100" s="157"/>
      <c r="N100" s="139"/>
      <c r="O100" s="157"/>
      <c r="P100" s="139"/>
      <c r="Q100" s="157"/>
    </row>
    <row r="101" spans="1:17">
      <c r="A101" s="127"/>
      <c r="B101" s="142" t="s">
        <v>184</v>
      </c>
      <c r="C101" s="143"/>
      <c r="D101" s="144"/>
      <c r="E101" s="144"/>
      <c r="F101" s="144"/>
      <c r="G101" s="144"/>
      <c r="H101" s="144" t="s">
        <v>193</v>
      </c>
      <c r="I101" s="144"/>
      <c r="J101" s="127"/>
      <c r="K101" s="158">
        <f>(1+(K93/K52))*K81</f>
        <v>57.570458074534159</v>
      </c>
      <c r="L101" s="127"/>
      <c r="M101" s="158">
        <f>(1+(M93/M52))*M81</f>
        <v>64.441770186335404</v>
      </c>
      <c r="N101" s="127"/>
      <c r="O101" s="158">
        <f>(1+(O93/O52))*O81</f>
        <v>64.441770186335404</v>
      </c>
      <c r="P101" s="127"/>
      <c r="Q101" s="158">
        <f>(1+(Q93/Q52))*Q81</f>
        <v>57.484243697478995</v>
      </c>
    </row>
    <row r="102" spans="1:17">
      <c r="A102" s="127"/>
      <c r="B102" s="142"/>
      <c r="C102" s="143"/>
      <c r="D102" s="144"/>
      <c r="E102" s="144"/>
      <c r="F102" s="144"/>
      <c r="G102" s="144"/>
      <c r="H102" s="144"/>
      <c r="I102" s="144"/>
      <c r="J102" s="139"/>
      <c r="K102" s="157"/>
      <c r="L102" s="139"/>
      <c r="M102" s="157"/>
      <c r="N102" s="139"/>
      <c r="O102" s="157"/>
      <c r="P102" s="139"/>
      <c r="Q102" s="157"/>
    </row>
    <row r="103" spans="1:17">
      <c r="A103" s="127"/>
      <c r="B103" s="100" t="s">
        <v>185</v>
      </c>
      <c r="C103" s="136"/>
      <c r="D103" s="55"/>
      <c r="E103" s="55"/>
      <c r="F103" s="55"/>
      <c r="G103" s="55"/>
      <c r="H103" s="55"/>
      <c r="I103" s="55"/>
      <c r="J103" s="139"/>
      <c r="K103" s="145">
        <f>ROUND(((K93-(K10*(K104-1)+K15*(K105-1)+K18*(K106-1)))/K78+1)*K81,3)</f>
        <v>36.426000000000002</v>
      </c>
      <c r="L103" s="139"/>
      <c r="M103" s="145">
        <f>ROUND(((M93-(M10*(M104-1)+M15*(M105-1)+M18*(M106-1)))/M78+1)*M81,3)</f>
        <v>43.572000000000003</v>
      </c>
      <c r="N103" s="139"/>
      <c r="O103" s="145">
        <f>ROUND(((O93-(O10*(O104-1)+O15*(O105-1)+O18*(O106-1)))/O78+1)*O81,3)</f>
        <v>63.204999999999998</v>
      </c>
      <c r="P103" s="139"/>
      <c r="Q103" s="145">
        <f>ROUND(((Q93-(Q10*(Q104-1)+Q15*(Q105-1)+Q18*(Q106-1)))/Q78+1)*Q81,3)</f>
        <v>38.347000000000001</v>
      </c>
    </row>
    <row r="104" spans="1:17">
      <c r="A104" s="49"/>
      <c r="B104" s="118"/>
      <c r="C104" s="61"/>
      <c r="D104" s="61"/>
      <c r="E104" s="61"/>
      <c r="F104" s="61" t="s">
        <v>192</v>
      </c>
      <c r="G104" s="60" t="s">
        <v>186</v>
      </c>
      <c r="H104" s="60"/>
      <c r="I104" s="60"/>
      <c r="J104" s="60"/>
      <c r="K104" s="159">
        <f>K93/(K44+K21)+1</f>
        <v>1.6016688564000783</v>
      </c>
      <c r="L104" s="60"/>
      <c r="M104" s="159">
        <f>M93/(M44+M21)+1</f>
        <v>1.5619456193353476</v>
      </c>
      <c r="N104" s="60"/>
      <c r="O104" s="159">
        <f>O93/(O44+O21)+1</f>
        <v>2.2318145695364238</v>
      </c>
      <c r="P104" s="60"/>
      <c r="Q104" s="159">
        <f>Q93/(Q44+Q21)+1</f>
        <v>1.5879698824060235</v>
      </c>
    </row>
    <row r="105" spans="1:17">
      <c r="A105" s="49"/>
      <c r="B105" s="118"/>
      <c r="C105" s="61"/>
      <c r="D105" s="61"/>
      <c r="E105" s="61"/>
      <c r="F105" s="61" t="s">
        <v>193</v>
      </c>
      <c r="G105" s="160" t="s">
        <v>194</v>
      </c>
      <c r="H105" s="126"/>
      <c r="I105" s="126"/>
      <c r="J105" s="126"/>
      <c r="K105" s="161">
        <f>K93/K52+1</f>
        <v>2.3839810312261385</v>
      </c>
      <c r="L105" s="126"/>
      <c r="M105" s="161">
        <f>M93/M52+1</f>
        <v>2.274</v>
      </c>
      <c r="N105" s="126"/>
      <c r="O105" s="161">
        <f>O93/O52+1</f>
        <v>2.274</v>
      </c>
      <c r="P105" s="126"/>
      <c r="Q105" s="161">
        <f>Q93/Q52+1</f>
        <v>2.3336886993603412</v>
      </c>
    </row>
    <row r="106" spans="1:17">
      <c r="A106" s="49"/>
      <c r="B106" s="122"/>
      <c r="C106" s="71"/>
      <c r="D106" s="71"/>
      <c r="E106" s="71"/>
      <c r="F106" s="71"/>
      <c r="G106" s="61" t="s">
        <v>187</v>
      </c>
      <c r="H106" s="71"/>
      <c r="I106" s="71"/>
      <c r="J106" s="71"/>
      <c r="K106" s="146"/>
      <c r="L106" s="71"/>
      <c r="M106" s="146"/>
      <c r="N106" s="71"/>
      <c r="O106" s="146"/>
      <c r="P106" s="71"/>
      <c r="Q106" s="146"/>
    </row>
  </sheetData>
  <sheetProtection selectLockedCells="1"/>
  <mergeCells count="6">
    <mergeCell ref="A84:A94"/>
    <mergeCell ref="A1:O2"/>
    <mergeCell ref="B4:O4"/>
    <mergeCell ref="D6:I6"/>
    <mergeCell ref="A7:A82"/>
    <mergeCell ref="H12:I12"/>
  </mergeCells>
  <pageMargins left="0.39370078740157483" right="0.39370078740157483" top="0.19685039370078741" bottom="0" header="0.51181102362204722" footer="0.51181102362204722"/>
  <pageSetup paperSize="9" orientation="portrait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2:L7"/>
  <sheetViews>
    <sheetView workbookViewId="0">
      <selection activeCell="H4" sqref="H4"/>
    </sheetView>
  </sheetViews>
  <sheetFormatPr baseColWidth="10" defaultRowHeight="15"/>
  <cols>
    <col min="3" max="12" width="11.42578125" bestFit="1" customWidth="1"/>
  </cols>
  <sheetData>
    <row r="2" spans="2:12">
      <c r="B2" s="6"/>
      <c r="C2" s="33">
        <v>2010</v>
      </c>
      <c r="D2" s="33">
        <v>2011</v>
      </c>
      <c r="E2" s="33">
        <v>2012</v>
      </c>
      <c r="F2" s="33">
        <v>2013</v>
      </c>
      <c r="G2" s="33">
        <v>2014</v>
      </c>
      <c r="H2" s="33">
        <v>2015</v>
      </c>
      <c r="I2" s="33">
        <v>2016</v>
      </c>
      <c r="J2" s="33">
        <v>2017</v>
      </c>
      <c r="K2" s="33">
        <v>2018</v>
      </c>
      <c r="L2" s="33">
        <v>2019</v>
      </c>
    </row>
    <row r="3" spans="2:12">
      <c r="B3" s="32" t="s">
        <v>37</v>
      </c>
      <c r="C3" s="6">
        <v>3378.35</v>
      </c>
      <c r="D3" s="6">
        <f>C3</f>
        <v>3378.35</v>
      </c>
      <c r="E3" s="6">
        <v>5630.57</v>
      </c>
      <c r="F3" s="6">
        <f>E3</f>
        <v>5630.57</v>
      </c>
      <c r="G3" s="6">
        <v>11261.12</v>
      </c>
      <c r="H3" s="6">
        <v>15765.6</v>
      </c>
      <c r="I3" s="6">
        <v>16891.7</v>
      </c>
      <c r="J3" s="6">
        <v>16891.7</v>
      </c>
      <c r="K3" s="6">
        <v>16891.7</v>
      </c>
      <c r="L3" s="6">
        <v>16891.7</v>
      </c>
    </row>
    <row r="4" spans="2:12">
      <c r="B4" s="32" t="s">
        <v>38</v>
      </c>
      <c r="C4" s="6">
        <f>C3/12</f>
        <v>281.52916666666664</v>
      </c>
      <c r="D4" s="6">
        <f t="shared" ref="D4:L4" si="0">D3/12</f>
        <v>281.52916666666664</v>
      </c>
      <c r="E4" s="6">
        <f t="shared" si="0"/>
        <v>469.21416666666664</v>
      </c>
      <c r="F4" s="6">
        <f t="shared" si="0"/>
        <v>469.21416666666664</v>
      </c>
      <c r="G4" s="6">
        <f t="shared" si="0"/>
        <v>938.42666666666673</v>
      </c>
      <c r="H4" s="6">
        <f t="shared" si="0"/>
        <v>1313.8</v>
      </c>
      <c r="I4" s="6">
        <f t="shared" si="0"/>
        <v>1407.6416666666667</v>
      </c>
      <c r="J4" s="6">
        <f t="shared" si="0"/>
        <v>1407.6416666666667</v>
      </c>
      <c r="K4" s="6">
        <f t="shared" si="0"/>
        <v>1407.6416666666667</v>
      </c>
      <c r="L4" s="6">
        <f t="shared" si="0"/>
        <v>1407.6416666666667</v>
      </c>
    </row>
    <row r="5" spans="2:12">
      <c r="B5" s="32" t="s">
        <v>41</v>
      </c>
      <c r="D5" s="39">
        <f>(D4-C4)/C4</f>
        <v>0</v>
      </c>
      <c r="E5" s="39">
        <f t="shared" ref="E5:L5" si="1">(E4-D4)/D4</f>
        <v>0.66666271996684778</v>
      </c>
      <c r="F5" s="39">
        <f t="shared" si="1"/>
        <v>0</v>
      </c>
      <c r="G5" s="39">
        <f t="shared" si="1"/>
        <v>0.99999644796175191</v>
      </c>
      <c r="H5" s="39">
        <f t="shared" si="1"/>
        <v>0.40000284163564531</v>
      </c>
      <c r="I5" s="39">
        <f t="shared" si="1"/>
        <v>7.1427665296595139E-2</v>
      </c>
      <c r="J5" s="39">
        <f t="shared" si="1"/>
        <v>0</v>
      </c>
      <c r="K5" s="39">
        <f t="shared" si="1"/>
        <v>0</v>
      </c>
      <c r="L5" s="39">
        <f t="shared" si="1"/>
        <v>0</v>
      </c>
    </row>
    <row r="7" spans="2:12" ht="60.75">
      <c r="B7" s="40" t="s">
        <v>42</v>
      </c>
      <c r="C7" s="41">
        <f>SUM(I3:L3)</f>
        <v>67566.8</v>
      </c>
    </row>
  </sheetData>
  <pageMargins left="0.75" right="0.75" top="1" bottom="1" header="0.5" footer="0.5"/>
  <pageSetup paperSize="9" orientation="portrait" horizontalDpi="4294967292" verticalDpi="429496729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R19"/>
  <sheetViews>
    <sheetView workbookViewId="0">
      <selection activeCell="E5" sqref="E5"/>
    </sheetView>
  </sheetViews>
  <sheetFormatPr baseColWidth="10" defaultRowHeight="15"/>
  <cols>
    <col min="2" max="2" width="38.42578125" customWidth="1"/>
    <col min="3" max="3" width="29.42578125" customWidth="1"/>
    <col min="4" max="4" width="15.42578125" customWidth="1"/>
    <col min="5" max="5" width="13.28515625" customWidth="1"/>
  </cols>
  <sheetData>
    <row r="1" spans="2:18">
      <c r="E1" s="20"/>
      <c r="F1" s="20"/>
      <c r="G1" s="20"/>
      <c r="H1" s="20"/>
      <c r="I1" s="20"/>
      <c r="J1" s="20"/>
      <c r="K1" s="20"/>
      <c r="L1" s="20"/>
      <c r="M1" s="20"/>
    </row>
    <row r="2" spans="2:18">
      <c r="B2" s="21"/>
      <c r="C2" s="21"/>
      <c r="D2" s="35" t="s">
        <v>39</v>
      </c>
      <c r="E2" s="35">
        <v>2014</v>
      </c>
      <c r="F2" s="35">
        <v>2013</v>
      </c>
      <c r="G2" s="35">
        <v>2012</v>
      </c>
      <c r="H2" s="35">
        <v>2011</v>
      </c>
      <c r="I2" s="35">
        <v>2010</v>
      </c>
      <c r="J2" s="35">
        <v>2009</v>
      </c>
      <c r="K2" s="35">
        <v>2008</v>
      </c>
      <c r="L2" s="35">
        <v>2007</v>
      </c>
      <c r="M2" s="35">
        <v>2006</v>
      </c>
      <c r="N2" s="35">
        <v>2004</v>
      </c>
      <c r="O2" s="22"/>
      <c r="P2" s="21"/>
      <c r="Q2" s="21"/>
      <c r="R2" s="21"/>
    </row>
    <row r="3" spans="2:18">
      <c r="B3" s="21"/>
      <c r="C3" s="21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22"/>
      <c r="P3" s="21"/>
      <c r="Q3" s="21"/>
      <c r="R3" s="21"/>
    </row>
    <row r="4" spans="2:18">
      <c r="B4" s="34" t="s">
        <v>26</v>
      </c>
      <c r="C4" s="34"/>
      <c r="D4" s="21">
        <v>562326</v>
      </c>
      <c r="E4" s="21">
        <v>470000</v>
      </c>
      <c r="F4" s="21">
        <v>514300</v>
      </c>
      <c r="G4" s="21">
        <v>437500</v>
      </c>
      <c r="H4" s="21">
        <v>419100</v>
      </c>
      <c r="I4" s="21">
        <v>482200</v>
      </c>
      <c r="J4" s="21">
        <v>552000</v>
      </c>
      <c r="K4" s="21">
        <v>465000</v>
      </c>
      <c r="L4" s="21">
        <v>516000</v>
      </c>
      <c r="M4" s="21">
        <v>419000</v>
      </c>
      <c r="N4" s="21">
        <v>275000</v>
      </c>
      <c r="O4" s="21"/>
      <c r="P4" s="21"/>
      <c r="Q4" s="21"/>
      <c r="R4" s="21"/>
    </row>
    <row r="5" spans="2:18">
      <c r="B5" s="34" t="s">
        <v>40</v>
      </c>
      <c r="C5" s="34"/>
      <c r="D5" s="38">
        <f>(D4-E4)/E4</f>
        <v>0.19643829787234043</v>
      </c>
      <c r="E5" s="38">
        <f t="shared" ref="E5:M5" si="0">(E4-F4)/F4</f>
        <v>-8.6136496208438648E-2</v>
      </c>
      <c r="F5" s="38">
        <f t="shared" si="0"/>
        <v>0.17554285714285714</v>
      </c>
      <c r="G5" s="38">
        <f t="shared" si="0"/>
        <v>4.3903602958721068E-2</v>
      </c>
      <c r="H5" s="38">
        <f t="shared" si="0"/>
        <v>-0.13085856491082537</v>
      </c>
      <c r="I5" s="38">
        <f t="shared" si="0"/>
        <v>-0.12644927536231884</v>
      </c>
      <c r="J5" s="38">
        <f t="shared" si="0"/>
        <v>0.18709677419354839</v>
      </c>
      <c r="K5" s="38">
        <f t="shared" si="0"/>
        <v>-9.8837209302325577E-2</v>
      </c>
      <c r="L5" s="38">
        <f t="shared" si="0"/>
        <v>0.23150357995226731</v>
      </c>
      <c r="M5" s="38">
        <f t="shared" si="0"/>
        <v>0.52363636363636368</v>
      </c>
      <c r="N5" s="36"/>
      <c r="O5" s="21"/>
      <c r="P5" s="21"/>
      <c r="Q5" s="21"/>
      <c r="R5" s="21"/>
    </row>
    <row r="6" spans="2:18">
      <c r="B6" s="34"/>
      <c r="C6" s="34"/>
      <c r="D6" s="37"/>
      <c r="E6" s="37"/>
      <c r="F6" s="37"/>
      <c r="G6" s="37"/>
      <c r="H6" s="37"/>
      <c r="I6" s="37"/>
      <c r="J6" s="37"/>
      <c r="K6" s="37"/>
      <c r="L6" s="37"/>
      <c r="M6" s="37"/>
      <c r="N6" s="36"/>
      <c r="O6" s="21"/>
      <c r="P6" s="21"/>
      <c r="Q6" s="21"/>
      <c r="R6" s="21"/>
    </row>
    <row r="7" spans="2:18">
      <c r="B7" s="34" t="s">
        <v>27</v>
      </c>
      <c r="C7" s="34"/>
      <c r="D7" s="21">
        <v>27031</v>
      </c>
      <c r="E7" s="21">
        <v>14300</v>
      </c>
      <c r="F7" s="21">
        <v>-1300</v>
      </c>
      <c r="G7" s="21">
        <v>-7200</v>
      </c>
      <c r="H7" s="21">
        <v>9100</v>
      </c>
      <c r="I7" s="21">
        <v>-21300</v>
      </c>
      <c r="J7" s="21">
        <v>-4000</v>
      </c>
      <c r="K7" s="21">
        <v>7000</v>
      </c>
      <c r="L7" s="21">
        <v>12000</v>
      </c>
      <c r="M7" s="21">
        <v>10000</v>
      </c>
      <c r="N7" s="21">
        <v>15000</v>
      </c>
      <c r="O7" s="21"/>
      <c r="P7" s="21"/>
      <c r="Q7" s="21"/>
      <c r="R7" s="21"/>
    </row>
    <row r="8" spans="2:18">
      <c r="B8" s="34"/>
      <c r="C8" s="34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  <row r="9" spans="2:18">
      <c r="B9" s="34" t="s">
        <v>28</v>
      </c>
      <c r="C9" s="34"/>
      <c r="D9" s="21">
        <v>64760</v>
      </c>
      <c r="E9" s="21">
        <v>10200</v>
      </c>
      <c r="F9" s="21">
        <v>-4400</v>
      </c>
      <c r="G9" s="21">
        <v>-10500</v>
      </c>
      <c r="H9" s="21">
        <v>4000</v>
      </c>
      <c r="I9" s="21">
        <v>-31700</v>
      </c>
      <c r="J9" s="21">
        <v>-15000</v>
      </c>
      <c r="K9" s="21">
        <v>5000</v>
      </c>
      <c r="L9" s="21">
        <v>11000</v>
      </c>
      <c r="M9" s="21">
        <v>13000</v>
      </c>
      <c r="N9" s="21">
        <v>7000</v>
      </c>
      <c r="O9" s="21"/>
      <c r="P9" s="21"/>
      <c r="Q9" s="21"/>
      <c r="R9" s="21"/>
    </row>
    <row r="10" spans="2:18"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  <row r="11" spans="2:18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2:18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2:18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2:18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2:18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2:18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2:18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2:18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2:18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</sheetData>
  <pageMargins left="0.75" right="0.75" top="1" bottom="1" header="0.5" footer="0.5"/>
  <pageSetup paperSize="9" orientation="portrait" horizontalDpi="4294967292" verticalDpi="4294967292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129"/>
  <sheetViews>
    <sheetView showGridLines="0" zoomScale="150" zoomScaleNormal="150" zoomScalePageLayoutView="150" workbookViewId="0">
      <selection activeCell="A2" sqref="A2"/>
    </sheetView>
  </sheetViews>
  <sheetFormatPr baseColWidth="10" defaultRowHeight="15"/>
  <cols>
    <col min="1" max="1" width="20.42578125" customWidth="1"/>
    <col min="2" max="2" width="17.42578125" customWidth="1"/>
    <col min="3" max="3" width="26" customWidth="1"/>
    <col min="4" max="4" width="17.85546875" customWidth="1"/>
    <col min="5" max="5" width="17" customWidth="1"/>
    <col min="6" max="6" width="25" customWidth="1"/>
    <col min="7" max="7" width="19" customWidth="1"/>
    <col min="8" max="8" width="21.42578125" customWidth="1"/>
  </cols>
  <sheetData>
    <row r="1" spans="1:14" ht="54" customHeight="1">
      <c r="A1" s="7" t="s">
        <v>7</v>
      </c>
      <c r="B1" s="7" t="s">
        <v>4</v>
      </c>
      <c r="C1" s="7" t="s">
        <v>8</v>
      </c>
      <c r="D1" s="7" t="s">
        <v>3</v>
      </c>
      <c r="E1" s="7" t="s">
        <v>9</v>
      </c>
      <c r="F1" s="7" t="s">
        <v>10</v>
      </c>
      <c r="G1" s="1"/>
      <c r="H1" s="1"/>
      <c r="I1" s="1"/>
      <c r="J1" s="1"/>
      <c r="K1" s="1"/>
      <c r="L1" s="1"/>
      <c r="M1" s="1"/>
      <c r="N1" s="1"/>
    </row>
    <row r="2" spans="1:14">
      <c r="A2" s="3"/>
      <c r="B2" s="5">
        <v>4</v>
      </c>
      <c r="C2" s="5">
        <v>12</v>
      </c>
      <c r="D2" s="8">
        <v>2.5000000000000001E-2</v>
      </c>
      <c r="E2" s="9">
        <f>D2/C2</f>
        <v>2.0833333333333333E-3</v>
      </c>
      <c r="F2" s="5">
        <f>B2*C2</f>
        <v>48</v>
      </c>
      <c r="G2" s="1"/>
      <c r="H2" s="1"/>
      <c r="I2" s="1"/>
      <c r="J2" s="1"/>
      <c r="K2" s="1"/>
      <c r="L2" s="1"/>
      <c r="M2" s="1"/>
      <c r="N2" s="1"/>
    </row>
    <row r="3" spans="1:14">
      <c r="A3" s="2"/>
      <c r="B3" s="2"/>
      <c r="C3" s="2"/>
      <c r="D3" s="2"/>
      <c r="E3" s="2"/>
      <c r="F3" s="1"/>
      <c r="G3" s="1"/>
      <c r="H3" s="1"/>
      <c r="I3" s="1"/>
      <c r="J3" s="1"/>
      <c r="K3" s="1"/>
      <c r="L3" s="1"/>
      <c r="M3" s="1"/>
      <c r="N3" s="1"/>
    </row>
    <row r="4" spans="1:14">
      <c r="A4" s="7" t="s">
        <v>11</v>
      </c>
      <c r="B4" s="7" t="s">
        <v>12</v>
      </c>
      <c r="C4" s="7" t="s">
        <v>13</v>
      </c>
      <c r="D4" s="7" t="s">
        <v>14</v>
      </c>
      <c r="E4" s="7" t="s">
        <v>15</v>
      </c>
      <c r="F4" s="7" t="s">
        <v>16</v>
      </c>
      <c r="G4" s="7" t="s">
        <v>17</v>
      </c>
      <c r="H4" s="7" t="s">
        <v>19</v>
      </c>
      <c r="I4" s="1"/>
      <c r="J4" s="1"/>
      <c r="K4" s="1"/>
      <c r="L4" s="1"/>
      <c r="M4" s="1"/>
      <c r="N4" s="1"/>
    </row>
    <row r="5" spans="1:14">
      <c r="A5" s="5">
        <v>1</v>
      </c>
      <c r="B5" s="4">
        <f>A2</f>
        <v>0</v>
      </c>
      <c r="C5" s="4">
        <f>B5*$E$2</f>
        <v>0</v>
      </c>
      <c r="D5" s="4">
        <f>E5-C5</f>
        <v>0</v>
      </c>
      <c r="E5" s="4">
        <f>($A$2*$E$2)/(1-(1+$E$2)^(-$F$2))</f>
        <v>0</v>
      </c>
      <c r="F5" s="4">
        <f>B5-D5</f>
        <v>0</v>
      </c>
      <c r="G5" s="4">
        <f>C5</f>
        <v>0</v>
      </c>
      <c r="H5" s="4">
        <f>E5</f>
        <v>0</v>
      </c>
      <c r="I5" s="1"/>
      <c r="J5" s="1"/>
      <c r="K5" s="1"/>
      <c r="L5" s="1"/>
      <c r="M5" s="1"/>
      <c r="N5" s="1"/>
    </row>
    <row r="6" spans="1:14">
      <c r="A6" s="5">
        <v>2</v>
      </c>
      <c r="B6" s="4">
        <f>F5</f>
        <v>0</v>
      </c>
      <c r="C6" s="4">
        <f t="shared" ref="C6:C69" si="0">B6*$E$2</f>
        <v>0</v>
      </c>
      <c r="D6" s="4">
        <f>E6-C6</f>
        <v>0</v>
      </c>
      <c r="E6" s="4">
        <f>($A$2*$E$2)/(1-(1+$E$2)^(-$F$2))</f>
        <v>0</v>
      </c>
      <c r="F6" s="4">
        <f t="shared" ref="F6:F69" si="1">B6-D6</f>
        <v>0</v>
      </c>
      <c r="G6" s="4">
        <f>G5+C6</f>
        <v>0</v>
      </c>
      <c r="H6" s="4">
        <f>H5+E6</f>
        <v>0</v>
      </c>
      <c r="I6" s="1"/>
      <c r="J6" s="1"/>
      <c r="K6" s="1"/>
      <c r="L6" s="1"/>
      <c r="M6" s="1"/>
      <c r="N6" s="1"/>
    </row>
    <row r="7" spans="1:14">
      <c r="A7" s="5">
        <v>3</v>
      </c>
      <c r="B7" s="4">
        <f>F6</f>
        <v>0</v>
      </c>
      <c r="C7" s="4">
        <f t="shared" si="0"/>
        <v>0</v>
      </c>
      <c r="D7" s="4">
        <f>E7-C7</f>
        <v>0</v>
      </c>
      <c r="E7" s="4">
        <f>($A$2*$E$2)/(1-(1+$E$2)^(-$F$2))</f>
        <v>0</v>
      </c>
      <c r="F7" s="4">
        <f t="shared" si="1"/>
        <v>0</v>
      </c>
      <c r="G7" s="4">
        <f>G6+C7</f>
        <v>0</v>
      </c>
      <c r="H7" s="4">
        <f>H6+E7</f>
        <v>0</v>
      </c>
      <c r="I7" s="1"/>
      <c r="J7" s="1"/>
      <c r="K7" s="1"/>
      <c r="L7" s="1"/>
      <c r="M7" s="1"/>
      <c r="N7" s="1"/>
    </row>
    <row r="8" spans="1:14">
      <c r="A8" s="5">
        <v>4</v>
      </c>
      <c r="B8" s="4">
        <f>F7</f>
        <v>0</v>
      </c>
      <c r="C8" s="4">
        <f t="shared" si="0"/>
        <v>0</v>
      </c>
      <c r="D8" s="4">
        <f t="shared" ref="D8:D71" si="2">E8-C8</f>
        <v>0</v>
      </c>
      <c r="E8" s="4">
        <f>($A$2*$E$2)/(1-(1+$E$2)^(-$F$2))</f>
        <v>0</v>
      </c>
      <c r="F8" s="4">
        <f t="shared" si="1"/>
        <v>0</v>
      </c>
      <c r="G8" s="4">
        <f t="shared" ref="G8:G71" si="3">G7+C8</f>
        <v>0</v>
      </c>
      <c r="H8" s="4">
        <f>H7+E8</f>
        <v>0</v>
      </c>
      <c r="I8" s="1"/>
      <c r="J8" s="1"/>
      <c r="K8" s="1"/>
      <c r="L8" s="1"/>
      <c r="M8" s="1"/>
      <c r="N8" s="1"/>
    </row>
    <row r="9" spans="1:14">
      <c r="A9" s="5">
        <v>5</v>
      </c>
      <c r="B9" s="4">
        <f t="shared" ref="B9:B72" si="4">F8</f>
        <v>0</v>
      </c>
      <c r="C9" s="4">
        <f t="shared" si="0"/>
        <v>0</v>
      </c>
      <c r="D9" s="4">
        <f t="shared" si="2"/>
        <v>0</v>
      </c>
      <c r="E9" s="4">
        <f t="shared" ref="E9:E69" si="5">($A$2*$E$2)/(1-(1+$E$2)^(-$F$2))</f>
        <v>0</v>
      </c>
      <c r="F9" s="4">
        <f t="shared" si="1"/>
        <v>0</v>
      </c>
      <c r="G9" s="4">
        <f t="shared" si="3"/>
        <v>0</v>
      </c>
      <c r="H9" s="4">
        <f>H8+E9</f>
        <v>0</v>
      </c>
      <c r="I9" s="1"/>
      <c r="J9" s="1"/>
      <c r="K9" s="1"/>
      <c r="L9" s="1"/>
      <c r="M9" s="1"/>
      <c r="N9" s="1"/>
    </row>
    <row r="10" spans="1:14">
      <c r="A10" s="5">
        <v>6</v>
      </c>
      <c r="B10" s="4">
        <f t="shared" si="4"/>
        <v>0</v>
      </c>
      <c r="C10" s="4">
        <f t="shared" si="0"/>
        <v>0</v>
      </c>
      <c r="D10" s="4">
        <f t="shared" si="2"/>
        <v>0</v>
      </c>
      <c r="E10" s="4">
        <f t="shared" si="5"/>
        <v>0</v>
      </c>
      <c r="F10" s="4">
        <f t="shared" si="1"/>
        <v>0</v>
      </c>
      <c r="G10" s="4">
        <f t="shared" si="3"/>
        <v>0</v>
      </c>
      <c r="H10" s="4">
        <f t="shared" ref="H10:H72" si="6">H9+E10</f>
        <v>0</v>
      </c>
      <c r="I10" s="1"/>
      <c r="J10" s="1"/>
      <c r="K10" s="1"/>
      <c r="L10" s="1"/>
      <c r="M10" s="1"/>
      <c r="N10" s="1"/>
    </row>
    <row r="11" spans="1:14">
      <c r="A11" s="5">
        <v>7</v>
      </c>
      <c r="B11" s="4">
        <f t="shared" si="4"/>
        <v>0</v>
      </c>
      <c r="C11" s="4">
        <f t="shared" si="0"/>
        <v>0</v>
      </c>
      <c r="D11" s="4">
        <f t="shared" si="2"/>
        <v>0</v>
      </c>
      <c r="E11" s="4">
        <f t="shared" si="5"/>
        <v>0</v>
      </c>
      <c r="F11" s="4">
        <f t="shared" si="1"/>
        <v>0</v>
      </c>
      <c r="G11" s="4">
        <f t="shared" si="3"/>
        <v>0</v>
      </c>
      <c r="H11" s="4">
        <f t="shared" si="6"/>
        <v>0</v>
      </c>
      <c r="I11" s="1"/>
      <c r="J11" s="1"/>
      <c r="K11" s="1"/>
      <c r="L11" s="1"/>
      <c r="M11" s="1"/>
      <c r="N11" s="1"/>
    </row>
    <row r="12" spans="1:14">
      <c r="A12" s="5">
        <v>8</v>
      </c>
      <c r="B12" s="4">
        <f t="shared" si="4"/>
        <v>0</v>
      </c>
      <c r="C12" s="4">
        <f t="shared" si="0"/>
        <v>0</v>
      </c>
      <c r="D12" s="4">
        <f t="shared" si="2"/>
        <v>0</v>
      </c>
      <c r="E12" s="4">
        <f t="shared" si="5"/>
        <v>0</v>
      </c>
      <c r="F12" s="4">
        <f t="shared" si="1"/>
        <v>0</v>
      </c>
      <c r="G12" s="4">
        <f t="shared" si="3"/>
        <v>0</v>
      </c>
      <c r="H12" s="4">
        <f t="shared" si="6"/>
        <v>0</v>
      </c>
      <c r="I12" s="1"/>
      <c r="J12" s="1"/>
      <c r="K12" s="1"/>
      <c r="L12" s="1"/>
      <c r="M12" s="1"/>
      <c r="N12" s="1"/>
    </row>
    <row r="13" spans="1:14">
      <c r="A13" s="5">
        <v>9</v>
      </c>
      <c r="B13" s="4">
        <f t="shared" si="4"/>
        <v>0</v>
      </c>
      <c r="C13" s="4">
        <f t="shared" si="0"/>
        <v>0</v>
      </c>
      <c r="D13" s="4">
        <f t="shared" si="2"/>
        <v>0</v>
      </c>
      <c r="E13" s="4">
        <f t="shared" si="5"/>
        <v>0</v>
      </c>
      <c r="F13" s="4">
        <f t="shared" si="1"/>
        <v>0</v>
      </c>
      <c r="G13" s="4">
        <f t="shared" si="3"/>
        <v>0</v>
      </c>
      <c r="H13" s="4">
        <f t="shared" si="6"/>
        <v>0</v>
      </c>
      <c r="I13" s="1"/>
      <c r="J13" s="1"/>
      <c r="K13" s="1"/>
      <c r="L13" s="1"/>
      <c r="M13" s="1"/>
      <c r="N13" s="1"/>
    </row>
    <row r="14" spans="1:14">
      <c r="A14" s="5">
        <v>10</v>
      </c>
      <c r="B14" s="4">
        <f t="shared" si="4"/>
        <v>0</v>
      </c>
      <c r="C14" s="4">
        <f t="shared" si="0"/>
        <v>0</v>
      </c>
      <c r="D14" s="4">
        <f t="shared" si="2"/>
        <v>0</v>
      </c>
      <c r="E14" s="4">
        <f t="shared" si="5"/>
        <v>0</v>
      </c>
      <c r="F14" s="4">
        <f t="shared" si="1"/>
        <v>0</v>
      </c>
      <c r="G14" s="4">
        <f t="shared" si="3"/>
        <v>0</v>
      </c>
      <c r="H14" s="4">
        <f t="shared" si="6"/>
        <v>0</v>
      </c>
      <c r="I14" s="1"/>
      <c r="J14" s="1"/>
      <c r="K14" s="1"/>
      <c r="L14" s="1"/>
      <c r="M14" s="1"/>
      <c r="N14" s="1"/>
    </row>
    <row r="15" spans="1:14">
      <c r="A15" s="5">
        <v>11</v>
      </c>
      <c r="B15" s="4">
        <f t="shared" si="4"/>
        <v>0</v>
      </c>
      <c r="C15" s="4">
        <f t="shared" si="0"/>
        <v>0</v>
      </c>
      <c r="D15" s="4">
        <f t="shared" si="2"/>
        <v>0</v>
      </c>
      <c r="E15" s="4">
        <f t="shared" si="5"/>
        <v>0</v>
      </c>
      <c r="F15" s="4">
        <f t="shared" si="1"/>
        <v>0</v>
      </c>
      <c r="G15" s="4">
        <f t="shared" si="3"/>
        <v>0</v>
      </c>
      <c r="H15" s="4">
        <f t="shared" si="6"/>
        <v>0</v>
      </c>
      <c r="I15" s="1"/>
      <c r="J15" s="1"/>
      <c r="K15" s="1"/>
      <c r="L15" s="1"/>
      <c r="M15" s="1"/>
      <c r="N15" s="1"/>
    </row>
    <row r="16" spans="1:14">
      <c r="A16" s="10">
        <v>12</v>
      </c>
      <c r="B16" s="11">
        <f t="shared" si="4"/>
        <v>0</v>
      </c>
      <c r="C16" s="11">
        <f t="shared" si="0"/>
        <v>0</v>
      </c>
      <c r="D16" s="11">
        <f t="shared" si="2"/>
        <v>0</v>
      </c>
      <c r="E16" s="11">
        <f t="shared" si="5"/>
        <v>0</v>
      </c>
      <c r="F16" s="11">
        <f t="shared" si="1"/>
        <v>0</v>
      </c>
      <c r="G16" s="11">
        <f t="shared" si="3"/>
        <v>0</v>
      </c>
      <c r="H16" s="11">
        <f t="shared" si="6"/>
        <v>0</v>
      </c>
      <c r="I16" s="6"/>
      <c r="J16" s="1"/>
      <c r="K16" s="1"/>
      <c r="L16" s="1"/>
      <c r="M16" s="1"/>
      <c r="N16" s="1"/>
    </row>
    <row r="17" spans="1:14">
      <c r="A17" s="5">
        <v>13</v>
      </c>
      <c r="B17" s="4">
        <f t="shared" si="4"/>
        <v>0</v>
      </c>
      <c r="C17" s="4">
        <f t="shared" si="0"/>
        <v>0</v>
      </c>
      <c r="D17" s="4">
        <f t="shared" si="2"/>
        <v>0</v>
      </c>
      <c r="E17" s="4">
        <f t="shared" si="5"/>
        <v>0</v>
      </c>
      <c r="F17" s="4">
        <f t="shared" si="1"/>
        <v>0</v>
      </c>
      <c r="G17" s="4">
        <f t="shared" si="3"/>
        <v>0</v>
      </c>
      <c r="H17" s="4">
        <f t="shared" si="6"/>
        <v>0</v>
      </c>
      <c r="I17" s="1"/>
      <c r="J17" s="1"/>
      <c r="K17" s="1"/>
      <c r="L17" s="1"/>
      <c r="M17" s="1"/>
      <c r="N17" s="1"/>
    </row>
    <row r="18" spans="1:14">
      <c r="A18" s="5">
        <v>14</v>
      </c>
      <c r="B18" s="4">
        <f t="shared" si="4"/>
        <v>0</v>
      </c>
      <c r="C18" s="4">
        <f t="shared" si="0"/>
        <v>0</v>
      </c>
      <c r="D18" s="4">
        <f t="shared" si="2"/>
        <v>0</v>
      </c>
      <c r="E18" s="4">
        <f t="shared" si="5"/>
        <v>0</v>
      </c>
      <c r="F18" s="4">
        <f t="shared" si="1"/>
        <v>0</v>
      </c>
      <c r="G18" s="4">
        <f t="shared" si="3"/>
        <v>0</v>
      </c>
      <c r="H18" s="4">
        <f t="shared" si="6"/>
        <v>0</v>
      </c>
      <c r="I18" s="1"/>
      <c r="J18" s="1"/>
      <c r="K18" s="1"/>
      <c r="L18" s="1"/>
      <c r="M18" s="1"/>
      <c r="N18" s="1"/>
    </row>
    <row r="19" spans="1:14">
      <c r="A19" s="5">
        <v>15</v>
      </c>
      <c r="B19" s="4">
        <f t="shared" si="4"/>
        <v>0</v>
      </c>
      <c r="C19" s="4">
        <f t="shared" si="0"/>
        <v>0</v>
      </c>
      <c r="D19" s="4">
        <f t="shared" si="2"/>
        <v>0</v>
      </c>
      <c r="E19" s="4">
        <f t="shared" si="5"/>
        <v>0</v>
      </c>
      <c r="F19" s="4">
        <f t="shared" si="1"/>
        <v>0</v>
      </c>
      <c r="G19" s="4">
        <f t="shared" si="3"/>
        <v>0</v>
      </c>
      <c r="H19" s="4">
        <f t="shared" si="6"/>
        <v>0</v>
      </c>
      <c r="I19" s="1"/>
      <c r="J19" s="1"/>
      <c r="K19" s="1"/>
      <c r="L19" s="1"/>
      <c r="M19" s="1"/>
      <c r="N19" s="1"/>
    </row>
    <row r="20" spans="1:14">
      <c r="A20" s="5">
        <v>16</v>
      </c>
      <c r="B20" s="4">
        <f t="shared" si="4"/>
        <v>0</v>
      </c>
      <c r="C20" s="4">
        <f t="shared" si="0"/>
        <v>0</v>
      </c>
      <c r="D20" s="4">
        <f t="shared" si="2"/>
        <v>0</v>
      </c>
      <c r="E20" s="4">
        <f t="shared" si="5"/>
        <v>0</v>
      </c>
      <c r="F20" s="4">
        <f t="shared" si="1"/>
        <v>0</v>
      </c>
      <c r="G20" s="4">
        <f t="shared" si="3"/>
        <v>0</v>
      </c>
      <c r="H20" s="4">
        <f t="shared" si="6"/>
        <v>0</v>
      </c>
      <c r="I20" s="1"/>
      <c r="J20" s="1"/>
      <c r="K20" s="1"/>
      <c r="L20" s="1"/>
      <c r="M20" s="1"/>
      <c r="N20" s="1"/>
    </row>
    <row r="21" spans="1:14">
      <c r="A21" s="5">
        <v>17</v>
      </c>
      <c r="B21" s="4">
        <f t="shared" si="4"/>
        <v>0</v>
      </c>
      <c r="C21" s="4">
        <f t="shared" si="0"/>
        <v>0</v>
      </c>
      <c r="D21" s="4">
        <f t="shared" si="2"/>
        <v>0</v>
      </c>
      <c r="E21" s="4">
        <f t="shared" si="5"/>
        <v>0</v>
      </c>
      <c r="F21" s="4">
        <f t="shared" si="1"/>
        <v>0</v>
      </c>
      <c r="G21" s="4">
        <f t="shared" si="3"/>
        <v>0</v>
      </c>
      <c r="H21" s="4">
        <f t="shared" si="6"/>
        <v>0</v>
      </c>
      <c r="I21" s="1"/>
      <c r="J21" s="1"/>
      <c r="K21" s="1"/>
      <c r="L21" s="1"/>
      <c r="M21" s="1"/>
      <c r="N21" s="1"/>
    </row>
    <row r="22" spans="1:14">
      <c r="A22" s="12">
        <v>18</v>
      </c>
      <c r="B22" s="13">
        <f t="shared" si="4"/>
        <v>0</v>
      </c>
      <c r="C22" s="13">
        <f t="shared" si="0"/>
        <v>0</v>
      </c>
      <c r="D22" s="13">
        <f t="shared" si="2"/>
        <v>0</v>
      </c>
      <c r="E22" s="13">
        <f t="shared" si="5"/>
        <v>0</v>
      </c>
      <c r="F22" s="13">
        <f t="shared" si="1"/>
        <v>0</v>
      </c>
      <c r="G22" s="13">
        <f t="shared" si="3"/>
        <v>0</v>
      </c>
      <c r="H22" s="13">
        <f t="shared" si="6"/>
        <v>0</v>
      </c>
      <c r="I22" s="1"/>
      <c r="J22" s="1"/>
      <c r="K22" s="1"/>
      <c r="L22" s="1"/>
      <c r="M22" s="1"/>
      <c r="N22" s="1"/>
    </row>
    <row r="23" spans="1:14">
      <c r="A23" s="5">
        <v>19</v>
      </c>
      <c r="B23" s="4">
        <f t="shared" si="4"/>
        <v>0</v>
      </c>
      <c r="C23" s="4">
        <f t="shared" si="0"/>
        <v>0</v>
      </c>
      <c r="D23" s="4">
        <f t="shared" si="2"/>
        <v>0</v>
      </c>
      <c r="E23" s="4">
        <f t="shared" si="5"/>
        <v>0</v>
      </c>
      <c r="F23" s="4">
        <f t="shared" si="1"/>
        <v>0</v>
      </c>
      <c r="G23" s="4">
        <f t="shared" si="3"/>
        <v>0</v>
      </c>
      <c r="H23" s="4">
        <f t="shared" si="6"/>
        <v>0</v>
      </c>
      <c r="I23" s="1"/>
      <c r="J23" s="1"/>
      <c r="K23" s="1"/>
      <c r="L23" s="1"/>
      <c r="M23" s="1"/>
      <c r="N23" s="1"/>
    </row>
    <row r="24" spans="1:14">
      <c r="A24" s="5">
        <v>20</v>
      </c>
      <c r="B24" s="4">
        <f t="shared" si="4"/>
        <v>0</v>
      </c>
      <c r="C24" s="4">
        <f t="shared" si="0"/>
        <v>0</v>
      </c>
      <c r="D24" s="4">
        <f t="shared" si="2"/>
        <v>0</v>
      </c>
      <c r="E24" s="4">
        <f t="shared" si="5"/>
        <v>0</v>
      </c>
      <c r="F24" s="4">
        <f t="shared" si="1"/>
        <v>0</v>
      </c>
      <c r="G24" s="4">
        <f t="shared" si="3"/>
        <v>0</v>
      </c>
      <c r="H24" s="4">
        <f t="shared" si="6"/>
        <v>0</v>
      </c>
      <c r="I24" s="1"/>
      <c r="J24" s="1"/>
      <c r="K24" s="1"/>
      <c r="L24" s="1"/>
      <c r="M24" s="1"/>
      <c r="N24" s="1"/>
    </row>
    <row r="25" spans="1:14">
      <c r="A25" s="5">
        <v>21</v>
      </c>
      <c r="B25" s="4">
        <f t="shared" si="4"/>
        <v>0</v>
      </c>
      <c r="C25" s="4">
        <f t="shared" si="0"/>
        <v>0</v>
      </c>
      <c r="D25" s="4">
        <f t="shared" si="2"/>
        <v>0</v>
      </c>
      <c r="E25" s="4">
        <f t="shared" si="5"/>
        <v>0</v>
      </c>
      <c r="F25" s="4">
        <f t="shared" si="1"/>
        <v>0</v>
      </c>
      <c r="G25" s="4">
        <f t="shared" si="3"/>
        <v>0</v>
      </c>
      <c r="H25" s="4">
        <f t="shared" si="6"/>
        <v>0</v>
      </c>
      <c r="I25" s="1"/>
      <c r="J25" s="1"/>
      <c r="K25" s="1"/>
      <c r="L25" s="1"/>
      <c r="M25" s="1"/>
      <c r="N25" s="1"/>
    </row>
    <row r="26" spans="1:14">
      <c r="A26" s="5">
        <v>22</v>
      </c>
      <c r="B26" s="4">
        <f t="shared" si="4"/>
        <v>0</v>
      </c>
      <c r="C26" s="4">
        <f t="shared" si="0"/>
        <v>0</v>
      </c>
      <c r="D26" s="4">
        <f t="shared" si="2"/>
        <v>0</v>
      </c>
      <c r="E26" s="4">
        <f t="shared" si="5"/>
        <v>0</v>
      </c>
      <c r="F26" s="4">
        <f t="shared" si="1"/>
        <v>0</v>
      </c>
      <c r="G26" s="4">
        <f t="shared" si="3"/>
        <v>0</v>
      </c>
      <c r="H26" s="4">
        <f t="shared" si="6"/>
        <v>0</v>
      </c>
      <c r="I26" s="1"/>
      <c r="J26" s="1"/>
      <c r="K26" s="1"/>
      <c r="L26" s="1"/>
      <c r="M26" s="1"/>
      <c r="N26" s="1"/>
    </row>
    <row r="27" spans="1:14">
      <c r="A27" s="5">
        <v>23</v>
      </c>
      <c r="B27" s="4">
        <f t="shared" si="4"/>
        <v>0</v>
      </c>
      <c r="C27" s="4">
        <f t="shared" si="0"/>
        <v>0</v>
      </c>
      <c r="D27" s="4">
        <f t="shared" si="2"/>
        <v>0</v>
      </c>
      <c r="E27" s="4">
        <f t="shared" si="5"/>
        <v>0</v>
      </c>
      <c r="F27" s="4">
        <f t="shared" si="1"/>
        <v>0</v>
      </c>
      <c r="G27" s="4">
        <f t="shared" si="3"/>
        <v>0</v>
      </c>
      <c r="H27" s="4">
        <f t="shared" si="6"/>
        <v>0</v>
      </c>
      <c r="I27" s="1"/>
      <c r="J27" s="1"/>
      <c r="K27" s="1"/>
      <c r="L27" s="1"/>
      <c r="M27" s="1"/>
      <c r="N27" s="1"/>
    </row>
    <row r="28" spans="1:14">
      <c r="A28" s="5">
        <v>24</v>
      </c>
      <c r="B28" s="4">
        <f t="shared" si="4"/>
        <v>0</v>
      </c>
      <c r="C28" s="4">
        <f t="shared" si="0"/>
        <v>0</v>
      </c>
      <c r="D28" s="4">
        <f t="shared" si="2"/>
        <v>0</v>
      </c>
      <c r="E28" s="4">
        <f t="shared" si="5"/>
        <v>0</v>
      </c>
      <c r="F28" s="4">
        <f t="shared" si="1"/>
        <v>0</v>
      </c>
      <c r="G28" s="4">
        <f t="shared" si="3"/>
        <v>0</v>
      </c>
      <c r="H28" s="4">
        <f t="shared" si="6"/>
        <v>0</v>
      </c>
      <c r="I28" s="1"/>
      <c r="J28" s="1"/>
      <c r="K28" s="1"/>
      <c r="L28" s="1"/>
      <c r="M28" s="1"/>
      <c r="N28" s="1"/>
    </row>
    <row r="29" spans="1:14">
      <c r="A29" s="5">
        <v>25</v>
      </c>
      <c r="B29" s="4">
        <f t="shared" si="4"/>
        <v>0</v>
      </c>
      <c r="C29" s="4">
        <f t="shared" si="0"/>
        <v>0</v>
      </c>
      <c r="D29" s="4">
        <f t="shared" si="2"/>
        <v>0</v>
      </c>
      <c r="E29" s="4">
        <f t="shared" si="5"/>
        <v>0</v>
      </c>
      <c r="F29" s="4">
        <f t="shared" si="1"/>
        <v>0</v>
      </c>
      <c r="G29" s="4">
        <f t="shared" si="3"/>
        <v>0</v>
      </c>
      <c r="H29" s="4">
        <f t="shared" si="6"/>
        <v>0</v>
      </c>
      <c r="I29" s="1"/>
      <c r="J29" s="1"/>
      <c r="K29" s="1"/>
      <c r="L29" s="1"/>
      <c r="M29" s="1"/>
      <c r="N29" s="1"/>
    </row>
    <row r="30" spans="1:14">
      <c r="A30" s="5">
        <v>26</v>
      </c>
      <c r="B30" s="4">
        <f t="shared" si="4"/>
        <v>0</v>
      </c>
      <c r="C30" s="4">
        <f t="shared" si="0"/>
        <v>0</v>
      </c>
      <c r="D30" s="4">
        <f t="shared" si="2"/>
        <v>0</v>
      </c>
      <c r="E30" s="4">
        <f t="shared" si="5"/>
        <v>0</v>
      </c>
      <c r="F30" s="4">
        <f t="shared" si="1"/>
        <v>0</v>
      </c>
      <c r="G30" s="4">
        <f t="shared" si="3"/>
        <v>0</v>
      </c>
      <c r="H30" s="4">
        <f t="shared" si="6"/>
        <v>0</v>
      </c>
      <c r="I30" s="1"/>
      <c r="J30" s="1"/>
      <c r="K30" s="1"/>
      <c r="L30" s="1"/>
      <c r="M30" s="1"/>
      <c r="N30" s="1"/>
    </row>
    <row r="31" spans="1:14">
      <c r="A31" s="5">
        <v>27</v>
      </c>
      <c r="B31" s="4">
        <f t="shared" si="4"/>
        <v>0</v>
      </c>
      <c r="C31" s="4">
        <f t="shared" si="0"/>
        <v>0</v>
      </c>
      <c r="D31" s="4">
        <f t="shared" si="2"/>
        <v>0</v>
      </c>
      <c r="E31" s="4">
        <f t="shared" si="5"/>
        <v>0</v>
      </c>
      <c r="F31" s="4">
        <f t="shared" si="1"/>
        <v>0</v>
      </c>
      <c r="G31" s="4">
        <f t="shared" si="3"/>
        <v>0</v>
      </c>
      <c r="H31" s="4">
        <f t="shared" si="6"/>
        <v>0</v>
      </c>
      <c r="I31" s="1"/>
      <c r="J31" s="1"/>
      <c r="K31" s="1"/>
      <c r="L31" s="1"/>
      <c r="M31" s="1"/>
      <c r="N31" s="1"/>
    </row>
    <row r="32" spans="1:14">
      <c r="A32" s="5">
        <v>28</v>
      </c>
      <c r="B32" s="4">
        <f t="shared" si="4"/>
        <v>0</v>
      </c>
      <c r="C32" s="4">
        <f t="shared" si="0"/>
        <v>0</v>
      </c>
      <c r="D32" s="4">
        <f t="shared" si="2"/>
        <v>0</v>
      </c>
      <c r="E32" s="4">
        <f t="shared" si="5"/>
        <v>0</v>
      </c>
      <c r="F32" s="4">
        <f t="shared" si="1"/>
        <v>0</v>
      </c>
      <c r="G32" s="4">
        <f t="shared" si="3"/>
        <v>0</v>
      </c>
      <c r="H32" s="4">
        <f t="shared" si="6"/>
        <v>0</v>
      </c>
      <c r="I32" s="1"/>
      <c r="J32" s="1"/>
      <c r="K32" s="1"/>
      <c r="L32" s="1"/>
      <c r="M32" s="1"/>
      <c r="N32" s="1"/>
    </row>
    <row r="33" spans="1:14">
      <c r="A33" s="5">
        <v>29</v>
      </c>
      <c r="B33" s="4">
        <f t="shared" si="4"/>
        <v>0</v>
      </c>
      <c r="C33" s="4">
        <f t="shared" si="0"/>
        <v>0</v>
      </c>
      <c r="D33" s="4">
        <f t="shared" si="2"/>
        <v>0</v>
      </c>
      <c r="E33" s="4">
        <f t="shared" si="5"/>
        <v>0</v>
      </c>
      <c r="F33" s="4">
        <f t="shared" si="1"/>
        <v>0</v>
      </c>
      <c r="G33" s="4">
        <f t="shared" si="3"/>
        <v>0</v>
      </c>
      <c r="H33" s="4">
        <f t="shared" si="6"/>
        <v>0</v>
      </c>
      <c r="I33" s="1"/>
      <c r="J33" s="1"/>
      <c r="K33" s="1"/>
      <c r="L33" s="1"/>
      <c r="M33" s="1"/>
      <c r="N33" s="1"/>
    </row>
    <row r="34" spans="1:14">
      <c r="A34" s="12">
        <v>30</v>
      </c>
      <c r="B34" s="13">
        <f t="shared" si="4"/>
        <v>0</v>
      </c>
      <c r="C34" s="13">
        <f t="shared" si="0"/>
        <v>0</v>
      </c>
      <c r="D34" s="13">
        <f t="shared" si="2"/>
        <v>0</v>
      </c>
      <c r="E34" s="13">
        <f t="shared" si="5"/>
        <v>0</v>
      </c>
      <c r="F34" s="13">
        <f t="shared" si="1"/>
        <v>0</v>
      </c>
      <c r="G34" s="13">
        <f t="shared" si="3"/>
        <v>0</v>
      </c>
      <c r="H34" s="13">
        <f t="shared" si="6"/>
        <v>0</v>
      </c>
      <c r="I34" s="1"/>
      <c r="J34" s="1"/>
      <c r="K34" s="1"/>
      <c r="L34" s="1"/>
      <c r="M34" s="1"/>
      <c r="N34" s="1"/>
    </row>
    <row r="35" spans="1:14">
      <c r="A35" s="5">
        <v>31</v>
      </c>
      <c r="B35" s="4">
        <f t="shared" si="4"/>
        <v>0</v>
      </c>
      <c r="C35" s="4">
        <f t="shared" si="0"/>
        <v>0</v>
      </c>
      <c r="D35" s="4">
        <f t="shared" si="2"/>
        <v>0</v>
      </c>
      <c r="E35" s="4">
        <f t="shared" si="5"/>
        <v>0</v>
      </c>
      <c r="F35" s="4">
        <f t="shared" si="1"/>
        <v>0</v>
      </c>
      <c r="G35" s="4">
        <f t="shared" si="3"/>
        <v>0</v>
      </c>
      <c r="H35" s="4">
        <f t="shared" si="6"/>
        <v>0</v>
      </c>
      <c r="I35" s="1"/>
      <c r="J35" s="1"/>
      <c r="K35" s="1"/>
      <c r="L35" s="1"/>
      <c r="M35" s="1"/>
      <c r="N35" s="1"/>
    </row>
    <row r="36" spans="1:14">
      <c r="A36" s="5">
        <v>32</v>
      </c>
      <c r="B36" s="4">
        <f t="shared" si="4"/>
        <v>0</v>
      </c>
      <c r="C36" s="4">
        <f t="shared" si="0"/>
        <v>0</v>
      </c>
      <c r="D36" s="4">
        <f t="shared" si="2"/>
        <v>0</v>
      </c>
      <c r="E36" s="4">
        <f t="shared" si="5"/>
        <v>0</v>
      </c>
      <c r="F36" s="4">
        <f t="shared" si="1"/>
        <v>0</v>
      </c>
      <c r="G36" s="4">
        <f t="shared" si="3"/>
        <v>0</v>
      </c>
      <c r="H36" s="4">
        <f t="shared" si="6"/>
        <v>0</v>
      </c>
      <c r="I36" s="1"/>
      <c r="J36" s="1"/>
      <c r="K36" s="1"/>
      <c r="L36" s="1"/>
      <c r="M36" s="1"/>
      <c r="N36" s="1"/>
    </row>
    <row r="37" spans="1:14">
      <c r="A37" s="5">
        <v>33</v>
      </c>
      <c r="B37" s="4">
        <f t="shared" si="4"/>
        <v>0</v>
      </c>
      <c r="C37" s="4">
        <f t="shared" si="0"/>
        <v>0</v>
      </c>
      <c r="D37" s="4">
        <f t="shared" si="2"/>
        <v>0</v>
      </c>
      <c r="E37" s="4">
        <f t="shared" si="5"/>
        <v>0</v>
      </c>
      <c r="F37" s="4">
        <f t="shared" si="1"/>
        <v>0</v>
      </c>
      <c r="G37" s="4">
        <f t="shared" si="3"/>
        <v>0</v>
      </c>
      <c r="H37" s="4">
        <f t="shared" si="6"/>
        <v>0</v>
      </c>
      <c r="I37" s="1"/>
      <c r="J37" s="1"/>
      <c r="K37" s="1"/>
      <c r="L37" s="1"/>
      <c r="M37" s="1"/>
      <c r="N37" s="1"/>
    </row>
    <row r="38" spans="1:14">
      <c r="A38" s="5">
        <v>34</v>
      </c>
      <c r="B38" s="4">
        <f t="shared" si="4"/>
        <v>0</v>
      </c>
      <c r="C38" s="4">
        <f t="shared" si="0"/>
        <v>0</v>
      </c>
      <c r="D38" s="4">
        <f t="shared" si="2"/>
        <v>0</v>
      </c>
      <c r="E38" s="4">
        <f t="shared" si="5"/>
        <v>0</v>
      </c>
      <c r="F38" s="4">
        <f t="shared" si="1"/>
        <v>0</v>
      </c>
      <c r="G38" s="4">
        <f t="shared" si="3"/>
        <v>0</v>
      </c>
      <c r="H38" s="4">
        <f t="shared" si="6"/>
        <v>0</v>
      </c>
      <c r="I38" s="1"/>
      <c r="J38" s="1"/>
      <c r="K38" s="1"/>
      <c r="L38" s="1"/>
      <c r="M38" s="1"/>
      <c r="N38" s="1"/>
    </row>
    <row r="39" spans="1:14">
      <c r="A39" s="5">
        <v>35</v>
      </c>
      <c r="B39" s="4">
        <f t="shared" si="4"/>
        <v>0</v>
      </c>
      <c r="C39" s="4">
        <f t="shared" si="0"/>
        <v>0</v>
      </c>
      <c r="D39" s="4">
        <f t="shared" si="2"/>
        <v>0</v>
      </c>
      <c r="E39" s="4">
        <f t="shared" si="5"/>
        <v>0</v>
      </c>
      <c r="F39" s="4">
        <f t="shared" si="1"/>
        <v>0</v>
      </c>
      <c r="G39" s="4">
        <f t="shared" si="3"/>
        <v>0</v>
      </c>
      <c r="H39" s="4">
        <f t="shared" si="6"/>
        <v>0</v>
      </c>
      <c r="I39" s="1"/>
      <c r="J39" s="1"/>
      <c r="K39" s="1"/>
      <c r="L39" s="1"/>
      <c r="M39" s="1"/>
      <c r="N39" s="1"/>
    </row>
    <row r="40" spans="1:14">
      <c r="A40" s="5">
        <v>36</v>
      </c>
      <c r="B40" s="4">
        <f t="shared" si="4"/>
        <v>0</v>
      </c>
      <c r="C40" s="4">
        <f t="shared" si="0"/>
        <v>0</v>
      </c>
      <c r="D40" s="4">
        <f t="shared" si="2"/>
        <v>0</v>
      </c>
      <c r="E40" s="4">
        <f t="shared" si="5"/>
        <v>0</v>
      </c>
      <c r="F40" s="4">
        <f t="shared" si="1"/>
        <v>0</v>
      </c>
      <c r="G40" s="4">
        <f t="shared" si="3"/>
        <v>0</v>
      </c>
      <c r="H40" s="4">
        <f t="shared" si="6"/>
        <v>0</v>
      </c>
      <c r="I40" s="1"/>
      <c r="J40" s="1"/>
      <c r="K40" s="1"/>
      <c r="L40" s="1"/>
      <c r="M40" s="1"/>
      <c r="N40" s="1"/>
    </row>
    <row r="41" spans="1:14">
      <c r="A41" s="5">
        <v>37</v>
      </c>
      <c r="B41" s="4">
        <f t="shared" si="4"/>
        <v>0</v>
      </c>
      <c r="C41" s="4">
        <f t="shared" si="0"/>
        <v>0</v>
      </c>
      <c r="D41" s="4">
        <f t="shared" si="2"/>
        <v>0</v>
      </c>
      <c r="E41" s="4">
        <f t="shared" si="5"/>
        <v>0</v>
      </c>
      <c r="F41" s="4">
        <f t="shared" si="1"/>
        <v>0</v>
      </c>
      <c r="G41" s="4">
        <f t="shared" si="3"/>
        <v>0</v>
      </c>
      <c r="H41" s="4">
        <f t="shared" si="6"/>
        <v>0</v>
      </c>
      <c r="I41" s="1"/>
      <c r="J41" s="1"/>
      <c r="K41" s="1"/>
      <c r="L41" s="1"/>
      <c r="M41" s="1"/>
      <c r="N41" s="1"/>
    </row>
    <row r="42" spans="1:14">
      <c r="A42" s="5">
        <v>38</v>
      </c>
      <c r="B42" s="4">
        <f t="shared" si="4"/>
        <v>0</v>
      </c>
      <c r="C42" s="4">
        <f t="shared" si="0"/>
        <v>0</v>
      </c>
      <c r="D42" s="4">
        <f t="shared" si="2"/>
        <v>0</v>
      </c>
      <c r="E42" s="4">
        <f t="shared" si="5"/>
        <v>0</v>
      </c>
      <c r="F42" s="4">
        <f t="shared" si="1"/>
        <v>0</v>
      </c>
      <c r="G42" s="4">
        <f t="shared" si="3"/>
        <v>0</v>
      </c>
      <c r="H42" s="4">
        <f t="shared" si="6"/>
        <v>0</v>
      </c>
      <c r="I42" s="1"/>
      <c r="J42" s="1"/>
      <c r="K42" s="1"/>
      <c r="L42" s="1"/>
      <c r="M42" s="1"/>
      <c r="N42" s="1"/>
    </row>
    <row r="43" spans="1:14">
      <c r="A43" s="5">
        <v>39</v>
      </c>
      <c r="B43" s="4">
        <f t="shared" si="4"/>
        <v>0</v>
      </c>
      <c r="C43" s="4">
        <f t="shared" si="0"/>
        <v>0</v>
      </c>
      <c r="D43" s="4">
        <f t="shared" si="2"/>
        <v>0</v>
      </c>
      <c r="E43" s="4">
        <f t="shared" si="5"/>
        <v>0</v>
      </c>
      <c r="F43" s="4">
        <f t="shared" si="1"/>
        <v>0</v>
      </c>
      <c r="G43" s="4">
        <f t="shared" si="3"/>
        <v>0</v>
      </c>
      <c r="H43" s="4">
        <f t="shared" si="6"/>
        <v>0</v>
      </c>
      <c r="I43" s="1"/>
      <c r="J43" s="1"/>
      <c r="K43" s="1"/>
      <c r="L43" s="1"/>
      <c r="M43" s="1"/>
      <c r="N43" s="1"/>
    </row>
    <row r="44" spans="1:14">
      <c r="A44" s="5">
        <v>40</v>
      </c>
      <c r="B44" s="4">
        <f t="shared" si="4"/>
        <v>0</v>
      </c>
      <c r="C44" s="4">
        <f t="shared" si="0"/>
        <v>0</v>
      </c>
      <c r="D44" s="4">
        <f t="shared" si="2"/>
        <v>0</v>
      </c>
      <c r="E44" s="4">
        <f t="shared" si="5"/>
        <v>0</v>
      </c>
      <c r="F44" s="4">
        <f t="shared" si="1"/>
        <v>0</v>
      </c>
      <c r="G44" s="4">
        <f t="shared" si="3"/>
        <v>0</v>
      </c>
      <c r="H44" s="4">
        <f t="shared" si="6"/>
        <v>0</v>
      </c>
      <c r="I44" s="1"/>
      <c r="J44" s="1"/>
      <c r="K44" s="1"/>
      <c r="L44" s="1"/>
      <c r="M44" s="1"/>
      <c r="N44" s="1"/>
    </row>
    <row r="45" spans="1:14">
      <c r="A45" s="5">
        <v>41</v>
      </c>
      <c r="B45" s="4">
        <f t="shared" si="4"/>
        <v>0</v>
      </c>
      <c r="C45" s="4">
        <f t="shared" si="0"/>
        <v>0</v>
      </c>
      <c r="D45" s="4">
        <f t="shared" si="2"/>
        <v>0</v>
      </c>
      <c r="E45" s="4">
        <f t="shared" si="5"/>
        <v>0</v>
      </c>
      <c r="F45" s="4">
        <f t="shared" si="1"/>
        <v>0</v>
      </c>
      <c r="G45" s="4">
        <f t="shared" si="3"/>
        <v>0</v>
      </c>
      <c r="H45" s="4">
        <f t="shared" si="6"/>
        <v>0</v>
      </c>
      <c r="I45" s="1"/>
      <c r="J45" s="1"/>
      <c r="K45" s="1"/>
      <c r="L45" s="1"/>
      <c r="M45" s="1"/>
      <c r="N45" s="1"/>
    </row>
    <row r="46" spans="1:14">
      <c r="A46" s="12">
        <v>42</v>
      </c>
      <c r="B46" s="13">
        <f t="shared" si="4"/>
        <v>0</v>
      </c>
      <c r="C46" s="13">
        <f t="shared" si="0"/>
        <v>0</v>
      </c>
      <c r="D46" s="13">
        <f t="shared" si="2"/>
        <v>0</v>
      </c>
      <c r="E46" s="13">
        <f t="shared" si="5"/>
        <v>0</v>
      </c>
      <c r="F46" s="13">
        <f t="shared" si="1"/>
        <v>0</v>
      </c>
      <c r="G46" s="13">
        <f t="shared" si="3"/>
        <v>0</v>
      </c>
      <c r="H46" s="13">
        <f t="shared" si="6"/>
        <v>0</v>
      </c>
      <c r="I46" s="1"/>
      <c r="J46" s="1"/>
      <c r="K46" s="1"/>
      <c r="L46" s="1"/>
      <c r="M46" s="1"/>
      <c r="N46" s="1"/>
    </row>
    <row r="47" spans="1:14">
      <c r="A47" s="5">
        <v>43</v>
      </c>
      <c r="B47" s="4">
        <f t="shared" si="4"/>
        <v>0</v>
      </c>
      <c r="C47" s="4">
        <f t="shared" si="0"/>
        <v>0</v>
      </c>
      <c r="D47" s="4">
        <f t="shared" si="2"/>
        <v>0</v>
      </c>
      <c r="E47" s="4">
        <f t="shared" si="5"/>
        <v>0</v>
      </c>
      <c r="F47" s="4">
        <f t="shared" si="1"/>
        <v>0</v>
      </c>
      <c r="G47" s="4">
        <f t="shared" si="3"/>
        <v>0</v>
      </c>
      <c r="H47" s="4">
        <f t="shared" si="6"/>
        <v>0</v>
      </c>
      <c r="I47" s="1"/>
      <c r="J47" s="1"/>
      <c r="K47" s="1"/>
      <c r="L47" s="1"/>
      <c r="M47" s="1"/>
      <c r="N47" s="1"/>
    </row>
    <row r="48" spans="1:14">
      <c r="A48" s="5">
        <v>44</v>
      </c>
      <c r="B48" s="4">
        <f t="shared" si="4"/>
        <v>0</v>
      </c>
      <c r="C48" s="4">
        <f t="shared" si="0"/>
        <v>0</v>
      </c>
      <c r="D48" s="4">
        <f t="shared" si="2"/>
        <v>0</v>
      </c>
      <c r="E48" s="4">
        <f t="shared" si="5"/>
        <v>0</v>
      </c>
      <c r="F48" s="4">
        <f t="shared" si="1"/>
        <v>0</v>
      </c>
      <c r="G48" s="4">
        <f t="shared" si="3"/>
        <v>0</v>
      </c>
      <c r="H48" s="4">
        <f t="shared" si="6"/>
        <v>0</v>
      </c>
      <c r="I48" s="1"/>
      <c r="J48" s="1"/>
      <c r="K48" s="1"/>
      <c r="L48" s="1"/>
      <c r="M48" s="1"/>
      <c r="N48" s="1"/>
    </row>
    <row r="49" spans="1:14">
      <c r="A49" s="5">
        <v>45</v>
      </c>
      <c r="B49" s="4">
        <f t="shared" si="4"/>
        <v>0</v>
      </c>
      <c r="C49" s="4">
        <f t="shared" si="0"/>
        <v>0</v>
      </c>
      <c r="D49" s="4">
        <f t="shared" si="2"/>
        <v>0</v>
      </c>
      <c r="E49" s="4">
        <f t="shared" si="5"/>
        <v>0</v>
      </c>
      <c r="F49" s="4">
        <f t="shared" si="1"/>
        <v>0</v>
      </c>
      <c r="G49" s="4">
        <f t="shared" si="3"/>
        <v>0</v>
      </c>
      <c r="H49" s="4">
        <f t="shared" si="6"/>
        <v>0</v>
      </c>
      <c r="I49" s="1"/>
      <c r="J49" s="1"/>
      <c r="K49" s="1"/>
      <c r="L49" s="1"/>
      <c r="M49" s="1"/>
      <c r="N49" s="1"/>
    </row>
    <row r="50" spans="1:14">
      <c r="A50" s="5">
        <v>46</v>
      </c>
      <c r="B50" s="4">
        <f t="shared" si="4"/>
        <v>0</v>
      </c>
      <c r="C50" s="4">
        <f t="shared" si="0"/>
        <v>0</v>
      </c>
      <c r="D50" s="4">
        <f t="shared" si="2"/>
        <v>0</v>
      </c>
      <c r="E50" s="4">
        <f t="shared" si="5"/>
        <v>0</v>
      </c>
      <c r="F50" s="4">
        <f t="shared" si="1"/>
        <v>0</v>
      </c>
      <c r="G50" s="4">
        <f t="shared" si="3"/>
        <v>0</v>
      </c>
      <c r="H50" s="4">
        <f t="shared" si="6"/>
        <v>0</v>
      </c>
      <c r="I50" s="1"/>
      <c r="J50" s="1"/>
      <c r="K50" s="1"/>
      <c r="L50" s="1"/>
      <c r="M50" s="1"/>
      <c r="N50" s="1"/>
    </row>
    <row r="51" spans="1:14">
      <c r="A51" s="5">
        <v>47</v>
      </c>
      <c r="B51" s="4">
        <f t="shared" si="4"/>
        <v>0</v>
      </c>
      <c r="C51" s="4">
        <f t="shared" si="0"/>
        <v>0</v>
      </c>
      <c r="D51" s="4">
        <f t="shared" si="2"/>
        <v>0</v>
      </c>
      <c r="E51" s="4">
        <f t="shared" si="5"/>
        <v>0</v>
      </c>
      <c r="F51" s="4">
        <f t="shared" si="1"/>
        <v>0</v>
      </c>
      <c r="G51" s="4">
        <f t="shared" si="3"/>
        <v>0</v>
      </c>
      <c r="H51" s="4">
        <f t="shared" si="6"/>
        <v>0</v>
      </c>
      <c r="I51" s="1"/>
      <c r="J51" s="1"/>
      <c r="K51" s="1"/>
      <c r="L51" s="1"/>
      <c r="M51" s="1"/>
      <c r="N51" s="1"/>
    </row>
    <row r="52" spans="1:14">
      <c r="A52" s="5">
        <v>48</v>
      </c>
      <c r="B52" s="4">
        <f t="shared" si="4"/>
        <v>0</v>
      </c>
      <c r="C52" s="4">
        <f t="shared" si="0"/>
        <v>0</v>
      </c>
      <c r="D52" s="4">
        <f t="shared" si="2"/>
        <v>0</v>
      </c>
      <c r="E52" s="4">
        <f t="shared" si="5"/>
        <v>0</v>
      </c>
      <c r="F52" s="4">
        <f t="shared" si="1"/>
        <v>0</v>
      </c>
      <c r="G52" s="4">
        <f t="shared" si="3"/>
        <v>0</v>
      </c>
      <c r="H52" s="4">
        <f t="shared" si="6"/>
        <v>0</v>
      </c>
      <c r="I52" s="1"/>
      <c r="J52" s="1"/>
      <c r="K52" s="1"/>
      <c r="L52" s="1"/>
      <c r="M52" s="1"/>
      <c r="N52" s="1"/>
    </row>
    <row r="53" spans="1:14">
      <c r="A53" s="5">
        <v>49</v>
      </c>
      <c r="B53" s="4">
        <f t="shared" si="4"/>
        <v>0</v>
      </c>
      <c r="C53" s="4">
        <f t="shared" si="0"/>
        <v>0</v>
      </c>
      <c r="D53" s="4">
        <f t="shared" si="2"/>
        <v>0</v>
      </c>
      <c r="E53" s="4">
        <f t="shared" si="5"/>
        <v>0</v>
      </c>
      <c r="F53" s="4">
        <f t="shared" si="1"/>
        <v>0</v>
      </c>
      <c r="G53" s="4">
        <f t="shared" si="3"/>
        <v>0</v>
      </c>
      <c r="H53" s="4">
        <f t="shared" si="6"/>
        <v>0</v>
      </c>
      <c r="I53" s="1"/>
      <c r="J53" s="1"/>
      <c r="K53" s="1"/>
      <c r="L53" s="1"/>
      <c r="M53" s="1"/>
      <c r="N53" s="1"/>
    </row>
    <row r="54" spans="1:14">
      <c r="A54" s="5">
        <v>50</v>
      </c>
      <c r="B54" s="4">
        <f t="shared" si="4"/>
        <v>0</v>
      </c>
      <c r="C54" s="4">
        <f t="shared" si="0"/>
        <v>0</v>
      </c>
      <c r="D54" s="4">
        <f t="shared" si="2"/>
        <v>0</v>
      </c>
      <c r="E54" s="4">
        <f t="shared" si="5"/>
        <v>0</v>
      </c>
      <c r="F54" s="4">
        <f t="shared" si="1"/>
        <v>0</v>
      </c>
      <c r="G54" s="4">
        <f t="shared" si="3"/>
        <v>0</v>
      </c>
      <c r="H54" s="4">
        <f t="shared" si="6"/>
        <v>0</v>
      </c>
      <c r="I54" s="1"/>
      <c r="J54" s="1"/>
      <c r="K54" s="1"/>
      <c r="L54" s="1"/>
      <c r="M54" s="1"/>
      <c r="N54" s="1"/>
    </row>
    <row r="55" spans="1:14">
      <c r="A55" s="5">
        <v>51</v>
      </c>
      <c r="B55" s="4">
        <f t="shared" si="4"/>
        <v>0</v>
      </c>
      <c r="C55" s="4">
        <f t="shared" si="0"/>
        <v>0</v>
      </c>
      <c r="D55" s="4">
        <f t="shared" si="2"/>
        <v>0</v>
      </c>
      <c r="E55" s="4">
        <f t="shared" si="5"/>
        <v>0</v>
      </c>
      <c r="F55" s="4">
        <f t="shared" si="1"/>
        <v>0</v>
      </c>
      <c r="G55" s="4">
        <f t="shared" si="3"/>
        <v>0</v>
      </c>
      <c r="H55" s="4">
        <f t="shared" si="6"/>
        <v>0</v>
      </c>
      <c r="I55" s="1"/>
      <c r="J55" s="1"/>
      <c r="K55" s="1"/>
      <c r="L55" s="1"/>
      <c r="M55" s="1"/>
      <c r="N55" s="1"/>
    </row>
    <row r="56" spans="1:14">
      <c r="A56" s="5">
        <v>52</v>
      </c>
      <c r="B56" s="4">
        <f t="shared" si="4"/>
        <v>0</v>
      </c>
      <c r="C56" s="4">
        <f t="shared" si="0"/>
        <v>0</v>
      </c>
      <c r="D56" s="4">
        <f t="shared" si="2"/>
        <v>0</v>
      </c>
      <c r="E56" s="4">
        <f t="shared" si="5"/>
        <v>0</v>
      </c>
      <c r="F56" s="4">
        <f t="shared" si="1"/>
        <v>0</v>
      </c>
      <c r="G56" s="4">
        <f t="shared" si="3"/>
        <v>0</v>
      </c>
      <c r="H56" s="4">
        <f t="shared" si="6"/>
        <v>0</v>
      </c>
      <c r="I56" s="1"/>
      <c r="J56" s="1"/>
      <c r="K56" s="1"/>
      <c r="L56" s="1"/>
      <c r="M56" s="1"/>
      <c r="N56" s="1"/>
    </row>
    <row r="57" spans="1:14">
      <c r="A57" s="5">
        <v>53</v>
      </c>
      <c r="B57" s="4">
        <f t="shared" si="4"/>
        <v>0</v>
      </c>
      <c r="C57" s="4">
        <f t="shared" si="0"/>
        <v>0</v>
      </c>
      <c r="D57" s="4">
        <f t="shared" si="2"/>
        <v>0</v>
      </c>
      <c r="E57" s="4">
        <f t="shared" si="5"/>
        <v>0</v>
      </c>
      <c r="F57" s="4">
        <f t="shared" si="1"/>
        <v>0</v>
      </c>
      <c r="G57" s="4">
        <f t="shared" si="3"/>
        <v>0</v>
      </c>
      <c r="H57" s="4">
        <f t="shared" si="6"/>
        <v>0</v>
      </c>
      <c r="I57" s="1"/>
      <c r="J57" s="1"/>
      <c r="K57" s="1"/>
      <c r="L57" s="1"/>
      <c r="M57" s="1"/>
      <c r="N57" s="1"/>
    </row>
    <row r="58" spans="1:14">
      <c r="A58" s="5">
        <v>54</v>
      </c>
      <c r="B58" s="4">
        <f t="shared" si="4"/>
        <v>0</v>
      </c>
      <c r="C58" s="4">
        <f t="shared" si="0"/>
        <v>0</v>
      </c>
      <c r="D58" s="4">
        <f t="shared" si="2"/>
        <v>0</v>
      </c>
      <c r="E58" s="4">
        <f t="shared" si="5"/>
        <v>0</v>
      </c>
      <c r="F58" s="4">
        <f t="shared" si="1"/>
        <v>0</v>
      </c>
      <c r="G58" s="4">
        <f t="shared" si="3"/>
        <v>0</v>
      </c>
      <c r="H58" s="4">
        <f t="shared" si="6"/>
        <v>0</v>
      </c>
      <c r="I58" s="1"/>
      <c r="J58" s="1"/>
      <c r="K58" s="1"/>
      <c r="L58" s="1"/>
      <c r="M58" s="1"/>
      <c r="N58" s="1"/>
    </row>
    <row r="59" spans="1:14">
      <c r="A59" s="5">
        <v>55</v>
      </c>
      <c r="B59" s="4">
        <f t="shared" si="4"/>
        <v>0</v>
      </c>
      <c r="C59" s="4">
        <f t="shared" si="0"/>
        <v>0</v>
      </c>
      <c r="D59" s="4">
        <f t="shared" si="2"/>
        <v>0</v>
      </c>
      <c r="E59" s="4">
        <f t="shared" si="5"/>
        <v>0</v>
      </c>
      <c r="F59" s="4">
        <f t="shared" si="1"/>
        <v>0</v>
      </c>
      <c r="G59" s="4">
        <f t="shared" si="3"/>
        <v>0</v>
      </c>
      <c r="H59" s="4">
        <f t="shared" si="6"/>
        <v>0</v>
      </c>
      <c r="I59" s="1"/>
      <c r="J59" s="1"/>
      <c r="K59" s="1"/>
      <c r="L59" s="1"/>
      <c r="M59" s="1"/>
      <c r="N59" s="1"/>
    </row>
    <row r="60" spans="1:14">
      <c r="A60" s="5">
        <v>56</v>
      </c>
      <c r="B60" s="4">
        <f t="shared" si="4"/>
        <v>0</v>
      </c>
      <c r="C60" s="4">
        <f t="shared" si="0"/>
        <v>0</v>
      </c>
      <c r="D60" s="4">
        <f t="shared" si="2"/>
        <v>0</v>
      </c>
      <c r="E60" s="4">
        <f t="shared" si="5"/>
        <v>0</v>
      </c>
      <c r="F60" s="4">
        <f t="shared" si="1"/>
        <v>0</v>
      </c>
      <c r="G60" s="4">
        <f t="shared" si="3"/>
        <v>0</v>
      </c>
      <c r="H60" s="4">
        <f t="shared" si="6"/>
        <v>0</v>
      </c>
      <c r="I60" s="1"/>
      <c r="J60" s="1"/>
      <c r="K60" s="1"/>
      <c r="L60" s="1"/>
      <c r="M60" s="1"/>
      <c r="N60" s="1"/>
    </row>
    <row r="61" spans="1:14">
      <c r="A61" s="5">
        <v>57</v>
      </c>
      <c r="B61" s="4">
        <f t="shared" si="4"/>
        <v>0</v>
      </c>
      <c r="C61" s="4">
        <f t="shared" si="0"/>
        <v>0</v>
      </c>
      <c r="D61" s="4">
        <f t="shared" si="2"/>
        <v>0</v>
      </c>
      <c r="E61" s="4">
        <f t="shared" si="5"/>
        <v>0</v>
      </c>
      <c r="F61" s="4">
        <f t="shared" si="1"/>
        <v>0</v>
      </c>
      <c r="G61" s="4">
        <f t="shared" si="3"/>
        <v>0</v>
      </c>
      <c r="H61" s="4">
        <f t="shared" si="6"/>
        <v>0</v>
      </c>
      <c r="I61" s="1"/>
      <c r="J61" s="1"/>
      <c r="K61" s="1"/>
      <c r="L61" s="1"/>
      <c r="M61" s="1"/>
      <c r="N61" s="1"/>
    </row>
    <row r="62" spans="1:14">
      <c r="A62" s="5">
        <v>58</v>
      </c>
      <c r="B62" s="4">
        <f t="shared" si="4"/>
        <v>0</v>
      </c>
      <c r="C62" s="4">
        <f t="shared" si="0"/>
        <v>0</v>
      </c>
      <c r="D62" s="4">
        <f t="shared" si="2"/>
        <v>0</v>
      </c>
      <c r="E62" s="4">
        <f t="shared" si="5"/>
        <v>0</v>
      </c>
      <c r="F62" s="4">
        <f t="shared" si="1"/>
        <v>0</v>
      </c>
      <c r="G62" s="4">
        <f t="shared" si="3"/>
        <v>0</v>
      </c>
      <c r="H62" s="4">
        <f t="shared" si="6"/>
        <v>0</v>
      </c>
      <c r="I62" s="1"/>
      <c r="J62" s="1"/>
      <c r="K62" s="1"/>
      <c r="L62" s="1"/>
      <c r="M62" s="1"/>
      <c r="N62" s="1"/>
    </row>
    <row r="63" spans="1:14">
      <c r="A63" s="5">
        <v>59</v>
      </c>
      <c r="B63" s="4">
        <f t="shared" si="4"/>
        <v>0</v>
      </c>
      <c r="C63" s="4">
        <f t="shared" si="0"/>
        <v>0</v>
      </c>
      <c r="D63" s="4">
        <f t="shared" si="2"/>
        <v>0</v>
      </c>
      <c r="E63" s="4">
        <f t="shared" si="5"/>
        <v>0</v>
      </c>
      <c r="F63" s="4">
        <f t="shared" si="1"/>
        <v>0</v>
      </c>
      <c r="G63" s="4">
        <f t="shared" si="3"/>
        <v>0</v>
      </c>
      <c r="H63" s="4">
        <f t="shared" si="6"/>
        <v>0</v>
      </c>
      <c r="I63" s="1"/>
      <c r="J63" s="1"/>
      <c r="K63" s="1"/>
      <c r="L63" s="1"/>
      <c r="M63" s="1"/>
      <c r="N63" s="1"/>
    </row>
    <row r="64" spans="1:14">
      <c r="A64" s="5">
        <v>60</v>
      </c>
      <c r="B64" s="4">
        <f t="shared" si="4"/>
        <v>0</v>
      </c>
      <c r="C64" s="4">
        <f t="shared" si="0"/>
        <v>0</v>
      </c>
      <c r="D64" s="4">
        <f t="shared" si="2"/>
        <v>0</v>
      </c>
      <c r="E64" s="4">
        <f t="shared" si="5"/>
        <v>0</v>
      </c>
      <c r="F64" s="4">
        <f t="shared" si="1"/>
        <v>0</v>
      </c>
      <c r="G64" s="4">
        <f t="shared" si="3"/>
        <v>0</v>
      </c>
      <c r="H64" s="4">
        <f t="shared" si="6"/>
        <v>0</v>
      </c>
      <c r="I64" s="1"/>
      <c r="J64" s="1"/>
      <c r="K64" s="1"/>
      <c r="L64" s="1"/>
      <c r="M64" s="1"/>
      <c r="N64" s="1"/>
    </row>
    <row r="65" spans="1:14">
      <c r="A65" s="5">
        <v>61</v>
      </c>
      <c r="B65" s="4">
        <f t="shared" si="4"/>
        <v>0</v>
      </c>
      <c r="C65" s="4">
        <f t="shared" si="0"/>
        <v>0</v>
      </c>
      <c r="D65" s="4">
        <f t="shared" si="2"/>
        <v>0</v>
      </c>
      <c r="E65" s="4">
        <f t="shared" si="5"/>
        <v>0</v>
      </c>
      <c r="F65" s="4">
        <f t="shared" si="1"/>
        <v>0</v>
      </c>
      <c r="G65" s="4">
        <f t="shared" si="3"/>
        <v>0</v>
      </c>
      <c r="H65" s="4">
        <f t="shared" si="6"/>
        <v>0</v>
      </c>
      <c r="I65" s="1"/>
      <c r="J65" s="1"/>
      <c r="K65" s="1"/>
      <c r="L65" s="1"/>
      <c r="M65" s="1"/>
      <c r="N65" s="1"/>
    </row>
    <row r="66" spans="1:14">
      <c r="A66" s="5">
        <v>62</v>
      </c>
      <c r="B66" s="4">
        <f t="shared" si="4"/>
        <v>0</v>
      </c>
      <c r="C66" s="4">
        <f t="shared" si="0"/>
        <v>0</v>
      </c>
      <c r="D66" s="4">
        <f t="shared" si="2"/>
        <v>0</v>
      </c>
      <c r="E66" s="4">
        <f t="shared" si="5"/>
        <v>0</v>
      </c>
      <c r="F66" s="4">
        <f t="shared" si="1"/>
        <v>0</v>
      </c>
      <c r="G66" s="4">
        <f t="shared" si="3"/>
        <v>0</v>
      </c>
      <c r="H66" s="4">
        <f t="shared" si="6"/>
        <v>0</v>
      </c>
      <c r="I66" s="1"/>
      <c r="J66" s="1"/>
      <c r="K66" s="1"/>
      <c r="L66" s="1"/>
      <c r="M66" s="1"/>
      <c r="N66" s="1"/>
    </row>
    <row r="67" spans="1:14">
      <c r="A67" s="5">
        <v>63</v>
      </c>
      <c r="B67" s="4">
        <f t="shared" si="4"/>
        <v>0</v>
      </c>
      <c r="C67" s="4">
        <f t="shared" si="0"/>
        <v>0</v>
      </c>
      <c r="D67" s="4">
        <f t="shared" si="2"/>
        <v>0</v>
      </c>
      <c r="E67" s="4">
        <f t="shared" si="5"/>
        <v>0</v>
      </c>
      <c r="F67" s="4">
        <f t="shared" si="1"/>
        <v>0</v>
      </c>
      <c r="G67" s="4">
        <f t="shared" si="3"/>
        <v>0</v>
      </c>
      <c r="H67" s="4">
        <f t="shared" si="6"/>
        <v>0</v>
      </c>
      <c r="I67" s="1"/>
      <c r="J67" s="1"/>
      <c r="K67" s="1"/>
      <c r="L67" s="1"/>
      <c r="M67" s="1"/>
      <c r="N67" s="1"/>
    </row>
    <row r="68" spans="1:14">
      <c r="A68" s="5">
        <v>64</v>
      </c>
      <c r="B68" s="4">
        <f t="shared" si="4"/>
        <v>0</v>
      </c>
      <c r="C68" s="4">
        <f t="shared" si="0"/>
        <v>0</v>
      </c>
      <c r="D68" s="4">
        <f t="shared" si="2"/>
        <v>0</v>
      </c>
      <c r="E68" s="4">
        <f t="shared" si="5"/>
        <v>0</v>
      </c>
      <c r="F68" s="4">
        <f t="shared" si="1"/>
        <v>0</v>
      </c>
      <c r="G68" s="4">
        <f t="shared" si="3"/>
        <v>0</v>
      </c>
      <c r="H68" s="4">
        <f t="shared" si="6"/>
        <v>0</v>
      </c>
      <c r="I68" s="1"/>
      <c r="J68" s="1"/>
      <c r="K68" s="1"/>
      <c r="L68" s="1"/>
      <c r="M68" s="1"/>
      <c r="N68" s="1"/>
    </row>
    <row r="69" spans="1:14">
      <c r="A69" s="5">
        <v>65</v>
      </c>
      <c r="B69" s="4">
        <f t="shared" si="4"/>
        <v>0</v>
      </c>
      <c r="C69" s="4">
        <f t="shared" si="0"/>
        <v>0</v>
      </c>
      <c r="D69" s="4">
        <f t="shared" si="2"/>
        <v>0</v>
      </c>
      <c r="E69" s="4">
        <f t="shared" si="5"/>
        <v>0</v>
      </c>
      <c r="F69" s="4">
        <f t="shared" si="1"/>
        <v>0</v>
      </c>
      <c r="G69" s="4">
        <f t="shared" si="3"/>
        <v>0</v>
      </c>
      <c r="H69" s="4">
        <f t="shared" si="6"/>
        <v>0</v>
      </c>
      <c r="I69" s="1"/>
      <c r="J69" s="1"/>
      <c r="K69" s="1"/>
      <c r="L69" s="1"/>
      <c r="M69" s="1"/>
      <c r="N69" s="1"/>
    </row>
    <row r="70" spans="1:14">
      <c r="A70" s="5">
        <v>66</v>
      </c>
      <c r="B70" s="4">
        <f t="shared" si="4"/>
        <v>0</v>
      </c>
      <c r="C70" s="4">
        <f t="shared" ref="C70:C88" si="7">B70*$E$2</f>
        <v>0</v>
      </c>
      <c r="D70" s="4">
        <f t="shared" si="2"/>
        <v>0</v>
      </c>
      <c r="E70" s="4">
        <f t="shared" ref="E70:E88" si="8">($A$2*$E$2)/(1-(1+$E$2)^(-$F$2))</f>
        <v>0</v>
      </c>
      <c r="F70" s="4">
        <f t="shared" ref="F70:F88" si="9">B70-D70</f>
        <v>0</v>
      </c>
      <c r="G70" s="4">
        <f t="shared" si="3"/>
        <v>0</v>
      </c>
      <c r="H70" s="4">
        <f t="shared" si="6"/>
        <v>0</v>
      </c>
      <c r="I70" s="1"/>
      <c r="J70" s="1"/>
      <c r="K70" s="1"/>
      <c r="L70" s="1"/>
      <c r="M70" s="1"/>
      <c r="N70" s="1"/>
    </row>
    <row r="71" spans="1:14">
      <c r="A71" s="5">
        <v>67</v>
      </c>
      <c r="B71" s="4">
        <f t="shared" si="4"/>
        <v>0</v>
      </c>
      <c r="C71" s="4">
        <f t="shared" si="7"/>
        <v>0</v>
      </c>
      <c r="D71" s="4">
        <f t="shared" si="2"/>
        <v>0</v>
      </c>
      <c r="E71" s="4">
        <f t="shared" si="8"/>
        <v>0</v>
      </c>
      <c r="F71" s="4">
        <f t="shared" si="9"/>
        <v>0</v>
      </c>
      <c r="G71" s="4">
        <f t="shared" si="3"/>
        <v>0</v>
      </c>
      <c r="H71" s="4">
        <f t="shared" si="6"/>
        <v>0</v>
      </c>
      <c r="I71" s="1"/>
      <c r="J71" s="1"/>
      <c r="K71" s="1"/>
      <c r="L71" s="1"/>
      <c r="M71" s="1"/>
      <c r="N71" s="1"/>
    </row>
    <row r="72" spans="1:14">
      <c r="A72" s="5">
        <v>68</v>
      </c>
      <c r="B72" s="4">
        <f t="shared" si="4"/>
        <v>0</v>
      </c>
      <c r="C72" s="4">
        <f t="shared" si="7"/>
        <v>0</v>
      </c>
      <c r="D72" s="4">
        <f t="shared" ref="D72:D88" si="10">E72-C72</f>
        <v>0</v>
      </c>
      <c r="E72" s="4">
        <f t="shared" si="8"/>
        <v>0</v>
      </c>
      <c r="F72" s="4">
        <f t="shared" si="9"/>
        <v>0</v>
      </c>
      <c r="G72" s="4">
        <f t="shared" ref="G72:G88" si="11">G71+C72</f>
        <v>0</v>
      </c>
      <c r="H72" s="4">
        <f t="shared" si="6"/>
        <v>0</v>
      </c>
      <c r="I72" s="1"/>
      <c r="J72" s="1"/>
      <c r="K72" s="1"/>
      <c r="L72" s="1"/>
      <c r="M72" s="1"/>
      <c r="N72" s="1"/>
    </row>
    <row r="73" spans="1:14">
      <c r="A73" s="5">
        <v>69</v>
      </c>
      <c r="B73" s="4">
        <f t="shared" ref="B73:B88" si="12">F72</f>
        <v>0</v>
      </c>
      <c r="C73" s="4">
        <f t="shared" si="7"/>
        <v>0</v>
      </c>
      <c r="D73" s="4">
        <f t="shared" si="10"/>
        <v>0</v>
      </c>
      <c r="E73" s="4">
        <f t="shared" si="8"/>
        <v>0</v>
      </c>
      <c r="F73" s="4">
        <f t="shared" si="9"/>
        <v>0</v>
      </c>
      <c r="G73" s="4">
        <f t="shared" si="11"/>
        <v>0</v>
      </c>
      <c r="H73" s="4">
        <f t="shared" ref="H73:H88" si="13">H72+E73</f>
        <v>0</v>
      </c>
      <c r="I73" s="1"/>
      <c r="J73" s="1"/>
      <c r="K73" s="1"/>
      <c r="L73" s="1"/>
      <c r="M73" s="1"/>
      <c r="N73" s="1"/>
    </row>
    <row r="74" spans="1:14">
      <c r="A74" s="5">
        <v>70</v>
      </c>
      <c r="B74" s="4">
        <f t="shared" si="12"/>
        <v>0</v>
      </c>
      <c r="C74" s="4">
        <f t="shared" si="7"/>
        <v>0</v>
      </c>
      <c r="D74" s="4">
        <f t="shared" si="10"/>
        <v>0</v>
      </c>
      <c r="E74" s="4">
        <f t="shared" si="8"/>
        <v>0</v>
      </c>
      <c r="F74" s="4">
        <f t="shared" si="9"/>
        <v>0</v>
      </c>
      <c r="G74" s="4">
        <f t="shared" si="11"/>
        <v>0</v>
      </c>
      <c r="H74" s="4">
        <f t="shared" si="13"/>
        <v>0</v>
      </c>
      <c r="I74" s="1"/>
      <c r="J74" s="1"/>
      <c r="K74" s="1"/>
      <c r="L74" s="1"/>
      <c r="M74" s="1"/>
      <c r="N74" s="1"/>
    </row>
    <row r="75" spans="1:14">
      <c r="A75" s="5">
        <v>71</v>
      </c>
      <c r="B75" s="4">
        <f t="shared" si="12"/>
        <v>0</v>
      </c>
      <c r="C75" s="4">
        <f t="shared" si="7"/>
        <v>0</v>
      </c>
      <c r="D75" s="4">
        <f t="shared" si="10"/>
        <v>0</v>
      </c>
      <c r="E75" s="4">
        <f t="shared" si="8"/>
        <v>0</v>
      </c>
      <c r="F75" s="4">
        <f t="shared" si="9"/>
        <v>0</v>
      </c>
      <c r="G75" s="4">
        <f t="shared" si="11"/>
        <v>0</v>
      </c>
      <c r="H75" s="4">
        <f t="shared" si="13"/>
        <v>0</v>
      </c>
      <c r="I75" s="1"/>
      <c r="J75" s="1"/>
      <c r="K75" s="1"/>
      <c r="L75" s="1"/>
      <c r="M75" s="1"/>
      <c r="N75" s="1"/>
    </row>
    <row r="76" spans="1:14">
      <c r="A76" s="5">
        <v>72</v>
      </c>
      <c r="B76" s="4">
        <f t="shared" si="12"/>
        <v>0</v>
      </c>
      <c r="C76" s="4">
        <f t="shared" si="7"/>
        <v>0</v>
      </c>
      <c r="D76" s="4">
        <f t="shared" si="10"/>
        <v>0</v>
      </c>
      <c r="E76" s="4">
        <f t="shared" si="8"/>
        <v>0</v>
      </c>
      <c r="F76" s="4">
        <f t="shared" si="9"/>
        <v>0</v>
      </c>
      <c r="G76" s="4">
        <f t="shared" si="11"/>
        <v>0</v>
      </c>
      <c r="H76" s="4">
        <f t="shared" si="13"/>
        <v>0</v>
      </c>
      <c r="I76" s="1"/>
      <c r="J76" s="1"/>
      <c r="K76" s="1"/>
      <c r="L76" s="1"/>
      <c r="M76" s="1"/>
      <c r="N76" s="1"/>
    </row>
    <row r="77" spans="1:14">
      <c r="A77" s="5">
        <v>73</v>
      </c>
      <c r="B77" s="4">
        <f t="shared" si="12"/>
        <v>0</v>
      </c>
      <c r="C77" s="4">
        <f t="shared" si="7"/>
        <v>0</v>
      </c>
      <c r="D77" s="4">
        <f t="shared" si="10"/>
        <v>0</v>
      </c>
      <c r="E77" s="4">
        <f t="shared" si="8"/>
        <v>0</v>
      </c>
      <c r="F77" s="4">
        <f t="shared" si="9"/>
        <v>0</v>
      </c>
      <c r="G77" s="4">
        <f t="shared" si="11"/>
        <v>0</v>
      </c>
      <c r="H77" s="4">
        <f t="shared" si="13"/>
        <v>0</v>
      </c>
      <c r="I77" s="1"/>
      <c r="J77" s="1"/>
      <c r="K77" s="1"/>
      <c r="L77" s="1"/>
      <c r="M77" s="1"/>
      <c r="N77" s="1"/>
    </row>
    <row r="78" spans="1:14">
      <c r="A78" s="5">
        <v>74</v>
      </c>
      <c r="B78" s="4">
        <f t="shared" si="12"/>
        <v>0</v>
      </c>
      <c r="C78" s="4">
        <f t="shared" si="7"/>
        <v>0</v>
      </c>
      <c r="D78" s="4">
        <f t="shared" si="10"/>
        <v>0</v>
      </c>
      <c r="E78" s="4">
        <f t="shared" si="8"/>
        <v>0</v>
      </c>
      <c r="F78" s="4">
        <f t="shared" si="9"/>
        <v>0</v>
      </c>
      <c r="G78" s="4">
        <f t="shared" si="11"/>
        <v>0</v>
      </c>
      <c r="H78" s="4">
        <f t="shared" si="13"/>
        <v>0</v>
      </c>
      <c r="I78" s="1"/>
      <c r="J78" s="1"/>
      <c r="K78" s="1"/>
      <c r="L78" s="1"/>
      <c r="M78" s="1"/>
      <c r="N78" s="1"/>
    </row>
    <row r="79" spans="1:14">
      <c r="A79" s="5">
        <v>75</v>
      </c>
      <c r="B79" s="4">
        <f t="shared" si="12"/>
        <v>0</v>
      </c>
      <c r="C79" s="4">
        <f t="shared" si="7"/>
        <v>0</v>
      </c>
      <c r="D79" s="4">
        <f t="shared" si="10"/>
        <v>0</v>
      </c>
      <c r="E79" s="4">
        <f t="shared" si="8"/>
        <v>0</v>
      </c>
      <c r="F79" s="4">
        <f t="shared" si="9"/>
        <v>0</v>
      </c>
      <c r="G79" s="4">
        <f t="shared" si="11"/>
        <v>0</v>
      </c>
      <c r="H79" s="4">
        <f t="shared" si="13"/>
        <v>0</v>
      </c>
      <c r="I79" s="1"/>
      <c r="J79" s="1"/>
      <c r="K79" s="1"/>
      <c r="L79" s="1"/>
      <c r="M79" s="1"/>
      <c r="N79" s="1"/>
    </row>
    <row r="80" spans="1:14">
      <c r="A80" s="5">
        <v>76</v>
      </c>
      <c r="B80" s="4">
        <f t="shared" si="12"/>
        <v>0</v>
      </c>
      <c r="C80" s="4">
        <f t="shared" si="7"/>
        <v>0</v>
      </c>
      <c r="D80" s="4">
        <f t="shared" si="10"/>
        <v>0</v>
      </c>
      <c r="E80" s="4">
        <f t="shared" si="8"/>
        <v>0</v>
      </c>
      <c r="F80" s="4">
        <f t="shared" si="9"/>
        <v>0</v>
      </c>
      <c r="G80" s="4">
        <f t="shared" si="11"/>
        <v>0</v>
      </c>
      <c r="H80" s="4">
        <f t="shared" si="13"/>
        <v>0</v>
      </c>
      <c r="I80" s="1"/>
      <c r="J80" s="1"/>
      <c r="K80" s="1"/>
      <c r="L80" s="1"/>
      <c r="M80" s="1"/>
      <c r="N80" s="1"/>
    </row>
    <row r="81" spans="1:14">
      <c r="A81" s="5">
        <v>77</v>
      </c>
      <c r="B81" s="4">
        <f t="shared" si="12"/>
        <v>0</v>
      </c>
      <c r="C81" s="4">
        <f t="shared" si="7"/>
        <v>0</v>
      </c>
      <c r="D81" s="4">
        <f t="shared" si="10"/>
        <v>0</v>
      </c>
      <c r="E81" s="4">
        <f t="shared" si="8"/>
        <v>0</v>
      </c>
      <c r="F81" s="4">
        <f t="shared" si="9"/>
        <v>0</v>
      </c>
      <c r="G81" s="4">
        <f t="shared" si="11"/>
        <v>0</v>
      </c>
      <c r="H81" s="4">
        <f t="shared" si="13"/>
        <v>0</v>
      </c>
      <c r="I81" s="1"/>
      <c r="J81" s="1"/>
      <c r="K81" s="1"/>
      <c r="L81" s="1"/>
      <c r="M81" s="1"/>
      <c r="N81" s="1"/>
    </row>
    <row r="82" spans="1:14">
      <c r="A82" s="5">
        <v>78</v>
      </c>
      <c r="B82" s="4">
        <f t="shared" si="12"/>
        <v>0</v>
      </c>
      <c r="C82" s="4">
        <f t="shared" si="7"/>
        <v>0</v>
      </c>
      <c r="D82" s="4">
        <f t="shared" si="10"/>
        <v>0</v>
      </c>
      <c r="E82" s="4">
        <f t="shared" si="8"/>
        <v>0</v>
      </c>
      <c r="F82" s="4">
        <f t="shared" si="9"/>
        <v>0</v>
      </c>
      <c r="G82" s="4">
        <f t="shared" si="11"/>
        <v>0</v>
      </c>
      <c r="H82" s="4">
        <f t="shared" si="13"/>
        <v>0</v>
      </c>
      <c r="I82" s="1"/>
      <c r="J82" s="1"/>
      <c r="K82" s="1"/>
      <c r="L82" s="1"/>
      <c r="M82" s="1"/>
      <c r="N82" s="1"/>
    </row>
    <row r="83" spans="1:14">
      <c r="A83" s="5">
        <v>79</v>
      </c>
      <c r="B83" s="4">
        <f t="shared" si="12"/>
        <v>0</v>
      </c>
      <c r="C83" s="4">
        <f t="shared" si="7"/>
        <v>0</v>
      </c>
      <c r="D83" s="4">
        <f t="shared" si="10"/>
        <v>0</v>
      </c>
      <c r="E83" s="4">
        <f t="shared" si="8"/>
        <v>0</v>
      </c>
      <c r="F83" s="4">
        <f t="shared" si="9"/>
        <v>0</v>
      </c>
      <c r="G83" s="4">
        <f t="shared" si="11"/>
        <v>0</v>
      </c>
      <c r="H83" s="4">
        <f t="shared" si="13"/>
        <v>0</v>
      </c>
      <c r="I83" s="1"/>
      <c r="J83" s="1"/>
      <c r="K83" s="1"/>
      <c r="L83" s="1"/>
      <c r="M83" s="1"/>
      <c r="N83" s="1"/>
    </row>
    <row r="84" spans="1:14">
      <c r="A84" s="5">
        <v>80</v>
      </c>
      <c r="B84" s="4">
        <f t="shared" si="12"/>
        <v>0</v>
      </c>
      <c r="C84" s="4">
        <f t="shared" si="7"/>
        <v>0</v>
      </c>
      <c r="D84" s="4">
        <f t="shared" si="10"/>
        <v>0</v>
      </c>
      <c r="E84" s="4">
        <f t="shared" si="8"/>
        <v>0</v>
      </c>
      <c r="F84" s="4">
        <f t="shared" si="9"/>
        <v>0</v>
      </c>
      <c r="G84" s="4">
        <f t="shared" si="11"/>
        <v>0</v>
      </c>
      <c r="H84" s="4">
        <f t="shared" si="13"/>
        <v>0</v>
      </c>
      <c r="I84" s="1"/>
      <c r="J84" s="1"/>
      <c r="K84" s="1"/>
      <c r="L84" s="1"/>
      <c r="M84" s="1"/>
      <c r="N84" s="1"/>
    </row>
    <row r="85" spans="1:14">
      <c r="A85" s="5">
        <v>81</v>
      </c>
      <c r="B85" s="4">
        <f t="shared" si="12"/>
        <v>0</v>
      </c>
      <c r="C85" s="4">
        <f t="shared" si="7"/>
        <v>0</v>
      </c>
      <c r="D85" s="4">
        <f t="shared" si="10"/>
        <v>0</v>
      </c>
      <c r="E85" s="4">
        <f t="shared" si="8"/>
        <v>0</v>
      </c>
      <c r="F85" s="4">
        <f t="shared" si="9"/>
        <v>0</v>
      </c>
      <c r="G85" s="4">
        <f t="shared" si="11"/>
        <v>0</v>
      </c>
      <c r="H85" s="4">
        <f t="shared" si="13"/>
        <v>0</v>
      </c>
      <c r="I85" s="1"/>
      <c r="J85" s="1"/>
      <c r="K85" s="1"/>
      <c r="L85" s="1"/>
      <c r="M85" s="1"/>
      <c r="N85" s="1"/>
    </row>
    <row r="86" spans="1:14">
      <c r="A86" s="5">
        <v>82</v>
      </c>
      <c r="B86" s="4">
        <f t="shared" si="12"/>
        <v>0</v>
      </c>
      <c r="C86" s="4">
        <f t="shared" si="7"/>
        <v>0</v>
      </c>
      <c r="D86" s="4">
        <f t="shared" si="10"/>
        <v>0</v>
      </c>
      <c r="E86" s="4">
        <f t="shared" si="8"/>
        <v>0</v>
      </c>
      <c r="F86" s="4">
        <f t="shared" si="9"/>
        <v>0</v>
      </c>
      <c r="G86" s="4">
        <f t="shared" si="11"/>
        <v>0</v>
      </c>
      <c r="H86" s="4">
        <f t="shared" si="13"/>
        <v>0</v>
      </c>
      <c r="I86" s="1"/>
      <c r="J86" s="1"/>
      <c r="K86" s="1"/>
      <c r="L86" s="1"/>
      <c r="M86" s="1"/>
      <c r="N86" s="1"/>
    </row>
    <row r="87" spans="1:14">
      <c r="A87" s="5">
        <v>83</v>
      </c>
      <c r="B87" s="4">
        <f t="shared" si="12"/>
        <v>0</v>
      </c>
      <c r="C87" s="4">
        <f t="shared" si="7"/>
        <v>0</v>
      </c>
      <c r="D87" s="4">
        <f t="shared" si="10"/>
        <v>0</v>
      </c>
      <c r="E87" s="4">
        <f t="shared" si="8"/>
        <v>0</v>
      </c>
      <c r="F87" s="4">
        <f t="shared" si="9"/>
        <v>0</v>
      </c>
      <c r="G87" s="4">
        <f t="shared" si="11"/>
        <v>0</v>
      </c>
      <c r="H87" s="4">
        <f t="shared" si="13"/>
        <v>0</v>
      </c>
      <c r="I87" s="1"/>
      <c r="J87" s="1"/>
      <c r="K87" s="1"/>
      <c r="L87" s="1"/>
      <c r="M87" s="1"/>
      <c r="N87" s="1"/>
    </row>
    <row r="88" spans="1:14">
      <c r="A88" s="5">
        <v>84</v>
      </c>
      <c r="B88" s="4">
        <f t="shared" si="12"/>
        <v>0</v>
      </c>
      <c r="C88" s="4">
        <f t="shared" si="7"/>
        <v>0</v>
      </c>
      <c r="D88" s="4">
        <f t="shared" si="10"/>
        <v>0</v>
      </c>
      <c r="E88" s="4">
        <f t="shared" si="8"/>
        <v>0</v>
      </c>
      <c r="F88" s="4">
        <f t="shared" si="9"/>
        <v>0</v>
      </c>
      <c r="G88" s="4">
        <f t="shared" si="11"/>
        <v>0</v>
      </c>
      <c r="H88" s="4">
        <f t="shared" si="13"/>
        <v>0</v>
      </c>
      <c r="I88" s="1"/>
      <c r="J88" s="1"/>
      <c r="K88" s="1"/>
      <c r="L88" s="1"/>
      <c r="M88" s="1"/>
      <c r="N88" s="1"/>
    </row>
    <row r="89" spans="1:14">
      <c r="A89" s="2"/>
      <c r="B89" s="14"/>
      <c r="C89" s="14"/>
      <c r="D89" s="14"/>
      <c r="E89" s="14"/>
      <c r="F89" s="14"/>
      <c r="G89" s="14"/>
      <c r="H89" s="14"/>
      <c r="I89" s="1"/>
      <c r="J89" s="1"/>
      <c r="K89" s="1"/>
      <c r="L89" s="1"/>
      <c r="M89" s="1"/>
      <c r="N89" s="1"/>
    </row>
    <row r="90" spans="1:14">
      <c r="A90" s="2"/>
      <c r="B90" s="14"/>
      <c r="C90" s="14"/>
      <c r="D90" s="14"/>
      <c r="E90" s="14"/>
      <c r="F90" s="14"/>
      <c r="G90" s="14"/>
      <c r="H90" s="14"/>
      <c r="I90" s="1"/>
      <c r="J90" s="1"/>
      <c r="K90" s="1"/>
      <c r="L90" s="1"/>
      <c r="M90" s="1"/>
      <c r="N90" s="1"/>
    </row>
    <row r="91" spans="1:14">
      <c r="A91" s="2"/>
      <c r="B91" s="14"/>
      <c r="C91" s="14"/>
      <c r="D91" s="14"/>
      <c r="E91" s="14"/>
      <c r="F91" s="14"/>
      <c r="G91" s="14"/>
      <c r="H91" s="14"/>
      <c r="I91" s="1"/>
      <c r="J91" s="1"/>
      <c r="K91" s="1"/>
      <c r="L91" s="1"/>
      <c r="M91" s="1"/>
      <c r="N91" s="1"/>
    </row>
    <row r="92" spans="1:14">
      <c r="A92" s="2"/>
      <c r="B92" s="14"/>
      <c r="C92" s="14"/>
      <c r="D92" s="14"/>
      <c r="E92" s="14"/>
      <c r="F92" s="14"/>
      <c r="G92" s="14"/>
      <c r="H92" s="14"/>
      <c r="I92" s="1"/>
      <c r="J92" s="1"/>
      <c r="K92" s="1"/>
      <c r="L92" s="1"/>
      <c r="M92" s="1"/>
      <c r="N92" s="1"/>
    </row>
    <row r="93" spans="1:14">
      <c r="A93" s="2"/>
      <c r="B93" s="14"/>
      <c r="C93" s="14"/>
      <c r="D93" s="14"/>
      <c r="E93" s="14"/>
      <c r="F93" s="14"/>
      <c r="G93" s="14"/>
      <c r="H93" s="14"/>
      <c r="I93" s="1"/>
      <c r="J93" s="1"/>
      <c r="K93" s="1"/>
      <c r="L93" s="1"/>
      <c r="M93" s="1"/>
      <c r="N93" s="1"/>
    </row>
    <row r="94" spans="1:14">
      <c r="A94" s="2"/>
      <c r="B94" s="14"/>
      <c r="C94" s="14"/>
      <c r="D94" s="14"/>
      <c r="E94" s="14"/>
      <c r="F94" s="14"/>
      <c r="G94" s="14"/>
      <c r="H94" s="14"/>
      <c r="I94" s="1"/>
      <c r="J94" s="1"/>
      <c r="K94" s="1"/>
      <c r="L94" s="1"/>
      <c r="M94" s="1"/>
      <c r="N94" s="1"/>
    </row>
    <row r="95" spans="1:14">
      <c r="A95" s="2"/>
      <c r="B95" s="14"/>
      <c r="C95" s="14"/>
      <c r="D95" s="14"/>
      <c r="E95" s="14"/>
      <c r="F95" s="14"/>
      <c r="G95" s="14"/>
      <c r="H95" s="14"/>
      <c r="I95" s="1"/>
      <c r="J95" s="1"/>
      <c r="K95" s="1"/>
      <c r="L95" s="1"/>
      <c r="M95" s="1"/>
      <c r="N95" s="1"/>
    </row>
    <row r="96" spans="1:14">
      <c r="A96" s="2"/>
      <c r="B96" s="14"/>
      <c r="C96" s="14"/>
      <c r="D96" s="14"/>
      <c r="E96" s="14"/>
      <c r="F96" s="14"/>
      <c r="G96" s="14"/>
      <c r="H96" s="14"/>
      <c r="I96" s="1"/>
      <c r="J96" s="1"/>
      <c r="K96" s="1"/>
      <c r="L96" s="1"/>
      <c r="M96" s="1"/>
      <c r="N96" s="1"/>
    </row>
    <row r="97" spans="1:14">
      <c r="A97" s="2"/>
      <c r="B97" s="14"/>
      <c r="C97" s="14"/>
      <c r="D97" s="14"/>
      <c r="E97" s="14"/>
      <c r="F97" s="14"/>
      <c r="G97" s="14"/>
      <c r="H97" s="14"/>
      <c r="I97" s="1"/>
      <c r="J97" s="1"/>
      <c r="K97" s="1"/>
      <c r="L97" s="1"/>
      <c r="M97" s="1"/>
      <c r="N97" s="1"/>
    </row>
    <row r="98" spans="1:14">
      <c r="A98" s="2"/>
      <c r="B98" s="14"/>
      <c r="C98" s="14"/>
      <c r="D98" s="14"/>
      <c r="E98" s="14"/>
      <c r="F98" s="14"/>
      <c r="G98" s="14"/>
      <c r="H98" s="14"/>
      <c r="I98" s="1"/>
      <c r="J98" s="1"/>
      <c r="K98" s="1"/>
      <c r="L98" s="1"/>
      <c r="M98" s="1"/>
      <c r="N98" s="1"/>
    </row>
    <row r="99" spans="1:14">
      <c r="A99" s="2"/>
      <c r="B99" s="14"/>
      <c r="C99" s="14"/>
      <c r="D99" s="14"/>
      <c r="E99" s="14"/>
      <c r="F99" s="14"/>
      <c r="G99" s="14"/>
      <c r="H99" s="14"/>
      <c r="I99" s="1"/>
      <c r="J99" s="1"/>
      <c r="K99" s="1"/>
      <c r="L99" s="1"/>
      <c r="M99" s="1"/>
      <c r="N99" s="1"/>
    </row>
    <row r="100" spans="1:14">
      <c r="A100" s="2"/>
      <c r="B100" s="14"/>
      <c r="C100" s="14"/>
      <c r="D100" s="14"/>
      <c r="E100" s="14"/>
      <c r="F100" s="14"/>
      <c r="G100" s="14"/>
      <c r="H100" s="14"/>
      <c r="I100" s="1"/>
      <c r="J100" s="1"/>
      <c r="K100" s="1"/>
      <c r="L100" s="1"/>
      <c r="M100" s="1"/>
      <c r="N100" s="1"/>
    </row>
    <row r="101" spans="1:14">
      <c r="A101" s="2"/>
      <c r="B101" s="14"/>
      <c r="C101" s="14"/>
      <c r="D101" s="14"/>
      <c r="E101" s="14"/>
      <c r="F101" s="14"/>
      <c r="G101" s="14"/>
      <c r="H101" s="14"/>
      <c r="I101" s="1"/>
      <c r="J101" s="1"/>
      <c r="K101" s="1"/>
      <c r="L101" s="1"/>
      <c r="M101" s="1"/>
      <c r="N101" s="1"/>
    </row>
    <row r="102" spans="1:14">
      <c r="A102" s="2"/>
      <c r="B102" s="14"/>
      <c r="C102" s="14"/>
      <c r="D102" s="14"/>
      <c r="E102" s="14"/>
      <c r="F102" s="14"/>
      <c r="G102" s="14"/>
      <c r="H102" s="14"/>
      <c r="I102" s="1"/>
      <c r="J102" s="1"/>
      <c r="K102" s="1"/>
      <c r="L102" s="1"/>
      <c r="M102" s="1"/>
      <c r="N102" s="1"/>
    </row>
    <row r="103" spans="1:14">
      <c r="A103" s="2"/>
      <c r="B103" s="14"/>
      <c r="C103" s="14"/>
      <c r="D103" s="14"/>
      <c r="E103" s="14"/>
      <c r="F103" s="14"/>
      <c r="G103" s="14"/>
      <c r="H103" s="14"/>
      <c r="I103" s="1"/>
      <c r="J103" s="1"/>
      <c r="K103" s="1"/>
      <c r="L103" s="1"/>
      <c r="M103" s="1"/>
      <c r="N103" s="1"/>
    </row>
    <row r="104" spans="1:14">
      <c r="A104" s="2"/>
      <c r="B104" s="14"/>
      <c r="C104" s="14"/>
      <c r="D104" s="14"/>
      <c r="E104" s="14"/>
      <c r="F104" s="14"/>
      <c r="G104" s="14"/>
      <c r="H104" s="14"/>
      <c r="I104" s="1"/>
      <c r="J104" s="1"/>
      <c r="K104" s="1"/>
      <c r="L104" s="1"/>
      <c r="M104" s="1"/>
      <c r="N104" s="1"/>
    </row>
    <row r="105" spans="1:14">
      <c r="A105" s="2"/>
      <c r="B105" s="14"/>
      <c r="C105" s="14"/>
      <c r="D105" s="14"/>
      <c r="E105" s="14"/>
      <c r="F105" s="14"/>
      <c r="G105" s="14"/>
      <c r="H105" s="14"/>
      <c r="I105" s="1"/>
      <c r="J105" s="1"/>
      <c r="K105" s="1"/>
      <c r="L105" s="1"/>
      <c r="M105" s="1"/>
      <c r="N105" s="1"/>
    </row>
    <row r="106" spans="1:14">
      <c r="A106" s="2"/>
      <c r="B106" s="14"/>
      <c r="C106" s="14"/>
      <c r="D106" s="14"/>
      <c r="E106" s="14"/>
      <c r="F106" s="14"/>
      <c r="G106" s="14"/>
      <c r="H106" s="14"/>
      <c r="I106" s="1"/>
      <c r="J106" s="1"/>
      <c r="K106" s="1"/>
      <c r="L106" s="1"/>
      <c r="M106" s="1"/>
      <c r="N106" s="1"/>
    </row>
    <row r="107" spans="1:14">
      <c r="A107" s="2"/>
      <c r="B107" s="14"/>
      <c r="C107" s="14"/>
      <c r="D107" s="14"/>
      <c r="E107" s="14"/>
      <c r="F107" s="14"/>
      <c r="G107" s="14"/>
      <c r="H107" s="14"/>
      <c r="I107" s="1"/>
      <c r="J107" s="1"/>
      <c r="K107" s="1"/>
      <c r="L107" s="1"/>
      <c r="M107" s="1"/>
      <c r="N107" s="1"/>
    </row>
    <row r="108" spans="1:14">
      <c r="A108" s="2"/>
      <c r="B108" s="14"/>
      <c r="C108" s="14"/>
      <c r="D108" s="14"/>
      <c r="E108" s="14"/>
      <c r="F108" s="14"/>
      <c r="G108" s="14"/>
      <c r="H108" s="14"/>
      <c r="I108" s="1"/>
      <c r="J108" s="1"/>
      <c r="K108" s="1"/>
      <c r="L108" s="1"/>
      <c r="M108" s="1"/>
      <c r="N108" s="1"/>
    </row>
    <row r="109" spans="1:14">
      <c r="A109" s="2"/>
      <c r="B109" s="14"/>
      <c r="C109" s="14"/>
      <c r="D109" s="14"/>
      <c r="E109" s="14"/>
      <c r="F109" s="14"/>
      <c r="G109" s="14"/>
      <c r="H109" s="14"/>
      <c r="I109" s="1"/>
      <c r="J109" s="1"/>
      <c r="K109" s="1"/>
      <c r="L109" s="1"/>
      <c r="M109" s="1"/>
      <c r="N109" s="1"/>
    </row>
    <row r="110" spans="1:14">
      <c r="A110" s="2"/>
      <c r="B110" s="14"/>
      <c r="C110" s="14"/>
      <c r="D110" s="14"/>
      <c r="E110" s="14"/>
      <c r="F110" s="14"/>
      <c r="G110" s="14"/>
      <c r="H110" s="14"/>
      <c r="I110" s="1"/>
      <c r="J110" s="1"/>
      <c r="K110" s="1"/>
      <c r="L110" s="1"/>
      <c r="M110" s="1"/>
      <c r="N110" s="1"/>
    </row>
    <row r="111" spans="1:14">
      <c r="A111" s="2"/>
      <c r="B111" s="14"/>
      <c r="C111" s="14"/>
      <c r="D111" s="14"/>
      <c r="E111" s="14"/>
      <c r="F111" s="14"/>
      <c r="G111" s="14"/>
      <c r="H111" s="14"/>
      <c r="I111" s="1"/>
      <c r="J111" s="1"/>
      <c r="K111" s="1"/>
      <c r="L111" s="1"/>
      <c r="M111" s="1"/>
      <c r="N111" s="1"/>
    </row>
    <row r="112" spans="1:14">
      <c r="A112" s="2"/>
      <c r="B112" s="14"/>
      <c r="C112" s="14"/>
      <c r="D112" s="14"/>
      <c r="E112" s="14"/>
      <c r="F112" s="14"/>
      <c r="G112" s="14"/>
      <c r="H112" s="14"/>
      <c r="I112" s="1"/>
      <c r="J112" s="1"/>
      <c r="K112" s="1"/>
      <c r="L112" s="1"/>
      <c r="M112" s="1"/>
      <c r="N112" s="1"/>
    </row>
    <row r="113" spans="1:14">
      <c r="A113" s="2"/>
      <c r="B113" s="14"/>
      <c r="C113" s="14"/>
      <c r="D113" s="14"/>
      <c r="E113" s="14"/>
      <c r="F113" s="14"/>
      <c r="G113" s="14"/>
      <c r="H113" s="14"/>
      <c r="I113" s="1"/>
      <c r="J113" s="1"/>
      <c r="K113" s="1"/>
      <c r="L113" s="1"/>
      <c r="M113" s="1"/>
      <c r="N113" s="1"/>
    </row>
    <row r="114" spans="1:14">
      <c r="A114" s="2"/>
      <c r="B114" s="14"/>
      <c r="C114" s="14"/>
      <c r="D114" s="14"/>
      <c r="E114" s="14"/>
      <c r="F114" s="14"/>
      <c r="G114" s="14"/>
      <c r="H114" s="14"/>
      <c r="I114" s="1"/>
      <c r="J114" s="1"/>
      <c r="K114" s="1"/>
      <c r="L114" s="1"/>
      <c r="M114" s="1"/>
      <c r="N114" s="1"/>
    </row>
    <row r="115" spans="1:14">
      <c r="A115" s="2"/>
      <c r="B115" s="14"/>
      <c r="C115" s="14"/>
      <c r="D115" s="14"/>
      <c r="E115" s="14"/>
      <c r="F115" s="14"/>
      <c r="G115" s="14"/>
      <c r="H115" s="14"/>
      <c r="I115" s="1"/>
      <c r="J115" s="1"/>
      <c r="K115" s="1"/>
      <c r="L115" s="1"/>
      <c r="M115" s="1"/>
      <c r="N115" s="1"/>
    </row>
    <row r="116" spans="1:14">
      <c r="A116" s="2"/>
      <c r="B116" s="14"/>
      <c r="C116" s="14"/>
      <c r="D116" s="14"/>
      <c r="E116" s="14"/>
      <c r="F116" s="14"/>
      <c r="G116" s="14"/>
      <c r="H116" s="14"/>
      <c r="I116" s="1"/>
      <c r="J116" s="1"/>
      <c r="K116" s="1"/>
      <c r="L116" s="1"/>
      <c r="M116" s="1"/>
      <c r="N116" s="1"/>
    </row>
    <row r="117" spans="1:14">
      <c r="A117" s="2"/>
      <c r="B117" s="14"/>
      <c r="C117" s="14"/>
      <c r="D117" s="14"/>
      <c r="E117" s="14"/>
      <c r="F117" s="14"/>
      <c r="G117" s="14"/>
      <c r="H117" s="14"/>
      <c r="I117" s="1"/>
      <c r="J117" s="1"/>
      <c r="K117" s="1"/>
      <c r="L117" s="1"/>
      <c r="M117" s="1"/>
      <c r="N117" s="1"/>
    </row>
    <row r="118" spans="1:14">
      <c r="A118" s="2"/>
      <c r="B118" s="14"/>
      <c r="C118" s="14"/>
      <c r="D118" s="14"/>
      <c r="E118" s="14"/>
      <c r="F118" s="14"/>
      <c r="G118" s="14"/>
      <c r="H118" s="14"/>
      <c r="I118" s="1"/>
      <c r="J118" s="1"/>
      <c r="K118" s="1"/>
      <c r="L118" s="1"/>
      <c r="M118" s="1"/>
      <c r="N118" s="1"/>
    </row>
    <row r="119" spans="1:14">
      <c r="A119" s="2"/>
      <c r="B119" s="14"/>
      <c r="C119" s="14"/>
      <c r="D119" s="14"/>
      <c r="E119" s="14"/>
      <c r="F119" s="14"/>
      <c r="G119" s="14"/>
      <c r="H119" s="14"/>
      <c r="I119" s="1"/>
      <c r="J119" s="1"/>
      <c r="K119" s="1"/>
      <c r="L119" s="1"/>
      <c r="M119" s="1"/>
      <c r="N119" s="1"/>
    </row>
    <row r="120" spans="1:14">
      <c r="A120" s="2"/>
      <c r="B120" s="14"/>
      <c r="C120" s="14"/>
      <c r="D120" s="14"/>
      <c r="E120" s="14"/>
      <c r="F120" s="14"/>
      <c r="G120" s="14"/>
      <c r="H120" s="14"/>
      <c r="I120" s="1"/>
      <c r="J120" s="1"/>
      <c r="K120" s="1"/>
      <c r="L120" s="1"/>
      <c r="M120" s="1"/>
      <c r="N120" s="1"/>
    </row>
    <row r="121" spans="1:14">
      <c r="A121" s="2"/>
      <c r="B121" s="14"/>
      <c r="C121" s="14"/>
      <c r="D121" s="14"/>
      <c r="E121" s="14"/>
      <c r="F121" s="14"/>
      <c r="G121" s="14"/>
      <c r="H121" s="14"/>
      <c r="I121" s="1"/>
      <c r="J121" s="1"/>
      <c r="K121" s="1"/>
      <c r="L121" s="1"/>
      <c r="M121" s="1"/>
      <c r="N121" s="1"/>
    </row>
    <row r="122" spans="1:14">
      <c r="A122" s="2"/>
      <c r="B122" s="14"/>
      <c r="C122" s="14"/>
      <c r="D122" s="14"/>
      <c r="E122" s="14"/>
      <c r="F122" s="14"/>
      <c r="G122" s="14"/>
      <c r="H122" s="14"/>
      <c r="I122" s="1"/>
      <c r="J122" s="1"/>
      <c r="K122" s="1"/>
      <c r="L122" s="1"/>
      <c r="M122" s="1"/>
      <c r="N122" s="1"/>
    </row>
    <row r="123" spans="1:14">
      <c r="A123" s="2"/>
      <c r="B123" s="14"/>
      <c r="C123" s="14"/>
      <c r="D123" s="14"/>
      <c r="E123" s="14"/>
      <c r="F123" s="14"/>
      <c r="G123" s="14"/>
      <c r="H123" s="14"/>
      <c r="I123" s="1"/>
      <c r="J123" s="1"/>
      <c r="K123" s="1"/>
      <c r="L123" s="1"/>
      <c r="M123" s="1"/>
      <c r="N123" s="1"/>
    </row>
    <row r="124" spans="1:14">
      <c r="A124" s="2"/>
      <c r="B124" s="14"/>
      <c r="C124" s="14"/>
      <c r="D124" s="14"/>
      <c r="E124" s="14"/>
      <c r="F124" s="14"/>
      <c r="G124" s="14"/>
      <c r="H124" s="14"/>
      <c r="I124" s="1"/>
      <c r="J124" s="1"/>
      <c r="K124" s="1"/>
      <c r="L124" s="1"/>
      <c r="M124" s="1"/>
      <c r="N124" s="1"/>
    </row>
    <row r="125" spans="1:1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</sheetData>
  <pageMargins left="0.7" right="0.7" top="0.75" bottom="0.75" header="0.3" footer="0.3"/>
  <pageSetup paperSize="9" orientation="portrait" horizontalDpi="4294967292" verticalDpi="429496729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I65"/>
  <sheetViews>
    <sheetView topLeftCell="D1" workbookViewId="0">
      <selection activeCell="L31" sqref="L31"/>
    </sheetView>
  </sheetViews>
  <sheetFormatPr baseColWidth="10" defaultRowHeight="15"/>
  <cols>
    <col min="1" max="10" width="11.42578125" style="327"/>
    <col min="12" max="12" width="20.85546875" customWidth="1"/>
    <col min="13" max="13" width="27" customWidth="1"/>
    <col min="14" max="14" width="19.42578125" customWidth="1"/>
    <col min="15" max="15" width="22.42578125" customWidth="1"/>
    <col min="16" max="16" width="18.140625" customWidth="1"/>
    <col min="17" max="17" width="26.5703125" customWidth="1"/>
    <col min="18" max="18" width="19.7109375" customWidth="1"/>
    <col min="19" max="19" width="18.7109375" customWidth="1"/>
    <col min="20" max="21" width="26.85546875" customWidth="1"/>
    <col min="22" max="22" width="23.85546875" customWidth="1"/>
    <col min="23" max="23" width="15.85546875" customWidth="1"/>
    <col min="24" max="24" width="22.42578125" customWidth="1"/>
    <col min="25" max="25" width="23.7109375" customWidth="1"/>
    <col min="27" max="27" width="17" customWidth="1"/>
    <col min="28" max="28" width="24" customWidth="1"/>
    <col min="29" max="29" width="19.28515625" customWidth="1"/>
    <col min="30" max="30" width="13.28515625" customWidth="1"/>
    <col min="31" max="34" width="15.140625" customWidth="1"/>
    <col min="36" max="16384" width="11.42578125" style="327"/>
  </cols>
  <sheetData>
    <row r="1" spans="1:35" ht="26.25">
      <c r="A1" s="435" t="s">
        <v>278</v>
      </c>
      <c r="B1" s="436" t="s">
        <v>284</v>
      </c>
      <c r="C1" s="436" t="s">
        <v>399</v>
      </c>
      <c r="D1" s="437" t="s">
        <v>291</v>
      </c>
      <c r="E1" s="437" t="s">
        <v>400</v>
      </c>
      <c r="F1" s="437" t="s">
        <v>297</v>
      </c>
      <c r="G1" s="437" t="s">
        <v>401</v>
      </c>
      <c r="H1" s="438" t="s">
        <v>402</v>
      </c>
      <c r="I1" s="438" t="s">
        <v>384</v>
      </c>
      <c r="J1" s="437" t="s">
        <v>393</v>
      </c>
      <c r="K1" t="s">
        <v>304</v>
      </c>
      <c r="L1" s="193" t="s">
        <v>43</v>
      </c>
      <c r="M1" s="193" t="s">
        <v>347</v>
      </c>
      <c r="N1" s="193" t="s">
        <v>335</v>
      </c>
      <c r="O1" s="193" t="s">
        <v>336</v>
      </c>
      <c r="P1" s="193" t="s">
        <v>337</v>
      </c>
      <c r="Q1" s="193" t="s">
        <v>338</v>
      </c>
      <c r="R1" s="193" t="s">
        <v>314</v>
      </c>
      <c r="S1" s="193" t="s">
        <v>342</v>
      </c>
      <c r="T1" s="193" t="s">
        <v>32</v>
      </c>
      <c r="U1" s="193" t="s">
        <v>339</v>
      </c>
      <c r="V1" s="193" t="s">
        <v>30</v>
      </c>
      <c r="W1" s="193" t="s">
        <v>340</v>
      </c>
      <c r="X1" s="193" t="s">
        <v>345</v>
      </c>
      <c r="Y1" s="193" t="s">
        <v>69</v>
      </c>
      <c r="Z1" s="193" t="s">
        <v>24</v>
      </c>
      <c r="AA1" s="193" t="s">
        <v>189</v>
      </c>
      <c r="AB1" s="193" t="s">
        <v>188</v>
      </c>
      <c r="AC1" s="193" t="s">
        <v>341</v>
      </c>
      <c r="AD1" s="193" t="s">
        <v>47</v>
      </c>
      <c r="AE1" s="193" t="s">
        <v>6</v>
      </c>
      <c r="AF1" s="193" t="s">
        <v>343</v>
      </c>
      <c r="AG1" s="193" t="s">
        <v>371</v>
      </c>
      <c r="AH1" s="193"/>
      <c r="AI1" t="s">
        <v>333</v>
      </c>
    </row>
    <row r="2" spans="1:35">
      <c r="A2" s="439"/>
      <c r="B2" s="440"/>
      <c r="H2" s="441"/>
      <c r="I2" s="441"/>
      <c r="P2" s="198"/>
      <c r="R2" s="198"/>
      <c r="V2" s="186"/>
    </row>
    <row r="3" spans="1:35">
      <c r="A3" s="442">
        <f ca="1">TODAY()</f>
        <v>42722</v>
      </c>
      <c r="B3" s="440" t="s">
        <v>387</v>
      </c>
      <c r="C3" s="327" t="s">
        <v>285</v>
      </c>
      <c r="D3" s="327" t="s">
        <v>292</v>
      </c>
      <c r="E3" s="443" t="s">
        <v>403</v>
      </c>
      <c r="F3" s="328">
        <v>5.5E-2</v>
      </c>
      <c r="G3" s="443" t="s">
        <v>401</v>
      </c>
      <c r="H3" s="441">
        <v>42722</v>
      </c>
      <c r="I3" s="441">
        <v>42722</v>
      </c>
      <c r="J3" s="327" t="s">
        <v>398</v>
      </c>
      <c r="K3" s="194" t="s">
        <v>303</v>
      </c>
      <c r="L3" t="s">
        <v>319</v>
      </c>
      <c r="M3" s="195" t="s">
        <v>112</v>
      </c>
      <c r="N3" s="195" t="s">
        <v>101</v>
      </c>
      <c r="O3" s="195" t="s">
        <v>336</v>
      </c>
      <c r="P3" s="195" t="s">
        <v>84</v>
      </c>
      <c r="Q3" s="195" t="s">
        <v>109</v>
      </c>
      <c r="R3" s="195" t="s">
        <v>313</v>
      </c>
      <c r="S3" s="195" t="s">
        <v>25</v>
      </c>
      <c r="T3" s="195" t="s">
        <v>323</v>
      </c>
      <c r="U3" s="195" t="s">
        <v>44</v>
      </c>
      <c r="V3" s="195" t="s">
        <v>320</v>
      </c>
      <c r="W3" s="195" t="s">
        <v>322</v>
      </c>
      <c r="X3" s="195" t="s">
        <v>255</v>
      </c>
      <c r="Y3" s="195" t="s">
        <v>239</v>
      </c>
      <c r="Z3" s="195" t="s">
        <v>325</v>
      </c>
      <c r="AA3" s="199" t="s">
        <v>292</v>
      </c>
      <c r="AB3" s="195" t="s">
        <v>214</v>
      </c>
      <c r="AC3" s="195" t="s">
        <v>208</v>
      </c>
      <c r="AD3" s="195" t="s">
        <v>331</v>
      </c>
      <c r="AE3" s="195" t="s">
        <v>220</v>
      </c>
      <c r="AF3" s="195" t="s">
        <v>199</v>
      </c>
      <c r="AG3" s="195" t="s">
        <v>349</v>
      </c>
      <c r="AH3" s="195"/>
      <c r="AI3" s="202" t="s">
        <v>33</v>
      </c>
    </row>
    <row r="4" spans="1:35">
      <c r="A4" s="444"/>
      <c r="B4" s="440" t="s">
        <v>283</v>
      </c>
      <c r="C4" s="327" t="s">
        <v>286</v>
      </c>
      <c r="D4" s="327" t="s">
        <v>293</v>
      </c>
      <c r="E4" s="443" t="s">
        <v>296</v>
      </c>
      <c r="F4" s="328">
        <v>0.1</v>
      </c>
      <c r="G4" s="443" t="s">
        <v>282</v>
      </c>
      <c r="H4" s="441">
        <v>42721</v>
      </c>
      <c r="I4" s="441">
        <v>42723</v>
      </c>
      <c r="J4" s="327" t="s">
        <v>397</v>
      </c>
      <c r="K4" s="194" t="s">
        <v>302</v>
      </c>
      <c r="M4" s="195" t="s">
        <v>111</v>
      </c>
      <c r="N4" s="195" t="s">
        <v>98</v>
      </c>
      <c r="P4" s="197" t="s">
        <v>106</v>
      </c>
      <c r="Q4" s="195" t="s">
        <v>91</v>
      </c>
      <c r="R4" s="195" t="s">
        <v>312</v>
      </c>
      <c r="S4" s="195" t="s">
        <v>123</v>
      </c>
      <c r="V4" s="195" t="s">
        <v>321</v>
      </c>
      <c r="X4" s="195" t="s">
        <v>115</v>
      </c>
      <c r="Y4" s="195" t="s">
        <v>104</v>
      </c>
      <c r="AA4" s="200" t="s">
        <v>293</v>
      </c>
      <c r="AB4" s="195" t="s">
        <v>102</v>
      </c>
      <c r="AC4" s="195" t="s">
        <v>234</v>
      </c>
      <c r="AD4" s="195" t="s">
        <v>297</v>
      </c>
      <c r="AE4" s="195" t="s">
        <v>206</v>
      </c>
      <c r="AF4" s="195" t="s">
        <v>77</v>
      </c>
      <c r="AG4" s="195" t="s">
        <v>348</v>
      </c>
      <c r="AH4" s="195"/>
      <c r="AI4" s="195" t="s">
        <v>315</v>
      </c>
    </row>
    <row r="5" spans="1:35">
      <c r="B5" s="440" t="s">
        <v>282</v>
      </c>
      <c r="C5" s="327" t="s">
        <v>404</v>
      </c>
      <c r="D5" s="327" t="s">
        <v>294</v>
      </c>
      <c r="F5" s="328">
        <v>0.2</v>
      </c>
      <c r="H5" s="441">
        <v>42720</v>
      </c>
      <c r="I5" s="441">
        <v>42724</v>
      </c>
      <c r="J5" s="327" t="s">
        <v>405</v>
      </c>
      <c r="K5" s="194" t="s">
        <v>301</v>
      </c>
      <c r="M5" s="195" t="s">
        <v>110</v>
      </c>
      <c r="N5" s="195" t="s">
        <v>97</v>
      </c>
      <c r="Q5" s="195" t="s">
        <v>82</v>
      </c>
      <c r="R5" s="195"/>
      <c r="S5" s="195" t="s">
        <v>201</v>
      </c>
      <c r="V5" s="195"/>
      <c r="Y5" s="195" t="s">
        <v>210</v>
      </c>
      <c r="AA5" s="200" t="s">
        <v>327</v>
      </c>
      <c r="AB5" s="195" t="s">
        <v>257</v>
      </c>
      <c r="AC5" s="195" t="s">
        <v>264</v>
      </c>
      <c r="AE5" s="195" t="s">
        <v>114</v>
      </c>
      <c r="AF5" s="195" t="s">
        <v>107</v>
      </c>
      <c r="AH5" s="195"/>
      <c r="AI5" s="195" t="s">
        <v>318</v>
      </c>
    </row>
    <row r="6" spans="1:35">
      <c r="B6" s="445"/>
      <c r="C6" s="327" t="s">
        <v>287</v>
      </c>
      <c r="H6" s="441">
        <v>42719</v>
      </c>
      <c r="I6" s="441">
        <v>42725</v>
      </c>
      <c r="K6" s="194" t="s">
        <v>300</v>
      </c>
      <c r="M6" s="195" t="s">
        <v>100</v>
      </c>
      <c r="N6" s="195" t="s">
        <v>87</v>
      </c>
      <c r="Q6" s="195" t="s">
        <v>256</v>
      </c>
      <c r="S6" s="195" t="s">
        <v>200</v>
      </c>
      <c r="V6" s="195"/>
      <c r="Y6" s="195" t="s">
        <v>99</v>
      </c>
      <c r="AA6" s="200" t="s">
        <v>328</v>
      </c>
      <c r="AC6" s="195" t="s">
        <v>269</v>
      </c>
      <c r="AG6" s="195"/>
      <c r="AI6" s="195" t="s">
        <v>316</v>
      </c>
    </row>
    <row r="7" spans="1:35">
      <c r="C7" s="327" t="s">
        <v>288</v>
      </c>
      <c r="H7" s="441">
        <v>42718</v>
      </c>
      <c r="I7" s="441">
        <v>42726</v>
      </c>
      <c r="K7" s="195" t="s">
        <v>299</v>
      </c>
      <c r="M7" s="195" t="s">
        <v>121</v>
      </c>
      <c r="N7" s="195" t="s">
        <v>103</v>
      </c>
      <c r="Q7" s="195" t="s">
        <v>75</v>
      </c>
      <c r="S7" s="195" t="s">
        <v>221</v>
      </c>
      <c r="V7" s="195"/>
      <c r="Y7" s="195" t="s">
        <v>119</v>
      </c>
      <c r="AA7" s="200" t="s">
        <v>329</v>
      </c>
      <c r="AB7" s="201"/>
      <c r="AC7" s="195" t="s">
        <v>207</v>
      </c>
      <c r="AG7" s="195"/>
      <c r="AI7" s="195" t="s">
        <v>317</v>
      </c>
    </row>
    <row r="8" spans="1:35">
      <c r="C8" s="327" t="s">
        <v>289</v>
      </c>
      <c r="H8" s="441">
        <v>42717</v>
      </c>
      <c r="I8" s="441">
        <v>42727</v>
      </c>
      <c r="K8" s="196"/>
      <c r="M8" s="195" t="s">
        <v>113</v>
      </c>
      <c r="N8" s="195" t="s">
        <v>223</v>
      </c>
      <c r="Q8" s="195" t="s">
        <v>96</v>
      </c>
      <c r="S8" s="195" t="s">
        <v>105</v>
      </c>
      <c r="Y8" s="195" t="s">
        <v>242</v>
      </c>
      <c r="AA8" s="200" t="s">
        <v>330</v>
      </c>
      <c r="AB8" s="201"/>
      <c r="AC8" s="195" t="s">
        <v>94</v>
      </c>
      <c r="AI8" s="202" t="s">
        <v>63</v>
      </c>
    </row>
    <row r="9" spans="1:35">
      <c r="C9" s="327" t="s">
        <v>290</v>
      </c>
      <c r="H9" s="441">
        <v>42716</v>
      </c>
      <c r="I9" s="441">
        <v>42728</v>
      </c>
      <c r="M9" s="195" t="s">
        <v>261</v>
      </c>
      <c r="N9" s="195" t="s">
        <v>270</v>
      </c>
      <c r="Q9" s="195" t="s">
        <v>219</v>
      </c>
      <c r="S9" s="195" t="s">
        <v>83</v>
      </c>
      <c r="V9" s="186"/>
      <c r="Y9" s="195" t="s">
        <v>260</v>
      </c>
      <c r="AA9" s="200" t="s">
        <v>85</v>
      </c>
      <c r="AB9" s="201"/>
      <c r="AC9" s="195" t="s">
        <v>233</v>
      </c>
      <c r="AI9" s="202" t="s">
        <v>64</v>
      </c>
    </row>
    <row r="10" spans="1:35">
      <c r="C10" s="327" t="s">
        <v>406</v>
      </c>
      <c r="H10" s="441">
        <v>42715</v>
      </c>
      <c r="I10" s="441">
        <v>42729</v>
      </c>
      <c r="N10" s="195" t="s">
        <v>226</v>
      </c>
      <c r="Q10" s="197" t="s">
        <v>305</v>
      </c>
      <c r="V10" s="186"/>
      <c r="Y10" s="195" t="s">
        <v>273</v>
      </c>
      <c r="AB10" s="201"/>
      <c r="AC10" s="195" t="s">
        <v>202</v>
      </c>
      <c r="AI10" s="202" t="s">
        <v>67</v>
      </c>
    </row>
    <row r="11" spans="1:35">
      <c r="C11" s="443" t="s">
        <v>413</v>
      </c>
      <c r="H11" s="441">
        <v>42714</v>
      </c>
      <c r="I11" s="441">
        <v>42730</v>
      </c>
      <c r="N11" s="195" t="s">
        <v>271</v>
      </c>
      <c r="Q11" s="195" t="s">
        <v>268</v>
      </c>
      <c r="Y11" s="195" t="s">
        <v>102</v>
      </c>
      <c r="AB11" s="201"/>
      <c r="AC11" s="195" t="s">
        <v>205</v>
      </c>
      <c r="AI11" s="202" t="s">
        <v>54</v>
      </c>
    </row>
    <row r="12" spans="1:35">
      <c r="H12" s="441">
        <v>42713</v>
      </c>
      <c r="I12" s="441">
        <v>42731</v>
      </c>
      <c r="N12" s="195" t="s">
        <v>196</v>
      </c>
      <c r="Q12" s="195" t="s">
        <v>89</v>
      </c>
      <c r="Y12" s="195" t="s">
        <v>324</v>
      </c>
      <c r="AA12" s="195"/>
      <c r="AB12" s="201"/>
      <c r="AI12" s="202" t="s">
        <v>55</v>
      </c>
    </row>
    <row r="13" spans="1:35">
      <c r="H13" s="441">
        <v>42712</v>
      </c>
      <c r="I13" s="441">
        <v>42732</v>
      </c>
      <c r="N13" s="195" t="s">
        <v>254</v>
      </c>
      <c r="Q13" s="195" t="s">
        <v>238</v>
      </c>
      <c r="Y13" s="195" t="s">
        <v>212</v>
      </c>
      <c r="AB13" s="201"/>
      <c r="AI13" s="202" t="s">
        <v>56</v>
      </c>
    </row>
    <row r="14" spans="1:35">
      <c r="H14" s="441">
        <v>42711</v>
      </c>
      <c r="I14" s="441">
        <v>42733</v>
      </c>
      <c r="N14" s="195" t="s">
        <v>244</v>
      </c>
      <c r="Q14" s="195" t="s">
        <v>235</v>
      </c>
      <c r="Y14" s="195" t="s">
        <v>222</v>
      </c>
      <c r="AB14" s="201"/>
      <c r="AI14" s="202" t="s">
        <v>57</v>
      </c>
    </row>
    <row r="15" spans="1:35">
      <c r="H15" s="441">
        <v>42710</v>
      </c>
      <c r="I15" s="441">
        <v>42734</v>
      </c>
      <c r="N15" s="195" t="s">
        <v>122</v>
      </c>
      <c r="Q15" s="195" t="s">
        <v>224</v>
      </c>
      <c r="Y15" s="195" t="s">
        <v>263</v>
      </c>
      <c r="AB15" s="201"/>
      <c r="AI15" s="202" t="s">
        <v>58</v>
      </c>
    </row>
    <row r="16" spans="1:35">
      <c r="H16" s="441">
        <v>42709</v>
      </c>
      <c r="I16" s="441">
        <v>42735</v>
      </c>
      <c r="N16" s="195" t="s">
        <v>213</v>
      </c>
      <c r="Q16" s="195" t="s">
        <v>198</v>
      </c>
      <c r="Y16" s="195" t="s">
        <v>86</v>
      </c>
      <c r="AB16" s="201"/>
      <c r="AI16" s="202" t="s">
        <v>59</v>
      </c>
    </row>
    <row r="17" spans="8:35">
      <c r="H17" s="441">
        <v>42708</v>
      </c>
      <c r="I17" s="441">
        <v>42736</v>
      </c>
      <c r="N17" s="195" t="s">
        <v>73</v>
      </c>
      <c r="Q17" s="195" t="s">
        <v>90</v>
      </c>
      <c r="Y17" s="195" t="s">
        <v>93</v>
      </c>
      <c r="AB17" s="201"/>
      <c r="AI17" s="202" t="s">
        <v>60</v>
      </c>
    </row>
    <row r="18" spans="8:35">
      <c r="H18" s="441">
        <v>42707</v>
      </c>
      <c r="I18" s="441">
        <v>42737</v>
      </c>
      <c r="N18" s="195" t="s">
        <v>309</v>
      </c>
      <c r="Q18" s="195" t="s">
        <v>79</v>
      </c>
      <c r="Y18" s="195" t="s">
        <v>251</v>
      </c>
      <c r="AB18" s="201"/>
      <c r="AI18" s="202" t="s">
        <v>61</v>
      </c>
    </row>
    <row r="19" spans="8:35">
      <c r="H19" s="441">
        <v>42706</v>
      </c>
      <c r="I19" s="441">
        <v>42738</v>
      </c>
      <c r="N19" s="195" t="s">
        <v>232</v>
      </c>
      <c r="Q19" s="195" t="s">
        <v>124</v>
      </c>
      <c r="Y19" s="195" t="s">
        <v>34</v>
      </c>
      <c r="AB19" s="201"/>
      <c r="AI19" s="202" t="s">
        <v>62</v>
      </c>
    </row>
    <row r="20" spans="8:35">
      <c r="H20" s="441">
        <v>42705</v>
      </c>
      <c r="I20" s="441">
        <v>42739</v>
      </c>
      <c r="N20" s="195" t="s">
        <v>243</v>
      </c>
      <c r="Q20" s="195" t="s">
        <v>92</v>
      </c>
      <c r="Y20" s="195" t="s">
        <v>197</v>
      </c>
      <c r="AB20" s="201"/>
      <c r="AI20" s="202" t="s">
        <v>332</v>
      </c>
    </row>
    <row r="21" spans="8:35">
      <c r="H21" s="441">
        <v>42704</v>
      </c>
      <c r="I21" s="441">
        <v>42740</v>
      </c>
      <c r="N21" s="195" t="s">
        <v>310</v>
      </c>
      <c r="Q21" s="195" t="s">
        <v>76</v>
      </c>
      <c r="Y21" s="195" t="s">
        <v>215</v>
      </c>
      <c r="AB21" s="201"/>
      <c r="AI21" s="202" t="s">
        <v>108</v>
      </c>
    </row>
    <row r="22" spans="8:35">
      <c r="H22" s="441">
        <v>42703</v>
      </c>
      <c r="I22" s="441">
        <v>42741</v>
      </c>
      <c r="N22" s="195" t="s">
        <v>217</v>
      </c>
      <c r="Q22" s="195" t="s">
        <v>88</v>
      </c>
      <c r="Y22" s="195" t="s">
        <v>240</v>
      </c>
      <c r="AB22" s="201"/>
      <c r="AI22" s="202" t="s">
        <v>209</v>
      </c>
    </row>
    <row r="23" spans="8:35">
      <c r="H23" s="441">
        <v>42702</v>
      </c>
      <c r="I23" s="441">
        <v>42742</v>
      </c>
      <c r="N23" s="195" t="s">
        <v>311</v>
      </c>
      <c r="Q23" s="195" t="s">
        <v>81</v>
      </c>
      <c r="Y23" s="195" t="s">
        <v>74</v>
      </c>
      <c r="AI23" s="202" t="s">
        <v>236</v>
      </c>
    </row>
    <row r="24" spans="8:35">
      <c r="H24" s="441">
        <v>42701</v>
      </c>
      <c r="I24" s="441">
        <v>42743</v>
      </c>
      <c r="N24" s="195" t="s">
        <v>203</v>
      </c>
      <c r="Q24" s="195" t="s">
        <v>118</v>
      </c>
      <c r="Y24" s="195" t="s">
        <v>120</v>
      </c>
      <c r="AI24" s="202" t="s">
        <v>272</v>
      </c>
    </row>
    <row r="25" spans="8:35">
      <c r="H25" s="441">
        <v>42700</v>
      </c>
      <c r="I25" s="441">
        <v>42744</v>
      </c>
      <c r="N25" s="195" t="s">
        <v>117</v>
      </c>
      <c r="Q25" s="195" t="s">
        <v>78</v>
      </c>
      <c r="Y25" s="195" t="s">
        <v>250</v>
      </c>
      <c r="AI25" s="202" t="s">
        <v>225</v>
      </c>
    </row>
    <row r="26" spans="8:35">
      <c r="H26" s="441">
        <v>42699</v>
      </c>
      <c r="I26" s="441">
        <v>42745</v>
      </c>
      <c r="N26" s="195" t="s">
        <v>216</v>
      </c>
      <c r="Q26" s="195" t="s">
        <v>95</v>
      </c>
      <c r="Y26" s="195" t="s">
        <v>80</v>
      </c>
      <c r="AI26" s="202" t="s">
        <v>252</v>
      </c>
    </row>
    <row r="27" spans="8:35">
      <c r="H27" s="441">
        <v>42698</v>
      </c>
      <c r="I27" s="441">
        <v>42746</v>
      </c>
      <c r="N27" s="195" t="s">
        <v>231</v>
      </c>
      <c r="Q27" s="195" t="s">
        <v>116</v>
      </c>
      <c r="Y27" s="195" t="s">
        <v>267</v>
      </c>
    </row>
    <row r="28" spans="8:35">
      <c r="H28" s="441">
        <v>42697</v>
      </c>
      <c r="I28" s="441">
        <v>42747</v>
      </c>
      <c r="N28" s="195" t="s">
        <v>326</v>
      </c>
      <c r="Q28" s="195" t="s">
        <v>258</v>
      </c>
      <c r="Y28" s="195" t="s">
        <v>253</v>
      </c>
    </row>
    <row r="29" spans="8:35">
      <c r="H29" s="441">
        <v>42696</v>
      </c>
      <c r="I29" s="441">
        <v>42748</v>
      </c>
      <c r="Y29" s="195" t="s">
        <v>230</v>
      </c>
    </row>
    <row r="30" spans="8:35">
      <c r="H30" s="441">
        <v>42695</v>
      </c>
      <c r="I30" s="441">
        <v>42749</v>
      </c>
      <c r="Q30" s="195"/>
      <c r="Y30" s="195" t="s">
        <v>241</v>
      </c>
    </row>
    <row r="31" spans="8:35">
      <c r="H31" s="441">
        <v>42694</v>
      </c>
      <c r="I31" s="441">
        <v>42750</v>
      </c>
      <c r="Y31" s="195" t="s">
        <v>248</v>
      </c>
    </row>
    <row r="32" spans="8:35">
      <c r="H32" s="441">
        <v>42693</v>
      </c>
      <c r="I32" s="441">
        <v>42751</v>
      </c>
      <c r="Y32" s="195" t="s">
        <v>218</v>
      </c>
      <c r="AI32" s="203"/>
    </row>
    <row r="33" spans="8:35">
      <c r="H33" s="441">
        <v>42692</v>
      </c>
      <c r="I33" s="441">
        <v>42752</v>
      </c>
      <c r="Y33" s="195" t="s">
        <v>204</v>
      </c>
    </row>
    <row r="34" spans="8:35">
      <c r="Y34" s="195" t="s">
        <v>237</v>
      </c>
    </row>
    <row r="35" spans="8:35">
      <c r="Y35" s="195" t="s">
        <v>211</v>
      </c>
    </row>
    <row r="36" spans="8:35">
      <c r="Y36" s="195" t="s">
        <v>259</v>
      </c>
    </row>
    <row r="37" spans="8:35">
      <c r="Y37" s="195" t="s">
        <v>265</v>
      </c>
    </row>
    <row r="38" spans="8:35">
      <c r="Y38" s="195" t="s">
        <v>249</v>
      </c>
    </row>
    <row r="39" spans="8:35">
      <c r="Y39" s="195" t="s">
        <v>266</v>
      </c>
      <c r="AI39" s="202"/>
    </row>
    <row r="40" spans="8:35">
      <c r="Y40" s="195" t="s">
        <v>262</v>
      </c>
    </row>
    <row r="42" spans="8:35">
      <c r="Y42" s="195"/>
    </row>
    <row r="43" spans="8:35">
      <c r="Y43" s="195"/>
    </row>
    <row r="44" spans="8:35">
      <c r="Y44" s="195"/>
    </row>
    <row r="45" spans="8:35">
      <c r="Y45" s="195"/>
    </row>
    <row r="46" spans="8:35">
      <c r="Y46" s="195"/>
    </row>
    <row r="47" spans="8:35">
      <c r="Y47" s="195"/>
    </row>
    <row r="51" spans="25:25">
      <c r="Y51" s="195"/>
    </row>
    <row r="53" spans="25:25">
      <c r="Y53" s="195"/>
    </row>
    <row r="65" spans="14:14">
      <c r="N65" s="1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26</vt:i4>
      </vt:variant>
    </vt:vector>
  </HeadingPairs>
  <TitlesOfParts>
    <vt:vector size="38" baseType="lpstr">
      <vt:lpstr>Accueil</vt:lpstr>
      <vt:lpstr>Crédit Mutuel</vt:lpstr>
      <vt:lpstr>Devis</vt:lpstr>
      <vt:lpstr>Carnet de commande</vt:lpstr>
      <vt:lpstr>Dépenses</vt:lpstr>
      <vt:lpstr>Ecart objectif</vt:lpstr>
      <vt:lpstr>Echeances fournisseurs mat 1ère</vt:lpstr>
      <vt:lpstr>calcul cout de revient</vt:lpstr>
      <vt:lpstr>Plan de Sauvegarde</vt:lpstr>
      <vt:lpstr>Passé</vt:lpstr>
      <vt:lpstr>Emprunt</vt:lpstr>
      <vt:lpstr>Bibliothèque</vt:lpstr>
      <vt:lpstr>AGBTP</vt:lpstr>
      <vt:lpstr>Assurance</vt:lpstr>
      <vt:lpstr>Autres_achats_et_charges_externes</vt:lpstr>
      <vt:lpstr>Caisse_congés_payés</vt:lpstr>
      <vt:lpstr>Categorie</vt:lpstr>
      <vt:lpstr>Classification</vt:lpstr>
      <vt:lpstr>Expert_comptable</vt:lpstr>
      <vt:lpstr>Fournisseurs_Mat_1ères</vt:lpstr>
      <vt:lpstr>Generali</vt:lpstr>
      <vt:lpstr>Locaux</vt:lpstr>
      <vt:lpstr>Médecine_du_travail</vt:lpstr>
      <vt:lpstr>Mutuelle</vt:lpstr>
      <vt:lpstr>Note</vt:lpstr>
      <vt:lpstr>Ordre</vt:lpstr>
      <vt:lpstr>Photocopieur</vt:lpstr>
      <vt:lpstr>Pro_BTP</vt:lpstr>
      <vt:lpstr>Pub</vt:lpstr>
      <vt:lpstr>Recettes</vt:lpstr>
      <vt:lpstr>RSI</vt:lpstr>
      <vt:lpstr>Salaire</vt:lpstr>
      <vt:lpstr>Sauvegarde</vt:lpstr>
      <vt:lpstr>Sous_traitance</vt:lpstr>
      <vt:lpstr>TVA</vt:lpstr>
      <vt:lpstr>URSSAF</vt:lpstr>
      <vt:lpstr>Vehicule</vt:lpstr>
      <vt:lpstr>Véhicule_crédit</vt:lpstr>
    </vt:vector>
  </TitlesOfParts>
  <Company>ESC TOULOUSE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Romain Pintadu</cp:lastModifiedBy>
  <cp:lastPrinted>2016-11-02T15:51:21Z</cp:lastPrinted>
  <dcterms:created xsi:type="dcterms:W3CDTF">2011-01-19T14:06:33Z</dcterms:created>
  <dcterms:modified xsi:type="dcterms:W3CDTF">2016-12-18T17:09:27Z</dcterms:modified>
</cp:coreProperties>
</file>