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C:\Users\sophie\Dropbox\Ma Masso\"/>
    </mc:Choice>
  </mc:AlternateContent>
  <xr:revisionPtr revIDLastSave="0" documentId="13_ncr:1_{87BBEBF1-6FBB-4933-8BE3-E6B22DAF1748}" xr6:coauthVersionLast="40" xr6:coauthVersionMax="40" xr10:uidLastSave="{00000000-0000-0000-0000-000000000000}"/>
  <bookViews>
    <workbookView xWindow="-120" yWindow="-120" windowWidth="20730" windowHeight="11160" activeTab="2" xr2:uid="{00000000-000D-0000-FFFF-FFFF00000000}"/>
  </bookViews>
  <sheets>
    <sheet name="Liste Clients" sheetId="6" r:id="rId1"/>
    <sheet name="Import Site" sheetId="5" r:id="rId2"/>
    <sheet name="Nouvelle facture" sheetId="4" r:id="rId3"/>
    <sheet name="CONFIG" sheetId="7" r:id="rId4"/>
    <sheet name="Sommaire des factures" sheetId="3" r:id="rId5"/>
    <sheet name="Mabonneamie" sheetId="2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77" i="4" l="1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P98" i="4"/>
  <c r="P99" i="4"/>
  <c r="P100" i="4"/>
  <c r="P101" i="4"/>
  <c r="P102" i="4"/>
  <c r="P103" i="4"/>
  <c r="P104" i="4"/>
  <c r="P105" i="4"/>
  <c r="P106" i="4"/>
  <c r="P107" i="4"/>
  <c r="P108" i="4"/>
  <c r="P109" i="4"/>
  <c r="P110" i="4"/>
  <c r="P111" i="4"/>
  <c r="P112" i="4"/>
  <c r="P113" i="4"/>
  <c r="P114" i="4"/>
  <c r="P115" i="4"/>
  <c r="P116" i="4"/>
  <c r="P117" i="4"/>
  <c r="P118" i="4"/>
  <c r="P119" i="4"/>
  <c r="P120" i="4"/>
  <c r="P121" i="4"/>
  <c r="P122" i="4"/>
  <c r="P123" i="4"/>
  <c r="P124" i="4"/>
  <c r="P125" i="4"/>
  <c r="P126" i="4"/>
  <c r="P127" i="4"/>
  <c r="P128" i="4"/>
  <c r="P129" i="4"/>
  <c r="P130" i="4"/>
  <c r="P131" i="4"/>
  <c r="P132" i="4"/>
  <c r="P133" i="4"/>
  <c r="P134" i="4"/>
  <c r="P135" i="4"/>
  <c r="P136" i="4"/>
  <c r="P137" i="4"/>
  <c r="P138" i="4"/>
  <c r="P139" i="4"/>
  <c r="P140" i="4"/>
  <c r="P141" i="4"/>
  <c r="P142" i="4"/>
  <c r="P143" i="4"/>
  <c r="P144" i="4"/>
  <c r="P145" i="4"/>
  <c r="P146" i="4"/>
  <c r="P147" i="4"/>
  <c r="P148" i="4"/>
  <c r="P149" i="4"/>
  <c r="P150" i="4"/>
  <c r="P151" i="4"/>
  <c r="P152" i="4"/>
  <c r="P153" i="4"/>
  <c r="P154" i="4"/>
  <c r="P155" i="4"/>
  <c r="P156" i="4"/>
  <c r="P157" i="4"/>
  <c r="P158" i="4"/>
  <c r="P159" i="4"/>
  <c r="P160" i="4"/>
  <c r="P161" i="4"/>
  <c r="P162" i="4"/>
  <c r="P163" i="4"/>
  <c r="P164" i="4"/>
  <c r="P165" i="4"/>
  <c r="P166" i="4"/>
  <c r="P167" i="4"/>
  <c r="P168" i="4"/>
  <c r="P169" i="4"/>
  <c r="P170" i="4"/>
  <c r="P171" i="4"/>
  <c r="P172" i="4"/>
  <c r="P173" i="4"/>
  <c r="P174" i="4"/>
  <c r="P175" i="4"/>
  <c r="P176" i="4"/>
  <c r="P177" i="4"/>
  <c r="P178" i="4"/>
  <c r="P179" i="4"/>
  <c r="P180" i="4"/>
  <c r="P181" i="4"/>
  <c r="P182" i="4"/>
  <c r="P183" i="4"/>
  <c r="P184" i="4"/>
  <c r="P185" i="4"/>
  <c r="P186" i="4"/>
  <c r="P187" i="4"/>
  <c r="P188" i="4"/>
  <c r="P189" i="4"/>
  <c r="P190" i="4"/>
  <c r="P191" i="4"/>
  <c r="P192" i="4"/>
  <c r="P193" i="4"/>
  <c r="P194" i="4"/>
  <c r="P195" i="4"/>
  <c r="P196" i="4"/>
  <c r="P197" i="4"/>
  <c r="P198" i="4"/>
  <c r="P199" i="4"/>
  <c r="K19" i="4"/>
  <c r="K21" i="4" l="1"/>
  <c r="K22" i="4"/>
  <c r="K23" i="4"/>
  <c r="K24" i="4"/>
  <c r="E24" i="4" s="1"/>
  <c r="K25" i="4"/>
  <c r="K26" i="4"/>
  <c r="K27" i="4"/>
  <c r="K28" i="4"/>
  <c r="E28" i="4" s="1"/>
  <c r="K29" i="4"/>
  <c r="K30" i="4"/>
  <c r="K31" i="4"/>
  <c r="K32" i="4"/>
  <c r="K33" i="4"/>
  <c r="K34" i="4"/>
  <c r="K35" i="4"/>
  <c r="K36" i="4"/>
  <c r="K37" i="4"/>
  <c r="K38" i="4"/>
  <c r="K20" i="4"/>
  <c r="C35" i="4"/>
  <c r="C37" i="4"/>
  <c r="B21" i="4"/>
  <c r="C21" i="4"/>
  <c r="D21" i="4"/>
  <c r="E21" i="4"/>
  <c r="F21" i="4"/>
  <c r="G21" i="4"/>
  <c r="H21" i="4"/>
  <c r="I21" i="4"/>
  <c r="B22" i="4"/>
  <c r="C22" i="4"/>
  <c r="D22" i="4"/>
  <c r="E22" i="4"/>
  <c r="F22" i="4"/>
  <c r="G22" i="4"/>
  <c r="H22" i="4"/>
  <c r="I22" i="4"/>
  <c r="B23" i="4"/>
  <c r="C23" i="4"/>
  <c r="D23" i="4"/>
  <c r="E23" i="4"/>
  <c r="F23" i="4"/>
  <c r="G23" i="4"/>
  <c r="H23" i="4"/>
  <c r="I23" i="4"/>
  <c r="B25" i="4"/>
  <c r="C25" i="4"/>
  <c r="D25" i="4"/>
  <c r="E25" i="4"/>
  <c r="F25" i="4"/>
  <c r="G25" i="4"/>
  <c r="H25" i="4"/>
  <c r="I25" i="4"/>
  <c r="B26" i="4"/>
  <c r="C26" i="4"/>
  <c r="D26" i="4"/>
  <c r="E26" i="4"/>
  <c r="F26" i="4"/>
  <c r="G26" i="4"/>
  <c r="H26" i="4"/>
  <c r="I26" i="4"/>
  <c r="B27" i="4"/>
  <c r="C27" i="4"/>
  <c r="D27" i="4"/>
  <c r="E27" i="4"/>
  <c r="F27" i="4"/>
  <c r="G27" i="4"/>
  <c r="H27" i="4"/>
  <c r="I27" i="4"/>
  <c r="D28" i="4"/>
  <c r="B29" i="4"/>
  <c r="C29" i="4"/>
  <c r="D29" i="4"/>
  <c r="E29" i="4"/>
  <c r="F29" i="4"/>
  <c r="G29" i="4"/>
  <c r="H29" i="4"/>
  <c r="I29" i="4"/>
  <c r="B30" i="4"/>
  <c r="C30" i="4"/>
  <c r="D30" i="4"/>
  <c r="E30" i="4"/>
  <c r="F30" i="4"/>
  <c r="G30" i="4"/>
  <c r="H30" i="4"/>
  <c r="I30" i="4"/>
  <c r="B31" i="4"/>
  <c r="C31" i="4"/>
  <c r="D31" i="4"/>
  <c r="E31" i="4"/>
  <c r="F31" i="4"/>
  <c r="G31" i="4"/>
  <c r="H31" i="4"/>
  <c r="I31" i="4"/>
  <c r="B35" i="4"/>
  <c r="E35" i="4"/>
  <c r="F35" i="4"/>
  <c r="I35" i="4"/>
  <c r="B37" i="4"/>
  <c r="E37" i="4"/>
  <c r="F37" i="4"/>
  <c r="I37" i="4"/>
  <c r="H24" i="4" l="1"/>
  <c r="D24" i="4"/>
  <c r="H28" i="4"/>
  <c r="G28" i="4"/>
  <c r="C28" i="4"/>
  <c r="G24" i="4"/>
  <c r="C24" i="4"/>
  <c r="F28" i="4"/>
  <c r="B28" i="4"/>
  <c r="F24" i="4"/>
  <c r="B24" i="4"/>
  <c r="I28" i="4"/>
  <c r="I24" i="4"/>
  <c r="B38" i="4"/>
  <c r="F38" i="4"/>
  <c r="C38" i="4"/>
  <c r="G38" i="4"/>
  <c r="D38" i="4"/>
  <c r="H38" i="4"/>
  <c r="E38" i="4"/>
  <c r="I38" i="4"/>
  <c r="B36" i="4"/>
  <c r="F36" i="4"/>
  <c r="C36" i="4"/>
  <c r="G36" i="4"/>
  <c r="D36" i="4"/>
  <c r="H36" i="4"/>
  <c r="E36" i="4"/>
  <c r="I36" i="4"/>
  <c r="B34" i="4"/>
  <c r="F34" i="4"/>
  <c r="C34" i="4"/>
  <c r="G34" i="4"/>
  <c r="D34" i="4"/>
  <c r="H34" i="4"/>
  <c r="E34" i="4"/>
  <c r="I34" i="4"/>
  <c r="H37" i="4"/>
  <c r="D37" i="4"/>
  <c r="H35" i="4"/>
  <c r="D35" i="4"/>
  <c r="G37" i="4"/>
  <c r="G35" i="4"/>
  <c r="D33" i="4"/>
  <c r="H33" i="4"/>
  <c r="F33" i="4"/>
  <c r="E33" i="4"/>
  <c r="I33" i="4"/>
  <c r="B33" i="4"/>
  <c r="C33" i="4"/>
  <c r="G33" i="4"/>
  <c r="E32" i="4"/>
  <c r="I32" i="4"/>
  <c r="B32" i="4"/>
  <c r="F32" i="4"/>
  <c r="C32" i="4"/>
  <c r="G32" i="4"/>
  <c r="D32" i="4"/>
  <c r="H32" i="4"/>
  <c r="M76" i="4" l="1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P76" i="4" l="1"/>
  <c r="D16" i="4"/>
  <c r="B10" i="4"/>
  <c r="B11" i="4" s="1"/>
  <c r="H7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C76" i="4"/>
  <c r="K76" i="4" s="1"/>
  <c r="C77" i="4"/>
  <c r="K77" i="4" s="1"/>
  <c r="C78" i="4"/>
  <c r="K78" i="4" s="1"/>
  <c r="C79" i="4"/>
  <c r="K79" i="4" s="1"/>
  <c r="C80" i="4"/>
  <c r="K80" i="4" s="1"/>
  <c r="C81" i="4"/>
  <c r="C82" i="4"/>
  <c r="C83" i="4"/>
  <c r="K83" i="4" s="1"/>
  <c r="C84" i="4"/>
  <c r="K84" i="4" s="1"/>
  <c r="C85" i="4"/>
  <c r="C86" i="4"/>
  <c r="C87" i="4"/>
  <c r="C88" i="4"/>
  <c r="K88" i="4" s="1"/>
  <c r="C89" i="4"/>
  <c r="C90" i="4"/>
  <c r="C91" i="4"/>
  <c r="C92" i="4"/>
  <c r="K92" i="4" s="1"/>
  <c r="C93" i="4"/>
  <c r="C94" i="4"/>
  <c r="C95" i="4"/>
  <c r="C96" i="4"/>
  <c r="K96" i="4" s="1"/>
  <c r="C97" i="4"/>
  <c r="C98" i="4"/>
  <c r="C99" i="4"/>
  <c r="C100" i="4"/>
  <c r="K100" i="4" s="1"/>
  <c r="C101" i="4"/>
  <c r="C102" i="4"/>
  <c r="C103" i="4"/>
  <c r="C104" i="4"/>
  <c r="K104" i="4" s="1"/>
  <c r="C105" i="4"/>
  <c r="C106" i="4"/>
  <c r="C107" i="4"/>
  <c r="C108" i="4"/>
  <c r="K108" i="4" s="1"/>
  <c r="C109" i="4"/>
  <c r="C110" i="4"/>
  <c r="C111" i="4"/>
  <c r="C112" i="4"/>
  <c r="K112" i="4" s="1"/>
  <c r="C113" i="4"/>
  <c r="C114" i="4"/>
  <c r="C115" i="4"/>
  <c r="C116" i="4"/>
  <c r="K116" i="4" s="1"/>
  <c r="C117" i="4"/>
  <c r="C118" i="4"/>
  <c r="C119" i="4"/>
  <c r="C120" i="4"/>
  <c r="K120" i="4" s="1"/>
  <c r="C121" i="4"/>
  <c r="C122" i="4"/>
  <c r="C123" i="4"/>
  <c r="C124" i="4"/>
  <c r="K124" i="4" s="1"/>
  <c r="C125" i="4"/>
  <c r="C126" i="4"/>
  <c r="C127" i="4"/>
  <c r="C128" i="4"/>
  <c r="K128" i="4" s="1"/>
  <c r="C129" i="4"/>
  <c r="C130" i="4"/>
  <c r="C131" i="4"/>
  <c r="C132" i="4"/>
  <c r="K132" i="4" s="1"/>
  <c r="C133" i="4"/>
  <c r="C134" i="4"/>
  <c r="C135" i="4"/>
  <c r="C136" i="4"/>
  <c r="K136" i="4" s="1"/>
  <c r="C137" i="4"/>
  <c r="C138" i="4"/>
  <c r="C139" i="4"/>
  <c r="C140" i="4"/>
  <c r="K140" i="4" s="1"/>
  <c r="C141" i="4"/>
  <c r="C142" i="4"/>
  <c r="C143" i="4"/>
  <c r="C144" i="4"/>
  <c r="K144" i="4" s="1"/>
  <c r="C145" i="4"/>
  <c r="C146" i="4"/>
  <c r="C147" i="4"/>
  <c r="C148" i="4"/>
  <c r="K148" i="4" s="1"/>
  <c r="C149" i="4"/>
  <c r="C150" i="4"/>
  <c r="C151" i="4"/>
  <c r="C152" i="4"/>
  <c r="K152" i="4" s="1"/>
  <c r="C153" i="4"/>
  <c r="C154" i="4"/>
  <c r="C155" i="4"/>
  <c r="C156" i="4"/>
  <c r="K156" i="4" s="1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B20" i="4" l="1"/>
  <c r="F20" i="4"/>
  <c r="I20" i="4"/>
  <c r="D20" i="4"/>
  <c r="H20" i="4"/>
  <c r="E20" i="4"/>
  <c r="G20" i="4"/>
  <c r="C20" i="4"/>
  <c r="E197" i="4"/>
  <c r="K197" i="4"/>
  <c r="L197" i="4" s="1"/>
  <c r="K193" i="4"/>
  <c r="L193" i="4" s="1"/>
  <c r="K189" i="4"/>
  <c r="L189" i="4" s="1"/>
  <c r="K185" i="4"/>
  <c r="L185" i="4" s="1"/>
  <c r="K181" i="4"/>
  <c r="L181" i="4" s="1"/>
  <c r="K177" i="4"/>
  <c r="L177" i="4" s="1"/>
  <c r="K173" i="4"/>
  <c r="L173" i="4" s="1"/>
  <c r="K169" i="4"/>
  <c r="L169" i="4" s="1"/>
  <c r="E165" i="4"/>
  <c r="K165" i="4"/>
  <c r="K161" i="4"/>
  <c r="L161" i="4" s="1"/>
  <c r="K157" i="4"/>
  <c r="L157" i="4" s="1"/>
  <c r="K153" i="4"/>
  <c r="L153" i="4" s="1"/>
  <c r="E149" i="4"/>
  <c r="K149" i="4"/>
  <c r="K145" i="4"/>
  <c r="L145" i="4" s="1"/>
  <c r="K141" i="4"/>
  <c r="L141" i="4" s="1"/>
  <c r="K137" i="4"/>
  <c r="L137" i="4" s="1"/>
  <c r="E133" i="4"/>
  <c r="K133" i="4"/>
  <c r="L133" i="4" s="1"/>
  <c r="K129" i="4"/>
  <c r="L129" i="4" s="1"/>
  <c r="K125" i="4"/>
  <c r="L125" i="4" s="1"/>
  <c r="K121" i="4"/>
  <c r="L121" i="4" s="1"/>
  <c r="E117" i="4"/>
  <c r="K117" i="4"/>
  <c r="L117" i="4" s="1"/>
  <c r="K113" i="4"/>
  <c r="L113" i="4" s="1"/>
  <c r="K109" i="4"/>
  <c r="L109" i="4" s="1"/>
  <c r="K105" i="4"/>
  <c r="L105" i="4" s="1"/>
  <c r="E101" i="4"/>
  <c r="K101" i="4"/>
  <c r="L101" i="4" s="1"/>
  <c r="E97" i="4"/>
  <c r="K97" i="4"/>
  <c r="L97" i="4" s="1"/>
  <c r="K93" i="4"/>
  <c r="L93" i="4" s="1"/>
  <c r="K89" i="4"/>
  <c r="L89" i="4" s="1"/>
  <c r="E85" i="4"/>
  <c r="K85" i="4"/>
  <c r="E81" i="4"/>
  <c r="K81" i="4"/>
  <c r="L81" i="4" s="1"/>
  <c r="K196" i="4"/>
  <c r="L196" i="4" s="1"/>
  <c r="K192" i="4"/>
  <c r="L192" i="4" s="1"/>
  <c r="K188" i="4"/>
  <c r="L188" i="4" s="1"/>
  <c r="K184" i="4"/>
  <c r="L184" i="4" s="1"/>
  <c r="K180" i="4"/>
  <c r="L180" i="4" s="1"/>
  <c r="K176" i="4"/>
  <c r="L176" i="4" s="1"/>
  <c r="K172" i="4"/>
  <c r="L172" i="4" s="1"/>
  <c r="K168" i="4"/>
  <c r="L168" i="4" s="1"/>
  <c r="K164" i="4"/>
  <c r="L164" i="4" s="1"/>
  <c r="K160" i="4"/>
  <c r="L160" i="4" s="1"/>
  <c r="E199" i="4"/>
  <c r="K199" i="4"/>
  <c r="L199" i="4" s="1"/>
  <c r="E195" i="4"/>
  <c r="K195" i="4"/>
  <c r="L195" i="4" s="1"/>
  <c r="E191" i="4"/>
  <c r="K191" i="4"/>
  <c r="K187" i="4"/>
  <c r="L187" i="4" s="1"/>
  <c r="E183" i="4"/>
  <c r="K183" i="4"/>
  <c r="E179" i="4"/>
  <c r="K179" i="4"/>
  <c r="L179" i="4" s="1"/>
  <c r="E175" i="4"/>
  <c r="K175" i="4"/>
  <c r="K171" i="4"/>
  <c r="L171" i="4" s="1"/>
  <c r="E167" i="4"/>
  <c r="K167" i="4"/>
  <c r="E163" i="4"/>
  <c r="K163" i="4"/>
  <c r="L163" i="4" s="1"/>
  <c r="E159" i="4"/>
  <c r="K159" i="4"/>
  <c r="L159" i="4" s="1"/>
  <c r="K155" i="4"/>
  <c r="L155" i="4" s="1"/>
  <c r="K151" i="4"/>
  <c r="L151" i="4" s="1"/>
  <c r="K147" i="4"/>
  <c r="L147" i="4" s="1"/>
  <c r="E143" i="4"/>
  <c r="K143" i="4"/>
  <c r="K139" i="4"/>
  <c r="L139" i="4" s="1"/>
  <c r="K135" i="4"/>
  <c r="L135" i="4" s="1"/>
  <c r="K131" i="4"/>
  <c r="L131" i="4" s="1"/>
  <c r="E127" i="4"/>
  <c r="K127" i="4"/>
  <c r="L127" i="4" s="1"/>
  <c r="K123" i="4"/>
  <c r="L123" i="4" s="1"/>
  <c r="K119" i="4"/>
  <c r="L119" i="4" s="1"/>
  <c r="K115" i="4"/>
  <c r="L115" i="4" s="1"/>
  <c r="E111" i="4"/>
  <c r="K111" i="4"/>
  <c r="L111" i="4" s="1"/>
  <c r="K107" i="4"/>
  <c r="L107" i="4" s="1"/>
  <c r="K103" i="4"/>
  <c r="L103" i="4" s="1"/>
  <c r="K99" i="4"/>
  <c r="L99" i="4" s="1"/>
  <c r="K95" i="4"/>
  <c r="L95" i="4" s="1"/>
  <c r="K91" i="4"/>
  <c r="L91" i="4" s="1"/>
  <c r="K87" i="4"/>
  <c r="L87" i="4" s="1"/>
  <c r="K198" i="4"/>
  <c r="L198" i="4" s="1"/>
  <c r="K194" i="4"/>
  <c r="L194" i="4" s="1"/>
  <c r="K190" i="4"/>
  <c r="L190" i="4" s="1"/>
  <c r="K186" i="4"/>
  <c r="L186" i="4" s="1"/>
  <c r="K182" i="4"/>
  <c r="L182" i="4" s="1"/>
  <c r="K178" i="4"/>
  <c r="L178" i="4" s="1"/>
  <c r="K174" i="4"/>
  <c r="L174" i="4" s="1"/>
  <c r="K170" i="4"/>
  <c r="L170" i="4" s="1"/>
  <c r="K166" i="4"/>
  <c r="L166" i="4" s="1"/>
  <c r="K162" i="4"/>
  <c r="L162" i="4" s="1"/>
  <c r="K158" i="4"/>
  <c r="L158" i="4" s="1"/>
  <c r="E154" i="4"/>
  <c r="K154" i="4"/>
  <c r="L154" i="4" s="1"/>
  <c r="K150" i="4"/>
  <c r="L150" i="4" s="1"/>
  <c r="K146" i="4"/>
  <c r="L146" i="4" s="1"/>
  <c r="K142" i="4"/>
  <c r="L142" i="4" s="1"/>
  <c r="E138" i="4"/>
  <c r="K138" i="4"/>
  <c r="L138" i="4" s="1"/>
  <c r="K134" i="4"/>
  <c r="L134" i="4" s="1"/>
  <c r="K130" i="4"/>
  <c r="L130" i="4" s="1"/>
  <c r="K126" i="4"/>
  <c r="L126" i="4" s="1"/>
  <c r="E122" i="4"/>
  <c r="K122" i="4"/>
  <c r="L122" i="4" s="1"/>
  <c r="K118" i="4"/>
  <c r="L118" i="4" s="1"/>
  <c r="K114" i="4"/>
  <c r="L114" i="4" s="1"/>
  <c r="K110" i="4"/>
  <c r="L110" i="4" s="1"/>
  <c r="K106" i="4"/>
  <c r="L106" i="4" s="1"/>
  <c r="E102" i="4"/>
  <c r="K102" i="4"/>
  <c r="L102" i="4" s="1"/>
  <c r="K98" i="4"/>
  <c r="L98" i="4" s="1"/>
  <c r="K94" i="4"/>
  <c r="L94" i="4" s="1"/>
  <c r="K90" i="4"/>
  <c r="L90" i="4" s="1"/>
  <c r="E86" i="4"/>
  <c r="K86" i="4"/>
  <c r="L86" i="4" s="1"/>
  <c r="K82" i="4"/>
  <c r="L82" i="4" s="1"/>
  <c r="I19" i="4"/>
  <c r="C19" i="4"/>
  <c r="G19" i="4"/>
  <c r="F19" i="4"/>
  <c r="H19" i="4"/>
  <c r="D19" i="4"/>
  <c r="E19" i="4"/>
  <c r="B19" i="4"/>
  <c r="L76" i="4"/>
  <c r="L79" i="4"/>
  <c r="L77" i="4"/>
  <c r="L78" i="4"/>
  <c r="L83" i="4"/>
  <c r="E177" i="4"/>
  <c r="E161" i="4"/>
  <c r="E137" i="4"/>
  <c r="E105" i="4"/>
  <c r="L165" i="4"/>
  <c r="E173" i="4"/>
  <c r="E157" i="4"/>
  <c r="E125" i="4"/>
  <c r="E93" i="4"/>
  <c r="L149" i="4"/>
  <c r="E185" i="4"/>
  <c r="E169" i="4"/>
  <c r="E153" i="4"/>
  <c r="E121" i="4"/>
  <c r="E89" i="4"/>
  <c r="E181" i="4"/>
  <c r="E141" i="4"/>
  <c r="E109" i="4"/>
  <c r="E77" i="4"/>
  <c r="L148" i="4"/>
  <c r="E148" i="4"/>
  <c r="L132" i="4"/>
  <c r="E132" i="4"/>
  <c r="L116" i="4"/>
  <c r="E116" i="4"/>
  <c r="L92" i="4"/>
  <c r="E92" i="4"/>
  <c r="E76" i="4"/>
  <c r="E198" i="4"/>
  <c r="E194" i="4"/>
  <c r="E190" i="4"/>
  <c r="E186" i="4"/>
  <c r="E182" i="4"/>
  <c r="E178" i="4"/>
  <c r="E174" i="4"/>
  <c r="E170" i="4"/>
  <c r="E166" i="4"/>
  <c r="E162" i="4"/>
  <c r="E158" i="4"/>
  <c r="E147" i="4"/>
  <c r="E142" i="4"/>
  <c r="E131" i="4"/>
  <c r="E126" i="4"/>
  <c r="E115" i="4"/>
  <c r="E110" i="4"/>
  <c r="E99" i="4"/>
  <c r="E94" i="4"/>
  <c r="E83" i="4"/>
  <c r="E78" i="4"/>
  <c r="L191" i="4"/>
  <c r="L175" i="4"/>
  <c r="L143" i="4"/>
  <c r="L156" i="4"/>
  <c r="E156" i="4"/>
  <c r="L140" i="4"/>
  <c r="E140" i="4"/>
  <c r="L124" i="4"/>
  <c r="E124" i="4"/>
  <c r="L108" i="4"/>
  <c r="E108" i="4"/>
  <c r="L96" i="4"/>
  <c r="E96" i="4"/>
  <c r="E80" i="4"/>
  <c r="E193" i="4"/>
  <c r="E189" i="4"/>
  <c r="E151" i="4"/>
  <c r="E146" i="4"/>
  <c r="E135" i="4"/>
  <c r="E130" i="4"/>
  <c r="E119" i="4"/>
  <c r="E114" i="4"/>
  <c r="E103" i="4"/>
  <c r="E98" i="4"/>
  <c r="E87" i="4"/>
  <c r="E82" i="4"/>
  <c r="L144" i="4"/>
  <c r="E144" i="4"/>
  <c r="L128" i="4"/>
  <c r="E128" i="4"/>
  <c r="L112" i="4"/>
  <c r="E112" i="4"/>
  <c r="L100" i="4"/>
  <c r="E100" i="4"/>
  <c r="L84" i="4"/>
  <c r="E84" i="4"/>
  <c r="E196" i="4"/>
  <c r="E192" i="4"/>
  <c r="E188" i="4"/>
  <c r="E184" i="4"/>
  <c r="E180" i="4"/>
  <c r="E176" i="4"/>
  <c r="E172" i="4"/>
  <c r="E168" i="4"/>
  <c r="E164" i="4"/>
  <c r="E160" i="4"/>
  <c r="E155" i="4"/>
  <c r="E150" i="4"/>
  <c r="E145" i="4"/>
  <c r="E139" i="4"/>
  <c r="E134" i="4"/>
  <c r="E129" i="4"/>
  <c r="E123" i="4"/>
  <c r="E118" i="4"/>
  <c r="E113" i="4"/>
  <c r="E107" i="4"/>
  <c r="E91" i="4"/>
  <c r="L183" i="4"/>
  <c r="L167" i="4"/>
  <c r="L85" i="4"/>
  <c r="L152" i="4"/>
  <c r="E152" i="4"/>
  <c r="L136" i="4"/>
  <c r="E136" i="4"/>
  <c r="L120" i="4"/>
  <c r="E120" i="4"/>
  <c r="L104" i="4"/>
  <c r="E104" i="4"/>
  <c r="L88" i="4"/>
  <c r="E88" i="4"/>
  <c r="E187" i="4"/>
  <c r="E171" i="4"/>
  <c r="E106" i="4"/>
  <c r="E95" i="4"/>
  <c r="E90" i="4"/>
  <c r="E79" i="4"/>
  <c r="B12" i="4"/>
  <c r="B13" i="4"/>
  <c r="C13" i="4"/>
  <c r="L80" i="4" l="1"/>
  <c r="F69" i="4" l="1"/>
  <c r="G50" i="4"/>
  <c r="G59" i="4"/>
  <c r="F63" i="4"/>
  <c r="I58" i="4"/>
  <c r="F67" i="4"/>
  <c r="G55" i="4"/>
  <c r="H64" i="4"/>
  <c r="G57" i="4"/>
  <c r="I48" i="4"/>
  <c r="F56" i="4"/>
  <c r="F65" i="4"/>
  <c r="I52" i="4"/>
  <c r="F64" i="4"/>
  <c r="G70" i="4"/>
  <c r="H59" i="4"/>
  <c r="H55" i="4"/>
  <c r="H65" i="4"/>
  <c r="G47" i="4"/>
  <c r="G56" i="4"/>
  <c r="G51" i="4"/>
  <c r="H70" i="4"/>
  <c r="G60" i="4"/>
  <c r="I62" i="4"/>
  <c r="I63" i="4"/>
  <c r="I67" i="4"/>
  <c r="I69" i="4"/>
  <c r="G64" i="4"/>
  <c r="H57" i="4"/>
  <c r="G69" i="4"/>
  <c r="H69" i="4"/>
  <c r="H52" i="4"/>
  <c r="H68" i="4"/>
  <c r="G65" i="4"/>
  <c r="I49" i="4"/>
  <c r="I68" i="4"/>
  <c r="F70" i="4"/>
  <c r="H54" i="4"/>
  <c r="F58" i="4"/>
  <c r="H53" i="4"/>
  <c r="I60" i="4"/>
  <c r="I51" i="4"/>
  <c r="I64" i="4"/>
  <c r="F57" i="4"/>
  <c r="F61" i="4"/>
  <c r="H50" i="4"/>
  <c r="G68" i="4"/>
  <c r="G62" i="4"/>
  <c r="I55" i="4"/>
  <c r="H66" i="4"/>
  <c r="H60" i="4"/>
  <c r="I65" i="4"/>
  <c r="I56" i="4"/>
  <c r="I53" i="4"/>
  <c r="G53" i="4"/>
  <c r="G48" i="4"/>
  <c r="H41" i="4" s="1"/>
  <c r="H63" i="4"/>
  <c r="G67" i="4"/>
  <c r="F62" i="4"/>
  <c r="G52" i="4"/>
  <c r="F66" i="4"/>
  <c r="I54" i="4"/>
  <c r="G54" i="4"/>
  <c r="H62" i="4"/>
  <c r="I57" i="4"/>
  <c r="I70" i="4"/>
  <c r="I50" i="4"/>
  <c r="F50" i="4"/>
  <c r="H67" i="4"/>
  <c r="F47" i="4"/>
  <c r="F60" i="4"/>
  <c r="G58" i="4"/>
  <c r="G49" i="4"/>
  <c r="H49" i="4"/>
  <c r="I47" i="4"/>
  <c r="F51" i="4"/>
  <c r="F49" i="4"/>
  <c r="G61" i="4"/>
  <c r="F52" i="4"/>
  <c r="F68" i="4"/>
  <c r="H51" i="4"/>
  <c r="G63" i="4"/>
  <c r="D40" i="4"/>
  <c r="F54" i="4"/>
  <c r="G66" i="4"/>
  <c r="I59" i="4"/>
  <c r="H61" i="4"/>
  <c r="I61" i="4"/>
  <c r="H58" i="4"/>
  <c r="F55" i="4"/>
  <c r="H56" i="4"/>
  <c r="F59" i="4"/>
  <c r="F53" i="4"/>
  <c r="I66" i="4"/>
  <c r="F48" i="4"/>
  <c r="H40" i="4" s="1"/>
  <c r="H48" i="4"/>
  <c r="H47" i="4"/>
  <c r="H42" i="4" l="1"/>
</calcChain>
</file>

<file path=xl/sharedStrings.xml><?xml version="1.0" encoding="utf-8"?>
<sst xmlns="http://schemas.openxmlformats.org/spreadsheetml/2006/main" count="155" uniqueCount="125">
  <si>
    <t>À l’attention de :</t>
  </si>
  <si>
    <t>Date du massage</t>
  </si>
  <si>
    <t>Durée du massage</t>
  </si>
  <si>
    <t>No Facture</t>
  </si>
  <si>
    <t>Date</t>
  </si>
  <si>
    <t>Date massage</t>
  </si>
  <si>
    <t>Durée Massage</t>
  </si>
  <si>
    <t>Nom Patients</t>
  </si>
  <si>
    <t>montant pourboire</t>
  </si>
  <si>
    <t>Balance due</t>
  </si>
  <si>
    <t>Nom Patient</t>
  </si>
  <si>
    <t>No Assurances</t>
  </si>
  <si>
    <t>Montant</t>
  </si>
  <si>
    <t>Courriel</t>
  </si>
  <si>
    <t>LIEN</t>
  </si>
  <si>
    <t>Prix chargé masolution</t>
  </si>
  <si>
    <t>Adresse 1</t>
  </si>
  <si>
    <t>Contact</t>
  </si>
  <si>
    <t>FACTURE</t>
  </si>
  <si>
    <t xml:space="preserve">Mode </t>
  </si>
  <si>
    <t>Pourboire</t>
  </si>
  <si>
    <t>Paiement</t>
  </si>
  <si>
    <t>Retour</t>
  </si>
  <si>
    <t>Balance</t>
  </si>
  <si>
    <t>Période Facturé</t>
  </si>
  <si>
    <t>Total de la facture:</t>
  </si>
  <si>
    <t>Total des pourboires:</t>
  </si>
  <si>
    <t>Montant total à recevoir:</t>
  </si>
  <si>
    <t>ID Patient</t>
  </si>
  <si>
    <t>ID patient</t>
  </si>
  <si>
    <t>CLIENT</t>
  </si>
  <si>
    <t>Facture Associée</t>
  </si>
  <si>
    <t>Période de facturation</t>
  </si>
  <si>
    <t>Mode Paiement</t>
  </si>
  <si>
    <t>Client concerné</t>
  </si>
  <si>
    <t>Prix payé</t>
  </si>
  <si>
    <t>No facture</t>
  </si>
  <si>
    <t xml:space="preserve">Massages effectués dans la </t>
  </si>
  <si>
    <t>(Valeur )</t>
  </si>
  <si>
    <t>Date Facture</t>
  </si>
  <si>
    <t>Client Concerné</t>
  </si>
  <si>
    <t>Nombre de massages</t>
  </si>
  <si>
    <t>Total de la facture</t>
  </si>
  <si>
    <t>total des pourboires</t>
  </si>
  <si>
    <t>montant à recevoir</t>
  </si>
  <si>
    <t>STATUT</t>
  </si>
  <si>
    <t>Preuve</t>
  </si>
  <si>
    <t>SOMMAIRE DES FACTURES</t>
  </si>
  <si>
    <t>M19-001</t>
  </si>
  <si>
    <t>M19-002</t>
  </si>
  <si>
    <t>M19-003</t>
  </si>
  <si>
    <t>M19-004</t>
  </si>
  <si>
    <t>M19-005</t>
  </si>
  <si>
    <t>M19-006</t>
  </si>
  <si>
    <t>M19-007</t>
  </si>
  <si>
    <t>M19-008</t>
  </si>
  <si>
    <t>M19-009</t>
  </si>
  <si>
    <t>M19-010</t>
  </si>
  <si>
    <t>M19-011</t>
  </si>
  <si>
    <t>M19-012</t>
  </si>
  <si>
    <t>M19-013</t>
  </si>
  <si>
    <t>M19-014</t>
  </si>
  <si>
    <t>M19-015</t>
  </si>
  <si>
    <t>M19-016</t>
  </si>
  <si>
    <t>M19-017</t>
  </si>
  <si>
    <t>M19-018</t>
  </si>
  <si>
    <t>M19-019</t>
  </si>
  <si>
    <t>M19-020</t>
  </si>
  <si>
    <t>M19-021</t>
  </si>
  <si>
    <t>M19-022</t>
  </si>
  <si>
    <t>M19-023</t>
  </si>
  <si>
    <t>M19-024</t>
  </si>
  <si>
    <t>CREATION D'UNE FACTURE</t>
  </si>
  <si>
    <t>INFORMATIONS DES FACTURES</t>
  </si>
  <si>
    <t>Masolution</t>
  </si>
  <si>
    <t>Nom</t>
  </si>
  <si>
    <t>Adresse 2</t>
  </si>
  <si>
    <t>Telephone</t>
  </si>
  <si>
    <t>Nom du Massé</t>
  </si>
  <si>
    <t>Facturé</t>
  </si>
  <si>
    <t>Pourboires</t>
  </si>
  <si>
    <t>A RECEVOIR</t>
  </si>
  <si>
    <t>Nombre de massages effectués:</t>
  </si>
  <si>
    <t>Prix massages</t>
  </si>
  <si>
    <t>Durées</t>
  </si>
  <si>
    <t>Prix masolution</t>
  </si>
  <si>
    <t>Modes paiements</t>
  </si>
  <si>
    <t>Chèques</t>
  </si>
  <si>
    <t>Crédit</t>
  </si>
  <si>
    <t>Comptant</t>
  </si>
  <si>
    <t>Débit</t>
  </si>
  <si>
    <t>Cartes-Cadeaux</t>
  </si>
  <si>
    <t>Virement Interac</t>
  </si>
  <si>
    <t>Config mode</t>
  </si>
  <si>
    <t>30 Minutes</t>
  </si>
  <si>
    <t>60 Minutes</t>
  </si>
  <si>
    <t>15 Minutes</t>
  </si>
  <si>
    <t>90 Minutes</t>
  </si>
  <si>
    <t>TOTAL KMS</t>
  </si>
  <si>
    <t>patient 1</t>
  </si>
  <si>
    <t>CONFIG NE PAS TOUCHER</t>
  </si>
  <si>
    <t>KMS FAIT2</t>
  </si>
  <si>
    <t>Montant PAYÉ REEL</t>
  </si>
  <si>
    <t>Maso Lution</t>
  </si>
  <si>
    <t xml:space="preserve">semaine 1 </t>
  </si>
  <si>
    <t>semaine 2</t>
  </si>
  <si>
    <t>patient 2</t>
  </si>
  <si>
    <t>patient 3</t>
  </si>
  <si>
    <t>patient 4</t>
  </si>
  <si>
    <t>patient 5</t>
  </si>
  <si>
    <t>patient 6</t>
  </si>
  <si>
    <t>patient 7</t>
  </si>
  <si>
    <t>patient 8</t>
  </si>
  <si>
    <t>patient 9</t>
  </si>
  <si>
    <t>patient 10</t>
  </si>
  <si>
    <t>patient 11</t>
  </si>
  <si>
    <t>patient 12</t>
  </si>
  <si>
    <t>patient 13</t>
  </si>
  <si>
    <t>patient 14</t>
  </si>
  <si>
    <t>patient 15</t>
  </si>
  <si>
    <t>patient 16</t>
  </si>
  <si>
    <t>patient 17</t>
  </si>
  <si>
    <t>patient 18</t>
  </si>
  <si>
    <t>patient 19</t>
  </si>
  <si>
    <t>patient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</si>
</sst>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8" formatCode="#,##0.00\ &quot;$&quot;_);[Red]\(#,##0.00\ &quot;$&quot;\)"/>
    <numFmt numFmtId="44" formatCode="_ * #,##0.00_)\ &quot;$&quot;_ ;_ * \(#,##0.00\)\ &quot;$&quot;_ ;_ * &quot;-&quot;??_)\ &quot;$&quot;_ ;_ @_ "/>
    <numFmt numFmtId="164" formatCode="#,##0.00\ &quot;$&quot;"/>
  </numFmts>
  <fonts count="22">
    <font>
      <sz val="11"/>
      <color theme="1"/>
      <name val="Calibri"/>
      <family val="2"/>
      <scheme val="minor"/>
    </font>
    <font>
      <sz val="12"/>
      <color rgb="FF333333"/>
      <name val="Arial"/>
      <family val="2"/>
    </font>
    <font>
      <sz val="12"/>
      <color rgb="FF337AB7"/>
      <name val="Glyphicons Halflings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Ink Free"/>
      <family val="4"/>
    </font>
    <font>
      <b/>
      <sz val="11"/>
      <color theme="1"/>
      <name val="Ink Free"/>
      <family val="4"/>
    </font>
    <font>
      <sz val="16"/>
      <color theme="1"/>
      <name val="Ink Free"/>
      <family val="4"/>
    </font>
    <font>
      <b/>
      <sz val="20"/>
      <color theme="1"/>
      <name val="Ink Free"/>
      <family val="4"/>
    </font>
    <font>
      <i/>
      <sz val="11"/>
      <color theme="1"/>
      <name val="Ink Free"/>
      <family val="4"/>
    </font>
    <font>
      <b/>
      <i/>
      <sz val="12"/>
      <color theme="1"/>
      <name val="Ink Free"/>
      <family val="4"/>
    </font>
    <font>
      <i/>
      <sz val="14"/>
      <color theme="1"/>
      <name val="Ink Free"/>
      <family val="4"/>
    </font>
    <font>
      <b/>
      <sz val="14"/>
      <color theme="1"/>
      <name val="Ink Free"/>
      <family val="4"/>
    </font>
    <font>
      <b/>
      <sz val="16"/>
      <color theme="1"/>
      <name val="Ink Free"/>
      <family val="4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Ink Free"/>
      <family val="4"/>
    </font>
    <font>
      <b/>
      <sz val="8"/>
      <color theme="1"/>
      <name val="Ink Free"/>
      <family val="4"/>
    </font>
    <font>
      <sz val="11"/>
      <name val="Ink Free"/>
      <family val="4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medium">
        <color rgb="FFDDDDDD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slantDashDot">
        <color rgb="FF000001"/>
      </left>
      <right/>
      <top style="slantDashDot">
        <color rgb="FF000001"/>
      </top>
      <bottom/>
      <diagonal/>
    </border>
    <border>
      <left/>
      <right/>
      <top style="slantDashDot">
        <color rgb="FF00000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slantDashDot">
        <color rgb="FF000001"/>
      </right>
      <top style="slantDashDot">
        <color rgb="FF000001"/>
      </top>
      <bottom/>
      <diagonal/>
    </border>
    <border>
      <left style="slantDashDot">
        <color auto="1"/>
      </left>
      <right/>
      <top style="slantDashDot">
        <color auto="1"/>
      </top>
      <bottom/>
      <diagonal/>
    </border>
    <border>
      <left/>
      <right/>
      <top style="slantDashDot">
        <color auto="1"/>
      </top>
      <bottom/>
      <diagonal/>
    </border>
    <border>
      <left/>
      <right style="slantDashDot">
        <color auto="1"/>
      </right>
      <top style="slantDashDot">
        <color auto="1"/>
      </top>
      <bottom/>
      <diagonal/>
    </border>
    <border>
      <left style="slantDashDot">
        <color auto="1"/>
      </left>
      <right/>
      <top/>
      <bottom/>
      <diagonal/>
    </border>
    <border>
      <left/>
      <right style="slantDashDot">
        <color auto="1"/>
      </right>
      <top/>
      <bottom/>
      <diagonal/>
    </border>
    <border>
      <left style="slantDashDot">
        <color auto="1"/>
      </left>
      <right/>
      <top/>
      <bottom style="slantDashDot">
        <color auto="1"/>
      </bottom>
      <diagonal/>
    </border>
    <border>
      <left/>
      <right/>
      <top/>
      <bottom style="slantDashDot">
        <color auto="1"/>
      </bottom>
      <diagonal/>
    </border>
    <border>
      <left/>
      <right style="slantDashDot">
        <color auto="1"/>
      </right>
      <top/>
      <bottom style="slantDashDot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14" fillId="0" borderId="0" applyFont="0" applyFill="0" applyBorder="0" applyAlignment="0" applyProtection="0"/>
  </cellStyleXfs>
  <cellXfs count="90">
    <xf numFmtId="0" fontId="0" fillId="0" borderId="0" xfId="0"/>
    <xf numFmtId="0" fontId="0" fillId="2" borderId="0" xfId="0" applyFill="1"/>
    <xf numFmtId="14" fontId="1" fillId="3" borderId="1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8" fontId="1" fillId="3" borderId="1" xfId="0" applyNumberFormat="1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right" vertical="top" wrapText="1"/>
    </xf>
    <xf numFmtId="0" fontId="3" fillId="3" borderId="1" xfId="1" applyFill="1" applyBorder="1" applyAlignment="1">
      <alignment horizontal="right" vertical="top" wrapText="1"/>
    </xf>
    <xf numFmtId="14" fontId="1" fillId="2" borderId="1" xfId="0" applyNumberFormat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top" wrapText="1"/>
    </xf>
    <xf numFmtId="0" fontId="3" fillId="2" borderId="1" xfId="1" applyFill="1" applyBorder="1" applyAlignment="1">
      <alignment horizontal="right" vertical="top" wrapText="1"/>
    </xf>
    <xf numFmtId="14" fontId="1" fillId="4" borderId="1" xfId="0" applyNumberFormat="1" applyFont="1" applyFill="1" applyBorder="1" applyAlignment="1">
      <alignment vertical="center" wrapText="1"/>
    </xf>
    <xf numFmtId="8" fontId="1" fillId="4" borderId="1" xfId="0" applyNumberFormat="1" applyFont="1" applyFill="1" applyBorder="1" applyAlignment="1">
      <alignment vertical="center" wrapText="1"/>
    </xf>
    <xf numFmtId="8" fontId="1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NumberFormat="1"/>
    <xf numFmtId="0" fontId="1" fillId="3" borderId="1" xfId="0" applyNumberFormat="1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7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0" fillId="5" borderId="0" xfId="0" applyFill="1"/>
    <xf numFmtId="0" fontId="0" fillId="6" borderId="0" xfId="0" applyFill="1"/>
    <xf numFmtId="14" fontId="0" fillId="0" borderId="0" xfId="0" applyNumberFormat="1"/>
    <xf numFmtId="0" fontId="16" fillId="7" borderId="0" xfId="0" applyFont="1" applyFill="1"/>
    <xf numFmtId="0" fontId="5" fillId="0" borderId="0" xfId="0" applyFont="1" applyAlignment="1">
      <alignment horizontal="right"/>
    </xf>
    <xf numFmtId="0" fontId="16" fillId="0" borderId="0" xfId="0" applyFont="1" applyAlignment="1">
      <alignment wrapText="1"/>
    </xf>
    <xf numFmtId="0" fontId="0" fillId="0" borderId="3" xfId="0" applyBorder="1"/>
    <xf numFmtId="0" fontId="0" fillId="0" borderId="4" xfId="0" applyBorder="1"/>
    <xf numFmtId="0" fontId="0" fillId="0" borderId="2" xfId="0" applyBorder="1"/>
    <xf numFmtId="0" fontId="15" fillId="7" borderId="0" xfId="0" applyFont="1" applyFill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164" fontId="0" fillId="0" borderId="0" xfId="0" applyNumberFormat="1"/>
    <xf numFmtId="44" fontId="0" fillId="0" borderId="0" xfId="2" applyFont="1"/>
    <xf numFmtId="0" fontId="0" fillId="8" borderId="9" xfId="0" applyFill="1" applyBorder="1"/>
    <xf numFmtId="44" fontId="15" fillId="0" borderId="0" xfId="2" applyFont="1"/>
    <xf numFmtId="44" fontId="15" fillId="5" borderId="0" xfId="2" applyFont="1" applyFill="1"/>
    <xf numFmtId="44" fontId="0" fillId="0" borderId="0" xfId="0" applyNumberFormat="1"/>
    <xf numFmtId="44" fontId="0" fillId="5" borderId="0" xfId="0" applyNumberFormat="1" applyFill="1"/>
    <xf numFmtId="44" fontId="16" fillId="7" borderId="0" xfId="2" applyFont="1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6" fillId="0" borderId="0" xfId="0" applyFont="1" applyAlignment="1">
      <alignment horizontal="right" vertic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44" fontId="8" fillId="0" borderId="0" xfId="2" applyFont="1" applyAlignment="1">
      <alignment horizontal="center"/>
    </xf>
    <xf numFmtId="0" fontId="4" fillId="0" borderId="0" xfId="0" applyFont="1" applyAlignment="1">
      <alignment horizontal="left"/>
    </xf>
    <xf numFmtId="0" fontId="1" fillId="4" borderId="1" xfId="0" applyFont="1" applyFill="1" applyBorder="1" applyAlignment="1">
      <alignment vertical="center" wrapText="1"/>
    </xf>
    <xf numFmtId="0" fontId="0" fillId="0" borderId="15" xfId="0" applyFill="1" applyBorder="1"/>
    <xf numFmtId="0" fontId="0" fillId="0" borderId="3" xfId="0" applyFill="1" applyBorder="1"/>
    <xf numFmtId="0" fontId="20" fillId="2" borderId="0" xfId="0" applyFont="1" applyFill="1" applyBorder="1" applyAlignment="1">
      <alignment vertical="center" wrapText="1"/>
    </xf>
    <xf numFmtId="164" fontId="0" fillId="0" borderId="0" xfId="2" applyNumberFormat="1" applyFont="1"/>
    <xf numFmtId="0" fontId="16" fillId="7" borderId="0" xfId="0" applyFont="1" applyFill="1" applyAlignment="1">
      <alignment wrapText="1"/>
    </xf>
    <xf numFmtId="164" fontId="15" fillId="7" borderId="0" xfId="0" applyNumberFormat="1" applyFont="1" applyFill="1"/>
    <xf numFmtId="44" fontId="15" fillId="7" borderId="0" xfId="2" applyFont="1" applyFill="1"/>
    <xf numFmtId="14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21" fillId="0" borderId="17" xfId="0" applyFont="1" applyFill="1" applyBorder="1" applyAlignment="1">
      <alignment vertical="center" wrapText="1"/>
    </xf>
    <xf numFmtId="14" fontId="21" fillId="0" borderId="18" xfId="0" applyNumberFormat="1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22" xfId="0" applyFont="1" applyFill="1" applyBorder="1" applyAlignment="1">
      <alignment vertical="center" wrapText="1"/>
    </xf>
    <xf numFmtId="14" fontId="21" fillId="0" borderId="23" xfId="0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3">
    <cellStyle name="Lien hypertexte" xfId="1" builtinId="8"/>
    <cellStyle name="Monétaire" xfId="2" builtinId="4"/>
    <cellStyle name="Normal" xfId="0" builtinId="0"/>
  </cellStyles>
  <dxfs count="23">
    <dxf>
      <font>
        <b/>
      </font>
      <numFmt numFmtId="164" formatCode="#,##0.00\ &quot;$&quot;"/>
      <fill>
        <patternFill patternType="solid">
          <fgColor indexed="64"/>
          <bgColor rgb="FFFF0066"/>
        </patternFill>
      </fill>
    </dxf>
    <dxf>
      <numFmt numFmtId="164" formatCode="#,##0.00\ &quot;$&quot;"/>
    </dxf>
    <dxf>
      <font>
        <b/>
      </font>
      <fill>
        <patternFill patternType="solid">
          <fgColor indexed="64"/>
          <bgColor rgb="FFFF0066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0066"/>
        </patternFill>
      </fill>
    </dxf>
    <dxf>
      <numFmt numFmtId="34" formatCode="_ * #,##0.00_)\ &quot;$&quot;_ ;_ * \(#,##0.00\)\ &quot;$&quot;_ ;_ * &quot;-&quot;??_)\ &quot;$&quot;_ ;_ @_ "/>
    </dxf>
    <dxf>
      <numFmt numFmtId="0" formatCode="General"/>
    </dxf>
    <dxf>
      <font>
        <b/>
      </font>
      <numFmt numFmtId="0" formatCode="General"/>
      <fill>
        <patternFill patternType="none">
          <fgColor indexed="64"/>
          <bgColor auto="1"/>
        </patternFill>
      </fill>
    </dxf>
    <dxf>
      <font>
        <b/>
      </font>
      <numFmt numFmtId="0" formatCode="General"/>
      <fill>
        <patternFill patternType="solid">
          <fgColor indexed="64"/>
          <bgColor rgb="FFFF0066"/>
        </patternFill>
      </fill>
    </dxf>
    <dxf>
      <numFmt numFmtId="0" formatCode="General"/>
    </dxf>
    <dxf>
      <numFmt numFmtId="34" formatCode="_ * #,##0.00_)\ &quot;$&quot;_ ;_ * \(#,##0.00\)\ &quot;$&quot;_ ;_ * &quot;-&quot;??_)\ &quot;$&quot;_ ;_ @_ "/>
    </dxf>
    <dxf>
      <font>
        <b/>
      </font>
    </dxf>
    <dxf>
      <numFmt numFmtId="34" formatCode="_ * #,##0.00_)\ &quot;$&quot;_ ;_ * \(#,##0.00\)\ &quot;$&quot;_ ;_ * &quot;-&quot;??_)\ &quot;$&quot;_ ;_ @_ "/>
    </dxf>
    <dxf>
      <numFmt numFmtId="34" formatCode="_ * #,##0.00_)\ &quot;$&quot;_ ;_ * \(#,##0.00\)\ &quot;$&quot;_ ;_ * &quot;-&quot;??_)\ &quot;$&quot;_ ;_ @_ "/>
    </dxf>
    <dxf>
      <fill>
        <patternFill patternType="solid">
          <fgColor indexed="64"/>
          <bgColor rgb="FF00CCFF"/>
        </patternFill>
      </fill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0066"/>
        </patternFill>
      </fill>
    </dxf>
    <dxf>
      <numFmt numFmtId="0" formatCode="General"/>
    </dxf>
    <dxf>
      <numFmt numFmtId="19" formatCode="yyyy/mm/dd"/>
    </dxf>
    <dxf>
      <numFmt numFmtId="0" formatCode="General"/>
    </dxf>
    <dxf>
      <fill>
        <patternFill>
          <bgColor rgb="FFCCFFFF"/>
        </patternFill>
      </fill>
    </dxf>
    <dxf>
      <fill>
        <patternFill>
          <bgColor rgb="FF00CCFF"/>
        </patternFill>
      </fill>
    </dxf>
    <dxf>
      <fill>
        <patternFill>
          <bgColor rgb="FFFF99CC"/>
        </patternFill>
      </fill>
    </dxf>
    <dxf>
      <fill>
        <patternFill>
          <bgColor rgb="FFFF0066"/>
        </patternFill>
      </fill>
    </dxf>
    <dxf>
      <fill>
        <patternFill>
          <bgColor rgb="FFFF0066"/>
        </patternFill>
      </fill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</dxfs>
  <tableStyles count="2" defaultTableStyle="TableStyleMedium2" defaultPivotStyle="PivotStyleLight16">
    <tableStyle name="Style de tableau 1" pivot="0" count="3" xr9:uid="{00000000-0011-0000-FFFF-FFFF00000000}">
      <tableStyleElement type="headerRow" dxfId="22"/>
      <tableStyleElement type="totalRow" dxfId="21"/>
      <tableStyleElement type="firstRowStripe" dxfId="20"/>
    </tableStyle>
    <tableStyle name="Style de tableau 2" pivot="0" count="2" xr9:uid="{00000000-0011-0000-FFFF-FFFF01000000}">
      <tableStyleElement type="headerRow" dxfId="19"/>
      <tableStyleElement type="secondRowStripe" dxfId="18"/>
    </tableStyle>
  </tableStyles>
  <colors>
    <mruColors>
      <color rgb="FFFF0066"/>
      <color rgb="FFCCFFFF"/>
      <color rgb="FF66FFFF"/>
      <color rgb="FF00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B5:F15" totalsRowShown="0">
  <autoFilter ref="B5:F15" xr:uid="{00000000-0009-0000-0100-000004000000}"/>
  <tableColumns count="5">
    <tableColumn id="1" xr3:uid="{00000000-0010-0000-0000-000001000000}" name="Nom"/>
    <tableColumn id="2" xr3:uid="{00000000-0010-0000-0000-000002000000}" name="Adresse 1"/>
    <tableColumn id="3" xr3:uid="{00000000-0010-0000-0000-000003000000}" name="Adresse 2"/>
    <tableColumn id="4" xr3:uid="{00000000-0010-0000-0000-000004000000}" name="Contact"/>
    <tableColumn id="5" xr3:uid="{00000000-0010-0000-0000-000005000000}" name="Telephone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75:P199" totalsRowShown="0">
  <autoFilter ref="B75:P199" xr:uid="{00000000-0009-0000-0100-000001000000}"/>
  <tableColumns count="15">
    <tableColumn id="1" xr3:uid="{00000000-0010-0000-0100-000001000000}" name="ID patient"/>
    <tableColumn id="2" xr3:uid="{00000000-0010-0000-0100-000002000000}" name="Nom Patients" dataDxfId="17">
      <calculatedColumnFormula>VLOOKUP(Tableau1[[#This Row],[ID patient]],'Import Site'!$B$1:$K$1500,3,FALSE)</calculatedColumnFormula>
    </tableColumn>
    <tableColumn id="3" xr3:uid="{00000000-0010-0000-0100-000003000000}" name="Date massage" dataDxfId="16">
      <calculatedColumnFormula>VLOOKUP(Tableau1[[#This Row],[ID patient]],'Import Site'!$B$1:$K$1500,2,FALSE)</calculatedColumnFormula>
    </tableColumn>
    <tableColumn id="4" xr3:uid="{00000000-0010-0000-0100-000004000000}" name="Durée Massage" dataDxfId="15">
      <calculatedColumnFormula>IF(Tableau1[[#This Row],[Nom Patients]]&gt;0,VLOOKUP(Tableau1[[#This Row],[Prix payé]],CONFIG!B$4:D$12,2,FALSE),"")</calculatedColumnFormula>
    </tableColumn>
    <tableColumn id="5" xr3:uid="{00000000-0010-0000-0100-000005000000}" name="Prix payé" dataCellStyle="Monétaire">
      <calculatedColumnFormula>VLOOKUP(Tableau1[[#This Row],[ID patient]],'Import Site'!$B$1:$K$1500,5,FALSE)</calculatedColumnFormula>
    </tableColumn>
    <tableColumn id="6" xr3:uid="{00000000-0010-0000-0100-000006000000}" name="Mode Paiement" dataDxfId="14"/>
    <tableColumn id="7" xr3:uid="{00000000-0010-0000-0100-000007000000}" name="montant pourboire" dataDxfId="3" dataCellStyle="Monétaire"/>
    <tableColumn id="12" xr3:uid="{00000000-0010-0000-0100-00000C000000}" name="Montant PAYÉ REEL" dataDxfId="2" dataCellStyle="Monétaire"/>
    <tableColumn id="8" xr3:uid="{00000000-0010-0000-0100-000008000000}" name="KMS FAIT2" dataDxfId="0"/>
    <tableColumn id="14" xr3:uid="{00000000-0010-0000-0100-00000E000000}" name="Prix chargé masolution" dataDxfId="1" dataCellStyle="Monétaire">
      <calculatedColumnFormula>IF(Tableau1[[#This Row],[Nom Patients]]&gt;0,VLOOKUP(Tableau1[[#This Row],[Prix payé]],CONFIG!B$4:D$12,3,FALSE),"")</calculatedColumnFormula>
    </tableColumn>
    <tableColumn id="9" xr3:uid="{00000000-0010-0000-0100-000009000000}" name="Balance due" dataDxfId="4">
      <calculatedColumnFormula>IF(Tableau1[[#This Row],[Mode Paiement]]=CONFIG!$I$6,((Tableau1[[#This Row],[Prix payé]]-Tableau1[[#This Row],[Prix chargé masolution]])*-1),Tableau1[[#This Row],[Prix chargé masolution]]+Tableau1[[#This Row],[montant pourboire]])</calculatedColumnFormula>
    </tableColumn>
    <tableColumn id="10" xr3:uid="{00000000-0010-0000-0100-00000A000000}" name="Période de facturation" dataDxfId="5">
      <calculatedColumnFormula>IF(Tableau1[[#This Row],[Facture Associée]]&gt;0,VLOOKUP(Tableau1[[#This Row],[Facture Associée]],Tableau3[#All],3,FALSE),"")</calculatedColumnFormula>
    </tableColumn>
    <tableColumn id="15" xr3:uid="{00000000-0010-0000-0100-00000F000000}" name="Client concerné" dataDxfId="6">
      <calculatedColumnFormula>IF(Tableau1[[#This Row],[Facture Associée]]&gt;0,VLOOKUP(Tableau1[[#This Row],[Facture Associée]],Tableau3[#All],4,FALSE),"")</calculatedColumnFormula>
    </tableColumn>
    <tableColumn id="11" xr3:uid="{00000000-0010-0000-0100-00000B000000}" name="Facture Associée" dataDxfId="7"/>
    <tableColumn id="13" xr3:uid="{48C038CB-E10D-4A9D-87F5-DE7AF272DBD2}" name="(Valeur )" dataDxfId="8">
      <calculatedColumnFormula>IF(Tableau1[[#This Row],[Facture Associée]]&gt;0,1,"")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46:I70" totalsRowShown="0" headerRowDxfId="13">
  <autoFilter ref="B46:I70" xr:uid="{00000000-0009-0000-0100-000003000000}"/>
  <tableColumns count="8">
    <tableColumn id="1" xr3:uid="{00000000-0010-0000-0200-000001000000}" name="No Facture"/>
    <tableColumn id="2" xr3:uid="{00000000-0010-0000-0200-000002000000}" name="Date Facture"/>
    <tableColumn id="3" xr3:uid="{00000000-0010-0000-0200-000003000000}" name="Période Facturé"/>
    <tableColumn id="4" xr3:uid="{00000000-0010-0000-0200-000004000000}" name="Client Concerné"/>
    <tableColumn id="5" xr3:uid="{00000000-0010-0000-0200-000005000000}" name="Facturé" dataDxfId="12">
      <calculatedColumnFormula>SUMIF(Tableau1[Client concerné],"=" &amp; Tableau3[[#This Row],[No Facture]],Tableau1[KMS FAIT2])</calculatedColumnFormula>
    </tableColumn>
    <tableColumn id="6" xr3:uid="{00000000-0010-0000-0200-000006000000}" name="Pourboires" dataDxfId="11">
      <calculatedColumnFormula>SUMIF(Tableau1[Client concerné],"=" &amp; Tableau3[[#This Row],[No Facture]],Tableau1[montant pourboire])</calculatedColumnFormula>
    </tableColumn>
    <tableColumn id="7" xr3:uid="{00000000-0010-0000-0200-000007000000}" name="A RECEVOIR" dataDxfId="10" dataCellStyle="Monétaire">
      <calculatedColumnFormula>SUMIF(Tableau1[Client concerné],"=" &amp; Tableau3[[#This Row],[No Facture]],Tableau1[Prix chargé masolution])</calculatedColumnFormula>
    </tableColumn>
    <tableColumn id="8" xr3:uid="{00000000-0010-0000-0200-000008000000}" name="TOTAL KMS" dataDxfId="9">
      <calculatedColumnFormula>SUMIF(Tableau1[Client concerné],"=" &amp; Tableau3[[#This Row],[No Facture]],Tableau1[Montant PAYÉ REEL])</calculatedColumnFormula>
    </tableColumn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B6:L16" totalsRowShown="0">
  <autoFilter ref="B6:L16" xr:uid="{00000000-0009-0000-0100-000002000000}"/>
  <tableColumns count="11">
    <tableColumn id="1" xr3:uid="{00000000-0010-0000-0300-000001000000}" name="No Facture"/>
    <tableColumn id="2" xr3:uid="{00000000-0010-0000-0300-000002000000}" name="Date Facture"/>
    <tableColumn id="3" xr3:uid="{00000000-0010-0000-0300-000003000000}" name="Période Facturé"/>
    <tableColumn id="4" xr3:uid="{00000000-0010-0000-0300-000004000000}" name="Client Concerné"/>
    <tableColumn id="5" xr3:uid="{00000000-0010-0000-0300-000005000000}" name="Nombre de massages"/>
    <tableColumn id="6" xr3:uid="{00000000-0010-0000-0300-000006000000}" name="Total de la facture"/>
    <tableColumn id="7" xr3:uid="{00000000-0010-0000-0300-000007000000}" name="total des pourboires"/>
    <tableColumn id="8" xr3:uid="{00000000-0010-0000-0300-000008000000}" name="montant à recevoir"/>
    <tableColumn id="9" xr3:uid="{00000000-0010-0000-0300-000009000000}" name="STATUT"/>
    <tableColumn id="10" xr3:uid="{00000000-0010-0000-0300-00000A000000}" name="Date"/>
    <tableColumn id="11" xr3:uid="{00000000-0010-0000-0300-00000B000000}" name="Preuve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6"/>
  <sheetViews>
    <sheetView workbookViewId="0">
      <selection activeCell="C7" sqref="C7"/>
    </sheetView>
  </sheetViews>
  <sheetFormatPr baseColWidth="10" defaultRowHeight="15"/>
  <cols>
    <col min="2" max="2" width="35.7109375" customWidth="1"/>
    <col min="3" max="3" width="25.140625" customWidth="1"/>
    <col min="4" max="4" width="30" customWidth="1"/>
    <col min="5" max="5" width="27.28515625" customWidth="1"/>
    <col min="6" max="6" width="29.5703125" customWidth="1"/>
  </cols>
  <sheetData>
    <row r="5" spans="2:6">
      <c r="B5" t="s">
        <v>75</v>
      </c>
      <c r="C5" t="s">
        <v>16</v>
      </c>
      <c r="D5" t="s">
        <v>76</v>
      </c>
      <c r="E5" t="s">
        <v>17</v>
      </c>
      <c r="F5" t="s">
        <v>77</v>
      </c>
    </row>
    <row r="6" spans="2:6">
      <c r="B6" t="s">
        <v>103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21"/>
  <sheetViews>
    <sheetView zoomScaleNormal="60" zoomScaleSheetLayoutView="100" workbookViewId="0">
      <selection activeCell="E6" sqref="E6"/>
    </sheetView>
  </sheetViews>
  <sheetFormatPr baseColWidth="10" defaultColWidth="9.140625" defaultRowHeight="15"/>
  <cols>
    <col min="2" max="2" width="11.42578125" style="15" customWidth="1"/>
    <col min="3" max="3" width="19.7109375" customWidth="1"/>
    <col min="4" max="4" width="36.28515625" customWidth="1"/>
    <col min="5" max="5" width="22" customWidth="1"/>
    <col min="6" max="6" width="15.85546875" customWidth="1"/>
    <col min="7" max="7" width="39.42578125" customWidth="1"/>
    <col min="8" max="8" width="12.42578125" customWidth="1"/>
    <col min="9" max="9" width="12.28515625" customWidth="1"/>
  </cols>
  <sheetData>
    <row r="1" spans="2:10" ht="15.75" thickBot="1">
      <c r="B1" s="15" t="s">
        <v>28</v>
      </c>
      <c r="C1" t="s">
        <v>4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30</v>
      </c>
    </row>
    <row r="2" spans="2:10" ht="15.75" thickBot="1">
      <c r="B2" s="16">
        <v>1</v>
      </c>
      <c r="C2" s="2">
        <v>43517</v>
      </c>
      <c r="D2" s="3" t="s">
        <v>99</v>
      </c>
      <c r="E2" s="3"/>
      <c r="F2" s="4">
        <v>80</v>
      </c>
      <c r="G2" s="3"/>
      <c r="H2" s="6"/>
      <c r="I2" s="5"/>
      <c r="J2" s="5"/>
    </row>
    <row r="3" spans="2:10" ht="15.75" thickBot="1">
      <c r="B3" s="16">
        <v>2</v>
      </c>
      <c r="C3" s="7">
        <v>43517</v>
      </c>
      <c r="D3" s="8" t="s">
        <v>106</v>
      </c>
      <c r="E3" s="8"/>
      <c r="F3" s="13">
        <v>80</v>
      </c>
      <c r="G3" s="8"/>
      <c r="H3" s="10"/>
      <c r="I3" s="9"/>
      <c r="J3" s="9"/>
    </row>
    <row r="4" spans="2:10" ht="15.75" thickBot="1">
      <c r="B4" s="16">
        <v>3</v>
      </c>
      <c r="C4" s="2">
        <v>43504</v>
      </c>
      <c r="D4" s="3" t="s">
        <v>107</v>
      </c>
      <c r="E4" s="3"/>
      <c r="F4" s="4">
        <v>80</v>
      </c>
      <c r="G4" s="3"/>
      <c r="H4" s="6"/>
      <c r="I4" s="5"/>
      <c r="J4" s="5"/>
    </row>
    <row r="5" spans="2:10" ht="15.75" thickBot="1">
      <c r="B5" s="17">
        <v>4</v>
      </c>
      <c r="C5" s="7">
        <v>43489</v>
      </c>
      <c r="D5" s="8" t="s">
        <v>108</v>
      </c>
      <c r="E5" s="8"/>
      <c r="F5" s="13">
        <v>80</v>
      </c>
      <c r="G5" s="8"/>
      <c r="H5" s="10"/>
      <c r="I5" s="9"/>
      <c r="J5" s="9"/>
    </row>
    <row r="6" spans="2:10" ht="15.75" thickBot="1">
      <c r="B6" s="16">
        <v>5</v>
      </c>
      <c r="C6" s="2">
        <v>43489</v>
      </c>
      <c r="D6" s="3" t="s">
        <v>109</v>
      </c>
      <c r="E6" s="3"/>
      <c r="F6" s="4">
        <v>80</v>
      </c>
      <c r="G6" s="3"/>
      <c r="H6" s="6"/>
      <c r="I6" s="5"/>
      <c r="J6" s="5"/>
    </row>
    <row r="7" spans="2:10" ht="15.75" thickBot="1">
      <c r="B7" s="16">
        <v>6</v>
      </c>
      <c r="C7" s="7">
        <v>43493</v>
      </c>
      <c r="D7" s="8" t="s">
        <v>110</v>
      </c>
      <c r="E7" s="8"/>
      <c r="F7" s="13">
        <v>80</v>
      </c>
      <c r="G7" s="8"/>
      <c r="H7" s="10"/>
      <c r="I7" s="9"/>
      <c r="J7" s="9"/>
    </row>
    <row r="8" spans="2:10" ht="15.75" thickBot="1">
      <c r="B8" s="16">
        <v>7</v>
      </c>
      <c r="C8" s="2">
        <v>43482</v>
      </c>
      <c r="D8" s="3" t="s">
        <v>111</v>
      </c>
      <c r="E8" s="3"/>
      <c r="F8" s="4">
        <v>80</v>
      </c>
      <c r="G8" s="3"/>
      <c r="H8" s="6"/>
      <c r="I8" s="5"/>
      <c r="J8" s="5"/>
    </row>
    <row r="9" spans="2:10" ht="15.75" thickBot="1">
      <c r="B9" s="17">
        <v>8</v>
      </c>
      <c r="C9" s="7">
        <v>43479</v>
      </c>
      <c r="D9" s="8" t="s">
        <v>112</v>
      </c>
      <c r="E9" s="8"/>
      <c r="F9" s="13">
        <v>110</v>
      </c>
      <c r="G9" s="8"/>
      <c r="H9" s="10"/>
      <c r="I9" s="9"/>
      <c r="J9" s="9"/>
    </row>
    <row r="10" spans="2:10" ht="15.75" thickBot="1">
      <c r="B10" s="16">
        <v>9</v>
      </c>
      <c r="C10" s="2">
        <v>43455</v>
      </c>
      <c r="D10" s="3" t="s">
        <v>113</v>
      </c>
      <c r="E10" s="3"/>
      <c r="F10" s="4">
        <v>80</v>
      </c>
      <c r="G10" s="3"/>
      <c r="H10" s="6"/>
      <c r="I10" s="5"/>
      <c r="J10" s="5"/>
    </row>
    <row r="11" spans="2:10" ht="15.75" thickBot="1">
      <c r="B11" s="16">
        <v>10</v>
      </c>
      <c r="C11" s="7">
        <v>43453</v>
      </c>
      <c r="D11" s="8" t="s">
        <v>114</v>
      </c>
      <c r="E11" s="8"/>
      <c r="F11" s="13">
        <v>80</v>
      </c>
      <c r="G11" s="8"/>
      <c r="H11" s="10"/>
      <c r="I11" s="9"/>
      <c r="J11" s="9"/>
    </row>
    <row r="12" spans="2:10" ht="15.75" thickBot="1">
      <c r="B12" s="16">
        <v>11</v>
      </c>
      <c r="C12" s="2">
        <v>43441</v>
      </c>
      <c r="D12" s="3" t="s">
        <v>115</v>
      </c>
      <c r="E12" s="3"/>
      <c r="F12" s="4">
        <v>80</v>
      </c>
      <c r="G12" s="3"/>
      <c r="H12" s="6"/>
      <c r="I12" s="5"/>
      <c r="J12" s="5"/>
    </row>
    <row r="13" spans="2:10" ht="15.75" thickBot="1">
      <c r="B13" s="17">
        <v>12</v>
      </c>
      <c r="C13" s="7">
        <v>43447</v>
      </c>
      <c r="D13" s="8" t="s">
        <v>116</v>
      </c>
      <c r="E13" s="8"/>
      <c r="F13" s="13">
        <v>110</v>
      </c>
      <c r="G13" s="8"/>
      <c r="H13" s="10"/>
      <c r="I13" s="9"/>
      <c r="J13" s="9"/>
    </row>
    <row r="14" spans="2:10" ht="15.75" thickBot="1">
      <c r="B14" s="16">
        <v>13</v>
      </c>
      <c r="C14" s="2">
        <v>43446</v>
      </c>
      <c r="D14" s="3" t="s">
        <v>117</v>
      </c>
      <c r="E14" s="3"/>
      <c r="F14" s="4">
        <v>80</v>
      </c>
      <c r="G14" s="3"/>
      <c r="H14" s="6"/>
      <c r="I14" s="5"/>
      <c r="J14" s="5"/>
    </row>
    <row r="15" spans="2:10" ht="15.75" thickBot="1">
      <c r="B15" s="16">
        <v>14</v>
      </c>
      <c r="C15" s="7">
        <v>43440</v>
      </c>
      <c r="D15" s="8" t="s">
        <v>118</v>
      </c>
      <c r="E15" s="8"/>
      <c r="F15" s="13">
        <v>80</v>
      </c>
      <c r="G15" s="8"/>
      <c r="H15" s="10"/>
      <c r="I15" s="9"/>
      <c r="J15" s="9"/>
    </row>
    <row r="16" spans="2:10" ht="15.75" thickBot="1">
      <c r="B16" s="16">
        <v>15</v>
      </c>
      <c r="C16" s="2">
        <v>43435</v>
      </c>
      <c r="D16" s="3" t="s">
        <v>119</v>
      </c>
      <c r="E16" s="3"/>
      <c r="F16" s="4">
        <v>80</v>
      </c>
      <c r="G16" s="3"/>
      <c r="H16" s="6"/>
      <c r="I16" s="5"/>
      <c r="J16" s="5"/>
    </row>
    <row r="17" spans="2:10" ht="15.75" thickBot="1">
      <c r="B17" s="17">
        <v>16</v>
      </c>
      <c r="C17" s="7">
        <v>43435</v>
      </c>
      <c r="D17" s="8" t="s">
        <v>120</v>
      </c>
      <c r="E17" s="8"/>
      <c r="F17" s="13">
        <v>80</v>
      </c>
      <c r="G17" s="8"/>
      <c r="H17" s="10"/>
      <c r="I17" s="9"/>
      <c r="J17" s="9"/>
    </row>
    <row r="18" spans="2:10" ht="15.75" thickBot="1">
      <c r="B18" s="16">
        <v>17</v>
      </c>
      <c r="C18" s="2">
        <v>43433</v>
      </c>
      <c r="D18" s="3" t="s">
        <v>121</v>
      </c>
      <c r="E18" s="3"/>
      <c r="F18" s="4">
        <v>80</v>
      </c>
      <c r="G18" s="3"/>
      <c r="H18" s="6"/>
      <c r="I18" s="5"/>
      <c r="J18" s="5"/>
    </row>
    <row r="19" spans="2:10" ht="15.75" thickBot="1">
      <c r="B19" s="16">
        <v>18</v>
      </c>
      <c r="C19" s="7">
        <v>43432</v>
      </c>
      <c r="D19" s="8" t="s">
        <v>122</v>
      </c>
      <c r="E19" s="8"/>
      <c r="F19" s="13">
        <v>30</v>
      </c>
      <c r="G19" s="8"/>
      <c r="H19" s="10"/>
      <c r="I19" s="9"/>
      <c r="J19" s="9"/>
    </row>
    <row r="20" spans="2:10" ht="15.75" thickBot="1">
      <c r="B20" s="16">
        <v>19</v>
      </c>
      <c r="C20" s="2">
        <v>43432</v>
      </c>
      <c r="D20" s="3" t="s">
        <v>123</v>
      </c>
      <c r="E20" s="3"/>
      <c r="F20" s="4">
        <v>80</v>
      </c>
      <c r="G20" s="3"/>
      <c r="H20" s="6"/>
      <c r="I20" s="5"/>
      <c r="J20" s="5"/>
    </row>
    <row r="21" spans="2:10">
      <c r="B21" s="17">
        <v>20</v>
      </c>
      <c r="C21" s="11">
        <v>43433</v>
      </c>
      <c r="D21" s="8" t="s">
        <v>124</v>
      </c>
      <c r="E21" s="66"/>
      <c r="F21" s="12">
        <v>80</v>
      </c>
      <c r="G21" s="66"/>
      <c r="H21" s="1"/>
      <c r="I21" s="1"/>
      <c r="J21" s="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199"/>
  <sheetViews>
    <sheetView tabSelected="1" workbookViewId="0">
      <selection activeCell="M80" sqref="M80"/>
    </sheetView>
  </sheetViews>
  <sheetFormatPr baseColWidth="10" defaultRowHeight="15"/>
  <cols>
    <col min="2" max="2" width="27.5703125" customWidth="1"/>
    <col min="3" max="3" width="20.42578125" customWidth="1"/>
    <col min="4" max="4" width="21.7109375" customWidth="1"/>
    <col min="5" max="5" width="14.28515625" customWidth="1"/>
    <col min="6" max="6" width="12" customWidth="1"/>
    <col min="7" max="7" width="12.5703125" customWidth="1"/>
    <col min="8" max="8" width="11.28515625" customWidth="1"/>
    <col min="9" max="9" width="12.42578125" customWidth="1"/>
    <col min="10" max="10" width="17.42578125" customWidth="1"/>
    <col min="11" max="11" width="24.42578125" customWidth="1"/>
    <col min="12" max="12" width="20" customWidth="1"/>
    <col min="13" max="13" width="23.28515625" customWidth="1"/>
  </cols>
  <sheetData>
    <row r="1" spans="1:10">
      <c r="A1" s="55"/>
      <c r="B1" s="55"/>
      <c r="C1" s="55"/>
      <c r="D1" s="55"/>
      <c r="E1" s="55"/>
      <c r="F1" s="55"/>
      <c r="G1" s="55"/>
      <c r="H1" s="55"/>
      <c r="I1" s="55"/>
      <c r="J1" s="55"/>
    </row>
    <row r="2" spans="1:10" ht="15.75">
      <c r="A2" s="55"/>
      <c r="B2" s="19"/>
      <c r="C2" s="19"/>
      <c r="D2" s="19"/>
      <c r="E2" s="19"/>
      <c r="F2" s="56"/>
      <c r="G2" s="56"/>
      <c r="H2" s="57" t="s">
        <v>18</v>
      </c>
      <c r="I2" s="57"/>
      <c r="J2" s="55"/>
    </row>
    <row r="3" spans="1:10" ht="16.5">
      <c r="A3" s="55"/>
      <c r="B3" s="24"/>
      <c r="C3" s="19"/>
      <c r="D3" s="19"/>
      <c r="E3" s="19"/>
      <c r="F3" s="56"/>
      <c r="G3" s="56"/>
      <c r="H3" s="57"/>
      <c r="I3" s="57"/>
      <c r="J3" s="55"/>
    </row>
    <row r="4" spans="1:10" ht="15.75">
      <c r="A4" s="55"/>
      <c r="B4" s="19"/>
      <c r="C4" s="19"/>
      <c r="D4" s="19"/>
      <c r="E4" s="19"/>
      <c r="F4" s="56"/>
      <c r="G4" s="56"/>
      <c r="H4" s="57"/>
      <c r="I4" s="57"/>
      <c r="J4" s="55"/>
    </row>
    <row r="5" spans="1:10" ht="15.75">
      <c r="A5" s="55"/>
      <c r="B5" s="19"/>
      <c r="C5" s="19"/>
      <c r="D5" s="19"/>
      <c r="E5" s="19"/>
      <c r="F5" s="19"/>
      <c r="G5" s="19"/>
      <c r="H5" s="19"/>
      <c r="I5" s="19"/>
      <c r="J5" s="55"/>
    </row>
    <row r="6" spans="1:10" ht="24.75" customHeight="1">
      <c r="A6" s="55"/>
      <c r="B6" s="19"/>
      <c r="C6" s="19"/>
      <c r="D6" s="19"/>
      <c r="E6" s="19"/>
      <c r="F6" s="19"/>
      <c r="G6" s="23" t="s">
        <v>36</v>
      </c>
      <c r="H6" s="62" t="s">
        <v>48</v>
      </c>
      <c r="I6" s="62"/>
      <c r="J6" s="55"/>
    </row>
    <row r="7" spans="1:10" ht="16.5">
      <c r="A7" s="55"/>
      <c r="B7" s="19"/>
      <c r="C7" s="19"/>
      <c r="D7" s="19"/>
      <c r="E7" s="19"/>
      <c r="F7" s="19"/>
      <c r="G7" s="23" t="s">
        <v>4</v>
      </c>
      <c r="H7" s="63">
        <f>VLOOKUP($H$6,Tableau3[#All],2,FALSE)</f>
        <v>0</v>
      </c>
      <c r="I7" s="63"/>
      <c r="J7" s="55"/>
    </row>
    <row r="8" spans="1:10" ht="15.75">
      <c r="A8" s="55"/>
      <c r="B8" s="19"/>
      <c r="C8" s="19"/>
      <c r="D8" s="19"/>
      <c r="E8" s="19"/>
      <c r="F8" s="19"/>
      <c r="G8" s="19"/>
      <c r="H8" s="19"/>
      <c r="I8" s="19"/>
      <c r="J8" s="55"/>
    </row>
    <row r="9" spans="1:10" ht="15.75">
      <c r="A9" s="55"/>
      <c r="B9" s="22" t="s">
        <v>0</v>
      </c>
      <c r="C9" s="19"/>
      <c r="D9" s="19"/>
      <c r="E9" s="19"/>
      <c r="F9" s="19"/>
      <c r="G9" s="19"/>
      <c r="H9" s="19"/>
      <c r="I9" s="19"/>
      <c r="J9" s="55"/>
    </row>
    <row r="10" spans="1:10" ht="19.5">
      <c r="A10" s="55"/>
      <c r="B10" s="25" t="str">
        <f>VLOOKUP($H$6,Tableau3[#All],4,FALSE)</f>
        <v>Masolution</v>
      </c>
      <c r="C10" s="19"/>
      <c r="D10" s="19"/>
      <c r="E10" s="19"/>
      <c r="F10" s="19"/>
      <c r="G10" s="19"/>
      <c r="H10" s="19"/>
      <c r="I10" s="19"/>
      <c r="J10" s="55"/>
    </row>
    <row r="11" spans="1:10" ht="15.75">
      <c r="A11" s="55"/>
      <c r="B11" s="19" t="e">
        <f>VLOOKUP($B$10,'Liste Clients'!B5:F15,2,FALSE)</f>
        <v>#N/A</v>
      </c>
      <c r="C11" s="19"/>
      <c r="D11" s="19"/>
      <c r="E11" s="19"/>
      <c r="F11" s="19"/>
      <c r="G11" s="19"/>
      <c r="H11" s="19"/>
      <c r="I11" s="19"/>
      <c r="J11" s="55"/>
    </row>
    <row r="12" spans="1:10" ht="15.75">
      <c r="A12" s="55"/>
      <c r="B12" s="19" t="e">
        <f>VLOOKUP($B$10,'Liste Clients'!$B$5:$F$15,3,FALSE)</f>
        <v>#N/A</v>
      </c>
      <c r="C12" s="19"/>
      <c r="D12" s="19"/>
      <c r="E12" s="19"/>
      <c r="F12" s="19"/>
      <c r="G12" s="19"/>
      <c r="H12" s="19"/>
      <c r="I12" s="19"/>
      <c r="J12" s="55"/>
    </row>
    <row r="13" spans="1:10" ht="15.75">
      <c r="A13" s="55"/>
      <c r="B13" s="19" t="e">
        <f>VLOOKUP($B$10,'Liste Clients'!$B$5:$F$15,4,FALSE)</f>
        <v>#N/A</v>
      </c>
      <c r="C13" s="19" t="e">
        <f>VLOOKUP($B$10,'Liste Clients'!$B$5:$F$15,5,FALSE)</f>
        <v>#N/A</v>
      </c>
      <c r="D13" s="19"/>
      <c r="E13" s="19"/>
      <c r="F13" s="19"/>
      <c r="G13" s="19"/>
      <c r="H13" s="19"/>
      <c r="I13" s="19"/>
      <c r="J13" s="55"/>
    </row>
    <row r="14" spans="1:10" ht="15.75">
      <c r="A14" s="55"/>
      <c r="B14" s="21"/>
      <c r="C14" s="19"/>
      <c r="D14" s="19"/>
      <c r="E14" s="19"/>
      <c r="F14" s="19"/>
      <c r="G14" s="19"/>
      <c r="H14" s="19"/>
      <c r="I14" s="19"/>
      <c r="J14" s="55"/>
    </row>
    <row r="15" spans="1:10" ht="15.75">
      <c r="A15" s="55"/>
      <c r="B15" s="21"/>
      <c r="C15" s="19"/>
      <c r="D15" s="19"/>
      <c r="E15" s="19"/>
      <c r="F15" s="19"/>
      <c r="G15" s="19"/>
      <c r="H15" s="19"/>
      <c r="I15" s="19"/>
      <c r="J15" s="55"/>
    </row>
    <row r="16" spans="1:10" ht="19.5">
      <c r="A16" s="55"/>
      <c r="B16" s="59" t="s">
        <v>37</v>
      </c>
      <c r="C16" s="59"/>
      <c r="D16" s="58" t="str">
        <f>VLOOKUP($H$6,Tableau3[#All],3,FALSE)</f>
        <v xml:space="preserve">semaine 1 </v>
      </c>
      <c r="E16" s="58"/>
      <c r="F16" s="58"/>
      <c r="G16" s="58"/>
      <c r="J16" s="55"/>
    </row>
    <row r="17" spans="1:11" ht="16.5" thickBot="1">
      <c r="A17" s="55"/>
      <c r="B17" s="21"/>
      <c r="C17" s="19"/>
      <c r="D17" s="19"/>
      <c r="E17" s="19"/>
      <c r="F17" s="19"/>
      <c r="G17" s="19"/>
      <c r="H17" s="19"/>
      <c r="I17" s="19"/>
      <c r="J17" s="55"/>
    </row>
    <row r="18" spans="1:11" ht="16.5" thickBot="1">
      <c r="A18" s="55"/>
      <c r="B18" s="76" t="s">
        <v>78</v>
      </c>
      <c r="C18" s="77" t="s">
        <v>1</v>
      </c>
      <c r="D18" s="77" t="s">
        <v>2</v>
      </c>
      <c r="E18" s="77" t="s">
        <v>19</v>
      </c>
      <c r="F18" s="77" t="s">
        <v>20</v>
      </c>
      <c r="G18" s="77" t="s">
        <v>21</v>
      </c>
      <c r="H18" s="77" t="s">
        <v>22</v>
      </c>
      <c r="I18" s="78" t="s">
        <v>23</v>
      </c>
      <c r="J18" s="55"/>
      <c r="K18" s="69" t="s">
        <v>100</v>
      </c>
    </row>
    <row r="19" spans="1:11" ht="15.75">
      <c r="A19" s="55"/>
      <c r="B19" s="79" t="str">
        <f>IFERROR(INDEX(Tableau1[Nom Patients],MATCH($K19,Tableau1[ID patient],0)),"")</f>
        <v/>
      </c>
      <c r="C19" s="80" t="str">
        <f>IFERROR(INDEX(Tableau1[Date massage],MATCH($K19,Tableau1[ID patient],0)),"")</f>
        <v/>
      </c>
      <c r="D19" s="81" t="str">
        <f>IFERROR(INDEX(Tableau1[Durée Massage],MATCH($K19,Tableau1[ID patient],0)),"")</f>
        <v/>
      </c>
      <c r="E19" s="81" t="str">
        <f>IFERROR(INDEX(Tableau1[Mode Paiement],MATCH($K19,Tableau1[ID patient],0)),"")</f>
        <v/>
      </c>
      <c r="F19" s="81" t="str">
        <f>IFERROR(INDEX(Tableau1[montant pourboire],MATCH($K19,Tableau1[ID patient],0)),"")</f>
        <v/>
      </c>
      <c r="G19" s="81" t="str">
        <f>IFERROR(INDEX(Tableau1[Montant PAYÉ REEL],MATCH($K19,Tableau1[ID patient],0)),"")</f>
        <v/>
      </c>
      <c r="H19" s="81" t="str">
        <f>IFERROR(INDEX(Tableau1[Prix chargé masolution],MATCH($K19,Tableau1[ID patient],0)),"")</f>
        <v/>
      </c>
      <c r="I19" s="82" t="str">
        <f>IFERROR(INDEX(Tableau1[Balance due],MATCH($K19,Tableau1[ID patient],0)),"")</f>
        <v/>
      </c>
      <c r="J19" s="55"/>
      <c r="K19" s="67" t="str">
        <f>IFERROR(INDEX(Tableau1[ID patient],SMALL(IF(Tableau1[Facture Associée]=$H$6,ROW($A$1:$A$10)),ROW(A1)),1),"")</f>
        <v/>
      </c>
    </row>
    <row r="20" spans="1:11" ht="15.75">
      <c r="A20" s="55"/>
      <c r="B20" s="83" t="str">
        <f>IFERROR(INDEX(Tableau1[Nom Patients],MATCH($K20,Tableau1[ID patient],0)),"")</f>
        <v/>
      </c>
      <c r="C20" s="74" t="str">
        <f>IFERROR(INDEX(Tableau1[Date massage],MATCH($K20,Tableau1[ID patient],0)),"")</f>
        <v/>
      </c>
      <c r="D20" s="75" t="str">
        <f>IFERROR(INDEX(Tableau1[Durée Massage],MATCH($K20,Tableau1[ID patient],0)),"")</f>
        <v/>
      </c>
      <c r="E20" s="75" t="str">
        <f>IFERROR(INDEX(Tableau1[Mode Paiement],MATCH($K20,Tableau1[ID patient],0)),"")</f>
        <v/>
      </c>
      <c r="F20" s="75" t="str">
        <f>IFERROR(INDEX(Tableau1[montant pourboire],MATCH($K20,Tableau1[ID patient],0)),"")</f>
        <v/>
      </c>
      <c r="G20" s="75" t="str">
        <f>IFERROR(INDEX(Tableau1[Montant PAYÉ REEL],MATCH($K20,Tableau1[ID patient],0)),"")</f>
        <v/>
      </c>
      <c r="H20" s="75" t="str">
        <f>IFERROR(INDEX(Tableau1[Prix chargé masolution],MATCH($K20,Tableau1[ID patient],0)),"")</f>
        <v/>
      </c>
      <c r="I20" s="84" t="str">
        <f>IFERROR(INDEX(Tableau1[Balance due],MATCH($K20,Tableau1[ID patient],0)),"")</f>
        <v/>
      </c>
      <c r="J20" s="55"/>
      <c r="K20" s="68" t="str">
        <f>IFERROR(INDEX(Tableau1[ID patient],SMALL(IF(Tableau1[Facture Associée]=$H$6,ROW($A$1:$A$10)),ROW(A2)),1),"")</f>
        <v/>
      </c>
    </row>
    <row r="21" spans="1:11" ht="15.75">
      <c r="A21" s="55"/>
      <c r="B21" s="83" t="str">
        <f>IFERROR(INDEX(Tableau1[Nom Patients],MATCH($K21,Tableau1[ID patient],0)),"")</f>
        <v/>
      </c>
      <c r="C21" s="74" t="str">
        <f>IFERROR(INDEX(Tableau1[Date massage],MATCH($K21,Tableau1[ID patient],0)),"")</f>
        <v/>
      </c>
      <c r="D21" s="75" t="str">
        <f>IFERROR(INDEX(Tableau1[Durée Massage],MATCH($K21,Tableau1[ID patient],0)),"")</f>
        <v/>
      </c>
      <c r="E21" s="75" t="str">
        <f>IFERROR(INDEX(Tableau1[Mode Paiement],MATCH($K21,Tableau1[ID patient],0)),"")</f>
        <v/>
      </c>
      <c r="F21" s="75" t="str">
        <f>IFERROR(INDEX(Tableau1[montant pourboire],MATCH($K21,Tableau1[ID patient],0)),"")</f>
        <v/>
      </c>
      <c r="G21" s="75" t="str">
        <f>IFERROR(INDEX(Tableau1[Montant PAYÉ REEL],MATCH($K21,Tableau1[ID patient],0)),"")</f>
        <v/>
      </c>
      <c r="H21" s="75" t="str">
        <f>IFERROR(INDEX(Tableau1[Prix chargé masolution],MATCH($K21,Tableau1[ID patient],0)),"")</f>
        <v/>
      </c>
      <c r="I21" s="84" t="str">
        <f>IFERROR(INDEX(Tableau1[Balance due],MATCH($K21,Tableau1[ID patient],0)),"")</f>
        <v/>
      </c>
      <c r="J21" s="55"/>
      <c r="K21" s="68" t="str">
        <f>IFERROR(INDEX(Tableau1[ID patient],SMALL(IF(Tableau1[Facture Associée]=$H$6,ROW($A$1:$A$10)),ROW(A3)),1),"")</f>
        <v/>
      </c>
    </row>
    <row r="22" spans="1:11" ht="15.75">
      <c r="A22" s="55"/>
      <c r="B22" s="83" t="str">
        <f>IFERROR(INDEX(Tableau1[Nom Patients],MATCH($K22,Tableau1[ID patient],0)),"")</f>
        <v/>
      </c>
      <c r="C22" s="74" t="str">
        <f>IFERROR(INDEX(Tableau1[Date massage],MATCH($K22,Tableau1[ID patient],0)),"")</f>
        <v/>
      </c>
      <c r="D22" s="75" t="str">
        <f>IFERROR(INDEX(Tableau1[Durée Massage],MATCH($K22,Tableau1[ID patient],0)),"")</f>
        <v/>
      </c>
      <c r="E22" s="75" t="str">
        <f>IFERROR(INDEX(Tableau1[Mode Paiement],MATCH($K22,Tableau1[ID patient],0)),"")</f>
        <v/>
      </c>
      <c r="F22" s="75" t="str">
        <f>IFERROR(INDEX(Tableau1[montant pourboire],MATCH($K22,Tableau1[ID patient],0)),"")</f>
        <v/>
      </c>
      <c r="G22" s="75" t="str">
        <f>IFERROR(INDEX(Tableau1[Montant PAYÉ REEL],MATCH($K22,Tableau1[ID patient],0)),"")</f>
        <v/>
      </c>
      <c r="H22" s="75" t="str">
        <f>IFERROR(INDEX(Tableau1[Prix chargé masolution],MATCH($K22,Tableau1[ID patient],0)),"")</f>
        <v/>
      </c>
      <c r="I22" s="84" t="str">
        <f>IFERROR(INDEX(Tableau1[Balance due],MATCH($K22,Tableau1[ID patient],0)),"")</f>
        <v/>
      </c>
      <c r="J22" s="55"/>
      <c r="K22" s="68" t="str">
        <f>IFERROR(INDEX(Tableau1[ID patient],SMALL(IF(Tableau1[Facture Associée]=$H$6,ROW($A$1:$A$10)),ROW(A4)),1),"")</f>
        <v/>
      </c>
    </row>
    <row r="23" spans="1:11" ht="15.75">
      <c r="A23" s="55"/>
      <c r="B23" s="83" t="str">
        <f>IFERROR(INDEX(Tableau1[Nom Patients],MATCH($K23,Tableau1[ID patient],0)),"")</f>
        <v/>
      </c>
      <c r="C23" s="74" t="str">
        <f>IFERROR(INDEX(Tableau1[Date massage],MATCH($K23,Tableau1[ID patient],0)),"")</f>
        <v/>
      </c>
      <c r="D23" s="75" t="str">
        <f>IFERROR(INDEX(Tableau1[Durée Massage],MATCH($K23,Tableau1[ID patient],0)),"")</f>
        <v/>
      </c>
      <c r="E23" s="75" t="str">
        <f>IFERROR(INDEX(Tableau1[Mode Paiement],MATCH($K23,Tableau1[ID patient],0)),"")</f>
        <v/>
      </c>
      <c r="F23" s="75" t="str">
        <f>IFERROR(INDEX(Tableau1[montant pourboire],MATCH($K23,Tableau1[ID patient],0)),"")</f>
        <v/>
      </c>
      <c r="G23" s="75" t="str">
        <f>IFERROR(INDEX(Tableau1[Montant PAYÉ REEL],MATCH($K23,Tableau1[ID patient],0)),"")</f>
        <v/>
      </c>
      <c r="H23" s="75" t="str">
        <f>IFERROR(INDEX(Tableau1[Prix chargé masolution],MATCH($K23,Tableau1[ID patient],0)),"")</f>
        <v/>
      </c>
      <c r="I23" s="84" t="str">
        <f>IFERROR(INDEX(Tableau1[Balance due],MATCH($K23,Tableau1[ID patient],0)),"")</f>
        <v/>
      </c>
      <c r="J23" s="55"/>
      <c r="K23" s="68" t="str">
        <f>IFERROR(INDEX(Tableau1[ID patient],SMALL(IF(Tableau1[Facture Associée]=$H$6,ROW($A$1:$A$10)),ROW(A5)),1),"")</f>
        <v/>
      </c>
    </row>
    <row r="24" spans="1:11" ht="15.75">
      <c r="A24" s="55"/>
      <c r="B24" s="83" t="str">
        <f>IFERROR(INDEX(Tableau1[Nom Patients],MATCH($K24,Tableau1[ID patient],0)),"")</f>
        <v/>
      </c>
      <c r="C24" s="74" t="str">
        <f>IFERROR(INDEX(Tableau1[Date massage],MATCH($K24,Tableau1[ID patient],0)),"")</f>
        <v/>
      </c>
      <c r="D24" s="75" t="str">
        <f>IFERROR(INDEX(Tableau1[Durée Massage],MATCH($K24,Tableau1[ID patient],0)),"")</f>
        <v/>
      </c>
      <c r="E24" s="75" t="str">
        <f>IFERROR(INDEX(Tableau1[Mode Paiement],MATCH($K24,Tableau1[ID patient],0)),"")</f>
        <v/>
      </c>
      <c r="F24" s="75" t="str">
        <f>IFERROR(INDEX(Tableau1[montant pourboire],MATCH($K24,Tableau1[ID patient],0)),"")</f>
        <v/>
      </c>
      <c r="G24" s="75" t="str">
        <f>IFERROR(INDEX(Tableau1[Montant PAYÉ REEL],MATCH($K24,Tableau1[ID patient],0)),"")</f>
        <v/>
      </c>
      <c r="H24" s="75" t="str">
        <f>IFERROR(INDEX(Tableau1[Prix chargé masolution],MATCH($K24,Tableau1[ID patient],0)),"")</f>
        <v/>
      </c>
      <c r="I24" s="84" t="str">
        <f>IFERROR(INDEX(Tableau1[Balance due],MATCH($K24,Tableau1[ID patient],0)),"")</f>
        <v/>
      </c>
      <c r="J24" s="55"/>
      <c r="K24" s="68" t="str">
        <f>IFERROR(INDEX(Tableau1[ID patient],SMALL(IF(Tableau1[Facture Associée]=$H$6,ROW($A$1:$A$10)),ROW(A6)),1),"")</f>
        <v/>
      </c>
    </row>
    <row r="25" spans="1:11" ht="15.75">
      <c r="A25" s="55"/>
      <c r="B25" s="83" t="str">
        <f>IFERROR(INDEX(Tableau1[Nom Patients],MATCH($K25,Tableau1[ID patient],0)),"")</f>
        <v/>
      </c>
      <c r="C25" s="74" t="str">
        <f>IFERROR(INDEX(Tableau1[Date massage],MATCH($K25,Tableau1[ID patient],0)),"")</f>
        <v/>
      </c>
      <c r="D25" s="75" t="str">
        <f>IFERROR(INDEX(Tableau1[Durée Massage],MATCH($K25,Tableau1[ID patient],0)),"")</f>
        <v/>
      </c>
      <c r="E25" s="75" t="str">
        <f>IFERROR(INDEX(Tableau1[Mode Paiement],MATCH($K25,Tableau1[ID patient],0)),"")</f>
        <v/>
      </c>
      <c r="F25" s="75" t="str">
        <f>IFERROR(INDEX(Tableau1[montant pourboire],MATCH($K25,Tableau1[ID patient],0)),"")</f>
        <v/>
      </c>
      <c r="G25" s="75" t="str">
        <f>IFERROR(INDEX(Tableau1[Montant PAYÉ REEL],MATCH($K25,Tableau1[ID patient],0)),"")</f>
        <v/>
      </c>
      <c r="H25" s="75" t="str">
        <f>IFERROR(INDEX(Tableau1[Prix chargé masolution],MATCH($K25,Tableau1[ID patient],0)),"")</f>
        <v/>
      </c>
      <c r="I25" s="84" t="str">
        <f>IFERROR(INDEX(Tableau1[Balance due],MATCH($K25,Tableau1[ID patient],0)),"")</f>
        <v/>
      </c>
      <c r="J25" s="55"/>
      <c r="K25" s="68" t="str">
        <f>IFERROR(INDEX(Tableau1[ID patient],SMALL(IF(Tableau1[Facture Associée]=$H$6,ROW($A$1:$A$10)),ROW(A7)),1),"")</f>
        <v/>
      </c>
    </row>
    <row r="26" spans="1:11" ht="15.75">
      <c r="A26" s="55"/>
      <c r="B26" s="83" t="str">
        <f>IFERROR(INDEX(Tableau1[Nom Patients],MATCH($K26,Tableau1[ID patient],0)),"")</f>
        <v/>
      </c>
      <c r="C26" s="74" t="str">
        <f>IFERROR(INDEX(Tableau1[Date massage],MATCH($K26,Tableau1[ID patient],0)),"")</f>
        <v/>
      </c>
      <c r="D26" s="75" t="str">
        <f>IFERROR(INDEX(Tableau1[Durée Massage],MATCH($K26,Tableau1[ID patient],0)),"")</f>
        <v/>
      </c>
      <c r="E26" s="75" t="str">
        <f>IFERROR(INDEX(Tableau1[Mode Paiement],MATCH($K26,Tableau1[ID patient],0)),"")</f>
        <v/>
      </c>
      <c r="F26" s="75" t="str">
        <f>IFERROR(INDEX(Tableau1[montant pourboire],MATCH($K26,Tableau1[ID patient],0)),"")</f>
        <v/>
      </c>
      <c r="G26" s="75" t="str">
        <f>IFERROR(INDEX(Tableau1[Montant PAYÉ REEL],MATCH($K26,Tableau1[ID patient],0)),"")</f>
        <v/>
      </c>
      <c r="H26" s="75" t="str">
        <f>IFERROR(INDEX(Tableau1[Prix chargé masolution],MATCH($K26,Tableau1[ID patient],0)),"")</f>
        <v/>
      </c>
      <c r="I26" s="84" t="str">
        <f>IFERROR(INDEX(Tableau1[Balance due],MATCH($K26,Tableau1[ID patient],0)),"")</f>
        <v/>
      </c>
      <c r="J26" s="55"/>
      <c r="K26" s="68" t="str">
        <f>IFERROR(INDEX(Tableau1[ID patient],SMALL(IF(Tableau1[Facture Associée]=$H$6,ROW($A$1:$A$10)),ROW(A8)),1),"")</f>
        <v/>
      </c>
    </row>
    <row r="27" spans="1:11" ht="15.75">
      <c r="A27" s="55"/>
      <c r="B27" s="83" t="str">
        <f>IFERROR(INDEX(Tableau1[Nom Patients],MATCH($K27,Tableau1[ID patient],0)),"")</f>
        <v/>
      </c>
      <c r="C27" s="74" t="str">
        <f>IFERROR(INDEX(Tableau1[Date massage],MATCH($K27,Tableau1[ID patient],0)),"")</f>
        <v/>
      </c>
      <c r="D27" s="75" t="str">
        <f>IFERROR(INDEX(Tableau1[Durée Massage],MATCH($K27,Tableau1[ID patient],0)),"")</f>
        <v/>
      </c>
      <c r="E27" s="75" t="str">
        <f>IFERROR(INDEX(Tableau1[Mode Paiement],MATCH($K27,Tableau1[ID patient],0)),"")</f>
        <v/>
      </c>
      <c r="F27" s="75" t="str">
        <f>IFERROR(INDEX(Tableau1[montant pourboire],MATCH($K27,Tableau1[ID patient],0)),"")</f>
        <v/>
      </c>
      <c r="G27" s="75" t="str">
        <f>IFERROR(INDEX(Tableau1[Montant PAYÉ REEL],MATCH($K27,Tableau1[ID patient],0)),"")</f>
        <v/>
      </c>
      <c r="H27" s="75" t="str">
        <f>IFERROR(INDEX(Tableau1[Prix chargé masolution],MATCH($K27,Tableau1[ID patient],0)),"")</f>
        <v/>
      </c>
      <c r="I27" s="84" t="str">
        <f>IFERROR(INDEX(Tableau1[Balance due],MATCH($K27,Tableau1[ID patient],0)),"")</f>
        <v/>
      </c>
      <c r="J27" s="55"/>
      <c r="K27" s="68" t="str">
        <f>IFERROR(INDEX(Tableau1[ID patient],SMALL(IF(Tableau1[Facture Associée]=$H$6,ROW($A$1:$A$10)),ROW(A9)),1),"")</f>
        <v/>
      </c>
    </row>
    <row r="28" spans="1:11" ht="15.75">
      <c r="A28" s="55"/>
      <c r="B28" s="83" t="str">
        <f>IFERROR(INDEX(Tableau1[Nom Patients],MATCH($K28,Tableau1[ID patient],0)),"")</f>
        <v/>
      </c>
      <c r="C28" s="74" t="str">
        <f>IFERROR(INDEX(Tableau1[Date massage],MATCH($K28,Tableau1[ID patient],0)),"")</f>
        <v/>
      </c>
      <c r="D28" s="75" t="str">
        <f>IFERROR(INDEX(Tableau1[Durée Massage],MATCH($K28,Tableau1[ID patient],0)),"")</f>
        <v/>
      </c>
      <c r="E28" s="75" t="str">
        <f>IFERROR(INDEX(Tableau1[Mode Paiement],MATCH($K28,Tableau1[ID patient],0)),"")</f>
        <v/>
      </c>
      <c r="F28" s="75" t="str">
        <f>IFERROR(INDEX(Tableau1[montant pourboire],MATCH($K28,Tableau1[ID patient],0)),"")</f>
        <v/>
      </c>
      <c r="G28" s="75" t="str">
        <f>IFERROR(INDEX(Tableau1[Montant PAYÉ REEL],MATCH($K28,Tableau1[ID patient],0)),"")</f>
        <v/>
      </c>
      <c r="H28" s="75" t="str">
        <f>IFERROR(INDEX(Tableau1[Prix chargé masolution],MATCH($K28,Tableau1[ID patient],0)),"")</f>
        <v/>
      </c>
      <c r="I28" s="84" t="str">
        <f>IFERROR(INDEX(Tableau1[Balance due],MATCH($K28,Tableau1[ID patient],0)),"")</f>
        <v/>
      </c>
      <c r="J28" s="55"/>
      <c r="K28" s="68" t="str">
        <f>IFERROR(INDEX(Tableau1[ID patient],SMALL(IF(Tableau1[Facture Associée]=$H$6,ROW($A$1:$A$10)),ROW(A10)),1),"")</f>
        <v/>
      </c>
    </row>
    <row r="29" spans="1:11" ht="15.75">
      <c r="A29" s="55"/>
      <c r="B29" s="83" t="str">
        <f>IFERROR(INDEX(Tableau1[Nom Patients],MATCH($K29,Tableau1[ID patient],0)),"")</f>
        <v/>
      </c>
      <c r="C29" s="74" t="str">
        <f>IFERROR(INDEX(Tableau1[Date massage],MATCH($K29,Tableau1[ID patient],0)),"")</f>
        <v/>
      </c>
      <c r="D29" s="75" t="str">
        <f>IFERROR(INDEX(Tableau1[Durée Massage],MATCH($K29,Tableau1[ID patient],0)),"")</f>
        <v/>
      </c>
      <c r="E29" s="75" t="str">
        <f>IFERROR(INDEX(Tableau1[Mode Paiement],MATCH($K29,Tableau1[ID patient],0)),"")</f>
        <v/>
      </c>
      <c r="F29" s="75" t="str">
        <f>IFERROR(INDEX(Tableau1[montant pourboire],MATCH($K29,Tableau1[ID patient],0)),"")</f>
        <v/>
      </c>
      <c r="G29" s="75" t="str">
        <f>IFERROR(INDEX(Tableau1[Montant PAYÉ REEL],MATCH($K29,Tableau1[ID patient],0)),"")</f>
        <v/>
      </c>
      <c r="H29" s="75" t="str">
        <f>IFERROR(INDEX(Tableau1[Prix chargé masolution],MATCH($K29,Tableau1[ID patient],0)),"")</f>
        <v/>
      </c>
      <c r="I29" s="84" t="str">
        <f>IFERROR(INDEX(Tableau1[Balance due],MATCH($K29,Tableau1[ID patient],0)),"")</f>
        <v/>
      </c>
      <c r="J29" s="55"/>
      <c r="K29" s="68" t="str">
        <f>IFERROR(INDEX(Tableau1[ID patient],SMALL(IF(Tableau1[Facture Associée]=$H$6,ROW($A$1:$A$10)),ROW(A11)),1),"")</f>
        <v/>
      </c>
    </row>
    <row r="30" spans="1:11" ht="15.75">
      <c r="A30" s="55"/>
      <c r="B30" s="83" t="str">
        <f>IFERROR(INDEX(Tableau1[Nom Patients],MATCH($K30,Tableau1[ID patient],0)),"")</f>
        <v/>
      </c>
      <c r="C30" s="74" t="str">
        <f>IFERROR(INDEX(Tableau1[Date massage],MATCH($K30,Tableau1[ID patient],0)),"")</f>
        <v/>
      </c>
      <c r="D30" s="75" t="str">
        <f>IFERROR(INDEX(Tableau1[Durée Massage],MATCH($K30,Tableau1[ID patient],0)),"")</f>
        <v/>
      </c>
      <c r="E30" s="75" t="str">
        <f>IFERROR(INDEX(Tableau1[Mode Paiement],MATCH($K30,Tableau1[ID patient],0)),"")</f>
        <v/>
      </c>
      <c r="F30" s="75" t="str">
        <f>IFERROR(INDEX(Tableau1[montant pourboire],MATCH($K30,Tableau1[ID patient],0)),"")</f>
        <v/>
      </c>
      <c r="G30" s="75" t="str">
        <f>IFERROR(INDEX(Tableau1[Montant PAYÉ REEL],MATCH($K30,Tableau1[ID patient],0)),"")</f>
        <v/>
      </c>
      <c r="H30" s="75" t="str">
        <f>IFERROR(INDEX(Tableau1[Prix chargé masolution],MATCH($K30,Tableau1[ID patient],0)),"")</f>
        <v/>
      </c>
      <c r="I30" s="84" t="str">
        <f>IFERROR(INDEX(Tableau1[Balance due],MATCH($K30,Tableau1[ID patient],0)),"")</f>
        <v/>
      </c>
      <c r="J30" s="55"/>
      <c r="K30" s="68" t="str">
        <f>IFERROR(INDEX(Tableau1[ID patient],SMALL(IF(Tableau1[Facture Associée]=$H$6,ROW($A$1:$A$10)),ROW(A12)),1),"")</f>
        <v/>
      </c>
    </row>
    <row r="31" spans="1:11" ht="15.75">
      <c r="A31" s="55"/>
      <c r="B31" s="83" t="str">
        <f>IFERROR(INDEX(Tableau1[Nom Patients],MATCH($K31,Tableau1[ID patient],0)),"")</f>
        <v/>
      </c>
      <c r="C31" s="74" t="str">
        <f>IFERROR(INDEX(Tableau1[Date massage],MATCH($K31,Tableau1[ID patient],0)),"")</f>
        <v/>
      </c>
      <c r="D31" s="75" t="str">
        <f>IFERROR(INDEX(Tableau1[Durée Massage],MATCH($K31,Tableau1[ID patient],0)),"")</f>
        <v/>
      </c>
      <c r="E31" s="75" t="str">
        <f>IFERROR(INDEX(Tableau1[Mode Paiement],MATCH($K31,Tableau1[ID patient],0)),"")</f>
        <v/>
      </c>
      <c r="F31" s="75" t="str">
        <f>IFERROR(INDEX(Tableau1[montant pourboire],MATCH($K31,Tableau1[ID patient],0)),"")</f>
        <v/>
      </c>
      <c r="G31" s="75" t="str">
        <f>IFERROR(INDEX(Tableau1[Montant PAYÉ REEL],MATCH($K31,Tableau1[ID patient],0)),"")</f>
        <v/>
      </c>
      <c r="H31" s="75" t="str">
        <f>IFERROR(INDEX(Tableau1[Prix chargé masolution],MATCH($K31,Tableau1[ID patient],0)),"")</f>
        <v/>
      </c>
      <c r="I31" s="84" t="str">
        <f>IFERROR(INDEX(Tableau1[Balance due],MATCH($K31,Tableau1[ID patient],0)),"")</f>
        <v/>
      </c>
      <c r="J31" s="55"/>
      <c r="K31" s="68" t="str">
        <f>IFERROR(INDEX(Tableau1[ID patient],SMALL(IF(Tableau1[Facture Associée]=$H$6,ROW($A$1:$A$10)),ROW(A13)),1),"")</f>
        <v/>
      </c>
    </row>
    <row r="32" spans="1:11" ht="15.75">
      <c r="A32" s="55"/>
      <c r="B32" s="83" t="str">
        <f>IFERROR(INDEX(Tableau1[Nom Patients],MATCH($K32,Tableau1[ID patient],0)),"")</f>
        <v/>
      </c>
      <c r="C32" s="74" t="str">
        <f>IFERROR(INDEX(Tableau1[Date massage],MATCH($K32,Tableau1[ID patient],0)),"")</f>
        <v/>
      </c>
      <c r="D32" s="75" t="str">
        <f>IFERROR(INDEX(Tableau1[Durée Massage],MATCH($K32,Tableau1[ID patient],0)),"")</f>
        <v/>
      </c>
      <c r="E32" s="75" t="str">
        <f>IFERROR(INDEX(Tableau1[Mode Paiement],MATCH($K32,Tableau1[ID patient],0)),"")</f>
        <v/>
      </c>
      <c r="F32" s="75" t="str">
        <f>IFERROR(INDEX(Tableau1[montant pourboire],MATCH($K32,Tableau1[ID patient],0)),"")</f>
        <v/>
      </c>
      <c r="G32" s="75" t="str">
        <f>IFERROR(INDEX(Tableau1[Montant PAYÉ REEL],MATCH($K32,Tableau1[ID patient],0)),"")</f>
        <v/>
      </c>
      <c r="H32" s="75" t="str">
        <f>IFERROR(INDEX(Tableau1[Prix chargé masolution],MATCH($K32,Tableau1[ID patient],0)),"")</f>
        <v/>
      </c>
      <c r="I32" s="84" t="str">
        <f>IFERROR(INDEX(Tableau1[Balance due],MATCH($K32,Tableau1[ID patient],0)),"")</f>
        <v/>
      </c>
      <c r="J32" s="55"/>
      <c r="K32" s="68" t="str">
        <f>IFERROR(INDEX(Tableau1[ID patient],SMALL(IF(Tableau1[Facture Associée]=$H$6,ROW($A$1:$A$10)),ROW(A14)),1),"")</f>
        <v/>
      </c>
    </row>
    <row r="33" spans="1:11" ht="15.75">
      <c r="A33" s="55"/>
      <c r="B33" s="83" t="str">
        <f>IFERROR(INDEX(Tableau1[Nom Patients],MATCH($K33,Tableau1[ID patient],0)),"")</f>
        <v/>
      </c>
      <c r="C33" s="74" t="str">
        <f>IFERROR(INDEX(Tableau1[Date massage],MATCH($K33,Tableau1[ID patient],0)),"")</f>
        <v/>
      </c>
      <c r="D33" s="75" t="str">
        <f>IFERROR(INDEX(Tableau1[Durée Massage],MATCH($K33,Tableau1[ID patient],0)),"")</f>
        <v/>
      </c>
      <c r="E33" s="75" t="str">
        <f>IFERROR(INDEX(Tableau1[Mode Paiement],MATCH($K33,Tableau1[ID patient],0)),"")</f>
        <v/>
      </c>
      <c r="F33" s="75" t="str">
        <f>IFERROR(INDEX(Tableau1[montant pourboire],MATCH($K33,Tableau1[ID patient],0)),"")</f>
        <v/>
      </c>
      <c r="G33" s="75" t="str">
        <f>IFERROR(INDEX(Tableau1[Montant PAYÉ REEL],MATCH($K33,Tableau1[ID patient],0)),"")</f>
        <v/>
      </c>
      <c r="H33" s="75" t="str">
        <f>IFERROR(INDEX(Tableau1[Prix chargé masolution],MATCH($K33,Tableau1[ID patient],0)),"")</f>
        <v/>
      </c>
      <c r="I33" s="84" t="str">
        <f>IFERROR(INDEX(Tableau1[Balance due],MATCH($K33,Tableau1[ID patient],0)),"")</f>
        <v/>
      </c>
      <c r="J33" s="55"/>
      <c r="K33" s="68" t="str">
        <f>IFERROR(INDEX(Tableau1[ID patient],SMALL(IF(Tableau1[Facture Associée]=$H$6,ROW($A$1:$A$10)),ROW(A15)),1),"")</f>
        <v/>
      </c>
    </row>
    <row r="34" spans="1:11" ht="15.75">
      <c r="A34" s="55"/>
      <c r="B34" s="83" t="str">
        <f>IFERROR(INDEX(Tableau1[Nom Patients],MATCH($K34,Tableau1[ID patient],0)),"")</f>
        <v/>
      </c>
      <c r="C34" s="74" t="str">
        <f>IFERROR(INDEX(Tableau1[Date massage],MATCH($K34,Tableau1[ID patient],0)),"")</f>
        <v/>
      </c>
      <c r="D34" s="75" t="str">
        <f>IFERROR(INDEX(Tableau1[Durée Massage],MATCH($K34,Tableau1[ID patient],0)),"")</f>
        <v/>
      </c>
      <c r="E34" s="75" t="str">
        <f>IFERROR(INDEX(Tableau1[Mode Paiement],MATCH($K34,Tableau1[ID patient],0)),"")</f>
        <v/>
      </c>
      <c r="F34" s="75" t="str">
        <f>IFERROR(INDEX(Tableau1[montant pourboire],MATCH($K34,Tableau1[ID patient],0)),"")</f>
        <v/>
      </c>
      <c r="G34" s="75" t="str">
        <f>IFERROR(INDEX(Tableau1[Montant PAYÉ REEL],MATCH($K34,Tableau1[ID patient],0)),"")</f>
        <v/>
      </c>
      <c r="H34" s="75" t="str">
        <f>IFERROR(INDEX(Tableau1[Prix chargé masolution],MATCH($K34,Tableau1[ID patient],0)),"")</f>
        <v/>
      </c>
      <c r="I34" s="84" t="str">
        <f>IFERROR(INDEX(Tableau1[Balance due],MATCH($K34,Tableau1[ID patient],0)),"")</f>
        <v/>
      </c>
      <c r="J34" s="55"/>
      <c r="K34" s="68" t="str">
        <f>IFERROR(INDEX(Tableau1[ID patient],SMALL(IF(Tableau1[Facture Associée]=$H$6,ROW($A$1:$A$10)),ROW(A16)),1),"")</f>
        <v/>
      </c>
    </row>
    <row r="35" spans="1:11" ht="15.75">
      <c r="A35" s="55"/>
      <c r="B35" s="83" t="str">
        <f>IFERROR(INDEX(Tableau1[Nom Patients],MATCH($K35,Tableau1[ID patient],0)),"")</f>
        <v/>
      </c>
      <c r="C35" s="74" t="str">
        <f>IFERROR(INDEX(Tableau1[Date massage],MATCH($K35,Tableau1[ID patient],0)),"")</f>
        <v/>
      </c>
      <c r="D35" s="75" t="str">
        <f>IFERROR(INDEX(Tableau1[Durée Massage],MATCH($K35,Tableau1[ID patient],0)),"")</f>
        <v/>
      </c>
      <c r="E35" s="75" t="str">
        <f>IFERROR(INDEX(Tableau1[Mode Paiement],MATCH($K35,Tableau1[ID patient],0)),"")</f>
        <v/>
      </c>
      <c r="F35" s="75" t="str">
        <f>IFERROR(INDEX(Tableau1[montant pourboire],MATCH($K35,Tableau1[ID patient],0)),"")</f>
        <v/>
      </c>
      <c r="G35" s="75" t="str">
        <f>IFERROR(INDEX(Tableau1[Montant PAYÉ REEL],MATCH($K35,Tableau1[ID patient],0)),"")</f>
        <v/>
      </c>
      <c r="H35" s="75" t="str">
        <f>IFERROR(INDEX(Tableau1[Prix chargé masolution],MATCH($K35,Tableau1[ID patient],0)),"")</f>
        <v/>
      </c>
      <c r="I35" s="84" t="str">
        <f>IFERROR(INDEX(Tableau1[Balance due],MATCH($K35,Tableau1[ID patient],0)),"")</f>
        <v/>
      </c>
      <c r="J35" s="55"/>
      <c r="K35" s="68" t="str">
        <f>IFERROR(INDEX(Tableau1[ID patient],SMALL(IF(Tableau1[Facture Associée]=$H$6,ROW($A$1:$A$10)),ROW(A17)),1),"")</f>
        <v/>
      </c>
    </row>
    <row r="36" spans="1:11" ht="15.75">
      <c r="A36" s="55"/>
      <c r="B36" s="83" t="str">
        <f>IFERROR(INDEX(Tableau1[Nom Patients],MATCH($K36,Tableau1[ID patient],0)),"")</f>
        <v/>
      </c>
      <c r="C36" s="74" t="str">
        <f>IFERROR(INDEX(Tableau1[Date massage],MATCH($K36,Tableau1[ID patient],0)),"")</f>
        <v/>
      </c>
      <c r="D36" s="75" t="str">
        <f>IFERROR(INDEX(Tableau1[Durée Massage],MATCH($K36,Tableau1[ID patient],0)),"")</f>
        <v/>
      </c>
      <c r="E36" s="75" t="str">
        <f>IFERROR(INDEX(Tableau1[Mode Paiement],MATCH($K36,Tableau1[ID patient],0)),"")</f>
        <v/>
      </c>
      <c r="F36" s="75" t="str">
        <f>IFERROR(INDEX(Tableau1[montant pourboire],MATCH($K36,Tableau1[ID patient],0)),"")</f>
        <v/>
      </c>
      <c r="G36" s="75" t="str">
        <f>IFERROR(INDEX(Tableau1[Montant PAYÉ REEL],MATCH($K36,Tableau1[ID patient],0)),"")</f>
        <v/>
      </c>
      <c r="H36" s="75" t="str">
        <f>IFERROR(INDEX(Tableau1[Prix chargé masolution],MATCH($K36,Tableau1[ID patient],0)),"")</f>
        <v/>
      </c>
      <c r="I36" s="84" t="str">
        <f>IFERROR(INDEX(Tableau1[Balance due],MATCH($K36,Tableau1[ID patient],0)),"")</f>
        <v/>
      </c>
      <c r="J36" s="55"/>
      <c r="K36" s="68" t="str">
        <f>IFERROR(INDEX(Tableau1[ID patient],SMALL(IF(Tableau1[Facture Associée]=$H$6,ROW($A$1:$A$10)),ROW(A18)),1),"")</f>
        <v/>
      </c>
    </row>
    <row r="37" spans="1:11" ht="15.75">
      <c r="A37" s="55"/>
      <c r="B37" s="83" t="str">
        <f>IFERROR(INDEX(Tableau1[Nom Patients],MATCH($K37,Tableau1[ID patient],0)),"")</f>
        <v/>
      </c>
      <c r="C37" s="74" t="str">
        <f>IFERROR(INDEX(Tableau1[Date massage],MATCH($K37,Tableau1[ID patient],0)),"")</f>
        <v/>
      </c>
      <c r="D37" s="75" t="str">
        <f>IFERROR(INDEX(Tableau1[Durée Massage],MATCH($K37,Tableau1[ID patient],0)),"")</f>
        <v/>
      </c>
      <c r="E37" s="75" t="str">
        <f>IFERROR(INDEX(Tableau1[Mode Paiement],MATCH($K37,Tableau1[ID patient],0)),"")</f>
        <v/>
      </c>
      <c r="F37" s="75" t="str">
        <f>IFERROR(INDEX(Tableau1[montant pourboire],MATCH($K37,Tableau1[ID patient],0)),"")</f>
        <v/>
      </c>
      <c r="G37" s="75" t="str">
        <f>IFERROR(INDEX(Tableau1[Montant PAYÉ REEL],MATCH($K37,Tableau1[ID patient],0)),"")</f>
        <v/>
      </c>
      <c r="H37" s="75" t="str">
        <f>IFERROR(INDEX(Tableau1[Prix chargé masolution],MATCH($K37,Tableau1[ID patient],0)),"")</f>
        <v/>
      </c>
      <c r="I37" s="84" t="str">
        <f>IFERROR(INDEX(Tableau1[Balance due],MATCH($K37,Tableau1[ID patient],0)),"")</f>
        <v/>
      </c>
      <c r="J37" s="55"/>
      <c r="K37" s="68" t="str">
        <f>IFERROR(INDEX(Tableau1[ID patient],SMALL(IF(Tableau1[Facture Associée]=$H$6,ROW($A$1:$A$10)),ROW(A19)),1),"")</f>
        <v/>
      </c>
    </row>
    <row r="38" spans="1:11" ht="16.5" thickBot="1">
      <c r="A38" s="55"/>
      <c r="B38" s="87" t="str">
        <f>IFERROR(INDEX(Tableau1[Nom Patients],MATCH($K38,Tableau1[ID patient],0)),"")</f>
        <v/>
      </c>
      <c r="C38" s="88" t="str">
        <f>IFERROR(INDEX(Tableau1[Date massage],MATCH($K38,Tableau1[ID patient],0)),"")</f>
        <v/>
      </c>
      <c r="D38" s="85" t="str">
        <f>IFERROR(INDEX(Tableau1[Durée Massage],MATCH($K38,Tableau1[ID patient],0)),"")</f>
        <v/>
      </c>
      <c r="E38" s="85" t="str">
        <f>IFERROR(INDEX(Tableau1[Mode Paiement],MATCH($K38,Tableau1[ID patient],0)),"")</f>
        <v/>
      </c>
      <c r="F38" s="85" t="str">
        <f>IFERROR(INDEX(Tableau1[montant pourboire],MATCH($K38,Tableau1[ID patient],0)),"")</f>
        <v/>
      </c>
      <c r="G38" s="85" t="str">
        <f>IFERROR(INDEX(Tableau1[Montant PAYÉ REEL],MATCH($K38,Tableau1[ID patient],0)),"")</f>
        <v/>
      </c>
      <c r="H38" s="85" t="str">
        <f>IFERROR(INDEX(Tableau1[Prix chargé masolution],MATCH($K38,Tableau1[ID patient],0)),"")</f>
        <v/>
      </c>
      <c r="I38" s="86" t="str">
        <f>IFERROR(INDEX(Tableau1[Balance due],MATCH($K38,Tableau1[ID patient],0)),"")</f>
        <v/>
      </c>
      <c r="J38" s="55"/>
      <c r="K38" s="68" t="str">
        <f>IFERROR(INDEX(Tableau1[ID patient],SMALL(IF(Tableau1[Facture Associée]=$H$6,ROW($A$1:$A$10)),ROW(A20)),1),"")</f>
        <v/>
      </c>
    </row>
    <row r="39" spans="1:11" ht="15.75">
      <c r="A39" s="55"/>
      <c r="B39" s="19"/>
      <c r="C39" s="19"/>
      <c r="D39" s="19"/>
      <c r="E39" s="19"/>
      <c r="F39" s="19"/>
      <c r="G39" s="19"/>
      <c r="H39" s="19"/>
      <c r="I39" s="19"/>
      <c r="J39" s="55"/>
    </row>
    <row r="40" spans="1:11" ht="27.75">
      <c r="A40" s="55"/>
      <c r="B40" s="19"/>
      <c r="C40" s="32" t="s">
        <v>82</v>
      </c>
      <c r="D40" s="20">
        <f>SUMIFS(Tableau1[Facture Associée],Tableau1[Client concerné],"=" &amp; H$6)</f>
        <v>0</v>
      </c>
      <c r="E40" s="19"/>
      <c r="F40" s="19"/>
      <c r="G40" s="27" t="s">
        <v>25</v>
      </c>
      <c r="H40" s="64">
        <f>VLOOKUP(H6,Tableau3[#All],5,FALSE)</f>
        <v>0</v>
      </c>
      <c r="I40" s="64"/>
      <c r="J40" s="55"/>
    </row>
    <row r="41" spans="1:11" ht="27.75">
      <c r="A41" s="55"/>
      <c r="B41" s="19"/>
      <c r="C41" s="19"/>
      <c r="D41" s="19"/>
      <c r="E41" s="19"/>
      <c r="F41" s="19"/>
      <c r="G41" s="26" t="s">
        <v>26</v>
      </c>
      <c r="H41" s="64">
        <f>VLOOKUP(H6,Tableau3[],6,FALSE)</f>
        <v>0</v>
      </c>
      <c r="I41" s="64"/>
      <c r="J41" s="55"/>
    </row>
    <row r="42" spans="1:11" ht="27.75">
      <c r="A42" s="55"/>
      <c r="B42" s="19"/>
      <c r="C42" s="19"/>
      <c r="D42" s="19"/>
      <c r="E42" s="19"/>
      <c r="F42" s="19"/>
      <c r="G42" s="27" t="s">
        <v>27</v>
      </c>
      <c r="H42" s="64">
        <f>VLOOKUP(H6,Tableau3[],7,FALSE)</f>
        <v>0</v>
      </c>
      <c r="I42" s="64"/>
      <c r="J42" s="55"/>
    </row>
    <row r="43" spans="1:11">
      <c r="A43" s="55"/>
      <c r="B43" s="55"/>
      <c r="C43" s="55"/>
      <c r="D43" s="55"/>
      <c r="E43" s="55"/>
      <c r="F43" s="55"/>
      <c r="G43" s="55"/>
      <c r="H43" s="55"/>
      <c r="I43" s="55"/>
      <c r="J43" s="55"/>
    </row>
    <row r="44" spans="1:11">
      <c r="A44" s="14"/>
      <c r="B44" s="14"/>
      <c r="C44" s="14"/>
      <c r="D44" s="14"/>
      <c r="E44" s="14"/>
      <c r="F44" s="14"/>
      <c r="G44" s="14"/>
      <c r="H44" s="14"/>
      <c r="I44" s="14"/>
      <c r="J44" s="14"/>
    </row>
    <row r="45" spans="1:11" ht="23.25">
      <c r="A45" s="14"/>
      <c r="B45" s="60" t="s">
        <v>72</v>
      </c>
      <c r="C45" s="60"/>
      <c r="D45" s="60"/>
      <c r="E45" s="60"/>
      <c r="F45" s="14"/>
      <c r="G45" s="14"/>
      <c r="H45" s="14"/>
      <c r="I45" s="14"/>
      <c r="J45" s="14"/>
    </row>
    <row r="46" spans="1:11">
      <c r="A46" s="14"/>
      <c r="B46" s="29" t="s">
        <v>3</v>
      </c>
      <c r="C46" s="29" t="s">
        <v>39</v>
      </c>
      <c r="D46" s="29" t="s">
        <v>24</v>
      </c>
      <c r="E46" s="29" t="s">
        <v>40</v>
      </c>
      <c r="F46" s="29" t="s">
        <v>79</v>
      </c>
      <c r="G46" s="29" t="s">
        <v>80</v>
      </c>
      <c r="H46" s="29" t="s">
        <v>81</v>
      </c>
      <c r="I46" s="29" t="s">
        <v>98</v>
      </c>
      <c r="J46" s="14"/>
    </row>
    <row r="47" spans="1:11">
      <c r="A47" s="14"/>
      <c r="B47" t="s">
        <v>48</v>
      </c>
      <c r="D47" t="s">
        <v>104</v>
      </c>
      <c r="E47" t="s">
        <v>74</v>
      </c>
      <c r="F47" s="50">
        <f>SUMIF(Tableau1[Client concerné],"=" &amp; Tableau3[[#This Row],[No Facture]],Tableau1[KMS FAIT2])</f>
        <v>0</v>
      </c>
      <c r="G47" s="50">
        <f>SUMIF(Tableau1[Client concerné],"=" &amp; Tableau3[[#This Row],[No Facture]],Tableau1[montant pourboire])</f>
        <v>0</v>
      </c>
      <c r="H47" s="50">
        <f>SUMIF(Tableau1[Client concerné],"=" &amp; Tableau3[[#This Row],[No Facture]],Tableau1[Prix chargé masolution])</f>
        <v>0</v>
      </c>
      <c r="I47" s="50">
        <f>SUMIF(Tableau1[Client concerné],"=" &amp; Tableau3[[#This Row],[No Facture]],Tableau1[Montant PAYÉ REEL])</f>
        <v>0</v>
      </c>
      <c r="J47" s="14"/>
    </row>
    <row r="48" spans="1:11">
      <c r="A48" s="14"/>
      <c r="B48" s="28" t="s">
        <v>49</v>
      </c>
      <c r="C48" s="28"/>
      <c r="D48" s="28" t="s">
        <v>105</v>
      </c>
      <c r="E48" s="28" t="s">
        <v>103</v>
      </c>
      <c r="F48" s="52">
        <f>SUMIF(Tableau1[Client concerné],"=" &amp; Tableau3[[#This Row],[No Facture]],Tableau1[KMS FAIT2])</f>
        <v>0</v>
      </c>
      <c r="G48" s="52">
        <f>SUMIF(Tableau1[Client concerné],"=" &amp; Tableau3[[#This Row],[No Facture]],Tableau1[montant pourboire])</f>
        <v>0</v>
      </c>
      <c r="H48" s="50">
        <f>SUMIF(Tableau1[Client concerné],"=" &amp; Tableau3[[#This Row],[No Facture]],Tableau1[Prix chargé masolution])</f>
        <v>0</v>
      </c>
      <c r="I48" s="52">
        <f>SUMIF(Tableau1[Client concerné],"=" &amp; Tableau3[[#This Row],[No Facture]],Tableau1[Montant PAYÉ REEL])</f>
        <v>0</v>
      </c>
      <c r="J48" s="14"/>
    </row>
    <row r="49" spans="1:10">
      <c r="A49" s="14"/>
      <c r="B49" t="s">
        <v>50</v>
      </c>
      <c r="F49" s="52">
        <f>SUMIF(Tableau1[Client concerné],"=" &amp; Tableau3[[#This Row],[No Facture]],Tableau1[KMS FAIT2])</f>
        <v>0</v>
      </c>
      <c r="G49" s="52">
        <f>SUMIF(Tableau1[Client concerné],"=" &amp; Tableau3[[#This Row],[No Facture]],Tableau1[montant pourboire])</f>
        <v>0</v>
      </c>
      <c r="H49" s="50">
        <f>SUMIF(Tableau1[Client concerné],"=" &amp; Tableau3[[#This Row],[No Facture]],Tableau1[Prix chargé masolution])</f>
        <v>0</v>
      </c>
      <c r="I49" s="52">
        <f>SUMIF(Tableau1[Client concerné],"=" &amp; Tableau3[[#This Row],[No Facture]],Tableau1[Montant PAYÉ REEL])</f>
        <v>0</v>
      </c>
      <c r="J49" s="14"/>
    </row>
    <row r="50" spans="1:10">
      <c r="A50" s="14"/>
      <c r="B50" s="28" t="s">
        <v>51</v>
      </c>
      <c r="C50" s="28"/>
      <c r="D50" s="28"/>
      <c r="E50" s="28"/>
      <c r="F50" s="53">
        <f>SUMIF(Tableau1[Client concerné],"=" &amp; Tableau3[[#This Row],[No Facture]],Tableau1[KMS FAIT2])</f>
        <v>0</v>
      </c>
      <c r="G50" s="53">
        <f>SUMIF(Tableau1[Client concerné],"=" &amp; Tableau3[[#This Row],[No Facture]],Tableau1[montant pourboire])</f>
        <v>0</v>
      </c>
      <c r="H50" s="51">
        <f>SUMIF(Tableau1[Client concerné],"=" &amp; Tableau3[[#This Row],[No Facture]],Tableau1[Prix chargé masolution])</f>
        <v>0</v>
      </c>
      <c r="I50" s="53">
        <f>SUMIF(Tableau1[Client concerné],"=" &amp; Tableau3[[#This Row],[No Facture]],Tableau1[Montant PAYÉ REEL])</f>
        <v>0</v>
      </c>
      <c r="J50" s="14"/>
    </row>
    <row r="51" spans="1:10">
      <c r="A51" s="14"/>
      <c r="B51" t="s">
        <v>52</v>
      </c>
      <c r="F51" s="52">
        <f>SUMIF(Tableau1[Client concerné],"=" &amp; Tableau3[[#This Row],[No Facture]],Tableau1[KMS FAIT2])</f>
        <v>0</v>
      </c>
      <c r="G51" s="52">
        <f>SUMIF(Tableau1[Client concerné],"=" &amp; Tableau3[[#This Row],[No Facture]],Tableau1[montant pourboire])</f>
        <v>0</v>
      </c>
      <c r="H51" s="50">
        <f>SUMIF(Tableau1[Client concerné],"=" &amp; Tableau3[[#This Row],[No Facture]],Tableau1[Prix chargé masolution])</f>
        <v>0</v>
      </c>
      <c r="I51" s="52">
        <f>SUMIF(Tableau1[Client concerné],"=" &amp; Tableau3[[#This Row],[No Facture]],Tableau1[Montant PAYÉ REEL])</f>
        <v>0</v>
      </c>
      <c r="J51" s="14"/>
    </row>
    <row r="52" spans="1:10">
      <c r="A52" s="14"/>
      <c r="B52" s="28" t="s">
        <v>53</v>
      </c>
      <c r="C52" s="28"/>
      <c r="D52" s="28"/>
      <c r="E52" s="28"/>
      <c r="F52" s="53">
        <f>SUMIF(Tableau1[Client concerné],"=" &amp; Tableau3[[#This Row],[No Facture]],Tableau1[KMS FAIT2])</f>
        <v>0</v>
      </c>
      <c r="G52" s="53">
        <f>SUMIF(Tableau1[Client concerné],"=" &amp; Tableau3[[#This Row],[No Facture]],Tableau1[montant pourboire])</f>
        <v>0</v>
      </c>
      <c r="H52" s="51">
        <f>SUMIF(Tableau1[Client concerné],"=" &amp; Tableau3[[#This Row],[No Facture]],Tableau1[Prix chargé masolution])</f>
        <v>0</v>
      </c>
      <c r="I52" s="53">
        <f>SUMIF(Tableau1[Client concerné],"=" &amp; Tableau3[[#This Row],[No Facture]],Tableau1[Montant PAYÉ REEL])</f>
        <v>0</v>
      </c>
      <c r="J52" s="14"/>
    </row>
    <row r="53" spans="1:10">
      <c r="A53" s="14"/>
      <c r="B53" t="s">
        <v>54</v>
      </c>
      <c r="F53" s="52">
        <f>SUMIF(Tableau1[Client concerné],"=" &amp; Tableau3[[#This Row],[No Facture]],Tableau1[KMS FAIT2])</f>
        <v>0</v>
      </c>
      <c r="G53" s="52">
        <f>SUMIF(Tableau1[Client concerné],"=" &amp; Tableau3[[#This Row],[No Facture]],Tableau1[montant pourboire])</f>
        <v>0</v>
      </c>
      <c r="H53" s="50">
        <f>SUMIF(Tableau1[Client concerné],"=" &amp; Tableau3[[#This Row],[No Facture]],Tableau1[Prix chargé masolution])</f>
        <v>0</v>
      </c>
      <c r="I53" s="52">
        <f>SUMIF(Tableau1[Client concerné],"=" &amp; Tableau3[[#This Row],[No Facture]],Tableau1[Montant PAYÉ REEL])</f>
        <v>0</v>
      </c>
      <c r="J53" s="14"/>
    </row>
    <row r="54" spans="1:10">
      <c r="A54" s="14"/>
      <c r="B54" s="28" t="s">
        <v>55</v>
      </c>
      <c r="C54" s="28"/>
      <c r="D54" s="28"/>
      <c r="E54" s="28"/>
      <c r="F54" s="53">
        <f>SUMIF(Tableau1[Client concerné],"=" &amp; Tableau3[[#This Row],[No Facture]],Tableau1[KMS FAIT2])</f>
        <v>0</v>
      </c>
      <c r="G54" s="53">
        <f>SUMIF(Tableau1[Client concerné],"=" &amp; Tableau3[[#This Row],[No Facture]],Tableau1[montant pourboire])</f>
        <v>0</v>
      </c>
      <c r="H54" s="51">
        <f>SUMIF(Tableau1[Client concerné],"=" &amp; Tableau3[[#This Row],[No Facture]],Tableau1[Prix chargé masolution])</f>
        <v>0</v>
      </c>
      <c r="I54" s="53">
        <f>SUMIF(Tableau1[Client concerné],"=" &amp; Tableau3[[#This Row],[No Facture]],Tableau1[Montant PAYÉ REEL])</f>
        <v>0</v>
      </c>
      <c r="J54" s="14"/>
    </row>
    <row r="55" spans="1:10">
      <c r="A55" s="14"/>
      <c r="B55" t="s">
        <v>56</v>
      </c>
      <c r="F55" s="52">
        <f>SUMIF(Tableau1[Client concerné],"=" &amp; Tableau3[[#This Row],[No Facture]],Tableau1[KMS FAIT2])</f>
        <v>0</v>
      </c>
      <c r="G55" s="52">
        <f>SUMIF(Tableau1[Client concerné],"=" &amp; Tableau3[[#This Row],[No Facture]],Tableau1[montant pourboire])</f>
        <v>0</v>
      </c>
      <c r="H55" s="50">
        <f>SUMIF(Tableau1[Client concerné],"=" &amp; Tableau3[[#This Row],[No Facture]],Tableau1[Prix chargé masolution])</f>
        <v>0</v>
      </c>
      <c r="I55" s="52">
        <f>SUMIF(Tableau1[Client concerné],"=" &amp; Tableau3[[#This Row],[No Facture]],Tableau1[Montant PAYÉ REEL])</f>
        <v>0</v>
      </c>
      <c r="J55" s="14"/>
    </row>
    <row r="56" spans="1:10">
      <c r="A56" s="14"/>
      <c r="B56" s="28" t="s">
        <v>57</v>
      </c>
      <c r="C56" s="28"/>
      <c r="D56" s="28"/>
      <c r="E56" s="28"/>
      <c r="F56" s="53">
        <f>SUMIF(Tableau1[Client concerné],"=" &amp; Tableau3[[#This Row],[No Facture]],Tableau1[KMS FAIT2])</f>
        <v>0</v>
      </c>
      <c r="G56" s="53">
        <f>SUMIF(Tableau1[Client concerné],"=" &amp; Tableau3[[#This Row],[No Facture]],Tableau1[montant pourboire])</f>
        <v>0</v>
      </c>
      <c r="H56" s="51">
        <f>SUMIF(Tableau1[Client concerné],"=" &amp; Tableau3[[#This Row],[No Facture]],Tableau1[Prix chargé masolution])</f>
        <v>0</v>
      </c>
      <c r="I56" s="53">
        <f>SUMIF(Tableau1[Client concerné],"=" &amp; Tableau3[[#This Row],[No Facture]],Tableau1[Montant PAYÉ REEL])</f>
        <v>0</v>
      </c>
      <c r="J56" s="14"/>
    </row>
    <row r="57" spans="1:10">
      <c r="A57" s="14"/>
      <c r="B57" t="s">
        <v>58</v>
      </c>
      <c r="F57" s="52">
        <f>SUMIF(Tableau1[Client concerné],"=" &amp; Tableau3[[#This Row],[No Facture]],Tableau1[KMS FAIT2])</f>
        <v>0</v>
      </c>
      <c r="G57" s="52">
        <f>SUMIF(Tableau1[Client concerné],"=" &amp; Tableau3[[#This Row],[No Facture]],Tableau1[montant pourboire])</f>
        <v>0</v>
      </c>
      <c r="H57" s="50">
        <f>SUMIF(Tableau1[Client concerné],"=" &amp; Tableau3[[#This Row],[No Facture]],Tableau1[Prix chargé masolution])</f>
        <v>0</v>
      </c>
      <c r="I57" s="52">
        <f>SUMIF(Tableau1[Client concerné],"=" &amp; Tableau3[[#This Row],[No Facture]],Tableau1[Montant PAYÉ REEL])</f>
        <v>0</v>
      </c>
      <c r="J57" s="14"/>
    </row>
    <row r="58" spans="1:10">
      <c r="A58" s="14"/>
      <c r="B58" s="28" t="s">
        <v>59</v>
      </c>
      <c r="F58" s="52">
        <f>SUMIF(Tableau1[Client concerné],"=" &amp; Tableau3[[#This Row],[No Facture]],Tableau1[KMS FAIT2])</f>
        <v>0</v>
      </c>
      <c r="G58" s="52">
        <f>SUMIF(Tableau1[Client concerné],"=" &amp; Tableau3[[#This Row],[No Facture]],Tableau1[montant pourboire])</f>
        <v>0</v>
      </c>
      <c r="H58" s="50">
        <f>SUMIF(Tableau1[Client concerné],"=" &amp; Tableau3[[#This Row],[No Facture]],Tableau1[Prix chargé masolution])</f>
        <v>0</v>
      </c>
      <c r="I58" s="52">
        <f>SUMIF(Tableau1[Client concerné],"=" &amp; Tableau3[[#This Row],[No Facture]],Tableau1[Montant PAYÉ REEL])</f>
        <v>0</v>
      </c>
      <c r="J58" s="14"/>
    </row>
    <row r="59" spans="1:10">
      <c r="A59" s="14"/>
      <c r="B59" t="s">
        <v>60</v>
      </c>
      <c r="F59" s="52">
        <f>SUMIF(Tableau1[Client concerné],"=" &amp; Tableau3[[#This Row],[No Facture]],Tableau1[KMS FAIT2])</f>
        <v>0</v>
      </c>
      <c r="G59" s="52">
        <f>SUMIF(Tableau1[Client concerné],"=" &amp; Tableau3[[#This Row],[No Facture]],Tableau1[montant pourboire])</f>
        <v>0</v>
      </c>
      <c r="H59" s="50">
        <f>SUMIF(Tableau1[Client concerné],"=" &amp; Tableau3[[#This Row],[No Facture]],Tableau1[Prix chargé masolution])</f>
        <v>0</v>
      </c>
      <c r="I59" s="52">
        <f>SUMIF(Tableau1[Client concerné],"=" &amp; Tableau3[[#This Row],[No Facture]],Tableau1[Montant PAYÉ REEL])</f>
        <v>0</v>
      </c>
      <c r="J59" s="14"/>
    </row>
    <row r="60" spans="1:10">
      <c r="A60" s="14"/>
      <c r="B60" s="28" t="s">
        <v>61</v>
      </c>
      <c r="F60" s="52">
        <f>SUMIF(Tableau1[Client concerné],"=" &amp; Tableau3[[#This Row],[No Facture]],Tableau1[KMS FAIT2])</f>
        <v>0</v>
      </c>
      <c r="G60" s="52">
        <f>SUMIF(Tableau1[Client concerné],"=" &amp; Tableau3[[#This Row],[No Facture]],Tableau1[montant pourboire])</f>
        <v>0</v>
      </c>
      <c r="H60" s="50">
        <f>SUMIF(Tableau1[Client concerné],"=" &amp; Tableau3[[#This Row],[No Facture]],Tableau1[Prix chargé masolution])</f>
        <v>0</v>
      </c>
      <c r="I60" s="52">
        <f>SUMIF(Tableau1[Client concerné],"=" &amp; Tableau3[[#This Row],[No Facture]],Tableau1[Montant PAYÉ REEL])</f>
        <v>0</v>
      </c>
      <c r="J60" s="14"/>
    </row>
    <row r="61" spans="1:10">
      <c r="A61" s="14"/>
      <c r="B61" t="s">
        <v>62</v>
      </c>
      <c r="F61" s="52">
        <f>SUMIF(Tableau1[Client concerné],"=" &amp; Tableau3[[#This Row],[No Facture]],Tableau1[KMS FAIT2])</f>
        <v>0</v>
      </c>
      <c r="G61" s="52">
        <f>SUMIF(Tableau1[Client concerné],"=" &amp; Tableau3[[#This Row],[No Facture]],Tableau1[montant pourboire])</f>
        <v>0</v>
      </c>
      <c r="H61" s="50">
        <f>SUMIF(Tableau1[Client concerné],"=" &amp; Tableau3[[#This Row],[No Facture]],Tableau1[Prix chargé masolution])</f>
        <v>0</v>
      </c>
      <c r="I61" s="52">
        <f>SUMIF(Tableau1[Client concerné],"=" &amp; Tableau3[[#This Row],[No Facture]],Tableau1[Montant PAYÉ REEL])</f>
        <v>0</v>
      </c>
      <c r="J61" s="14"/>
    </row>
    <row r="62" spans="1:10">
      <c r="A62" s="14"/>
      <c r="B62" s="28" t="s">
        <v>63</v>
      </c>
      <c r="F62" s="52">
        <f>SUMIF(Tableau1[Client concerné],"=" &amp; Tableau3[[#This Row],[No Facture]],Tableau1[KMS FAIT2])</f>
        <v>0</v>
      </c>
      <c r="G62" s="52">
        <f>SUMIF(Tableau1[Client concerné],"=" &amp; Tableau3[[#This Row],[No Facture]],Tableau1[montant pourboire])</f>
        <v>0</v>
      </c>
      <c r="H62" s="50">
        <f>SUMIF(Tableau1[Client concerné],"=" &amp; Tableau3[[#This Row],[No Facture]],Tableau1[Prix chargé masolution])</f>
        <v>0</v>
      </c>
      <c r="I62" s="52">
        <f>SUMIF(Tableau1[Client concerné],"=" &amp; Tableau3[[#This Row],[No Facture]],Tableau1[Montant PAYÉ REEL])</f>
        <v>0</v>
      </c>
      <c r="J62" s="14"/>
    </row>
    <row r="63" spans="1:10">
      <c r="A63" s="14"/>
      <c r="B63" t="s">
        <v>64</v>
      </c>
      <c r="F63" s="52">
        <f>SUMIF(Tableau1[Client concerné],"=" &amp; Tableau3[[#This Row],[No Facture]],Tableau1[KMS FAIT2])</f>
        <v>0</v>
      </c>
      <c r="G63" s="52">
        <f>SUMIF(Tableau1[Client concerné],"=" &amp; Tableau3[[#This Row],[No Facture]],Tableau1[montant pourboire])</f>
        <v>0</v>
      </c>
      <c r="H63" s="50">
        <f>SUMIF(Tableau1[Client concerné],"=" &amp; Tableau3[[#This Row],[No Facture]],Tableau1[Prix chargé masolution])</f>
        <v>0</v>
      </c>
      <c r="I63" s="52">
        <f>SUMIF(Tableau1[Client concerné],"=" &amp; Tableau3[[#This Row],[No Facture]],Tableau1[Montant PAYÉ REEL])</f>
        <v>0</v>
      </c>
      <c r="J63" s="14"/>
    </row>
    <row r="64" spans="1:10">
      <c r="A64" s="14"/>
      <c r="B64" s="28" t="s">
        <v>65</v>
      </c>
      <c r="F64" s="52">
        <f>SUMIF(Tableau1[Client concerné],"=" &amp; Tableau3[[#This Row],[No Facture]],Tableau1[KMS FAIT2])</f>
        <v>0</v>
      </c>
      <c r="G64" s="52">
        <f>SUMIF(Tableau1[Client concerné],"=" &amp; Tableau3[[#This Row],[No Facture]],Tableau1[montant pourboire])</f>
        <v>0</v>
      </c>
      <c r="H64" s="50">
        <f>SUMIF(Tableau1[Client concerné],"=" &amp; Tableau3[[#This Row],[No Facture]],Tableau1[Prix chargé masolution])</f>
        <v>0</v>
      </c>
      <c r="I64" s="52">
        <f>SUMIF(Tableau1[Client concerné],"=" &amp; Tableau3[[#This Row],[No Facture]],Tableau1[Montant PAYÉ REEL])</f>
        <v>0</v>
      </c>
      <c r="J64" s="14"/>
    </row>
    <row r="65" spans="1:16">
      <c r="A65" s="14"/>
      <c r="B65" t="s">
        <v>66</v>
      </c>
      <c r="F65" s="52">
        <f>SUMIF(Tableau1[Client concerné],"=" &amp; Tableau3[[#This Row],[No Facture]],Tableau1[KMS FAIT2])</f>
        <v>0</v>
      </c>
      <c r="G65" s="52">
        <f>SUMIF(Tableau1[Client concerné],"=" &amp; Tableau3[[#This Row],[No Facture]],Tableau1[montant pourboire])</f>
        <v>0</v>
      </c>
      <c r="H65" s="50">
        <f>SUMIF(Tableau1[Client concerné],"=" &amp; Tableau3[[#This Row],[No Facture]],Tableau1[Prix chargé masolution])</f>
        <v>0</v>
      </c>
      <c r="I65" s="52">
        <f>SUMIF(Tableau1[Client concerné],"=" &amp; Tableau3[[#This Row],[No Facture]],Tableau1[Montant PAYÉ REEL])</f>
        <v>0</v>
      </c>
      <c r="J65" s="14"/>
    </row>
    <row r="66" spans="1:16">
      <c r="A66" s="14"/>
      <c r="B66" s="28" t="s">
        <v>67</v>
      </c>
      <c r="F66" s="52">
        <f>SUMIF(Tableau1[Client concerné],"=" &amp; Tableau3[[#This Row],[No Facture]],Tableau1[KMS FAIT2])</f>
        <v>0</v>
      </c>
      <c r="G66" s="52">
        <f>SUMIF(Tableau1[Client concerné],"=" &amp; Tableau3[[#This Row],[No Facture]],Tableau1[montant pourboire])</f>
        <v>0</v>
      </c>
      <c r="H66" s="50">
        <f>SUMIF(Tableau1[Client concerné],"=" &amp; Tableau3[[#This Row],[No Facture]],Tableau1[Prix chargé masolution])</f>
        <v>0</v>
      </c>
      <c r="I66" s="52">
        <f>SUMIF(Tableau1[Client concerné],"=" &amp; Tableau3[[#This Row],[No Facture]],Tableau1[Montant PAYÉ REEL])</f>
        <v>0</v>
      </c>
      <c r="J66" s="14"/>
    </row>
    <row r="67" spans="1:16">
      <c r="A67" s="14"/>
      <c r="B67" t="s">
        <v>68</v>
      </c>
      <c r="F67" s="52">
        <f>SUMIF(Tableau1[Client concerné],"=" &amp; Tableau3[[#This Row],[No Facture]],Tableau1[KMS FAIT2])</f>
        <v>0</v>
      </c>
      <c r="G67" s="52">
        <f>SUMIF(Tableau1[Client concerné],"=" &amp; Tableau3[[#This Row],[No Facture]],Tableau1[montant pourboire])</f>
        <v>0</v>
      </c>
      <c r="H67" s="50">
        <f>SUMIF(Tableau1[Client concerné],"=" &amp; Tableau3[[#This Row],[No Facture]],Tableau1[Prix chargé masolution])</f>
        <v>0</v>
      </c>
      <c r="I67" s="52">
        <f>SUMIF(Tableau1[Client concerné],"=" &amp; Tableau3[[#This Row],[No Facture]],Tableau1[Montant PAYÉ REEL])</f>
        <v>0</v>
      </c>
      <c r="J67" s="14"/>
      <c r="N67" s="89"/>
    </row>
    <row r="68" spans="1:16">
      <c r="A68" s="14"/>
      <c r="B68" s="28" t="s">
        <v>69</v>
      </c>
      <c r="F68" s="52">
        <f>SUMIF(Tableau1[Client concerné],"=" &amp; Tableau3[[#This Row],[No Facture]],Tableau1[KMS FAIT2])</f>
        <v>0</v>
      </c>
      <c r="G68" s="52">
        <f>SUMIF(Tableau1[Client concerné],"=" &amp; Tableau3[[#This Row],[No Facture]],Tableau1[montant pourboire])</f>
        <v>0</v>
      </c>
      <c r="H68" s="50">
        <f>SUMIF(Tableau1[Client concerné],"=" &amp; Tableau3[[#This Row],[No Facture]],Tableau1[Prix chargé masolution])</f>
        <v>0</v>
      </c>
      <c r="I68" s="52">
        <f>SUMIF(Tableau1[Client concerné],"=" &amp; Tableau3[[#This Row],[No Facture]],Tableau1[Montant PAYÉ REEL])</f>
        <v>0</v>
      </c>
      <c r="J68" s="14"/>
      <c r="N68" s="89"/>
    </row>
    <row r="69" spans="1:16">
      <c r="A69" s="14"/>
      <c r="B69" t="s">
        <v>70</v>
      </c>
      <c r="F69" s="52">
        <f>SUMIF(Tableau1[Client concerné],"=" &amp; Tableau3[[#This Row],[No Facture]],Tableau1[KMS FAIT2])</f>
        <v>0</v>
      </c>
      <c r="G69" s="52">
        <f>SUMIF(Tableau1[Client concerné],"=" &amp; Tableau3[[#This Row],[No Facture]],Tableau1[montant pourboire])</f>
        <v>0</v>
      </c>
      <c r="H69" s="50">
        <f>SUMIF(Tableau1[Client concerné],"=" &amp; Tableau3[[#This Row],[No Facture]],Tableau1[Prix chargé masolution])</f>
        <v>0</v>
      </c>
      <c r="I69" s="52">
        <f>SUMIF(Tableau1[Client concerné],"=" &amp; Tableau3[[#This Row],[No Facture]],Tableau1[Montant PAYÉ REEL])</f>
        <v>0</v>
      </c>
      <c r="J69" s="14"/>
      <c r="N69" s="89"/>
    </row>
    <row r="70" spans="1:16">
      <c r="A70" s="14"/>
      <c r="B70" s="28" t="s">
        <v>71</v>
      </c>
      <c r="F70" s="52">
        <f>SUMIF(Tableau1[Client concerné],"=" &amp; Tableau3[[#This Row],[No Facture]],Tableau1[KMS FAIT2])</f>
        <v>0</v>
      </c>
      <c r="G70" s="52">
        <f>SUMIF(Tableau1[Client concerné],"=" &amp; Tableau3[[#This Row],[No Facture]],Tableau1[montant pourboire])</f>
        <v>0</v>
      </c>
      <c r="H70" s="50">
        <f>SUMIF(Tableau1[Client concerné],"=" &amp; Tableau3[[#This Row],[No Facture]],Tableau1[Prix chargé masolution])</f>
        <v>0</v>
      </c>
      <c r="I70" s="52">
        <f>SUMIF(Tableau1[Client concerné],"=" &amp; Tableau3[[#This Row],[No Facture]],Tableau1[Montant PAYÉ REEL])</f>
        <v>0</v>
      </c>
      <c r="J70" s="14"/>
      <c r="N70" s="89"/>
    </row>
    <row r="71" spans="1:16">
      <c r="A71" s="14"/>
      <c r="B71" s="14"/>
      <c r="C71" s="14"/>
      <c r="D71" s="14"/>
      <c r="E71" s="14"/>
      <c r="F71" s="14"/>
      <c r="G71" s="14"/>
      <c r="H71" s="14"/>
      <c r="I71" s="14"/>
      <c r="J71" s="14"/>
      <c r="N71" s="89"/>
    </row>
    <row r="72" spans="1:16">
      <c r="A72" s="14"/>
      <c r="B72" s="14"/>
      <c r="C72" s="14"/>
      <c r="D72" s="14"/>
      <c r="E72" s="14"/>
      <c r="F72" s="14"/>
      <c r="G72" s="14"/>
      <c r="H72" s="14"/>
      <c r="I72" s="14"/>
      <c r="J72" s="14"/>
      <c r="N72" s="89"/>
    </row>
    <row r="73" spans="1:16">
      <c r="M73" s="89"/>
      <c r="N73" s="89"/>
      <c r="O73" s="89"/>
    </row>
    <row r="74" spans="1:16" ht="21">
      <c r="B74" s="61" t="s">
        <v>73</v>
      </c>
      <c r="C74" s="61"/>
      <c r="D74" s="61"/>
      <c r="E74" s="61"/>
      <c r="F74" s="61"/>
      <c r="G74" s="61"/>
      <c r="H74" s="61"/>
      <c r="I74" s="61"/>
      <c r="J74" s="61"/>
      <c r="K74" s="61"/>
      <c r="N74" s="89"/>
    </row>
    <row r="75" spans="1:16" ht="31.5">
      <c r="B75" t="s">
        <v>29</v>
      </c>
      <c r="C75" t="s">
        <v>7</v>
      </c>
      <c r="D75" t="s">
        <v>5</v>
      </c>
      <c r="E75" s="18" t="s">
        <v>6</v>
      </c>
      <c r="F75" t="s">
        <v>35</v>
      </c>
      <c r="G75" s="33" t="s">
        <v>33</v>
      </c>
      <c r="H75" s="33" t="s">
        <v>8</v>
      </c>
      <c r="I75" s="33" t="s">
        <v>102</v>
      </c>
      <c r="J75" s="71" t="s">
        <v>101</v>
      </c>
      <c r="K75" s="18" t="s">
        <v>15</v>
      </c>
      <c r="L75" t="s">
        <v>9</v>
      </c>
      <c r="M75" t="s">
        <v>32</v>
      </c>
      <c r="N75" t="s">
        <v>34</v>
      </c>
      <c r="O75" t="s">
        <v>31</v>
      </c>
      <c r="P75" t="s">
        <v>38</v>
      </c>
    </row>
    <row r="76" spans="1:16" ht="15.75">
      <c r="B76">
        <v>1</v>
      </c>
      <c r="C76" t="str">
        <f>VLOOKUP(Tableau1[[#This Row],[ID patient]],'Import Site'!$B$1:$K$1500,3,FALSE)</f>
        <v>patient 1</v>
      </c>
      <c r="D76" s="30">
        <f>VLOOKUP(Tableau1[[#This Row],[ID patient]],'Import Site'!$B$1:$K$1500,2,FALSE)</f>
        <v>43517</v>
      </c>
      <c r="E76" t="str">
        <f>IF(Tableau1[[#This Row],[Nom Patients]]&gt;0,VLOOKUP(Tableau1[[#This Row],[Prix payé]],CONFIG!B$4:D$12,2,FALSE),"")</f>
        <v>60 Minutes</v>
      </c>
      <c r="F76" s="48">
        <f>VLOOKUP(Tableau1[[#This Row],[ID patient]],'Import Site'!$B$1:$K$1500,5,FALSE)</f>
        <v>80</v>
      </c>
      <c r="G76" s="31" t="s">
        <v>89</v>
      </c>
      <c r="H76" s="54"/>
      <c r="I76" s="73">
        <v>150</v>
      </c>
      <c r="J76" s="72"/>
      <c r="K76" s="47">
        <f>IF(Tableau1[[#This Row],[Nom Patients]]&gt;0,VLOOKUP(Tableau1[[#This Row],[Prix payé]],CONFIG!B$4:D$12,3,FALSE),"")</f>
        <v>50</v>
      </c>
      <c r="L76" s="48">
        <f>IF(Tableau1[[#This Row],[Mode Paiement]]=CONFIG!$I$6,((Tableau1[[#This Row],[Prix payé]]-Tableau1[[#This Row],[Prix chargé masolution]])*-1),Tableau1[[#This Row],[Prix chargé masolution]]+Tableau1[[#This Row],[montant pourboire]])</f>
        <v>-30</v>
      </c>
      <c r="M76" t="str">
        <f>IF(Tableau1[[#This Row],[Facture Associée]]&gt;0,VLOOKUP(Tableau1[[#This Row],[Facture Associée]],Tableau3[#All],3,FALSE),"")</f>
        <v xml:space="preserve">semaine 1 </v>
      </c>
      <c r="N76" t="str">
        <f>IF(Tableau1[[#This Row],[Facture Associée]]&gt;0,VLOOKUP(Tableau1[[#This Row],[Facture Associée]],Tableau3[#All],4,FALSE),"")</f>
        <v>Masolution</v>
      </c>
      <c r="O76" s="37" t="s">
        <v>48</v>
      </c>
      <c r="P76" s="15">
        <f>IF(Tableau1[[#This Row],[Facture Associée]]&gt;0,1,"")</f>
        <v>1</v>
      </c>
    </row>
    <row r="77" spans="1:16" ht="15.75">
      <c r="B77">
        <v>2</v>
      </c>
      <c r="C77" t="str">
        <f>VLOOKUP(Tableau1[[#This Row],[ID patient]],'Import Site'!$B$1:$K$1500,3,FALSE)</f>
        <v>patient 2</v>
      </c>
      <c r="D77" s="30">
        <f>VLOOKUP(Tableau1[[#This Row],[ID patient]],'Import Site'!$B$1:$K$1500,2,FALSE)</f>
        <v>43517</v>
      </c>
      <c r="E77" t="str">
        <f>IF(Tableau1[[#This Row],[Nom Patients]]&gt;0,VLOOKUP(Tableau1[[#This Row],[Prix payé]],CONFIG!B$4:D$12,2,FALSE),"")</f>
        <v>60 Minutes</v>
      </c>
      <c r="F77" s="48">
        <f>VLOOKUP(Tableau1[[#This Row],[ID patient]],'Import Site'!$B$1:$K$1500,5,FALSE)</f>
        <v>80</v>
      </c>
      <c r="G77" s="31" t="s">
        <v>89</v>
      </c>
      <c r="H77" s="54">
        <v>5</v>
      </c>
      <c r="I77" s="73">
        <v>100</v>
      </c>
      <c r="J77" s="72"/>
      <c r="K77" s="70">
        <f>IF(Tableau1[[#This Row],[Nom Patients]]&gt;0,VLOOKUP(Tableau1[[#This Row],[Prix payé]],CONFIG!B$4:D$12,3,FALSE),"")</f>
        <v>50</v>
      </c>
      <c r="L77" s="52">
        <f>IF(Tableau1[[#This Row],[Mode Paiement]]=CONFIG!$I$6,((Tableau1[[#This Row],[Prix payé]]-Tableau1[[#This Row],[Prix chargé masolution]])*-1),Tableau1[[#This Row],[Prix chargé masolution]]+Tableau1[[#This Row],[montant pourboire]])</f>
        <v>-30</v>
      </c>
      <c r="M77" s="15" t="str">
        <f>IF(Tableau1[[#This Row],[Facture Associée]]&gt;0,VLOOKUP(Tableau1[[#This Row],[Facture Associée]],Tableau3[#All],3,FALSE),"")</f>
        <v xml:space="preserve">semaine 1 </v>
      </c>
      <c r="N77" t="str">
        <f>IF(Tableau1[[#This Row],[Facture Associée]]&gt;0,VLOOKUP(Tableau1[[#This Row],[Facture Associée]],Tableau3[#All],4,FALSE),"")</f>
        <v>Masolution</v>
      </c>
      <c r="O77" s="37" t="s">
        <v>48</v>
      </c>
      <c r="P77" s="15">
        <f>IF(Tableau1[[#This Row],[Facture Associée]]&gt;0,1,"")</f>
        <v>1</v>
      </c>
    </row>
    <row r="78" spans="1:16" ht="15.75">
      <c r="B78">
        <v>3</v>
      </c>
      <c r="C78" t="str">
        <f>VLOOKUP(Tableau1[[#This Row],[ID patient]],'Import Site'!$B$1:$K$1500,3,FALSE)</f>
        <v>patient 3</v>
      </c>
      <c r="D78" s="30">
        <f>VLOOKUP(Tableau1[[#This Row],[ID patient]],'Import Site'!$B$1:$K$1500,2,FALSE)</f>
        <v>43504</v>
      </c>
      <c r="E78" t="str">
        <f>IF(Tableau1[[#This Row],[Nom Patients]]&gt;0,VLOOKUP(Tableau1[[#This Row],[Prix payé]],CONFIG!B$4:D$12,2,FALSE),"")</f>
        <v>60 Minutes</v>
      </c>
      <c r="F78" s="48">
        <f>VLOOKUP(Tableau1[[#This Row],[ID patient]],'Import Site'!$B$1:$K$1500,5,FALSE)</f>
        <v>80</v>
      </c>
      <c r="G78" s="31" t="s">
        <v>90</v>
      </c>
      <c r="H78" s="54">
        <v>5</v>
      </c>
      <c r="I78" s="73"/>
      <c r="J78" s="72"/>
      <c r="K78" s="70">
        <f>IF(Tableau1[[#This Row],[Nom Patients]]&gt;0,VLOOKUP(Tableau1[[#This Row],[Prix payé]],CONFIG!B$4:D$12,3,FALSE),"")</f>
        <v>50</v>
      </c>
      <c r="L78" s="52">
        <f>IF(Tableau1[[#This Row],[Mode Paiement]]=CONFIG!$I$6,((Tableau1[[#This Row],[Prix payé]]-Tableau1[[#This Row],[Prix chargé masolution]])*-1),Tableau1[[#This Row],[Prix chargé masolution]]+Tableau1[[#This Row],[montant pourboire]])</f>
        <v>55</v>
      </c>
      <c r="M78" s="15" t="str">
        <f>IF(Tableau1[[#This Row],[Facture Associée]]&gt;0,VLOOKUP(Tableau1[[#This Row],[Facture Associée]],Tableau3[#All],3,FALSE),"")</f>
        <v xml:space="preserve">semaine 1 </v>
      </c>
      <c r="N78" t="str">
        <f>IF(Tableau1[[#This Row],[Facture Associée]]&gt;0,VLOOKUP(Tableau1[[#This Row],[Facture Associée]],Tableau3[#All],4,FALSE),"")</f>
        <v>Masolution</v>
      </c>
      <c r="O78" s="37" t="s">
        <v>48</v>
      </c>
      <c r="P78" s="15">
        <f>IF(Tableau1[[#This Row],[Facture Associée]]&gt;0,1,"")</f>
        <v>1</v>
      </c>
    </row>
    <row r="79" spans="1:16" ht="15.75">
      <c r="B79">
        <v>4</v>
      </c>
      <c r="C79" t="str">
        <f>VLOOKUP(Tableau1[[#This Row],[ID patient]],'Import Site'!$B$1:$K$1500,3,FALSE)</f>
        <v>patient 4</v>
      </c>
      <c r="D79" s="30">
        <f>VLOOKUP(Tableau1[[#This Row],[ID patient]],'Import Site'!$B$1:$K$1500,2,FALSE)</f>
        <v>43489</v>
      </c>
      <c r="E79" t="str">
        <f>IF(Tableau1[[#This Row],[Nom Patients]]&gt;0,VLOOKUP(Tableau1[[#This Row],[Prix payé]],CONFIG!B$4:D$12,2,FALSE),"")</f>
        <v>60 Minutes</v>
      </c>
      <c r="F79" s="48">
        <f>VLOOKUP(Tableau1[[#This Row],[ID patient]],'Import Site'!$B$1:$K$1500,5,FALSE)</f>
        <v>80</v>
      </c>
      <c r="G79" s="31"/>
      <c r="H79" s="54"/>
      <c r="I79" s="73"/>
      <c r="J79" s="72"/>
      <c r="K79" s="70">
        <f>IF(Tableau1[[#This Row],[Nom Patients]]&gt;0,VLOOKUP(Tableau1[[#This Row],[Prix payé]],CONFIG!B$4:D$12,3,FALSE),"")</f>
        <v>50</v>
      </c>
      <c r="L79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79" s="15" t="str">
        <f>IF(Tableau1[[#This Row],[Facture Associée]]&gt;0,VLOOKUP(Tableau1[[#This Row],[Facture Associée]],Tableau3[#All],3,FALSE),"")</f>
        <v xml:space="preserve">semaine 1 </v>
      </c>
      <c r="N79" t="str">
        <f>IF(Tableau1[[#This Row],[Facture Associée]]&gt;0,VLOOKUP(Tableau1[[#This Row],[Facture Associée]],Tableau3[#All],4,FALSE),"")</f>
        <v>Masolution</v>
      </c>
      <c r="O79" s="37" t="s">
        <v>48</v>
      </c>
      <c r="P79" s="15">
        <f>IF(Tableau1[[#This Row],[Facture Associée]]&gt;0,1,"")</f>
        <v>1</v>
      </c>
    </row>
    <row r="80" spans="1:16" ht="15.75">
      <c r="B80">
        <v>5</v>
      </c>
      <c r="C80" t="str">
        <f>VLOOKUP(Tableau1[[#This Row],[ID patient]],'Import Site'!$B$1:$K$1500,3,FALSE)</f>
        <v>patient 5</v>
      </c>
      <c r="D80" s="30">
        <f>VLOOKUP(Tableau1[[#This Row],[ID patient]],'Import Site'!$B$1:$K$1500,2,FALSE)</f>
        <v>43489</v>
      </c>
      <c r="E80" t="str">
        <f>IF(Tableau1[[#This Row],[Nom Patients]]&gt;0,VLOOKUP(Tableau1[[#This Row],[Prix payé]],CONFIG!B$4:D$12,2,FALSE),"")</f>
        <v>60 Minutes</v>
      </c>
      <c r="F80" s="48">
        <f>VLOOKUP(Tableau1[[#This Row],[ID patient]],'Import Site'!$B$1:$K$1500,5,FALSE)</f>
        <v>80</v>
      </c>
      <c r="G80" s="31"/>
      <c r="H80" s="54"/>
      <c r="I80" s="73"/>
      <c r="J80" s="72"/>
      <c r="K80" s="70">
        <f>IF(Tableau1[[#This Row],[Nom Patients]]&gt;0,VLOOKUP(Tableau1[[#This Row],[Prix payé]],CONFIG!B$4:D$12,3,FALSE),"")</f>
        <v>50</v>
      </c>
      <c r="L80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0" s="15" t="str">
        <f>IF(Tableau1[[#This Row],[Facture Associée]]&gt;0,VLOOKUP(Tableau1[[#This Row],[Facture Associée]],Tableau3[#All],3,FALSE),"")</f>
        <v>semaine 2</v>
      </c>
      <c r="N80" t="str">
        <f>IF(Tableau1[[#This Row],[Facture Associée]]&gt;0,VLOOKUP(Tableau1[[#This Row],[Facture Associée]],Tableau3[#All],4,FALSE),"")</f>
        <v>Maso Lution</v>
      </c>
      <c r="O80" s="37" t="s">
        <v>49</v>
      </c>
      <c r="P80" s="15">
        <f>IF(Tableau1[[#This Row],[Facture Associée]]&gt;0,1,"")</f>
        <v>1</v>
      </c>
    </row>
    <row r="81" spans="2:16" ht="15.75">
      <c r="B81">
        <v>6</v>
      </c>
      <c r="C81" t="str">
        <f>VLOOKUP(Tableau1[[#This Row],[ID patient]],'Import Site'!$B$1:$K$1500,3,FALSE)</f>
        <v>patient 6</v>
      </c>
      <c r="D81" s="30">
        <f>VLOOKUP(Tableau1[[#This Row],[ID patient]],'Import Site'!$B$1:$K$1500,2,FALSE)</f>
        <v>43493</v>
      </c>
      <c r="E81" t="str">
        <f>IF(Tableau1[[#This Row],[Nom Patients]]&gt;0,VLOOKUP(Tableau1[[#This Row],[Prix payé]],CONFIG!B$4:D$12,2,FALSE),"")</f>
        <v>60 Minutes</v>
      </c>
      <c r="F81" s="48">
        <f>VLOOKUP(Tableau1[[#This Row],[ID patient]],'Import Site'!$B$1:$K$1500,5,FALSE)</f>
        <v>80</v>
      </c>
      <c r="G81" s="31"/>
      <c r="H81" s="54"/>
      <c r="I81" s="73"/>
      <c r="J81" s="72"/>
      <c r="K81" s="70">
        <f>IF(Tableau1[[#This Row],[Nom Patients]]&gt;0,VLOOKUP(Tableau1[[#This Row],[Prix payé]],CONFIG!B$4:D$12,3,FALSE),"")</f>
        <v>50</v>
      </c>
      <c r="L81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1" s="15" t="str">
        <f>IF(Tableau1[[#This Row],[Facture Associée]]&gt;0,VLOOKUP(Tableau1[[#This Row],[Facture Associée]],Tableau3[#All],3,FALSE),"")</f>
        <v>semaine 2</v>
      </c>
      <c r="N81" t="str">
        <f>IF(Tableau1[[#This Row],[Facture Associée]]&gt;0,VLOOKUP(Tableau1[[#This Row],[Facture Associée]],Tableau3[#All],4,FALSE),"")</f>
        <v>Maso Lution</v>
      </c>
      <c r="O81" s="37" t="s">
        <v>49</v>
      </c>
      <c r="P81" s="15">
        <f>IF(Tableau1[[#This Row],[Facture Associée]]&gt;0,1,"")</f>
        <v>1</v>
      </c>
    </row>
    <row r="82" spans="2:16" ht="15.75">
      <c r="B82">
        <v>7</v>
      </c>
      <c r="C82" t="str">
        <f>VLOOKUP(Tableau1[[#This Row],[ID patient]],'Import Site'!$B$1:$K$1500,3,FALSE)</f>
        <v>patient 7</v>
      </c>
      <c r="D82" s="30">
        <f>VLOOKUP(Tableau1[[#This Row],[ID patient]],'Import Site'!$B$1:$K$1500,2,FALSE)</f>
        <v>43482</v>
      </c>
      <c r="E82" t="str">
        <f>IF(Tableau1[[#This Row],[Nom Patients]]&gt;0,VLOOKUP(Tableau1[[#This Row],[Prix payé]],CONFIG!B$4:D$12,2,FALSE),"")</f>
        <v>60 Minutes</v>
      </c>
      <c r="F82" s="48">
        <f>VLOOKUP(Tableau1[[#This Row],[ID patient]],'Import Site'!$B$1:$K$1500,5,FALSE)</f>
        <v>80</v>
      </c>
      <c r="G82" s="31"/>
      <c r="H82" s="54"/>
      <c r="I82" s="73"/>
      <c r="J82" s="72"/>
      <c r="K82" s="70">
        <f>IF(Tableau1[[#This Row],[Nom Patients]]&gt;0,VLOOKUP(Tableau1[[#This Row],[Prix payé]],CONFIG!B$4:D$12,3,FALSE),"")</f>
        <v>50</v>
      </c>
      <c r="L82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2" s="15">
        <f>IF(Tableau1[[#This Row],[Facture Associée]]&gt;0,VLOOKUP(Tableau1[[#This Row],[Facture Associée]],Tableau3[#All],3,FALSE),"")</f>
        <v>0</v>
      </c>
      <c r="N82">
        <f>IF(Tableau1[[#This Row],[Facture Associée]]&gt;0,VLOOKUP(Tableau1[[#This Row],[Facture Associée]],Tableau3[#All],4,FALSE),"")</f>
        <v>0</v>
      </c>
      <c r="O82" s="37" t="s">
        <v>50</v>
      </c>
      <c r="P82" s="15">
        <f>IF(Tableau1[[#This Row],[Facture Associée]]&gt;0,1,"")</f>
        <v>1</v>
      </c>
    </row>
    <row r="83" spans="2:16" ht="15.75">
      <c r="B83">
        <v>8</v>
      </c>
      <c r="C83" t="str">
        <f>VLOOKUP(Tableau1[[#This Row],[ID patient]],'Import Site'!$B$1:$K$1500,3,FALSE)</f>
        <v>patient 8</v>
      </c>
      <c r="D83" s="30">
        <f>VLOOKUP(Tableau1[[#This Row],[ID patient]],'Import Site'!$B$1:$K$1500,2,FALSE)</f>
        <v>43479</v>
      </c>
      <c r="E83" t="str">
        <f>IF(Tableau1[[#This Row],[Nom Patients]]&gt;0,VLOOKUP(Tableau1[[#This Row],[Prix payé]],CONFIG!B$4:D$12,2,FALSE),"")</f>
        <v>90 Minutes</v>
      </c>
      <c r="F83" s="48">
        <f>VLOOKUP(Tableau1[[#This Row],[ID patient]],'Import Site'!$B$1:$K$1500,5,FALSE)</f>
        <v>110</v>
      </c>
      <c r="G83" s="31"/>
      <c r="H83" s="54"/>
      <c r="I83" s="73"/>
      <c r="J83" s="72"/>
      <c r="K83" s="70">
        <f>IF(Tableau1[[#This Row],[Nom Patients]]&gt;0,VLOOKUP(Tableau1[[#This Row],[Prix payé]],CONFIG!B$4:D$12,3,FALSE),"")</f>
        <v>75</v>
      </c>
      <c r="L83" s="52">
        <f>IF(Tableau1[[#This Row],[Mode Paiement]]=CONFIG!$I$6,((Tableau1[[#This Row],[Prix payé]]-Tableau1[[#This Row],[Prix chargé masolution]])*-1),Tableau1[[#This Row],[Prix chargé masolution]]+Tableau1[[#This Row],[montant pourboire]])</f>
        <v>75</v>
      </c>
      <c r="M83" s="15" t="str">
        <f>IF(Tableau1[[#This Row],[Facture Associée]]&gt;0,VLOOKUP(Tableau1[[#This Row],[Facture Associée]],Tableau3[#All],3,FALSE),"")</f>
        <v xml:space="preserve">semaine 1 </v>
      </c>
      <c r="N83" t="str">
        <f>IF(Tableau1[[#This Row],[Facture Associée]]&gt;0,VLOOKUP(Tableau1[[#This Row],[Facture Associée]],Tableau3[#All],4,FALSE),"")</f>
        <v>Masolution</v>
      </c>
      <c r="O83" s="37" t="s">
        <v>48</v>
      </c>
      <c r="P83" s="15">
        <f>IF(Tableau1[[#This Row],[Facture Associée]]&gt;0,1,"")</f>
        <v>1</v>
      </c>
    </row>
    <row r="84" spans="2:16" ht="15.75">
      <c r="B84">
        <v>9</v>
      </c>
      <c r="C84" t="str">
        <f>VLOOKUP(Tableau1[[#This Row],[ID patient]],'Import Site'!$B$1:$K$1500,3,FALSE)</f>
        <v>patient 9</v>
      </c>
      <c r="D84" s="30">
        <f>VLOOKUP(Tableau1[[#This Row],[ID patient]],'Import Site'!$B$1:$K$1500,2,FALSE)</f>
        <v>43455</v>
      </c>
      <c r="E84" t="str">
        <f>IF(Tableau1[[#This Row],[Nom Patients]]&gt;0,VLOOKUP(Tableau1[[#This Row],[Prix payé]],CONFIG!B$4:D$12,2,FALSE),"")</f>
        <v>60 Minutes</v>
      </c>
      <c r="F84" s="48">
        <f>VLOOKUP(Tableau1[[#This Row],[ID patient]],'Import Site'!$B$1:$K$1500,5,FALSE)</f>
        <v>80</v>
      </c>
      <c r="G84" s="31"/>
      <c r="H84" s="54"/>
      <c r="I84" s="73"/>
      <c r="J84" s="72"/>
      <c r="K84" s="70">
        <f>IF(Tableau1[[#This Row],[Nom Patients]]&gt;0,VLOOKUP(Tableau1[[#This Row],[Prix payé]],CONFIG!B$4:D$12,3,FALSE),"")</f>
        <v>50</v>
      </c>
      <c r="L84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4" s="15" t="str">
        <f>IF(Tableau1[[#This Row],[Facture Associée]]&gt;0,VLOOKUP(Tableau1[[#This Row],[Facture Associée]],Tableau3[#All],3,FALSE),"")</f>
        <v/>
      </c>
      <c r="N84" t="str">
        <f>IF(Tableau1[[#This Row],[Facture Associée]]&gt;0,VLOOKUP(Tableau1[[#This Row],[Facture Associée]],Tableau3[#All],4,FALSE),"")</f>
        <v/>
      </c>
      <c r="O84" s="37"/>
      <c r="P84" s="15" t="str">
        <f>IF(Tableau1[[#This Row],[Facture Associée]]&gt;0,1,"")</f>
        <v/>
      </c>
    </row>
    <row r="85" spans="2:16" ht="15.75">
      <c r="B85">
        <v>10</v>
      </c>
      <c r="C85" t="str">
        <f>VLOOKUP(Tableau1[[#This Row],[ID patient]],'Import Site'!$B$1:$K$1500,3,FALSE)</f>
        <v>patient 10</v>
      </c>
      <c r="D85" s="30">
        <f>VLOOKUP(Tableau1[[#This Row],[ID patient]],'Import Site'!$B$1:$K$1500,2,FALSE)</f>
        <v>43453</v>
      </c>
      <c r="E85" t="str">
        <f>IF(Tableau1[[#This Row],[Nom Patients]]&gt;0,VLOOKUP(Tableau1[[#This Row],[Prix payé]],CONFIG!B$4:D$12,2,FALSE),"")</f>
        <v>60 Minutes</v>
      </c>
      <c r="F85" s="48">
        <f>VLOOKUP(Tableau1[[#This Row],[ID patient]],'Import Site'!$B$1:$K$1500,5,FALSE)</f>
        <v>80</v>
      </c>
      <c r="G85" s="31"/>
      <c r="H85" s="54"/>
      <c r="I85" s="73"/>
      <c r="J85" s="72"/>
      <c r="K85" s="70">
        <f>IF(Tableau1[[#This Row],[Nom Patients]]&gt;0,VLOOKUP(Tableau1[[#This Row],[Prix payé]],CONFIG!B$4:D$12,3,FALSE),"")</f>
        <v>50</v>
      </c>
      <c r="L85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5" s="15" t="str">
        <f>IF(Tableau1[[#This Row],[Facture Associée]]&gt;0,VLOOKUP(Tableau1[[#This Row],[Facture Associée]],Tableau3[#All],3,FALSE),"")</f>
        <v/>
      </c>
      <c r="N85" t="str">
        <f>IF(Tableau1[[#This Row],[Facture Associée]]&gt;0,VLOOKUP(Tableau1[[#This Row],[Facture Associée]],Tableau3[#All],4,FALSE),"")</f>
        <v/>
      </c>
      <c r="O85" s="37"/>
      <c r="P85" s="15" t="str">
        <f>IF(Tableau1[[#This Row],[Facture Associée]]&gt;0,1,"")</f>
        <v/>
      </c>
    </row>
    <row r="86" spans="2:16" ht="15.75">
      <c r="B86">
        <v>11</v>
      </c>
      <c r="C86" t="str">
        <f>VLOOKUP(Tableau1[[#This Row],[ID patient]],'Import Site'!$B$1:$K$1500,3,FALSE)</f>
        <v>patient 11</v>
      </c>
      <c r="D86" s="30">
        <f>VLOOKUP(Tableau1[[#This Row],[ID patient]],'Import Site'!$B$1:$K$1500,2,FALSE)</f>
        <v>43441</v>
      </c>
      <c r="E86" t="str">
        <f>IF(Tableau1[[#This Row],[Nom Patients]]&gt;0,VLOOKUP(Tableau1[[#This Row],[Prix payé]],CONFIG!B$4:D$12,2,FALSE),"")</f>
        <v>60 Minutes</v>
      </c>
      <c r="F86" s="48">
        <f>VLOOKUP(Tableau1[[#This Row],[ID patient]],'Import Site'!$B$1:$K$1500,5,FALSE)</f>
        <v>80</v>
      </c>
      <c r="G86" s="31"/>
      <c r="H86" s="54"/>
      <c r="I86" s="73"/>
      <c r="J86" s="72"/>
      <c r="K86" s="70">
        <f>IF(Tableau1[[#This Row],[Nom Patients]]&gt;0,VLOOKUP(Tableau1[[#This Row],[Prix payé]],CONFIG!B$4:D$12,3,FALSE),"")</f>
        <v>50</v>
      </c>
      <c r="L86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6" s="15" t="str">
        <f>IF(Tableau1[[#This Row],[Facture Associée]]&gt;0,VLOOKUP(Tableau1[[#This Row],[Facture Associée]],Tableau3[#All],3,FALSE),"")</f>
        <v/>
      </c>
      <c r="N86" t="str">
        <f>IF(Tableau1[[#This Row],[Facture Associée]]&gt;0,VLOOKUP(Tableau1[[#This Row],[Facture Associée]],Tableau3[#All],4,FALSE),"")</f>
        <v/>
      </c>
      <c r="O86" s="37"/>
      <c r="P86" s="15" t="str">
        <f>IF(Tableau1[[#This Row],[Facture Associée]]&gt;0,1,"")</f>
        <v/>
      </c>
    </row>
    <row r="87" spans="2:16" ht="15.75">
      <c r="B87">
        <v>12</v>
      </c>
      <c r="C87" t="str">
        <f>VLOOKUP(Tableau1[[#This Row],[ID patient]],'Import Site'!$B$1:$K$1500,3,FALSE)</f>
        <v>patient 12</v>
      </c>
      <c r="D87" s="30">
        <f>VLOOKUP(Tableau1[[#This Row],[ID patient]],'Import Site'!$B$1:$K$1500,2,FALSE)</f>
        <v>43447</v>
      </c>
      <c r="E87" t="str">
        <f>IF(Tableau1[[#This Row],[Nom Patients]]&gt;0,VLOOKUP(Tableau1[[#This Row],[Prix payé]],CONFIG!B$4:D$12,2,FALSE),"")</f>
        <v>90 Minutes</v>
      </c>
      <c r="F87" s="48">
        <f>VLOOKUP(Tableau1[[#This Row],[ID patient]],'Import Site'!$B$1:$K$1500,5,FALSE)</f>
        <v>110</v>
      </c>
      <c r="G87" s="31"/>
      <c r="H87" s="54"/>
      <c r="I87" s="73"/>
      <c r="J87" s="72"/>
      <c r="K87" s="70">
        <f>IF(Tableau1[[#This Row],[Nom Patients]]&gt;0,VLOOKUP(Tableau1[[#This Row],[Prix payé]],CONFIG!B$4:D$12,3,FALSE),"")</f>
        <v>75</v>
      </c>
      <c r="L87" s="52">
        <f>IF(Tableau1[[#This Row],[Mode Paiement]]=CONFIG!$I$6,((Tableau1[[#This Row],[Prix payé]]-Tableau1[[#This Row],[Prix chargé masolution]])*-1),Tableau1[[#This Row],[Prix chargé masolution]]+Tableau1[[#This Row],[montant pourboire]])</f>
        <v>75</v>
      </c>
      <c r="M87" s="15" t="str">
        <f>IF(Tableau1[[#This Row],[Facture Associée]]&gt;0,VLOOKUP(Tableau1[[#This Row],[Facture Associée]],Tableau3[#All],3,FALSE),"")</f>
        <v/>
      </c>
      <c r="N87" t="str">
        <f>IF(Tableau1[[#This Row],[Facture Associée]]&gt;0,VLOOKUP(Tableau1[[#This Row],[Facture Associée]],Tableau3[#All],4,FALSE),"")</f>
        <v/>
      </c>
      <c r="O87" s="37"/>
      <c r="P87" s="15" t="str">
        <f>IF(Tableau1[[#This Row],[Facture Associée]]&gt;0,1,"")</f>
        <v/>
      </c>
    </row>
    <row r="88" spans="2:16" ht="15.75">
      <c r="B88">
        <v>13</v>
      </c>
      <c r="C88" t="str">
        <f>VLOOKUP(Tableau1[[#This Row],[ID patient]],'Import Site'!$B$1:$K$1500,3,FALSE)</f>
        <v>patient 13</v>
      </c>
      <c r="D88" s="30">
        <f>VLOOKUP(Tableau1[[#This Row],[ID patient]],'Import Site'!$B$1:$K$1500,2,FALSE)</f>
        <v>43446</v>
      </c>
      <c r="E88" t="str">
        <f>IF(Tableau1[[#This Row],[Nom Patients]]&gt;0,VLOOKUP(Tableau1[[#This Row],[Prix payé]],CONFIG!B$4:D$12,2,FALSE),"")</f>
        <v>60 Minutes</v>
      </c>
      <c r="F88" s="48">
        <f>VLOOKUP(Tableau1[[#This Row],[ID patient]],'Import Site'!$B$1:$K$1500,5,FALSE)</f>
        <v>80</v>
      </c>
      <c r="G88" s="31"/>
      <c r="H88" s="54"/>
      <c r="I88" s="73"/>
      <c r="J88" s="72"/>
      <c r="K88" s="70">
        <f>IF(Tableau1[[#This Row],[Nom Patients]]&gt;0,VLOOKUP(Tableau1[[#This Row],[Prix payé]],CONFIG!B$4:D$12,3,FALSE),"")</f>
        <v>50</v>
      </c>
      <c r="L88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8" s="15" t="str">
        <f>IF(Tableau1[[#This Row],[Facture Associée]]&gt;0,VLOOKUP(Tableau1[[#This Row],[Facture Associée]],Tableau3[#All],3,FALSE),"")</f>
        <v/>
      </c>
      <c r="N88" t="str">
        <f>IF(Tableau1[[#This Row],[Facture Associée]]&gt;0,VLOOKUP(Tableau1[[#This Row],[Facture Associée]],Tableau3[#All],4,FALSE),"")</f>
        <v/>
      </c>
      <c r="O88" s="37"/>
      <c r="P88" s="15" t="str">
        <f>IF(Tableau1[[#This Row],[Facture Associée]]&gt;0,1,"")</f>
        <v/>
      </c>
    </row>
    <row r="89" spans="2:16" ht="15.75">
      <c r="B89">
        <v>14</v>
      </c>
      <c r="C89" t="str">
        <f>VLOOKUP(Tableau1[[#This Row],[ID patient]],'Import Site'!$B$1:$K$1500,3,FALSE)</f>
        <v>patient 14</v>
      </c>
      <c r="D89" s="30">
        <f>VLOOKUP(Tableau1[[#This Row],[ID patient]],'Import Site'!$B$1:$K$1500,2,FALSE)</f>
        <v>43440</v>
      </c>
      <c r="E89" t="str">
        <f>IF(Tableau1[[#This Row],[Nom Patients]]&gt;0,VLOOKUP(Tableau1[[#This Row],[Prix payé]],CONFIG!B$4:D$12,2,FALSE),"")</f>
        <v>60 Minutes</v>
      </c>
      <c r="F89" s="48">
        <f>VLOOKUP(Tableau1[[#This Row],[ID patient]],'Import Site'!$B$1:$K$1500,5,FALSE)</f>
        <v>80</v>
      </c>
      <c r="G89" s="31"/>
      <c r="H89" s="54"/>
      <c r="I89" s="73"/>
      <c r="J89" s="72"/>
      <c r="K89" s="70">
        <f>IF(Tableau1[[#This Row],[Nom Patients]]&gt;0,VLOOKUP(Tableau1[[#This Row],[Prix payé]],CONFIG!B$4:D$12,3,FALSE),"")</f>
        <v>50</v>
      </c>
      <c r="L89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89" s="15" t="str">
        <f>IF(Tableau1[[#This Row],[Facture Associée]]&gt;0,VLOOKUP(Tableau1[[#This Row],[Facture Associée]],Tableau3[#All],3,FALSE),"")</f>
        <v/>
      </c>
      <c r="N89" t="str">
        <f>IF(Tableau1[[#This Row],[Facture Associée]]&gt;0,VLOOKUP(Tableau1[[#This Row],[Facture Associée]],Tableau3[#All],4,FALSE),"")</f>
        <v/>
      </c>
      <c r="O89" s="37"/>
      <c r="P89" s="15" t="str">
        <f>IF(Tableau1[[#This Row],[Facture Associée]]&gt;0,1,"")</f>
        <v/>
      </c>
    </row>
    <row r="90" spans="2:16" ht="15.75">
      <c r="B90">
        <v>15</v>
      </c>
      <c r="C90" t="str">
        <f>VLOOKUP(Tableau1[[#This Row],[ID patient]],'Import Site'!$B$1:$K$1500,3,FALSE)</f>
        <v>patient 15</v>
      </c>
      <c r="D90" s="30">
        <f>VLOOKUP(Tableau1[[#This Row],[ID patient]],'Import Site'!$B$1:$K$1500,2,FALSE)</f>
        <v>43435</v>
      </c>
      <c r="E90" t="str">
        <f>IF(Tableau1[[#This Row],[Nom Patients]]&gt;0,VLOOKUP(Tableau1[[#This Row],[Prix payé]],CONFIG!B$4:D$12,2,FALSE),"")</f>
        <v>60 Minutes</v>
      </c>
      <c r="F90" s="48">
        <f>VLOOKUP(Tableau1[[#This Row],[ID patient]],'Import Site'!$B$1:$K$1500,5,FALSE)</f>
        <v>80</v>
      </c>
      <c r="G90" s="31"/>
      <c r="H90" s="54"/>
      <c r="I90" s="73"/>
      <c r="J90" s="72"/>
      <c r="K90" s="70">
        <f>IF(Tableau1[[#This Row],[Nom Patients]]&gt;0,VLOOKUP(Tableau1[[#This Row],[Prix payé]],CONFIG!B$4:D$12,3,FALSE),"")</f>
        <v>50</v>
      </c>
      <c r="L90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90" s="15" t="str">
        <f>IF(Tableau1[[#This Row],[Facture Associée]]&gt;0,VLOOKUP(Tableau1[[#This Row],[Facture Associée]],Tableau3[#All],3,FALSE),"")</f>
        <v/>
      </c>
      <c r="N90" t="str">
        <f>IF(Tableau1[[#This Row],[Facture Associée]]&gt;0,VLOOKUP(Tableau1[[#This Row],[Facture Associée]],Tableau3[#All],4,FALSE),"")</f>
        <v/>
      </c>
      <c r="O90" s="37"/>
      <c r="P90" s="15" t="str">
        <f>IF(Tableau1[[#This Row],[Facture Associée]]&gt;0,1,"")</f>
        <v/>
      </c>
    </row>
    <row r="91" spans="2:16" ht="15.75">
      <c r="B91">
        <v>16</v>
      </c>
      <c r="C91" t="str">
        <f>VLOOKUP(Tableau1[[#This Row],[ID patient]],'Import Site'!$B$1:$K$1500,3,FALSE)</f>
        <v>patient 16</v>
      </c>
      <c r="D91" s="30">
        <f>VLOOKUP(Tableau1[[#This Row],[ID patient]],'Import Site'!$B$1:$K$1500,2,FALSE)</f>
        <v>43435</v>
      </c>
      <c r="E91" t="str">
        <f>IF(Tableau1[[#This Row],[Nom Patients]]&gt;0,VLOOKUP(Tableau1[[#This Row],[Prix payé]],CONFIG!B$4:D$12,2,FALSE),"")</f>
        <v>60 Minutes</v>
      </c>
      <c r="F91" s="48">
        <f>VLOOKUP(Tableau1[[#This Row],[ID patient]],'Import Site'!$B$1:$K$1500,5,FALSE)</f>
        <v>80</v>
      </c>
      <c r="G91" s="31"/>
      <c r="H91" s="54"/>
      <c r="I91" s="73"/>
      <c r="J91" s="72"/>
      <c r="K91" s="70">
        <f>IF(Tableau1[[#This Row],[Nom Patients]]&gt;0,VLOOKUP(Tableau1[[#This Row],[Prix payé]],CONFIG!B$4:D$12,3,FALSE),"")</f>
        <v>50</v>
      </c>
      <c r="L91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91" s="15" t="str">
        <f>IF(Tableau1[[#This Row],[Facture Associée]]&gt;0,VLOOKUP(Tableau1[[#This Row],[Facture Associée]],Tableau3[#All],3,FALSE),"")</f>
        <v/>
      </c>
      <c r="N91" t="str">
        <f>IF(Tableau1[[#This Row],[Facture Associée]]&gt;0,VLOOKUP(Tableau1[[#This Row],[Facture Associée]],Tableau3[#All],4,FALSE),"")</f>
        <v/>
      </c>
      <c r="O91" s="37"/>
      <c r="P91" s="15" t="str">
        <f>IF(Tableau1[[#This Row],[Facture Associée]]&gt;0,1,"")</f>
        <v/>
      </c>
    </row>
    <row r="92" spans="2:16" ht="15.75">
      <c r="B92">
        <v>17</v>
      </c>
      <c r="C92" t="str">
        <f>VLOOKUP(Tableau1[[#This Row],[ID patient]],'Import Site'!$B$1:$K$1500,3,FALSE)</f>
        <v>patient 17</v>
      </c>
      <c r="D92" s="30">
        <f>VLOOKUP(Tableau1[[#This Row],[ID patient]],'Import Site'!$B$1:$K$1500,2,FALSE)</f>
        <v>43433</v>
      </c>
      <c r="E92" t="str">
        <f>IF(Tableau1[[#This Row],[Nom Patients]]&gt;0,VLOOKUP(Tableau1[[#This Row],[Prix payé]],CONFIG!B$4:D$12,2,FALSE),"")</f>
        <v>60 Minutes</v>
      </c>
      <c r="F92" s="48">
        <f>VLOOKUP(Tableau1[[#This Row],[ID patient]],'Import Site'!$B$1:$K$1500,5,FALSE)</f>
        <v>80</v>
      </c>
      <c r="G92" s="31"/>
      <c r="H92" s="54"/>
      <c r="I92" s="73"/>
      <c r="J92" s="72"/>
      <c r="K92" s="70">
        <f>IF(Tableau1[[#This Row],[Nom Patients]]&gt;0,VLOOKUP(Tableau1[[#This Row],[Prix payé]],CONFIG!B$4:D$12,3,FALSE),"")</f>
        <v>50</v>
      </c>
      <c r="L92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92" s="15" t="str">
        <f>IF(Tableau1[[#This Row],[Facture Associée]]&gt;0,VLOOKUP(Tableau1[[#This Row],[Facture Associée]],Tableau3[#All],3,FALSE),"")</f>
        <v/>
      </c>
      <c r="N92" t="str">
        <f>IF(Tableau1[[#This Row],[Facture Associée]]&gt;0,VLOOKUP(Tableau1[[#This Row],[Facture Associée]],Tableau3[#All],4,FALSE),"")</f>
        <v/>
      </c>
      <c r="O92" s="37"/>
      <c r="P92" s="15" t="str">
        <f>IF(Tableau1[[#This Row],[Facture Associée]]&gt;0,1,"")</f>
        <v/>
      </c>
    </row>
    <row r="93" spans="2:16" ht="15.75">
      <c r="B93">
        <v>18</v>
      </c>
      <c r="C93" t="str">
        <f>VLOOKUP(Tableau1[[#This Row],[ID patient]],'Import Site'!$B$1:$K$1500,3,FALSE)</f>
        <v>patient 18</v>
      </c>
      <c r="D93" s="30">
        <f>VLOOKUP(Tableau1[[#This Row],[ID patient]],'Import Site'!$B$1:$K$1500,2,FALSE)</f>
        <v>43432</v>
      </c>
      <c r="E93" t="str">
        <f>IF(Tableau1[[#This Row],[Nom Patients]]&gt;0,VLOOKUP(Tableau1[[#This Row],[Prix payé]],CONFIG!B$4:D$12,2,FALSE),"")</f>
        <v>30 Minutes</v>
      </c>
      <c r="F93" s="48">
        <f>VLOOKUP(Tableau1[[#This Row],[ID patient]],'Import Site'!$B$1:$K$1500,5,FALSE)</f>
        <v>30</v>
      </c>
      <c r="G93" s="31"/>
      <c r="H93" s="54"/>
      <c r="I93" s="73"/>
      <c r="J93" s="72"/>
      <c r="K93" s="70">
        <f>IF(Tableau1[[#This Row],[Nom Patients]]&gt;0,VLOOKUP(Tableau1[[#This Row],[Prix payé]],CONFIG!B$4:D$12,3,FALSE),"")</f>
        <v>25</v>
      </c>
      <c r="L93" s="52">
        <f>IF(Tableau1[[#This Row],[Mode Paiement]]=CONFIG!$I$6,((Tableau1[[#This Row],[Prix payé]]-Tableau1[[#This Row],[Prix chargé masolution]])*-1),Tableau1[[#This Row],[Prix chargé masolution]]+Tableau1[[#This Row],[montant pourboire]])</f>
        <v>25</v>
      </c>
      <c r="M93" s="15" t="str">
        <f>IF(Tableau1[[#This Row],[Facture Associée]]&gt;0,VLOOKUP(Tableau1[[#This Row],[Facture Associée]],Tableau3[#All],3,FALSE),"")</f>
        <v/>
      </c>
      <c r="N93" t="str">
        <f>IF(Tableau1[[#This Row],[Facture Associée]]&gt;0,VLOOKUP(Tableau1[[#This Row],[Facture Associée]],Tableau3[#All],4,FALSE),"")</f>
        <v/>
      </c>
      <c r="O93" s="37"/>
      <c r="P93" s="15" t="str">
        <f>IF(Tableau1[[#This Row],[Facture Associée]]&gt;0,1,"")</f>
        <v/>
      </c>
    </row>
    <row r="94" spans="2:16" ht="15.75">
      <c r="B94">
        <v>19</v>
      </c>
      <c r="C94" t="str">
        <f>VLOOKUP(Tableau1[[#This Row],[ID patient]],'Import Site'!$B$1:$K$1500,3,FALSE)</f>
        <v>patient 19</v>
      </c>
      <c r="D94" s="30">
        <f>VLOOKUP(Tableau1[[#This Row],[ID patient]],'Import Site'!$B$1:$K$1500,2,FALSE)</f>
        <v>43432</v>
      </c>
      <c r="E94" t="str">
        <f>IF(Tableau1[[#This Row],[Nom Patients]]&gt;0,VLOOKUP(Tableau1[[#This Row],[Prix payé]],CONFIG!B$4:D$12,2,FALSE),"")</f>
        <v>60 Minutes</v>
      </c>
      <c r="F94" s="48">
        <f>VLOOKUP(Tableau1[[#This Row],[ID patient]],'Import Site'!$B$1:$K$1500,5,FALSE)</f>
        <v>80</v>
      </c>
      <c r="G94" s="31"/>
      <c r="H94" s="54"/>
      <c r="I94" s="73"/>
      <c r="J94" s="72"/>
      <c r="K94" s="70">
        <f>IF(Tableau1[[#This Row],[Nom Patients]]&gt;0,VLOOKUP(Tableau1[[#This Row],[Prix payé]],CONFIG!B$4:D$12,3,FALSE),"")</f>
        <v>50</v>
      </c>
      <c r="L94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94" s="15" t="str">
        <f>IF(Tableau1[[#This Row],[Facture Associée]]&gt;0,VLOOKUP(Tableau1[[#This Row],[Facture Associée]],Tableau3[#All],3,FALSE),"")</f>
        <v/>
      </c>
      <c r="N94" t="str">
        <f>IF(Tableau1[[#This Row],[Facture Associée]]&gt;0,VLOOKUP(Tableau1[[#This Row],[Facture Associée]],Tableau3[#All],4,FALSE),"")</f>
        <v/>
      </c>
      <c r="O94" s="37"/>
      <c r="P94" s="15" t="str">
        <f>IF(Tableau1[[#This Row],[Facture Associée]]&gt;0,1,"")</f>
        <v/>
      </c>
    </row>
    <row r="95" spans="2:16" ht="15.75">
      <c r="B95">
        <v>20</v>
      </c>
      <c r="C95" t="str">
        <f>VLOOKUP(Tableau1[[#This Row],[ID patient]],'Import Site'!$B$1:$K$1500,3,FALSE)</f>
        <v>patient 20</v>
      </c>
      <c r="D95" s="30">
        <f>VLOOKUP(Tableau1[[#This Row],[ID patient]],'Import Site'!$B$1:$K$1500,2,FALSE)</f>
        <v>43433</v>
      </c>
      <c r="E95" t="str">
        <f>IF(Tableau1[[#This Row],[Nom Patients]]&gt;0,VLOOKUP(Tableau1[[#This Row],[Prix payé]],CONFIG!B$4:D$12,2,FALSE),"")</f>
        <v>60 Minutes</v>
      </c>
      <c r="F95" s="48">
        <f>VLOOKUP(Tableau1[[#This Row],[ID patient]],'Import Site'!$B$1:$K$1500,5,FALSE)</f>
        <v>80</v>
      </c>
      <c r="G95" s="31"/>
      <c r="H95" s="54"/>
      <c r="I95" s="73"/>
      <c r="J95" s="72"/>
      <c r="K95" s="70">
        <f>IF(Tableau1[[#This Row],[Nom Patients]]&gt;0,VLOOKUP(Tableau1[[#This Row],[Prix payé]],CONFIG!B$4:D$12,3,FALSE),"")</f>
        <v>50</v>
      </c>
      <c r="L95" s="52">
        <f>IF(Tableau1[[#This Row],[Mode Paiement]]=CONFIG!$I$6,((Tableau1[[#This Row],[Prix payé]]-Tableau1[[#This Row],[Prix chargé masolution]])*-1),Tableau1[[#This Row],[Prix chargé masolution]]+Tableau1[[#This Row],[montant pourboire]])</f>
        <v>50</v>
      </c>
      <c r="M95" s="15" t="str">
        <f>IF(Tableau1[[#This Row],[Facture Associée]]&gt;0,VLOOKUP(Tableau1[[#This Row],[Facture Associée]],Tableau3[#All],3,FALSE),"")</f>
        <v/>
      </c>
      <c r="N95" t="str">
        <f>IF(Tableau1[[#This Row],[Facture Associée]]&gt;0,VLOOKUP(Tableau1[[#This Row],[Facture Associée]],Tableau3[#All],4,FALSE),"")</f>
        <v/>
      </c>
      <c r="O95" s="37"/>
      <c r="P95" s="15" t="str">
        <f>IF(Tableau1[[#This Row],[Facture Associée]]&gt;0,1,"")</f>
        <v/>
      </c>
    </row>
    <row r="96" spans="2:16" ht="15.75">
      <c r="B96">
        <v>21</v>
      </c>
      <c r="C96" t="e">
        <f>VLOOKUP(Tableau1[[#This Row],[ID patient]],'Import Site'!$B$1:$K$1500,3,FALSE)</f>
        <v>#N/A</v>
      </c>
      <c r="D96" s="30" t="e">
        <f>VLOOKUP(Tableau1[[#This Row],[ID patient]],'Import Site'!$B$1:$K$1500,2,FALSE)</f>
        <v>#N/A</v>
      </c>
      <c r="E96" t="e">
        <f>IF(Tableau1[[#This Row],[Nom Patients]]&gt;0,VLOOKUP(Tableau1[[#This Row],[Prix payé]],CONFIG!B$4:D$12,2,FALSE),"")</f>
        <v>#N/A</v>
      </c>
      <c r="F96" s="48" t="e">
        <f>VLOOKUP(Tableau1[[#This Row],[ID patient]],'Import Site'!$B$1:$K$1500,5,FALSE)</f>
        <v>#N/A</v>
      </c>
      <c r="G96" s="31"/>
      <c r="H96" s="54"/>
      <c r="I96" s="73"/>
      <c r="J96" s="72"/>
      <c r="K96" s="70" t="e">
        <f>IF(Tableau1[[#This Row],[Nom Patients]]&gt;0,VLOOKUP(Tableau1[[#This Row],[Prix payé]],CONFIG!B$4:D$12,3,FALSE),"")</f>
        <v>#N/A</v>
      </c>
      <c r="L9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96" s="15" t="str">
        <f>IF(Tableau1[[#This Row],[Facture Associée]]&gt;0,VLOOKUP(Tableau1[[#This Row],[Facture Associée]],Tableau3[#All],3,FALSE),"")</f>
        <v/>
      </c>
      <c r="N96" t="str">
        <f>IF(Tableau1[[#This Row],[Facture Associée]]&gt;0,VLOOKUP(Tableau1[[#This Row],[Facture Associée]],Tableau3[#All],4,FALSE),"")</f>
        <v/>
      </c>
      <c r="O96" s="37"/>
      <c r="P96" s="15" t="str">
        <f>IF(Tableau1[[#This Row],[Facture Associée]]&gt;0,1,"")</f>
        <v/>
      </c>
    </row>
    <row r="97" spans="2:16" ht="15.75">
      <c r="B97">
        <v>22</v>
      </c>
      <c r="C97" t="e">
        <f>VLOOKUP(Tableau1[[#This Row],[ID patient]],'Import Site'!$B$1:$K$1500,3,FALSE)</f>
        <v>#N/A</v>
      </c>
      <c r="D97" s="30" t="e">
        <f>VLOOKUP(Tableau1[[#This Row],[ID patient]],'Import Site'!$B$1:$K$1500,2,FALSE)</f>
        <v>#N/A</v>
      </c>
      <c r="E97" t="e">
        <f>IF(Tableau1[[#This Row],[Nom Patients]]&gt;0,VLOOKUP(Tableau1[[#This Row],[Prix payé]],CONFIG!B$4:D$12,2,FALSE),"")</f>
        <v>#N/A</v>
      </c>
      <c r="F97" s="48" t="e">
        <f>VLOOKUP(Tableau1[[#This Row],[ID patient]],'Import Site'!$B$1:$K$1500,5,FALSE)</f>
        <v>#N/A</v>
      </c>
      <c r="G97" s="31"/>
      <c r="H97" s="54"/>
      <c r="I97" s="73"/>
      <c r="J97" s="72"/>
      <c r="K97" s="70" t="e">
        <f>IF(Tableau1[[#This Row],[Nom Patients]]&gt;0,VLOOKUP(Tableau1[[#This Row],[Prix payé]],CONFIG!B$4:D$12,3,FALSE),"")</f>
        <v>#N/A</v>
      </c>
      <c r="L9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97" s="15" t="str">
        <f>IF(Tableau1[[#This Row],[Facture Associée]]&gt;0,VLOOKUP(Tableau1[[#This Row],[Facture Associée]],Tableau3[#All],3,FALSE),"")</f>
        <v/>
      </c>
      <c r="N97" t="str">
        <f>IF(Tableau1[[#This Row],[Facture Associée]]&gt;0,VLOOKUP(Tableau1[[#This Row],[Facture Associée]],Tableau3[#All],4,FALSE),"")</f>
        <v/>
      </c>
      <c r="O97" s="37"/>
      <c r="P97" s="15" t="str">
        <f>IF(Tableau1[[#This Row],[Facture Associée]]&gt;0,1,"")</f>
        <v/>
      </c>
    </row>
    <row r="98" spans="2:16" ht="15.75">
      <c r="B98">
        <v>23</v>
      </c>
      <c r="C98" t="e">
        <f>VLOOKUP(Tableau1[[#This Row],[ID patient]],'Import Site'!$B$1:$K$1500,3,FALSE)</f>
        <v>#N/A</v>
      </c>
      <c r="D98" s="30" t="e">
        <f>VLOOKUP(Tableau1[[#This Row],[ID patient]],'Import Site'!$B$1:$K$1500,2,FALSE)</f>
        <v>#N/A</v>
      </c>
      <c r="E98" t="e">
        <f>IF(Tableau1[[#This Row],[Nom Patients]]&gt;0,VLOOKUP(Tableau1[[#This Row],[Prix payé]],CONFIG!B$4:D$12,2,FALSE),"")</f>
        <v>#N/A</v>
      </c>
      <c r="F98" s="48" t="e">
        <f>VLOOKUP(Tableau1[[#This Row],[ID patient]],'Import Site'!$B$1:$K$1500,5,FALSE)</f>
        <v>#N/A</v>
      </c>
      <c r="G98" s="31"/>
      <c r="H98" s="54"/>
      <c r="I98" s="73"/>
      <c r="J98" s="72"/>
      <c r="K98" s="70" t="e">
        <f>IF(Tableau1[[#This Row],[Nom Patients]]&gt;0,VLOOKUP(Tableau1[[#This Row],[Prix payé]],CONFIG!B$4:D$12,3,FALSE),"")</f>
        <v>#N/A</v>
      </c>
      <c r="L9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98" s="15" t="str">
        <f>IF(Tableau1[[#This Row],[Facture Associée]]&gt;0,VLOOKUP(Tableau1[[#This Row],[Facture Associée]],Tableau3[#All],3,FALSE),"")</f>
        <v/>
      </c>
      <c r="N98" t="str">
        <f>IF(Tableau1[[#This Row],[Facture Associée]]&gt;0,VLOOKUP(Tableau1[[#This Row],[Facture Associée]],Tableau3[#All],4,FALSE),"")</f>
        <v/>
      </c>
      <c r="O98" s="37"/>
      <c r="P98" s="15" t="str">
        <f>IF(Tableau1[[#This Row],[Facture Associée]]&gt;0,1,"")</f>
        <v/>
      </c>
    </row>
    <row r="99" spans="2:16" ht="15.75">
      <c r="B99">
        <v>24</v>
      </c>
      <c r="C99" t="e">
        <f>VLOOKUP(Tableau1[[#This Row],[ID patient]],'Import Site'!$B$1:$K$1500,3,FALSE)</f>
        <v>#N/A</v>
      </c>
      <c r="D99" s="30" t="e">
        <f>VLOOKUP(Tableau1[[#This Row],[ID patient]],'Import Site'!$B$1:$K$1500,2,FALSE)</f>
        <v>#N/A</v>
      </c>
      <c r="E99" t="e">
        <f>IF(Tableau1[[#This Row],[Nom Patients]]&gt;0,VLOOKUP(Tableau1[[#This Row],[Prix payé]],CONFIG!B$4:D$12,2,FALSE),"")</f>
        <v>#N/A</v>
      </c>
      <c r="F99" s="48" t="e">
        <f>VLOOKUP(Tableau1[[#This Row],[ID patient]],'Import Site'!$B$1:$K$1500,5,FALSE)</f>
        <v>#N/A</v>
      </c>
      <c r="G99" s="31"/>
      <c r="H99" s="54"/>
      <c r="I99" s="73"/>
      <c r="J99" s="72"/>
      <c r="K99" s="70" t="e">
        <f>IF(Tableau1[[#This Row],[Nom Patients]]&gt;0,VLOOKUP(Tableau1[[#This Row],[Prix payé]],CONFIG!B$4:D$12,3,FALSE),"")</f>
        <v>#N/A</v>
      </c>
      <c r="L9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99" s="15" t="str">
        <f>IF(Tableau1[[#This Row],[Facture Associée]]&gt;0,VLOOKUP(Tableau1[[#This Row],[Facture Associée]],Tableau3[#All],3,FALSE),"")</f>
        <v/>
      </c>
      <c r="N99" t="str">
        <f>IF(Tableau1[[#This Row],[Facture Associée]]&gt;0,VLOOKUP(Tableau1[[#This Row],[Facture Associée]],Tableau3[#All],4,FALSE),"")</f>
        <v/>
      </c>
      <c r="O99" s="37"/>
      <c r="P99" s="15" t="str">
        <f>IF(Tableau1[[#This Row],[Facture Associée]]&gt;0,1,"")</f>
        <v/>
      </c>
    </row>
    <row r="100" spans="2:16" ht="15.75">
      <c r="B100">
        <v>25</v>
      </c>
      <c r="C100" t="e">
        <f>VLOOKUP(Tableau1[[#This Row],[ID patient]],'Import Site'!$B$1:$K$1500,3,FALSE)</f>
        <v>#N/A</v>
      </c>
      <c r="D100" s="30" t="e">
        <f>VLOOKUP(Tableau1[[#This Row],[ID patient]],'Import Site'!$B$1:$K$1500,2,FALSE)</f>
        <v>#N/A</v>
      </c>
      <c r="E100" t="e">
        <f>IF(Tableau1[[#This Row],[Nom Patients]]&gt;0,VLOOKUP(Tableau1[[#This Row],[Prix payé]],CONFIG!B$4:D$12,2,FALSE),"")</f>
        <v>#N/A</v>
      </c>
      <c r="F100" s="48" t="e">
        <f>VLOOKUP(Tableau1[[#This Row],[ID patient]],'Import Site'!$B$1:$K$1500,5,FALSE)</f>
        <v>#N/A</v>
      </c>
      <c r="G100" s="31"/>
      <c r="H100" s="54"/>
      <c r="I100" s="73"/>
      <c r="J100" s="72"/>
      <c r="K100" s="70" t="e">
        <f>IF(Tableau1[[#This Row],[Nom Patients]]&gt;0,VLOOKUP(Tableau1[[#This Row],[Prix payé]],CONFIG!B$4:D$12,3,FALSE),"")</f>
        <v>#N/A</v>
      </c>
      <c r="L10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0" s="15" t="str">
        <f>IF(Tableau1[[#This Row],[Facture Associée]]&gt;0,VLOOKUP(Tableau1[[#This Row],[Facture Associée]],Tableau3[#All],3,FALSE),"")</f>
        <v/>
      </c>
      <c r="N100" t="str">
        <f>IF(Tableau1[[#This Row],[Facture Associée]]&gt;0,VLOOKUP(Tableau1[[#This Row],[Facture Associée]],Tableau3[#All],4,FALSE),"")</f>
        <v/>
      </c>
      <c r="O100" s="37"/>
      <c r="P100" s="15" t="str">
        <f>IF(Tableau1[[#This Row],[Facture Associée]]&gt;0,1,"")</f>
        <v/>
      </c>
    </row>
    <row r="101" spans="2:16" ht="15.75">
      <c r="B101">
        <v>26</v>
      </c>
      <c r="C101" t="e">
        <f>VLOOKUP(Tableau1[[#This Row],[ID patient]],'Import Site'!$B$1:$K$1500,3,FALSE)</f>
        <v>#N/A</v>
      </c>
      <c r="D101" s="30" t="e">
        <f>VLOOKUP(Tableau1[[#This Row],[ID patient]],'Import Site'!$B$1:$K$1500,2,FALSE)</f>
        <v>#N/A</v>
      </c>
      <c r="E101" t="e">
        <f>IF(Tableau1[[#This Row],[Nom Patients]]&gt;0,VLOOKUP(Tableau1[[#This Row],[Prix payé]],CONFIG!B$4:D$12,2,FALSE),"")</f>
        <v>#N/A</v>
      </c>
      <c r="F101" s="48" t="e">
        <f>VLOOKUP(Tableau1[[#This Row],[ID patient]],'Import Site'!$B$1:$K$1500,5,FALSE)</f>
        <v>#N/A</v>
      </c>
      <c r="G101" s="31"/>
      <c r="H101" s="54"/>
      <c r="I101" s="73"/>
      <c r="J101" s="72"/>
      <c r="K101" s="70" t="e">
        <f>IF(Tableau1[[#This Row],[Nom Patients]]&gt;0,VLOOKUP(Tableau1[[#This Row],[Prix payé]],CONFIG!B$4:D$12,3,FALSE),"")</f>
        <v>#N/A</v>
      </c>
      <c r="L10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1" s="15" t="str">
        <f>IF(Tableau1[[#This Row],[Facture Associée]]&gt;0,VLOOKUP(Tableau1[[#This Row],[Facture Associée]],Tableau3[#All],3,FALSE),"")</f>
        <v/>
      </c>
      <c r="N101" t="str">
        <f>IF(Tableau1[[#This Row],[Facture Associée]]&gt;0,VLOOKUP(Tableau1[[#This Row],[Facture Associée]],Tableau3[#All],4,FALSE),"")</f>
        <v/>
      </c>
      <c r="O101" s="37"/>
      <c r="P101" s="15" t="str">
        <f>IF(Tableau1[[#This Row],[Facture Associée]]&gt;0,1,"")</f>
        <v/>
      </c>
    </row>
    <row r="102" spans="2:16" ht="15.75">
      <c r="B102">
        <v>27</v>
      </c>
      <c r="C102" t="e">
        <f>VLOOKUP(Tableau1[[#This Row],[ID patient]],'Import Site'!$B$1:$K$1500,3,FALSE)</f>
        <v>#N/A</v>
      </c>
      <c r="D102" s="30" t="e">
        <f>VLOOKUP(Tableau1[[#This Row],[ID patient]],'Import Site'!$B$1:$K$1500,2,FALSE)</f>
        <v>#N/A</v>
      </c>
      <c r="E102" t="e">
        <f>IF(Tableau1[[#This Row],[Nom Patients]]&gt;0,VLOOKUP(Tableau1[[#This Row],[Prix payé]],CONFIG!B$4:D$12,2,FALSE),"")</f>
        <v>#N/A</v>
      </c>
      <c r="F102" s="48" t="e">
        <f>VLOOKUP(Tableau1[[#This Row],[ID patient]],'Import Site'!$B$1:$K$1500,5,FALSE)</f>
        <v>#N/A</v>
      </c>
      <c r="G102" s="31"/>
      <c r="H102" s="54"/>
      <c r="I102" s="73"/>
      <c r="J102" s="72"/>
      <c r="K102" s="70" t="e">
        <f>IF(Tableau1[[#This Row],[Nom Patients]]&gt;0,VLOOKUP(Tableau1[[#This Row],[Prix payé]],CONFIG!B$4:D$12,3,FALSE),"")</f>
        <v>#N/A</v>
      </c>
      <c r="L10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2" s="15" t="str">
        <f>IF(Tableau1[[#This Row],[Facture Associée]]&gt;0,VLOOKUP(Tableau1[[#This Row],[Facture Associée]],Tableau3[#All],3,FALSE),"")</f>
        <v/>
      </c>
      <c r="N102" t="str">
        <f>IF(Tableau1[[#This Row],[Facture Associée]]&gt;0,VLOOKUP(Tableau1[[#This Row],[Facture Associée]],Tableau3[#All],4,FALSE),"")</f>
        <v/>
      </c>
      <c r="O102" s="37"/>
      <c r="P102" s="15" t="str">
        <f>IF(Tableau1[[#This Row],[Facture Associée]]&gt;0,1,"")</f>
        <v/>
      </c>
    </row>
    <row r="103" spans="2:16" ht="15.75">
      <c r="B103">
        <v>28</v>
      </c>
      <c r="C103" t="e">
        <f>VLOOKUP(Tableau1[[#This Row],[ID patient]],'Import Site'!$B$1:$K$1500,3,FALSE)</f>
        <v>#N/A</v>
      </c>
      <c r="D103" s="30" t="e">
        <f>VLOOKUP(Tableau1[[#This Row],[ID patient]],'Import Site'!$B$1:$K$1500,2,FALSE)</f>
        <v>#N/A</v>
      </c>
      <c r="E103" t="e">
        <f>IF(Tableau1[[#This Row],[Nom Patients]]&gt;0,VLOOKUP(Tableau1[[#This Row],[Prix payé]],CONFIG!B$4:D$12,2,FALSE),"")</f>
        <v>#N/A</v>
      </c>
      <c r="F103" s="48" t="e">
        <f>VLOOKUP(Tableau1[[#This Row],[ID patient]],'Import Site'!$B$1:$K$1500,5,FALSE)</f>
        <v>#N/A</v>
      </c>
      <c r="G103" s="31"/>
      <c r="H103" s="54"/>
      <c r="I103" s="73"/>
      <c r="J103" s="72"/>
      <c r="K103" s="70" t="e">
        <f>IF(Tableau1[[#This Row],[Nom Patients]]&gt;0,VLOOKUP(Tableau1[[#This Row],[Prix payé]],CONFIG!B$4:D$12,3,FALSE),"")</f>
        <v>#N/A</v>
      </c>
      <c r="L10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3" s="15" t="str">
        <f>IF(Tableau1[[#This Row],[Facture Associée]]&gt;0,VLOOKUP(Tableau1[[#This Row],[Facture Associée]],Tableau3[#All],3,FALSE),"")</f>
        <v/>
      </c>
      <c r="N103" t="str">
        <f>IF(Tableau1[[#This Row],[Facture Associée]]&gt;0,VLOOKUP(Tableau1[[#This Row],[Facture Associée]],Tableau3[#All],4,FALSE),"")</f>
        <v/>
      </c>
      <c r="O103" s="37"/>
      <c r="P103" s="15" t="str">
        <f>IF(Tableau1[[#This Row],[Facture Associée]]&gt;0,1,"")</f>
        <v/>
      </c>
    </row>
    <row r="104" spans="2:16" ht="15.75">
      <c r="B104">
        <v>29</v>
      </c>
      <c r="C104" t="e">
        <f>VLOOKUP(Tableau1[[#This Row],[ID patient]],'Import Site'!$B$1:$K$1500,3,FALSE)</f>
        <v>#N/A</v>
      </c>
      <c r="D104" s="30" t="e">
        <f>VLOOKUP(Tableau1[[#This Row],[ID patient]],'Import Site'!$B$1:$K$1500,2,FALSE)</f>
        <v>#N/A</v>
      </c>
      <c r="E104" t="e">
        <f>IF(Tableau1[[#This Row],[Nom Patients]]&gt;0,VLOOKUP(Tableau1[[#This Row],[Prix payé]],CONFIG!B$4:D$12,2,FALSE),"")</f>
        <v>#N/A</v>
      </c>
      <c r="F104" s="48" t="e">
        <f>VLOOKUP(Tableau1[[#This Row],[ID patient]],'Import Site'!$B$1:$K$1500,5,FALSE)</f>
        <v>#N/A</v>
      </c>
      <c r="G104" s="31"/>
      <c r="H104" s="54"/>
      <c r="I104" s="73"/>
      <c r="J104" s="72"/>
      <c r="K104" s="70" t="e">
        <f>IF(Tableau1[[#This Row],[Nom Patients]]&gt;0,VLOOKUP(Tableau1[[#This Row],[Prix payé]],CONFIG!B$4:D$12,3,FALSE),"")</f>
        <v>#N/A</v>
      </c>
      <c r="L10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4" s="15" t="str">
        <f>IF(Tableau1[[#This Row],[Facture Associée]]&gt;0,VLOOKUP(Tableau1[[#This Row],[Facture Associée]],Tableau3[#All],3,FALSE),"")</f>
        <v/>
      </c>
      <c r="N104" t="str">
        <f>IF(Tableau1[[#This Row],[Facture Associée]]&gt;0,VLOOKUP(Tableau1[[#This Row],[Facture Associée]],Tableau3[#All],4,FALSE),"")</f>
        <v/>
      </c>
      <c r="O104" s="37"/>
      <c r="P104" s="15" t="str">
        <f>IF(Tableau1[[#This Row],[Facture Associée]]&gt;0,1,"")</f>
        <v/>
      </c>
    </row>
    <row r="105" spans="2:16" ht="15.75">
      <c r="B105">
        <v>30</v>
      </c>
      <c r="C105" t="e">
        <f>VLOOKUP(Tableau1[[#This Row],[ID patient]],'Import Site'!$B$1:$K$1500,3,FALSE)</f>
        <v>#N/A</v>
      </c>
      <c r="D105" s="30" t="e">
        <f>VLOOKUP(Tableau1[[#This Row],[ID patient]],'Import Site'!$B$1:$K$1500,2,FALSE)</f>
        <v>#N/A</v>
      </c>
      <c r="E105" t="e">
        <f>IF(Tableau1[[#This Row],[Nom Patients]]&gt;0,VLOOKUP(Tableau1[[#This Row],[Prix payé]],CONFIG!B$4:D$12,2,FALSE),"")</f>
        <v>#N/A</v>
      </c>
      <c r="F105" s="48" t="e">
        <f>VLOOKUP(Tableau1[[#This Row],[ID patient]],'Import Site'!$B$1:$K$1500,5,FALSE)</f>
        <v>#N/A</v>
      </c>
      <c r="G105" s="31"/>
      <c r="H105" s="54"/>
      <c r="I105" s="73"/>
      <c r="J105" s="72"/>
      <c r="K105" s="70" t="e">
        <f>IF(Tableau1[[#This Row],[Nom Patients]]&gt;0,VLOOKUP(Tableau1[[#This Row],[Prix payé]],CONFIG!B$4:D$12,3,FALSE),"")</f>
        <v>#N/A</v>
      </c>
      <c r="L10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5" s="15" t="str">
        <f>IF(Tableau1[[#This Row],[Facture Associée]]&gt;0,VLOOKUP(Tableau1[[#This Row],[Facture Associée]],Tableau3[#All],3,FALSE),"")</f>
        <v/>
      </c>
      <c r="N105" t="str">
        <f>IF(Tableau1[[#This Row],[Facture Associée]]&gt;0,VLOOKUP(Tableau1[[#This Row],[Facture Associée]],Tableau3[#All],4,FALSE),"")</f>
        <v/>
      </c>
      <c r="O105" s="37"/>
      <c r="P105" s="15" t="str">
        <f>IF(Tableau1[[#This Row],[Facture Associée]]&gt;0,1,"")</f>
        <v/>
      </c>
    </row>
    <row r="106" spans="2:16" ht="15.75">
      <c r="B106">
        <v>31</v>
      </c>
      <c r="C106" t="e">
        <f>VLOOKUP(Tableau1[[#This Row],[ID patient]],'Import Site'!$B$1:$K$1500,3,FALSE)</f>
        <v>#N/A</v>
      </c>
      <c r="D106" s="30" t="e">
        <f>VLOOKUP(Tableau1[[#This Row],[ID patient]],'Import Site'!$B$1:$K$1500,2,FALSE)</f>
        <v>#N/A</v>
      </c>
      <c r="E106" t="e">
        <f>IF(Tableau1[[#This Row],[Nom Patients]]&gt;0,VLOOKUP(Tableau1[[#This Row],[Prix payé]],CONFIG!B$4:D$12,2,FALSE),"")</f>
        <v>#N/A</v>
      </c>
      <c r="F106" s="48" t="e">
        <f>VLOOKUP(Tableau1[[#This Row],[ID patient]],'Import Site'!$B$1:$K$1500,5,FALSE)</f>
        <v>#N/A</v>
      </c>
      <c r="G106" s="31"/>
      <c r="H106" s="54"/>
      <c r="I106" s="73"/>
      <c r="J106" s="72"/>
      <c r="K106" s="70" t="e">
        <f>IF(Tableau1[[#This Row],[Nom Patients]]&gt;0,VLOOKUP(Tableau1[[#This Row],[Prix payé]],CONFIG!B$4:D$12,3,FALSE),"")</f>
        <v>#N/A</v>
      </c>
      <c r="L10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6" s="15" t="str">
        <f>IF(Tableau1[[#This Row],[Facture Associée]]&gt;0,VLOOKUP(Tableau1[[#This Row],[Facture Associée]],Tableau3[#All],3,FALSE),"")</f>
        <v/>
      </c>
      <c r="N106" t="str">
        <f>IF(Tableau1[[#This Row],[Facture Associée]]&gt;0,VLOOKUP(Tableau1[[#This Row],[Facture Associée]],Tableau3[#All],4,FALSE),"")</f>
        <v/>
      </c>
      <c r="O106" s="37"/>
      <c r="P106" s="15" t="str">
        <f>IF(Tableau1[[#This Row],[Facture Associée]]&gt;0,1,"")</f>
        <v/>
      </c>
    </row>
    <row r="107" spans="2:16" ht="15.75">
      <c r="B107">
        <v>32</v>
      </c>
      <c r="C107" t="e">
        <f>VLOOKUP(Tableau1[[#This Row],[ID patient]],'Import Site'!$B$1:$K$1500,3,FALSE)</f>
        <v>#N/A</v>
      </c>
      <c r="D107" s="30" t="e">
        <f>VLOOKUP(Tableau1[[#This Row],[ID patient]],'Import Site'!$B$1:$K$1500,2,FALSE)</f>
        <v>#N/A</v>
      </c>
      <c r="E107" t="e">
        <f>IF(Tableau1[[#This Row],[Nom Patients]]&gt;0,VLOOKUP(Tableau1[[#This Row],[Prix payé]],CONFIG!B$4:D$12,2,FALSE),"")</f>
        <v>#N/A</v>
      </c>
      <c r="F107" s="48" t="e">
        <f>VLOOKUP(Tableau1[[#This Row],[ID patient]],'Import Site'!$B$1:$K$1500,5,FALSE)</f>
        <v>#N/A</v>
      </c>
      <c r="G107" s="31"/>
      <c r="H107" s="54"/>
      <c r="I107" s="73"/>
      <c r="J107" s="72"/>
      <c r="K107" s="70" t="e">
        <f>IF(Tableau1[[#This Row],[Nom Patients]]&gt;0,VLOOKUP(Tableau1[[#This Row],[Prix payé]],CONFIG!B$4:D$12,3,FALSE),"")</f>
        <v>#N/A</v>
      </c>
      <c r="L10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7" s="15" t="str">
        <f>IF(Tableau1[[#This Row],[Facture Associée]]&gt;0,VLOOKUP(Tableau1[[#This Row],[Facture Associée]],Tableau3[#All],3,FALSE),"")</f>
        <v/>
      </c>
      <c r="N107" t="str">
        <f>IF(Tableau1[[#This Row],[Facture Associée]]&gt;0,VLOOKUP(Tableau1[[#This Row],[Facture Associée]],Tableau3[#All],4,FALSE),"")</f>
        <v/>
      </c>
      <c r="O107" s="37"/>
      <c r="P107" s="15" t="str">
        <f>IF(Tableau1[[#This Row],[Facture Associée]]&gt;0,1,"")</f>
        <v/>
      </c>
    </row>
    <row r="108" spans="2:16" ht="15.75">
      <c r="B108">
        <v>33</v>
      </c>
      <c r="C108" t="e">
        <f>VLOOKUP(Tableau1[[#This Row],[ID patient]],'Import Site'!$B$1:$K$1500,3,FALSE)</f>
        <v>#N/A</v>
      </c>
      <c r="D108" s="30" t="e">
        <f>VLOOKUP(Tableau1[[#This Row],[ID patient]],'Import Site'!$B$1:$K$1500,2,FALSE)</f>
        <v>#N/A</v>
      </c>
      <c r="E108" t="e">
        <f>IF(Tableau1[[#This Row],[Nom Patients]]&gt;0,VLOOKUP(Tableau1[[#This Row],[Prix payé]],CONFIG!B$4:D$12,2,FALSE),"")</f>
        <v>#N/A</v>
      </c>
      <c r="F108" s="48" t="e">
        <f>VLOOKUP(Tableau1[[#This Row],[ID patient]],'Import Site'!$B$1:$K$1500,5,FALSE)</f>
        <v>#N/A</v>
      </c>
      <c r="G108" s="31"/>
      <c r="H108" s="54"/>
      <c r="I108" s="73"/>
      <c r="J108" s="72"/>
      <c r="K108" s="70" t="e">
        <f>IF(Tableau1[[#This Row],[Nom Patients]]&gt;0,VLOOKUP(Tableau1[[#This Row],[Prix payé]],CONFIG!B$4:D$12,3,FALSE),"")</f>
        <v>#N/A</v>
      </c>
      <c r="L10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8" s="15" t="str">
        <f>IF(Tableau1[[#This Row],[Facture Associée]]&gt;0,VLOOKUP(Tableau1[[#This Row],[Facture Associée]],Tableau3[#All],3,FALSE),"")</f>
        <v/>
      </c>
      <c r="N108" t="str">
        <f>IF(Tableau1[[#This Row],[Facture Associée]]&gt;0,VLOOKUP(Tableau1[[#This Row],[Facture Associée]],Tableau3[#All],4,FALSE),"")</f>
        <v/>
      </c>
      <c r="O108" s="37"/>
      <c r="P108" s="15" t="str">
        <f>IF(Tableau1[[#This Row],[Facture Associée]]&gt;0,1,"")</f>
        <v/>
      </c>
    </row>
    <row r="109" spans="2:16" ht="15.75">
      <c r="B109">
        <v>34</v>
      </c>
      <c r="C109" t="e">
        <f>VLOOKUP(Tableau1[[#This Row],[ID patient]],'Import Site'!$B$1:$K$1500,3,FALSE)</f>
        <v>#N/A</v>
      </c>
      <c r="D109" s="30" t="e">
        <f>VLOOKUP(Tableau1[[#This Row],[ID patient]],'Import Site'!$B$1:$K$1500,2,FALSE)</f>
        <v>#N/A</v>
      </c>
      <c r="E109" t="e">
        <f>IF(Tableau1[[#This Row],[Nom Patients]]&gt;0,VLOOKUP(Tableau1[[#This Row],[Prix payé]],CONFIG!B$4:D$12,2,FALSE),"")</f>
        <v>#N/A</v>
      </c>
      <c r="F109" s="48" t="e">
        <f>VLOOKUP(Tableau1[[#This Row],[ID patient]],'Import Site'!$B$1:$K$1500,5,FALSE)</f>
        <v>#N/A</v>
      </c>
      <c r="G109" s="31"/>
      <c r="H109" s="54"/>
      <c r="I109" s="73"/>
      <c r="J109" s="72"/>
      <c r="K109" s="70" t="e">
        <f>IF(Tableau1[[#This Row],[Nom Patients]]&gt;0,VLOOKUP(Tableau1[[#This Row],[Prix payé]],CONFIG!B$4:D$12,3,FALSE),"")</f>
        <v>#N/A</v>
      </c>
      <c r="L10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09" s="15" t="str">
        <f>IF(Tableau1[[#This Row],[Facture Associée]]&gt;0,VLOOKUP(Tableau1[[#This Row],[Facture Associée]],Tableau3[#All],3,FALSE),"")</f>
        <v/>
      </c>
      <c r="N109" t="str">
        <f>IF(Tableau1[[#This Row],[Facture Associée]]&gt;0,VLOOKUP(Tableau1[[#This Row],[Facture Associée]],Tableau3[#All],4,FALSE),"")</f>
        <v/>
      </c>
      <c r="O109" s="37"/>
      <c r="P109" s="15" t="str">
        <f>IF(Tableau1[[#This Row],[Facture Associée]]&gt;0,1,"")</f>
        <v/>
      </c>
    </row>
    <row r="110" spans="2:16" ht="15.75">
      <c r="B110">
        <v>35</v>
      </c>
      <c r="C110" t="e">
        <f>VLOOKUP(Tableau1[[#This Row],[ID patient]],'Import Site'!$B$1:$K$1500,3,FALSE)</f>
        <v>#N/A</v>
      </c>
      <c r="D110" s="30" t="e">
        <f>VLOOKUP(Tableau1[[#This Row],[ID patient]],'Import Site'!$B$1:$K$1500,2,FALSE)</f>
        <v>#N/A</v>
      </c>
      <c r="E110" t="e">
        <f>IF(Tableau1[[#This Row],[Nom Patients]]&gt;0,VLOOKUP(Tableau1[[#This Row],[Prix payé]],CONFIG!B$4:D$12,2,FALSE),"")</f>
        <v>#N/A</v>
      </c>
      <c r="F110" s="48" t="e">
        <f>VLOOKUP(Tableau1[[#This Row],[ID patient]],'Import Site'!$B$1:$K$1500,5,FALSE)</f>
        <v>#N/A</v>
      </c>
      <c r="G110" s="31"/>
      <c r="H110" s="54"/>
      <c r="I110" s="73"/>
      <c r="J110" s="72"/>
      <c r="K110" s="70" t="e">
        <f>IF(Tableau1[[#This Row],[Nom Patients]]&gt;0,VLOOKUP(Tableau1[[#This Row],[Prix payé]],CONFIG!B$4:D$12,3,FALSE),"")</f>
        <v>#N/A</v>
      </c>
      <c r="L11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0" s="15" t="str">
        <f>IF(Tableau1[[#This Row],[Facture Associée]]&gt;0,VLOOKUP(Tableau1[[#This Row],[Facture Associée]],Tableau3[#All],3,FALSE),"")</f>
        <v/>
      </c>
      <c r="N110" t="str">
        <f>IF(Tableau1[[#This Row],[Facture Associée]]&gt;0,VLOOKUP(Tableau1[[#This Row],[Facture Associée]],Tableau3[#All],4,FALSE),"")</f>
        <v/>
      </c>
      <c r="O110" s="37"/>
      <c r="P110" s="15" t="str">
        <f>IF(Tableau1[[#This Row],[Facture Associée]]&gt;0,1,"")</f>
        <v/>
      </c>
    </row>
    <row r="111" spans="2:16" ht="15.75">
      <c r="B111">
        <v>36</v>
      </c>
      <c r="C111" t="e">
        <f>VLOOKUP(Tableau1[[#This Row],[ID patient]],'Import Site'!$B$1:$K$1500,3,FALSE)</f>
        <v>#N/A</v>
      </c>
      <c r="D111" s="30" t="e">
        <f>VLOOKUP(Tableau1[[#This Row],[ID patient]],'Import Site'!$B$1:$K$1500,2,FALSE)</f>
        <v>#N/A</v>
      </c>
      <c r="E111" t="e">
        <f>IF(Tableau1[[#This Row],[Nom Patients]]&gt;0,VLOOKUP(Tableau1[[#This Row],[Prix payé]],CONFIG!B$4:D$12,2,FALSE),"")</f>
        <v>#N/A</v>
      </c>
      <c r="F111" s="48" t="e">
        <f>VLOOKUP(Tableau1[[#This Row],[ID patient]],'Import Site'!$B$1:$K$1500,5,FALSE)</f>
        <v>#N/A</v>
      </c>
      <c r="G111" s="31"/>
      <c r="H111" s="54"/>
      <c r="I111" s="73"/>
      <c r="J111" s="72"/>
      <c r="K111" s="70" t="e">
        <f>IF(Tableau1[[#This Row],[Nom Patients]]&gt;0,VLOOKUP(Tableau1[[#This Row],[Prix payé]],CONFIG!B$4:D$12,3,FALSE),"")</f>
        <v>#N/A</v>
      </c>
      <c r="L11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1" s="15" t="str">
        <f>IF(Tableau1[[#This Row],[Facture Associée]]&gt;0,VLOOKUP(Tableau1[[#This Row],[Facture Associée]],Tableau3[#All],3,FALSE),"")</f>
        <v/>
      </c>
      <c r="N111" t="str">
        <f>IF(Tableau1[[#This Row],[Facture Associée]]&gt;0,VLOOKUP(Tableau1[[#This Row],[Facture Associée]],Tableau3[#All],4,FALSE),"")</f>
        <v/>
      </c>
      <c r="O111" s="37"/>
      <c r="P111" s="15" t="str">
        <f>IF(Tableau1[[#This Row],[Facture Associée]]&gt;0,1,"")</f>
        <v/>
      </c>
    </row>
    <row r="112" spans="2:16" ht="15.75">
      <c r="B112">
        <v>37</v>
      </c>
      <c r="C112" t="e">
        <f>VLOOKUP(Tableau1[[#This Row],[ID patient]],'Import Site'!$B$1:$K$1500,3,FALSE)</f>
        <v>#N/A</v>
      </c>
      <c r="D112" s="30" t="e">
        <f>VLOOKUP(Tableau1[[#This Row],[ID patient]],'Import Site'!$B$1:$K$1500,2,FALSE)</f>
        <v>#N/A</v>
      </c>
      <c r="E112" t="e">
        <f>IF(Tableau1[[#This Row],[Nom Patients]]&gt;0,VLOOKUP(Tableau1[[#This Row],[Prix payé]],CONFIG!B$4:D$12,2,FALSE),"")</f>
        <v>#N/A</v>
      </c>
      <c r="F112" s="48" t="e">
        <f>VLOOKUP(Tableau1[[#This Row],[ID patient]],'Import Site'!$B$1:$K$1500,5,FALSE)</f>
        <v>#N/A</v>
      </c>
      <c r="G112" s="31"/>
      <c r="H112" s="54"/>
      <c r="I112" s="73"/>
      <c r="J112" s="72"/>
      <c r="K112" s="70" t="e">
        <f>IF(Tableau1[[#This Row],[Nom Patients]]&gt;0,VLOOKUP(Tableau1[[#This Row],[Prix payé]],CONFIG!B$4:D$12,3,FALSE),"")</f>
        <v>#N/A</v>
      </c>
      <c r="L11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2" s="15" t="str">
        <f>IF(Tableau1[[#This Row],[Facture Associée]]&gt;0,VLOOKUP(Tableau1[[#This Row],[Facture Associée]],Tableau3[#All],3,FALSE),"")</f>
        <v/>
      </c>
      <c r="N112" t="str">
        <f>IF(Tableau1[[#This Row],[Facture Associée]]&gt;0,VLOOKUP(Tableau1[[#This Row],[Facture Associée]],Tableau3[#All],4,FALSE),"")</f>
        <v/>
      </c>
      <c r="O112" s="37"/>
      <c r="P112" s="15" t="str">
        <f>IF(Tableau1[[#This Row],[Facture Associée]]&gt;0,1,"")</f>
        <v/>
      </c>
    </row>
    <row r="113" spans="2:16" ht="15.75">
      <c r="B113">
        <v>38</v>
      </c>
      <c r="C113" t="e">
        <f>VLOOKUP(Tableau1[[#This Row],[ID patient]],'Import Site'!$B$1:$K$1500,3,FALSE)</f>
        <v>#N/A</v>
      </c>
      <c r="D113" s="30" t="e">
        <f>VLOOKUP(Tableau1[[#This Row],[ID patient]],'Import Site'!$B$1:$K$1500,2,FALSE)</f>
        <v>#N/A</v>
      </c>
      <c r="E113" t="e">
        <f>IF(Tableau1[[#This Row],[Nom Patients]]&gt;0,VLOOKUP(Tableau1[[#This Row],[Prix payé]],CONFIG!B$4:D$12,2,FALSE),"")</f>
        <v>#N/A</v>
      </c>
      <c r="F113" s="48" t="e">
        <f>VLOOKUP(Tableau1[[#This Row],[ID patient]],'Import Site'!$B$1:$K$1500,5,FALSE)</f>
        <v>#N/A</v>
      </c>
      <c r="G113" s="31"/>
      <c r="H113" s="54"/>
      <c r="I113" s="73"/>
      <c r="J113" s="72"/>
      <c r="K113" s="70" t="e">
        <f>IF(Tableau1[[#This Row],[Nom Patients]]&gt;0,VLOOKUP(Tableau1[[#This Row],[Prix payé]],CONFIG!B$4:D$12,3,FALSE),"")</f>
        <v>#N/A</v>
      </c>
      <c r="L11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3" s="15" t="str">
        <f>IF(Tableau1[[#This Row],[Facture Associée]]&gt;0,VLOOKUP(Tableau1[[#This Row],[Facture Associée]],Tableau3[#All],3,FALSE),"")</f>
        <v/>
      </c>
      <c r="N113" t="str">
        <f>IF(Tableau1[[#This Row],[Facture Associée]]&gt;0,VLOOKUP(Tableau1[[#This Row],[Facture Associée]],Tableau3[#All],4,FALSE),"")</f>
        <v/>
      </c>
      <c r="O113" s="37"/>
      <c r="P113" s="15" t="str">
        <f>IF(Tableau1[[#This Row],[Facture Associée]]&gt;0,1,"")</f>
        <v/>
      </c>
    </row>
    <row r="114" spans="2:16" ht="15.75">
      <c r="B114">
        <v>39</v>
      </c>
      <c r="C114" t="e">
        <f>VLOOKUP(Tableau1[[#This Row],[ID patient]],'Import Site'!$B$1:$K$1500,3,FALSE)</f>
        <v>#N/A</v>
      </c>
      <c r="D114" s="30" t="e">
        <f>VLOOKUP(Tableau1[[#This Row],[ID patient]],'Import Site'!$B$1:$K$1500,2,FALSE)</f>
        <v>#N/A</v>
      </c>
      <c r="E114" t="e">
        <f>IF(Tableau1[[#This Row],[Nom Patients]]&gt;0,VLOOKUP(Tableau1[[#This Row],[Prix payé]],CONFIG!B$4:D$12,2,FALSE),"")</f>
        <v>#N/A</v>
      </c>
      <c r="F114" s="48" t="e">
        <f>VLOOKUP(Tableau1[[#This Row],[ID patient]],'Import Site'!$B$1:$K$1500,5,FALSE)</f>
        <v>#N/A</v>
      </c>
      <c r="G114" s="31"/>
      <c r="H114" s="54"/>
      <c r="I114" s="73"/>
      <c r="J114" s="72"/>
      <c r="K114" s="70" t="e">
        <f>IF(Tableau1[[#This Row],[Nom Patients]]&gt;0,VLOOKUP(Tableau1[[#This Row],[Prix payé]],CONFIG!B$4:D$12,3,FALSE),"")</f>
        <v>#N/A</v>
      </c>
      <c r="L11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4" s="15" t="str">
        <f>IF(Tableau1[[#This Row],[Facture Associée]]&gt;0,VLOOKUP(Tableau1[[#This Row],[Facture Associée]],Tableau3[#All],3,FALSE),"")</f>
        <v/>
      </c>
      <c r="N114" t="str">
        <f>IF(Tableau1[[#This Row],[Facture Associée]]&gt;0,VLOOKUP(Tableau1[[#This Row],[Facture Associée]],Tableau3[#All],4,FALSE),"")</f>
        <v/>
      </c>
      <c r="O114" s="37"/>
      <c r="P114" s="15" t="str">
        <f>IF(Tableau1[[#This Row],[Facture Associée]]&gt;0,1,"")</f>
        <v/>
      </c>
    </row>
    <row r="115" spans="2:16" ht="15.75">
      <c r="B115">
        <v>40</v>
      </c>
      <c r="C115" t="e">
        <f>VLOOKUP(Tableau1[[#This Row],[ID patient]],'Import Site'!$B$1:$K$1500,3,FALSE)</f>
        <v>#N/A</v>
      </c>
      <c r="D115" s="30" t="e">
        <f>VLOOKUP(Tableau1[[#This Row],[ID patient]],'Import Site'!$B$1:$K$1500,2,FALSE)</f>
        <v>#N/A</v>
      </c>
      <c r="E115" t="e">
        <f>IF(Tableau1[[#This Row],[Nom Patients]]&gt;0,VLOOKUP(Tableau1[[#This Row],[Prix payé]],CONFIG!B$4:D$12,2,FALSE),"")</f>
        <v>#N/A</v>
      </c>
      <c r="F115" s="48" t="e">
        <f>VLOOKUP(Tableau1[[#This Row],[ID patient]],'Import Site'!$B$1:$K$1500,5,FALSE)</f>
        <v>#N/A</v>
      </c>
      <c r="G115" s="31"/>
      <c r="H115" s="54"/>
      <c r="I115" s="73"/>
      <c r="J115" s="72"/>
      <c r="K115" s="70" t="e">
        <f>IF(Tableau1[[#This Row],[Nom Patients]]&gt;0,VLOOKUP(Tableau1[[#This Row],[Prix payé]],CONFIG!B$4:D$12,3,FALSE),"")</f>
        <v>#N/A</v>
      </c>
      <c r="L11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5" s="15" t="str">
        <f>IF(Tableau1[[#This Row],[Facture Associée]]&gt;0,VLOOKUP(Tableau1[[#This Row],[Facture Associée]],Tableau3[#All],3,FALSE),"")</f>
        <v/>
      </c>
      <c r="N115" t="str">
        <f>IF(Tableau1[[#This Row],[Facture Associée]]&gt;0,VLOOKUP(Tableau1[[#This Row],[Facture Associée]],Tableau3[#All],4,FALSE),"")</f>
        <v/>
      </c>
      <c r="O115" s="37"/>
      <c r="P115" s="15" t="str">
        <f>IF(Tableau1[[#This Row],[Facture Associée]]&gt;0,1,"")</f>
        <v/>
      </c>
    </row>
    <row r="116" spans="2:16" ht="15.75">
      <c r="B116">
        <v>41</v>
      </c>
      <c r="C116" t="e">
        <f>VLOOKUP(Tableau1[[#This Row],[ID patient]],'Import Site'!$B$1:$K$1500,3,FALSE)</f>
        <v>#N/A</v>
      </c>
      <c r="D116" s="30" t="e">
        <f>VLOOKUP(Tableau1[[#This Row],[ID patient]],'Import Site'!$B$1:$K$1500,2,FALSE)</f>
        <v>#N/A</v>
      </c>
      <c r="E116" t="e">
        <f>IF(Tableau1[[#This Row],[Nom Patients]]&gt;0,VLOOKUP(Tableau1[[#This Row],[Prix payé]],CONFIG!B$4:D$12,2,FALSE),"")</f>
        <v>#N/A</v>
      </c>
      <c r="F116" s="48" t="e">
        <f>VLOOKUP(Tableau1[[#This Row],[ID patient]],'Import Site'!$B$1:$K$1500,5,FALSE)</f>
        <v>#N/A</v>
      </c>
      <c r="G116" s="31"/>
      <c r="H116" s="54"/>
      <c r="I116" s="73"/>
      <c r="J116" s="72"/>
      <c r="K116" s="70" t="e">
        <f>IF(Tableau1[[#This Row],[Nom Patients]]&gt;0,VLOOKUP(Tableau1[[#This Row],[Prix payé]],CONFIG!B$4:D$12,3,FALSE),"")</f>
        <v>#N/A</v>
      </c>
      <c r="L11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6" s="15" t="str">
        <f>IF(Tableau1[[#This Row],[Facture Associée]]&gt;0,VLOOKUP(Tableau1[[#This Row],[Facture Associée]],Tableau3[#All],3,FALSE),"")</f>
        <v/>
      </c>
      <c r="N116" t="str">
        <f>IF(Tableau1[[#This Row],[Facture Associée]]&gt;0,VLOOKUP(Tableau1[[#This Row],[Facture Associée]],Tableau3[#All],4,FALSE),"")</f>
        <v/>
      </c>
      <c r="O116" s="37"/>
      <c r="P116" s="15" t="str">
        <f>IF(Tableau1[[#This Row],[Facture Associée]]&gt;0,1,"")</f>
        <v/>
      </c>
    </row>
    <row r="117" spans="2:16" ht="15.75">
      <c r="B117">
        <v>42</v>
      </c>
      <c r="C117" t="e">
        <f>VLOOKUP(Tableau1[[#This Row],[ID patient]],'Import Site'!$B$1:$K$1500,3,FALSE)</f>
        <v>#N/A</v>
      </c>
      <c r="D117" s="30" t="e">
        <f>VLOOKUP(Tableau1[[#This Row],[ID patient]],'Import Site'!$B$1:$K$1500,2,FALSE)</f>
        <v>#N/A</v>
      </c>
      <c r="E117" t="e">
        <f>IF(Tableau1[[#This Row],[Nom Patients]]&gt;0,VLOOKUP(Tableau1[[#This Row],[Prix payé]],CONFIG!B$4:D$12,2,FALSE),"")</f>
        <v>#N/A</v>
      </c>
      <c r="F117" s="48" t="e">
        <f>VLOOKUP(Tableau1[[#This Row],[ID patient]],'Import Site'!$B$1:$K$1500,5,FALSE)</f>
        <v>#N/A</v>
      </c>
      <c r="G117" s="31"/>
      <c r="H117" s="54"/>
      <c r="I117" s="73"/>
      <c r="J117" s="72"/>
      <c r="K117" s="70" t="e">
        <f>IF(Tableau1[[#This Row],[Nom Patients]]&gt;0,VLOOKUP(Tableau1[[#This Row],[Prix payé]],CONFIG!B$4:D$12,3,FALSE),"")</f>
        <v>#N/A</v>
      </c>
      <c r="L11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7" s="15" t="str">
        <f>IF(Tableau1[[#This Row],[Facture Associée]]&gt;0,VLOOKUP(Tableau1[[#This Row],[Facture Associée]],Tableau3[#All],3,FALSE),"")</f>
        <v/>
      </c>
      <c r="N117" t="str">
        <f>IF(Tableau1[[#This Row],[Facture Associée]]&gt;0,VLOOKUP(Tableau1[[#This Row],[Facture Associée]],Tableau3[#All],4,FALSE),"")</f>
        <v/>
      </c>
      <c r="O117" s="37"/>
      <c r="P117" s="15" t="str">
        <f>IF(Tableau1[[#This Row],[Facture Associée]]&gt;0,1,"")</f>
        <v/>
      </c>
    </row>
    <row r="118" spans="2:16" ht="15.75">
      <c r="B118">
        <v>43</v>
      </c>
      <c r="C118" t="e">
        <f>VLOOKUP(Tableau1[[#This Row],[ID patient]],'Import Site'!$B$1:$K$1500,3,FALSE)</f>
        <v>#N/A</v>
      </c>
      <c r="D118" s="30" t="e">
        <f>VLOOKUP(Tableau1[[#This Row],[ID patient]],'Import Site'!$B$1:$K$1500,2,FALSE)</f>
        <v>#N/A</v>
      </c>
      <c r="E118" t="e">
        <f>IF(Tableau1[[#This Row],[Nom Patients]]&gt;0,VLOOKUP(Tableau1[[#This Row],[Prix payé]],CONFIG!B$4:D$12,2,FALSE),"")</f>
        <v>#N/A</v>
      </c>
      <c r="F118" s="48" t="e">
        <f>VLOOKUP(Tableau1[[#This Row],[ID patient]],'Import Site'!$B$1:$K$1500,5,FALSE)</f>
        <v>#N/A</v>
      </c>
      <c r="G118" s="31"/>
      <c r="H118" s="54"/>
      <c r="I118" s="73"/>
      <c r="J118" s="72"/>
      <c r="K118" s="70" t="e">
        <f>IF(Tableau1[[#This Row],[Nom Patients]]&gt;0,VLOOKUP(Tableau1[[#This Row],[Prix payé]],CONFIG!B$4:D$12,3,FALSE),"")</f>
        <v>#N/A</v>
      </c>
      <c r="L11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8" s="15" t="str">
        <f>IF(Tableau1[[#This Row],[Facture Associée]]&gt;0,VLOOKUP(Tableau1[[#This Row],[Facture Associée]],Tableau3[#All],3,FALSE),"")</f>
        <v/>
      </c>
      <c r="N118" t="str">
        <f>IF(Tableau1[[#This Row],[Facture Associée]]&gt;0,VLOOKUP(Tableau1[[#This Row],[Facture Associée]],Tableau3[#All],4,FALSE),"")</f>
        <v/>
      </c>
      <c r="O118" s="37"/>
      <c r="P118" s="15" t="str">
        <f>IF(Tableau1[[#This Row],[Facture Associée]]&gt;0,1,"")</f>
        <v/>
      </c>
    </row>
    <row r="119" spans="2:16" ht="15.75">
      <c r="B119">
        <v>44</v>
      </c>
      <c r="C119" t="e">
        <f>VLOOKUP(Tableau1[[#This Row],[ID patient]],'Import Site'!$B$1:$K$1500,3,FALSE)</f>
        <v>#N/A</v>
      </c>
      <c r="D119" s="30" t="e">
        <f>VLOOKUP(Tableau1[[#This Row],[ID patient]],'Import Site'!$B$1:$K$1500,2,FALSE)</f>
        <v>#N/A</v>
      </c>
      <c r="E119" t="e">
        <f>IF(Tableau1[[#This Row],[Nom Patients]]&gt;0,VLOOKUP(Tableau1[[#This Row],[Prix payé]],CONFIG!B$4:D$12,2,FALSE),"")</f>
        <v>#N/A</v>
      </c>
      <c r="F119" s="48" t="e">
        <f>VLOOKUP(Tableau1[[#This Row],[ID patient]],'Import Site'!$B$1:$K$1500,5,FALSE)</f>
        <v>#N/A</v>
      </c>
      <c r="G119" s="31"/>
      <c r="H119" s="54"/>
      <c r="I119" s="73"/>
      <c r="J119" s="72"/>
      <c r="K119" s="70" t="e">
        <f>IF(Tableau1[[#This Row],[Nom Patients]]&gt;0,VLOOKUP(Tableau1[[#This Row],[Prix payé]],CONFIG!B$4:D$12,3,FALSE),"")</f>
        <v>#N/A</v>
      </c>
      <c r="L11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19" s="15" t="str">
        <f>IF(Tableau1[[#This Row],[Facture Associée]]&gt;0,VLOOKUP(Tableau1[[#This Row],[Facture Associée]],Tableau3[#All],3,FALSE),"")</f>
        <v/>
      </c>
      <c r="N119" t="str">
        <f>IF(Tableau1[[#This Row],[Facture Associée]]&gt;0,VLOOKUP(Tableau1[[#This Row],[Facture Associée]],Tableau3[#All],4,FALSE),"")</f>
        <v/>
      </c>
      <c r="O119" s="37"/>
      <c r="P119" s="15" t="str">
        <f>IF(Tableau1[[#This Row],[Facture Associée]]&gt;0,1,"")</f>
        <v/>
      </c>
    </row>
    <row r="120" spans="2:16" ht="15.75">
      <c r="B120">
        <v>45</v>
      </c>
      <c r="C120" t="e">
        <f>VLOOKUP(Tableau1[[#This Row],[ID patient]],'Import Site'!$B$1:$K$1500,3,FALSE)</f>
        <v>#N/A</v>
      </c>
      <c r="D120" s="30" t="e">
        <f>VLOOKUP(Tableau1[[#This Row],[ID patient]],'Import Site'!$B$1:$K$1500,2,FALSE)</f>
        <v>#N/A</v>
      </c>
      <c r="E120" t="e">
        <f>IF(Tableau1[[#This Row],[Nom Patients]]&gt;0,VLOOKUP(Tableau1[[#This Row],[Prix payé]],CONFIG!B$4:D$12,2,FALSE),"")</f>
        <v>#N/A</v>
      </c>
      <c r="F120" s="48" t="e">
        <f>VLOOKUP(Tableau1[[#This Row],[ID patient]],'Import Site'!$B$1:$K$1500,5,FALSE)</f>
        <v>#N/A</v>
      </c>
      <c r="G120" s="31"/>
      <c r="H120" s="54"/>
      <c r="I120" s="73"/>
      <c r="J120" s="72"/>
      <c r="K120" s="70" t="e">
        <f>IF(Tableau1[[#This Row],[Nom Patients]]&gt;0,VLOOKUP(Tableau1[[#This Row],[Prix payé]],CONFIG!B$4:D$12,3,FALSE),"")</f>
        <v>#N/A</v>
      </c>
      <c r="L12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0" s="15" t="str">
        <f>IF(Tableau1[[#This Row],[Facture Associée]]&gt;0,VLOOKUP(Tableau1[[#This Row],[Facture Associée]],Tableau3[#All],3,FALSE),"")</f>
        <v/>
      </c>
      <c r="N120" t="str">
        <f>IF(Tableau1[[#This Row],[Facture Associée]]&gt;0,VLOOKUP(Tableau1[[#This Row],[Facture Associée]],Tableau3[#All],4,FALSE),"")</f>
        <v/>
      </c>
      <c r="O120" s="37"/>
      <c r="P120" s="15" t="str">
        <f>IF(Tableau1[[#This Row],[Facture Associée]]&gt;0,1,"")</f>
        <v/>
      </c>
    </row>
    <row r="121" spans="2:16" ht="15.75">
      <c r="B121">
        <v>46</v>
      </c>
      <c r="C121" t="e">
        <f>VLOOKUP(Tableau1[[#This Row],[ID patient]],'Import Site'!$B$1:$K$1500,3,FALSE)</f>
        <v>#N/A</v>
      </c>
      <c r="D121" s="30" t="e">
        <f>VLOOKUP(Tableau1[[#This Row],[ID patient]],'Import Site'!$B$1:$K$1500,2,FALSE)</f>
        <v>#N/A</v>
      </c>
      <c r="E121" t="e">
        <f>IF(Tableau1[[#This Row],[Nom Patients]]&gt;0,VLOOKUP(Tableau1[[#This Row],[Prix payé]],CONFIG!B$4:D$12,2,FALSE),"")</f>
        <v>#N/A</v>
      </c>
      <c r="F121" s="48" t="e">
        <f>VLOOKUP(Tableau1[[#This Row],[ID patient]],'Import Site'!$B$1:$K$1500,5,FALSE)</f>
        <v>#N/A</v>
      </c>
      <c r="G121" s="31"/>
      <c r="H121" s="54"/>
      <c r="I121" s="73"/>
      <c r="J121" s="72"/>
      <c r="K121" s="70" t="e">
        <f>IF(Tableau1[[#This Row],[Nom Patients]]&gt;0,VLOOKUP(Tableau1[[#This Row],[Prix payé]],CONFIG!B$4:D$12,3,FALSE),"")</f>
        <v>#N/A</v>
      </c>
      <c r="L12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1" s="15" t="str">
        <f>IF(Tableau1[[#This Row],[Facture Associée]]&gt;0,VLOOKUP(Tableau1[[#This Row],[Facture Associée]],Tableau3[#All],3,FALSE),"")</f>
        <v/>
      </c>
      <c r="N121" t="str">
        <f>IF(Tableau1[[#This Row],[Facture Associée]]&gt;0,VLOOKUP(Tableau1[[#This Row],[Facture Associée]],Tableau3[#All],4,FALSE),"")</f>
        <v/>
      </c>
      <c r="O121" s="37"/>
      <c r="P121" s="15" t="str">
        <f>IF(Tableau1[[#This Row],[Facture Associée]]&gt;0,1,"")</f>
        <v/>
      </c>
    </row>
    <row r="122" spans="2:16" ht="15.75">
      <c r="B122">
        <v>47</v>
      </c>
      <c r="C122" t="e">
        <f>VLOOKUP(Tableau1[[#This Row],[ID patient]],'Import Site'!$B$1:$K$1500,3,FALSE)</f>
        <v>#N/A</v>
      </c>
      <c r="D122" s="30" t="e">
        <f>VLOOKUP(Tableau1[[#This Row],[ID patient]],'Import Site'!$B$1:$K$1500,2,FALSE)</f>
        <v>#N/A</v>
      </c>
      <c r="E122" t="e">
        <f>IF(Tableau1[[#This Row],[Nom Patients]]&gt;0,VLOOKUP(Tableau1[[#This Row],[Prix payé]],CONFIG!B$4:D$12,2,FALSE),"")</f>
        <v>#N/A</v>
      </c>
      <c r="F122" s="48" t="e">
        <f>VLOOKUP(Tableau1[[#This Row],[ID patient]],'Import Site'!$B$1:$K$1500,5,FALSE)</f>
        <v>#N/A</v>
      </c>
      <c r="G122" s="31"/>
      <c r="H122" s="54"/>
      <c r="I122" s="73"/>
      <c r="J122" s="72"/>
      <c r="K122" s="70" t="e">
        <f>IF(Tableau1[[#This Row],[Nom Patients]]&gt;0,VLOOKUP(Tableau1[[#This Row],[Prix payé]],CONFIG!B$4:D$12,3,FALSE),"")</f>
        <v>#N/A</v>
      </c>
      <c r="L12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2" s="15" t="str">
        <f>IF(Tableau1[[#This Row],[Facture Associée]]&gt;0,VLOOKUP(Tableau1[[#This Row],[Facture Associée]],Tableau3[#All],3,FALSE),"")</f>
        <v/>
      </c>
      <c r="N122" t="str">
        <f>IF(Tableau1[[#This Row],[Facture Associée]]&gt;0,VLOOKUP(Tableau1[[#This Row],[Facture Associée]],Tableau3[#All],4,FALSE),"")</f>
        <v/>
      </c>
      <c r="O122" s="37"/>
      <c r="P122" s="15" t="str">
        <f>IF(Tableau1[[#This Row],[Facture Associée]]&gt;0,1,"")</f>
        <v/>
      </c>
    </row>
    <row r="123" spans="2:16" ht="15.75">
      <c r="B123">
        <v>48</v>
      </c>
      <c r="C123" t="e">
        <f>VLOOKUP(Tableau1[[#This Row],[ID patient]],'Import Site'!$B$1:$K$1500,3,FALSE)</f>
        <v>#N/A</v>
      </c>
      <c r="D123" s="30" t="e">
        <f>VLOOKUP(Tableau1[[#This Row],[ID patient]],'Import Site'!$B$1:$K$1500,2,FALSE)</f>
        <v>#N/A</v>
      </c>
      <c r="E123" t="e">
        <f>IF(Tableau1[[#This Row],[Nom Patients]]&gt;0,VLOOKUP(Tableau1[[#This Row],[Prix payé]],CONFIG!B$4:D$12,2,FALSE),"")</f>
        <v>#N/A</v>
      </c>
      <c r="F123" s="48" t="e">
        <f>VLOOKUP(Tableau1[[#This Row],[ID patient]],'Import Site'!$B$1:$K$1500,5,FALSE)</f>
        <v>#N/A</v>
      </c>
      <c r="G123" s="31"/>
      <c r="H123" s="54"/>
      <c r="I123" s="73"/>
      <c r="J123" s="72"/>
      <c r="K123" s="70" t="e">
        <f>IF(Tableau1[[#This Row],[Nom Patients]]&gt;0,VLOOKUP(Tableau1[[#This Row],[Prix payé]],CONFIG!B$4:D$12,3,FALSE),"")</f>
        <v>#N/A</v>
      </c>
      <c r="L12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3" s="15" t="str">
        <f>IF(Tableau1[[#This Row],[Facture Associée]]&gt;0,VLOOKUP(Tableau1[[#This Row],[Facture Associée]],Tableau3[#All],3,FALSE),"")</f>
        <v/>
      </c>
      <c r="N123" t="str">
        <f>IF(Tableau1[[#This Row],[Facture Associée]]&gt;0,VLOOKUP(Tableau1[[#This Row],[Facture Associée]],Tableau3[#All],4,FALSE),"")</f>
        <v/>
      </c>
      <c r="O123" s="37"/>
      <c r="P123" s="15" t="str">
        <f>IF(Tableau1[[#This Row],[Facture Associée]]&gt;0,1,"")</f>
        <v/>
      </c>
    </row>
    <row r="124" spans="2:16" ht="15.75">
      <c r="B124">
        <v>49</v>
      </c>
      <c r="C124" t="e">
        <f>VLOOKUP(Tableau1[[#This Row],[ID patient]],'Import Site'!$B$1:$K$1500,3,FALSE)</f>
        <v>#N/A</v>
      </c>
      <c r="D124" s="30" t="e">
        <f>VLOOKUP(Tableau1[[#This Row],[ID patient]],'Import Site'!$B$1:$K$1500,2,FALSE)</f>
        <v>#N/A</v>
      </c>
      <c r="E124" t="e">
        <f>IF(Tableau1[[#This Row],[Nom Patients]]&gt;0,VLOOKUP(Tableau1[[#This Row],[Prix payé]],CONFIG!B$4:D$12,2,FALSE),"")</f>
        <v>#N/A</v>
      </c>
      <c r="F124" s="48" t="e">
        <f>VLOOKUP(Tableau1[[#This Row],[ID patient]],'Import Site'!$B$1:$K$1500,5,FALSE)</f>
        <v>#N/A</v>
      </c>
      <c r="G124" s="31"/>
      <c r="H124" s="54"/>
      <c r="I124" s="73"/>
      <c r="J124" s="72"/>
      <c r="K124" s="70" t="e">
        <f>IF(Tableau1[[#This Row],[Nom Patients]]&gt;0,VLOOKUP(Tableau1[[#This Row],[Prix payé]],CONFIG!B$4:D$12,3,FALSE),"")</f>
        <v>#N/A</v>
      </c>
      <c r="L12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4" s="15" t="str">
        <f>IF(Tableau1[[#This Row],[Facture Associée]]&gt;0,VLOOKUP(Tableau1[[#This Row],[Facture Associée]],Tableau3[#All],3,FALSE),"")</f>
        <v/>
      </c>
      <c r="N124" t="str">
        <f>IF(Tableau1[[#This Row],[Facture Associée]]&gt;0,VLOOKUP(Tableau1[[#This Row],[Facture Associée]],Tableau3[#All],4,FALSE),"")</f>
        <v/>
      </c>
      <c r="O124" s="37"/>
      <c r="P124" s="15" t="str">
        <f>IF(Tableau1[[#This Row],[Facture Associée]]&gt;0,1,"")</f>
        <v/>
      </c>
    </row>
    <row r="125" spans="2:16" ht="15.75">
      <c r="B125">
        <v>50</v>
      </c>
      <c r="C125" t="e">
        <f>VLOOKUP(Tableau1[[#This Row],[ID patient]],'Import Site'!$B$1:$K$1500,3,FALSE)</f>
        <v>#N/A</v>
      </c>
      <c r="D125" s="30" t="e">
        <f>VLOOKUP(Tableau1[[#This Row],[ID patient]],'Import Site'!$B$1:$K$1500,2,FALSE)</f>
        <v>#N/A</v>
      </c>
      <c r="E125" t="e">
        <f>IF(Tableau1[[#This Row],[Nom Patients]]&gt;0,VLOOKUP(Tableau1[[#This Row],[Prix payé]],CONFIG!B$4:D$12,2,FALSE),"")</f>
        <v>#N/A</v>
      </c>
      <c r="F125" s="48" t="e">
        <f>VLOOKUP(Tableau1[[#This Row],[ID patient]],'Import Site'!$B$1:$K$1500,5,FALSE)</f>
        <v>#N/A</v>
      </c>
      <c r="G125" s="31"/>
      <c r="H125" s="54"/>
      <c r="I125" s="73"/>
      <c r="J125" s="72"/>
      <c r="K125" s="70" t="e">
        <f>IF(Tableau1[[#This Row],[Nom Patients]]&gt;0,VLOOKUP(Tableau1[[#This Row],[Prix payé]],CONFIG!B$4:D$12,3,FALSE),"")</f>
        <v>#N/A</v>
      </c>
      <c r="L12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5" s="15" t="str">
        <f>IF(Tableau1[[#This Row],[Facture Associée]]&gt;0,VLOOKUP(Tableau1[[#This Row],[Facture Associée]],Tableau3[#All],3,FALSE),"")</f>
        <v/>
      </c>
      <c r="N125" t="str">
        <f>IF(Tableau1[[#This Row],[Facture Associée]]&gt;0,VLOOKUP(Tableau1[[#This Row],[Facture Associée]],Tableau3[#All],4,FALSE),"")</f>
        <v/>
      </c>
      <c r="O125" s="37"/>
      <c r="P125" s="15" t="str">
        <f>IF(Tableau1[[#This Row],[Facture Associée]]&gt;0,1,"")</f>
        <v/>
      </c>
    </row>
    <row r="126" spans="2:16" ht="15.75">
      <c r="B126">
        <v>51</v>
      </c>
      <c r="C126" t="e">
        <f>VLOOKUP(Tableau1[[#This Row],[ID patient]],'Import Site'!$B$1:$K$1500,3,FALSE)</f>
        <v>#N/A</v>
      </c>
      <c r="D126" s="30" t="e">
        <f>VLOOKUP(Tableau1[[#This Row],[ID patient]],'Import Site'!$B$1:$K$1500,2,FALSE)</f>
        <v>#N/A</v>
      </c>
      <c r="E126" t="e">
        <f>IF(Tableau1[[#This Row],[Nom Patients]]&gt;0,VLOOKUP(Tableau1[[#This Row],[Prix payé]],CONFIG!B$4:D$12,2,FALSE),"")</f>
        <v>#N/A</v>
      </c>
      <c r="F126" s="48" t="e">
        <f>VLOOKUP(Tableau1[[#This Row],[ID patient]],'Import Site'!$B$1:$K$1500,5,FALSE)</f>
        <v>#N/A</v>
      </c>
      <c r="G126" s="31"/>
      <c r="H126" s="54"/>
      <c r="I126" s="73"/>
      <c r="J126" s="72"/>
      <c r="K126" s="70" t="e">
        <f>IF(Tableau1[[#This Row],[Nom Patients]]&gt;0,VLOOKUP(Tableau1[[#This Row],[Prix payé]],CONFIG!B$4:D$12,3,FALSE),"")</f>
        <v>#N/A</v>
      </c>
      <c r="L12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6" s="15" t="str">
        <f>IF(Tableau1[[#This Row],[Facture Associée]]&gt;0,VLOOKUP(Tableau1[[#This Row],[Facture Associée]],Tableau3[#All],3,FALSE),"")</f>
        <v/>
      </c>
      <c r="N126" t="str">
        <f>IF(Tableau1[[#This Row],[Facture Associée]]&gt;0,VLOOKUP(Tableau1[[#This Row],[Facture Associée]],Tableau3[#All],4,FALSE),"")</f>
        <v/>
      </c>
      <c r="O126" s="37"/>
      <c r="P126" s="15" t="str">
        <f>IF(Tableau1[[#This Row],[Facture Associée]]&gt;0,1,"")</f>
        <v/>
      </c>
    </row>
    <row r="127" spans="2:16" ht="15.75">
      <c r="B127">
        <v>52</v>
      </c>
      <c r="C127" t="e">
        <f>VLOOKUP(Tableau1[[#This Row],[ID patient]],'Import Site'!$B$1:$K$1500,3,FALSE)</f>
        <v>#N/A</v>
      </c>
      <c r="D127" s="30" t="e">
        <f>VLOOKUP(Tableau1[[#This Row],[ID patient]],'Import Site'!$B$1:$K$1500,2,FALSE)</f>
        <v>#N/A</v>
      </c>
      <c r="E127" t="e">
        <f>IF(Tableau1[[#This Row],[Nom Patients]]&gt;0,VLOOKUP(Tableau1[[#This Row],[Prix payé]],CONFIG!B$4:D$12,2,FALSE),"")</f>
        <v>#N/A</v>
      </c>
      <c r="F127" s="48" t="e">
        <f>VLOOKUP(Tableau1[[#This Row],[ID patient]],'Import Site'!$B$1:$K$1500,5,FALSE)</f>
        <v>#N/A</v>
      </c>
      <c r="G127" s="31"/>
      <c r="H127" s="54"/>
      <c r="I127" s="73"/>
      <c r="J127" s="72"/>
      <c r="K127" s="70" t="e">
        <f>IF(Tableau1[[#This Row],[Nom Patients]]&gt;0,VLOOKUP(Tableau1[[#This Row],[Prix payé]],CONFIG!B$4:D$12,3,FALSE),"")</f>
        <v>#N/A</v>
      </c>
      <c r="L12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7" s="15" t="str">
        <f>IF(Tableau1[[#This Row],[Facture Associée]]&gt;0,VLOOKUP(Tableau1[[#This Row],[Facture Associée]],Tableau3[#All],3,FALSE),"")</f>
        <v/>
      </c>
      <c r="N127" t="str">
        <f>IF(Tableau1[[#This Row],[Facture Associée]]&gt;0,VLOOKUP(Tableau1[[#This Row],[Facture Associée]],Tableau3[#All],4,FALSE),"")</f>
        <v/>
      </c>
      <c r="O127" s="37"/>
      <c r="P127" s="15" t="str">
        <f>IF(Tableau1[[#This Row],[Facture Associée]]&gt;0,1,"")</f>
        <v/>
      </c>
    </row>
    <row r="128" spans="2:16" ht="15.75">
      <c r="B128">
        <v>53</v>
      </c>
      <c r="C128" t="e">
        <f>VLOOKUP(Tableau1[[#This Row],[ID patient]],'Import Site'!$B$1:$K$1500,3,FALSE)</f>
        <v>#N/A</v>
      </c>
      <c r="D128" s="30" t="e">
        <f>VLOOKUP(Tableau1[[#This Row],[ID patient]],'Import Site'!$B$1:$K$1500,2,FALSE)</f>
        <v>#N/A</v>
      </c>
      <c r="E128" t="e">
        <f>IF(Tableau1[[#This Row],[Nom Patients]]&gt;0,VLOOKUP(Tableau1[[#This Row],[Prix payé]],CONFIG!B$4:D$12,2,FALSE),"")</f>
        <v>#N/A</v>
      </c>
      <c r="F128" s="48" t="e">
        <f>VLOOKUP(Tableau1[[#This Row],[ID patient]],'Import Site'!$B$1:$K$1500,5,FALSE)</f>
        <v>#N/A</v>
      </c>
      <c r="G128" s="31"/>
      <c r="H128" s="54"/>
      <c r="I128" s="73"/>
      <c r="J128" s="72"/>
      <c r="K128" s="70" t="e">
        <f>IF(Tableau1[[#This Row],[Nom Patients]]&gt;0,VLOOKUP(Tableau1[[#This Row],[Prix payé]],CONFIG!B$4:D$12,3,FALSE),"")</f>
        <v>#N/A</v>
      </c>
      <c r="L12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8" s="15" t="str">
        <f>IF(Tableau1[[#This Row],[Facture Associée]]&gt;0,VLOOKUP(Tableau1[[#This Row],[Facture Associée]],Tableau3[#All],3,FALSE),"")</f>
        <v/>
      </c>
      <c r="N128" t="str">
        <f>IF(Tableau1[[#This Row],[Facture Associée]]&gt;0,VLOOKUP(Tableau1[[#This Row],[Facture Associée]],Tableau3[#All],4,FALSE),"")</f>
        <v/>
      </c>
      <c r="O128" s="37"/>
      <c r="P128" s="15" t="str">
        <f>IF(Tableau1[[#This Row],[Facture Associée]]&gt;0,1,"")</f>
        <v/>
      </c>
    </row>
    <row r="129" spans="2:16" ht="15.75">
      <c r="B129">
        <v>54</v>
      </c>
      <c r="C129" t="e">
        <f>VLOOKUP(Tableau1[[#This Row],[ID patient]],'Import Site'!$B$1:$K$1500,3,FALSE)</f>
        <v>#N/A</v>
      </c>
      <c r="D129" s="30" t="e">
        <f>VLOOKUP(Tableau1[[#This Row],[ID patient]],'Import Site'!$B$1:$K$1500,2,FALSE)</f>
        <v>#N/A</v>
      </c>
      <c r="E129" t="e">
        <f>IF(Tableau1[[#This Row],[Nom Patients]]&gt;0,VLOOKUP(Tableau1[[#This Row],[Prix payé]],CONFIG!B$4:D$12,2,FALSE),"")</f>
        <v>#N/A</v>
      </c>
      <c r="F129" s="48" t="e">
        <f>VLOOKUP(Tableau1[[#This Row],[ID patient]],'Import Site'!$B$1:$K$1500,5,FALSE)</f>
        <v>#N/A</v>
      </c>
      <c r="G129" s="31"/>
      <c r="H129" s="54"/>
      <c r="I129" s="73"/>
      <c r="J129" s="72"/>
      <c r="K129" s="70" t="e">
        <f>IF(Tableau1[[#This Row],[Nom Patients]]&gt;0,VLOOKUP(Tableau1[[#This Row],[Prix payé]],CONFIG!B$4:D$12,3,FALSE),"")</f>
        <v>#N/A</v>
      </c>
      <c r="L12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29" s="15" t="str">
        <f>IF(Tableau1[[#This Row],[Facture Associée]]&gt;0,VLOOKUP(Tableau1[[#This Row],[Facture Associée]],Tableau3[#All],3,FALSE),"")</f>
        <v/>
      </c>
      <c r="N129" t="str">
        <f>IF(Tableau1[[#This Row],[Facture Associée]]&gt;0,VLOOKUP(Tableau1[[#This Row],[Facture Associée]],Tableau3[#All],4,FALSE),"")</f>
        <v/>
      </c>
      <c r="O129" s="37"/>
      <c r="P129" s="15" t="str">
        <f>IF(Tableau1[[#This Row],[Facture Associée]]&gt;0,1,"")</f>
        <v/>
      </c>
    </row>
    <row r="130" spans="2:16" ht="15.75">
      <c r="B130">
        <v>55</v>
      </c>
      <c r="C130" t="e">
        <f>VLOOKUP(Tableau1[[#This Row],[ID patient]],'Import Site'!$B$1:$K$1500,3,FALSE)</f>
        <v>#N/A</v>
      </c>
      <c r="D130" s="30" t="e">
        <f>VLOOKUP(Tableau1[[#This Row],[ID patient]],'Import Site'!$B$1:$K$1500,2,FALSE)</f>
        <v>#N/A</v>
      </c>
      <c r="E130" t="e">
        <f>IF(Tableau1[[#This Row],[Nom Patients]]&gt;0,VLOOKUP(Tableau1[[#This Row],[Prix payé]],CONFIG!B$4:D$12,2,FALSE),"")</f>
        <v>#N/A</v>
      </c>
      <c r="F130" s="48" t="e">
        <f>VLOOKUP(Tableau1[[#This Row],[ID patient]],'Import Site'!$B$1:$K$1500,5,FALSE)</f>
        <v>#N/A</v>
      </c>
      <c r="G130" s="31"/>
      <c r="H130" s="54"/>
      <c r="I130" s="73"/>
      <c r="J130" s="72"/>
      <c r="K130" s="70" t="e">
        <f>IF(Tableau1[[#This Row],[Nom Patients]]&gt;0,VLOOKUP(Tableau1[[#This Row],[Prix payé]],CONFIG!B$4:D$12,3,FALSE),"")</f>
        <v>#N/A</v>
      </c>
      <c r="L13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0" s="15" t="str">
        <f>IF(Tableau1[[#This Row],[Facture Associée]]&gt;0,VLOOKUP(Tableau1[[#This Row],[Facture Associée]],Tableau3[#All],3,FALSE),"")</f>
        <v/>
      </c>
      <c r="N130" t="str">
        <f>IF(Tableau1[[#This Row],[Facture Associée]]&gt;0,VLOOKUP(Tableau1[[#This Row],[Facture Associée]],Tableau3[#All],4,FALSE),"")</f>
        <v/>
      </c>
      <c r="O130" s="37"/>
      <c r="P130" s="15" t="str">
        <f>IF(Tableau1[[#This Row],[Facture Associée]]&gt;0,1,"")</f>
        <v/>
      </c>
    </row>
    <row r="131" spans="2:16" ht="15.75">
      <c r="B131">
        <v>56</v>
      </c>
      <c r="C131" t="e">
        <f>VLOOKUP(Tableau1[[#This Row],[ID patient]],'Import Site'!$B$1:$K$1500,3,FALSE)</f>
        <v>#N/A</v>
      </c>
      <c r="D131" s="30" t="e">
        <f>VLOOKUP(Tableau1[[#This Row],[ID patient]],'Import Site'!$B$1:$K$1500,2,FALSE)</f>
        <v>#N/A</v>
      </c>
      <c r="E131" t="e">
        <f>IF(Tableau1[[#This Row],[Nom Patients]]&gt;0,VLOOKUP(Tableau1[[#This Row],[Prix payé]],CONFIG!B$4:D$12,2,FALSE),"")</f>
        <v>#N/A</v>
      </c>
      <c r="F131" s="48" t="e">
        <f>VLOOKUP(Tableau1[[#This Row],[ID patient]],'Import Site'!$B$1:$K$1500,5,FALSE)</f>
        <v>#N/A</v>
      </c>
      <c r="G131" s="31"/>
      <c r="H131" s="54"/>
      <c r="I131" s="73"/>
      <c r="J131" s="72"/>
      <c r="K131" s="70" t="e">
        <f>IF(Tableau1[[#This Row],[Nom Patients]]&gt;0,VLOOKUP(Tableau1[[#This Row],[Prix payé]],CONFIG!B$4:D$12,3,FALSE),"")</f>
        <v>#N/A</v>
      </c>
      <c r="L13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1" s="15" t="str">
        <f>IF(Tableau1[[#This Row],[Facture Associée]]&gt;0,VLOOKUP(Tableau1[[#This Row],[Facture Associée]],Tableau3[#All],3,FALSE),"")</f>
        <v/>
      </c>
      <c r="N131" t="str">
        <f>IF(Tableau1[[#This Row],[Facture Associée]]&gt;0,VLOOKUP(Tableau1[[#This Row],[Facture Associée]],Tableau3[#All],4,FALSE),"")</f>
        <v/>
      </c>
      <c r="O131" s="37"/>
      <c r="P131" s="15" t="str">
        <f>IF(Tableau1[[#This Row],[Facture Associée]]&gt;0,1,"")</f>
        <v/>
      </c>
    </row>
    <row r="132" spans="2:16" ht="15.75">
      <c r="B132">
        <v>57</v>
      </c>
      <c r="C132" t="e">
        <f>VLOOKUP(Tableau1[[#This Row],[ID patient]],'Import Site'!$B$1:$K$1500,3,FALSE)</f>
        <v>#N/A</v>
      </c>
      <c r="D132" s="30" t="e">
        <f>VLOOKUP(Tableau1[[#This Row],[ID patient]],'Import Site'!$B$1:$K$1500,2,FALSE)</f>
        <v>#N/A</v>
      </c>
      <c r="E132" t="e">
        <f>IF(Tableau1[[#This Row],[Nom Patients]]&gt;0,VLOOKUP(Tableau1[[#This Row],[Prix payé]],CONFIG!B$4:D$12,2,FALSE),"")</f>
        <v>#N/A</v>
      </c>
      <c r="F132" s="48" t="e">
        <f>VLOOKUP(Tableau1[[#This Row],[ID patient]],'Import Site'!$B$1:$K$1500,5,FALSE)</f>
        <v>#N/A</v>
      </c>
      <c r="G132" s="31"/>
      <c r="H132" s="54"/>
      <c r="I132" s="73"/>
      <c r="J132" s="72"/>
      <c r="K132" s="70" t="e">
        <f>IF(Tableau1[[#This Row],[Nom Patients]]&gt;0,VLOOKUP(Tableau1[[#This Row],[Prix payé]],CONFIG!B$4:D$12,3,FALSE),"")</f>
        <v>#N/A</v>
      </c>
      <c r="L13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2" s="15" t="str">
        <f>IF(Tableau1[[#This Row],[Facture Associée]]&gt;0,VLOOKUP(Tableau1[[#This Row],[Facture Associée]],Tableau3[#All],3,FALSE),"")</f>
        <v/>
      </c>
      <c r="N132" t="str">
        <f>IF(Tableau1[[#This Row],[Facture Associée]]&gt;0,VLOOKUP(Tableau1[[#This Row],[Facture Associée]],Tableau3[#All],4,FALSE),"")</f>
        <v/>
      </c>
      <c r="O132" s="37"/>
      <c r="P132" s="15" t="str">
        <f>IF(Tableau1[[#This Row],[Facture Associée]]&gt;0,1,"")</f>
        <v/>
      </c>
    </row>
    <row r="133" spans="2:16" ht="15.75">
      <c r="B133">
        <v>58</v>
      </c>
      <c r="C133" t="e">
        <f>VLOOKUP(Tableau1[[#This Row],[ID patient]],'Import Site'!$B$1:$K$1500,3,FALSE)</f>
        <v>#N/A</v>
      </c>
      <c r="D133" s="30" t="e">
        <f>VLOOKUP(Tableau1[[#This Row],[ID patient]],'Import Site'!$B$1:$K$1500,2,FALSE)</f>
        <v>#N/A</v>
      </c>
      <c r="E133" t="e">
        <f>IF(Tableau1[[#This Row],[Nom Patients]]&gt;0,VLOOKUP(Tableau1[[#This Row],[Prix payé]],CONFIG!B$4:D$12,2,FALSE),"")</f>
        <v>#N/A</v>
      </c>
      <c r="F133" s="48" t="e">
        <f>VLOOKUP(Tableau1[[#This Row],[ID patient]],'Import Site'!$B$1:$K$1500,5,FALSE)</f>
        <v>#N/A</v>
      </c>
      <c r="G133" s="31"/>
      <c r="H133" s="54"/>
      <c r="I133" s="73"/>
      <c r="J133" s="72"/>
      <c r="K133" s="70" t="e">
        <f>IF(Tableau1[[#This Row],[Nom Patients]]&gt;0,VLOOKUP(Tableau1[[#This Row],[Prix payé]],CONFIG!B$4:D$12,3,FALSE),"")</f>
        <v>#N/A</v>
      </c>
      <c r="L13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3" s="15" t="str">
        <f>IF(Tableau1[[#This Row],[Facture Associée]]&gt;0,VLOOKUP(Tableau1[[#This Row],[Facture Associée]],Tableau3[#All],3,FALSE),"")</f>
        <v/>
      </c>
      <c r="N133" t="str">
        <f>IF(Tableau1[[#This Row],[Facture Associée]]&gt;0,VLOOKUP(Tableau1[[#This Row],[Facture Associée]],Tableau3[#All],4,FALSE),"")</f>
        <v/>
      </c>
      <c r="O133" s="37"/>
      <c r="P133" s="15" t="str">
        <f>IF(Tableau1[[#This Row],[Facture Associée]]&gt;0,1,"")</f>
        <v/>
      </c>
    </row>
    <row r="134" spans="2:16" ht="15.75">
      <c r="B134">
        <v>59</v>
      </c>
      <c r="C134" t="e">
        <f>VLOOKUP(Tableau1[[#This Row],[ID patient]],'Import Site'!$B$1:$K$1500,3,FALSE)</f>
        <v>#N/A</v>
      </c>
      <c r="D134" s="30" t="e">
        <f>VLOOKUP(Tableau1[[#This Row],[ID patient]],'Import Site'!$B$1:$K$1500,2,FALSE)</f>
        <v>#N/A</v>
      </c>
      <c r="E134" t="e">
        <f>IF(Tableau1[[#This Row],[Nom Patients]]&gt;0,VLOOKUP(Tableau1[[#This Row],[Prix payé]],CONFIG!B$4:D$12,2,FALSE),"")</f>
        <v>#N/A</v>
      </c>
      <c r="F134" s="48" t="e">
        <f>VLOOKUP(Tableau1[[#This Row],[ID patient]],'Import Site'!$B$1:$K$1500,5,FALSE)</f>
        <v>#N/A</v>
      </c>
      <c r="G134" s="31"/>
      <c r="H134" s="54"/>
      <c r="I134" s="73"/>
      <c r="J134" s="72"/>
      <c r="K134" s="70" t="e">
        <f>IF(Tableau1[[#This Row],[Nom Patients]]&gt;0,VLOOKUP(Tableau1[[#This Row],[Prix payé]],CONFIG!B$4:D$12,3,FALSE),"")</f>
        <v>#N/A</v>
      </c>
      <c r="L13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4" s="15" t="str">
        <f>IF(Tableau1[[#This Row],[Facture Associée]]&gt;0,VLOOKUP(Tableau1[[#This Row],[Facture Associée]],Tableau3[#All],3,FALSE),"")</f>
        <v/>
      </c>
      <c r="N134" t="str">
        <f>IF(Tableau1[[#This Row],[Facture Associée]]&gt;0,VLOOKUP(Tableau1[[#This Row],[Facture Associée]],Tableau3[#All],4,FALSE),"")</f>
        <v/>
      </c>
      <c r="O134" s="37"/>
      <c r="P134" s="15" t="str">
        <f>IF(Tableau1[[#This Row],[Facture Associée]]&gt;0,1,"")</f>
        <v/>
      </c>
    </row>
    <row r="135" spans="2:16" ht="15.75">
      <c r="B135">
        <v>60</v>
      </c>
      <c r="C135" t="e">
        <f>VLOOKUP(Tableau1[[#This Row],[ID patient]],'Import Site'!$B$1:$K$1500,3,FALSE)</f>
        <v>#N/A</v>
      </c>
      <c r="D135" s="30" t="e">
        <f>VLOOKUP(Tableau1[[#This Row],[ID patient]],'Import Site'!$B$1:$K$1500,2,FALSE)</f>
        <v>#N/A</v>
      </c>
      <c r="E135" t="e">
        <f>IF(Tableau1[[#This Row],[Nom Patients]]&gt;0,VLOOKUP(Tableau1[[#This Row],[Prix payé]],CONFIG!B$4:D$12,2,FALSE),"")</f>
        <v>#N/A</v>
      </c>
      <c r="F135" s="48" t="e">
        <f>VLOOKUP(Tableau1[[#This Row],[ID patient]],'Import Site'!$B$1:$K$1500,5,FALSE)</f>
        <v>#N/A</v>
      </c>
      <c r="G135" s="31"/>
      <c r="H135" s="54"/>
      <c r="I135" s="73"/>
      <c r="J135" s="72"/>
      <c r="K135" s="70" t="e">
        <f>IF(Tableau1[[#This Row],[Nom Patients]]&gt;0,VLOOKUP(Tableau1[[#This Row],[Prix payé]],CONFIG!B$4:D$12,3,FALSE),"")</f>
        <v>#N/A</v>
      </c>
      <c r="L13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5" s="15" t="str">
        <f>IF(Tableau1[[#This Row],[Facture Associée]]&gt;0,VLOOKUP(Tableau1[[#This Row],[Facture Associée]],Tableau3[#All],3,FALSE),"")</f>
        <v/>
      </c>
      <c r="N135" t="str">
        <f>IF(Tableau1[[#This Row],[Facture Associée]]&gt;0,VLOOKUP(Tableau1[[#This Row],[Facture Associée]],Tableau3[#All],4,FALSE),"")</f>
        <v/>
      </c>
      <c r="O135" s="37"/>
      <c r="P135" s="15" t="str">
        <f>IF(Tableau1[[#This Row],[Facture Associée]]&gt;0,1,"")</f>
        <v/>
      </c>
    </row>
    <row r="136" spans="2:16" ht="15.75">
      <c r="B136">
        <v>61</v>
      </c>
      <c r="C136" t="e">
        <f>VLOOKUP(Tableau1[[#This Row],[ID patient]],'Import Site'!$B$1:$K$1500,3,FALSE)</f>
        <v>#N/A</v>
      </c>
      <c r="D136" s="30" t="e">
        <f>VLOOKUP(Tableau1[[#This Row],[ID patient]],'Import Site'!$B$1:$K$1500,2,FALSE)</f>
        <v>#N/A</v>
      </c>
      <c r="E136" t="e">
        <f>IF(Tableau1[[#This Row],[Nom Patients]]&gt;0,VLOOKUP(Tableau1[[#This Row],[Prix payé]],CONFIG!B$4:D$12,2,FALSE),"")</f>
        <v>#N/A</v>
      </c>
      <c r="F136" s="48" t="e">
        <f>VLOOKUP(Tableau1[[#This Row],[ID patient]],'Import Site'!$B$1:$K$1500,5,FALSE)</f>
        <v>#N/A</v>
      </c>
      <c r="G136" s="31"/>
      <c r="H136" s="54"/>
      <c r="I136" s="73"/>
      <c r="J136" s="72"/>
      <c r="K136" s="70" t="e">
        <f>IF(Tableau1[[#This Row],[Nom Patients]]&gt;0,VLOOKUP(Tableau1[[#This Row],[Prix payé]],CONFIG!B$4:D$12,3,FALSE),"")</f>
        <v>#N/A</v>
      </c>
      <c r="L13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6" s="15" t="str">
        <f>IF(Tableau1[[#This Row],[Facture Associée]]&gt;0,VLOOKUP(Tableau1[[#This Row],[Facture Associée]],Tableau3[#All],3,FALSE),"")</f>
        <v/>
      </c>
      <c r="N136" t="str">
        <f>IF(Tableau1[[#This Row],[Facture Associée]]&gt;0,VLOOKUP(Tableau1[[#This Row],[Facture Associée]],Tableau3[#All],4,FALSE),"")</f>
        <v/>
      </c>
      <c r="O136" s="37"/>
      <c r="P136" s="15" t="str">
        <f>IF(Tableau1[[#This Row],[Facture Associée]]&gt;0,1,"")</f>
        <v/>
      </c>
    </row>
    <row r="137" spans="2:16" ht="15.75">
      <c r="B137">
        <v>62</v>
      </c>
      <c r="C137" t="e">
        <f>VLOOKUP(Tableau1[[#This Row],[ID patient]],'Import Site'!$B$1:$K$1500,3,FALSE)</f>
        <v>#N/A</v>
      </c>
      <c r="D137" s="30" t="e">
        <f>VLOOKUP(Tableau1[[#This Row],[ID patient]],'Import Site'!$B$1:$K$1500,2,FALSE)</f>
        <v>#N/A</v>
      </c>
      <c r="E137" t="e">
        <f>IF(Tableau1[[#This Row],[Nom Patients]]&gt;0,VLOOKUP(Tableau1[[#This Row],[Prix payé]],CONFIG!B$4:D$12,2,FALSE),"")</f>
        <v>#N/A</v>
      </c>
      <c r="F137" s="48" t="e">
        <f>VLOOKUP(Tableau1[[#This Row],[ID patient]],'Import Site'!$B$1:$K$1500,5,FALSE)</f>
        <v>#N/A</v>
      </c>
      <c r="G137" s="31"/>
      <c r="H137" s="54"/>
      <c r="I137" s="73"/>
      <c r="J137" s="72"/>
      <c r="K137" s="70" t="e">
        <f>IF(Tableau1[[#This Row],[Nom Patients]]&gt;0,VLOOKUP(Tableau1[[#This Row],[Prix payé]],CONFIG!B$4:D$12,3,FALSE),"")</f>
        <v>#N/A</v>
      </c>
      <c r="L13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7" s="15" t="str">
        <f>IF(Tableau1[[#This Row],[Facture Associée]]&gt;0,VLOOKUP(Tableau1[[#This Row],[Facture Associée]],Tableau3[#All],3,FALSE),"")</f>
        <v/>
      </c>
      <c r="N137" t="str">
        <f>IF(Tableau1[[#This Row],[Facture Associée]]&gt;0,VLOOKUP(Tableau1[[#This Row],[Facture Associée]],Tableau3[#All],4,FALSE),"")</f>
        <v/>
      </c>
      <c r="O137" s="37"/>
      <c r="P137" s="15" t="str">
        <f>IF(Tableau1[[#This Row],[Facture Associée]]&gt;0,1,"")</f>
        <v/>
      </c>
    </row>
    <row r="138" spans="2:16" ht="15.75">
      <c r="B138">
        <v>63</v>
      </c>
      <c r="C138" t="e">
        <f>VLOOKUP(Tableau1[[#This Row],[ID patient]],'Import Site'!$B$1:$K$1500,3,FALSE)</f>
        <v>#N/A</v>
      </c>
      <c r="D138" s="30" t="e">
        <f>VLOOKUP(Tableau1[[#This Row],[ID patient]],'Import Site'!$B$1:$K$1500,2,FALSE)</f>
        <v>#N/A</v>
      </c>
      <c r="E138" t="e">
        <f>IF(Tableau1[[#This Row],[Nom Patients]]&gt;0,VLOOKUP(Tableau1[[#This Row],[Prix payé]],CONFIG!B$4:D$12,2,FALSE),"")</f>
        <v>#N/A</v>
      </c>
      <c r="F138" s="48" t="e">
        <f>VLOOKUP(Tableau1[[#This Row],[ID patient]],'Import Site'!$B$1:$K$1500,5,FALSE)</f>
        <v>#N/A</v>
      </c>
      <c r="G138" s="31"/>
      <c r="H138" s="54"/>
      <c r="I138" s="73"/>
      <c r="J138" s="72"/>
      <c r="K138" s="70" t="e">
        <f>IF(Tableau1[[#This Row],[Nom Patients]]&gt;0,VLOOKUP(Tableau1[[#This Row],[Prix payé]],CONFIG!B$4:D$12,3,FALSE),"")</f>
        <v>#N/A</v>
      </c>
      <c r="L13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8" s="15" t="str">
        <f>IF(Tableau1[[#This Row],[Facture Associée]]&gt;0,VLOOKUP(Tableau1[[#This Row],[Facture Associée]],Tableau3[#All],3,FALSE),"")</f>
        <v/>
      </c>
      <c r="N138" t="str">
        <f>IF(Tableau1[[#This Row],[Facture Associée]]&gt;0,VLOOKUP(Tableau1[[#This Row],[Facture Associée]],Tableau3[#All],4,FALSE),"")</f>
        <v/>
      </c>
      <c r="O138" s="37"/>
      <c r="P138" s="15" t="str">
        <f>IF(Tableau1[[#This Row],[Facture Associée]]&gt;0,1,"")</f>
        <v/>
      </c>
    </row>
    <row r="139" spans="2:16" ht="15.75">
      <c r="B139">
        <v>64</v>
      </c>
      <c r="C139" t="e">
        <f>VLOOKUP(Tableau1[[#This Row],[ID patient]],'Import Site'!$B$1:$K$1500,3,FALSE)</f>
        <v>#N/A</v>
      </c>
      <c r="D139" s="30" t="e">
        <f>VLOOKUP(Tableau1[[#This Row],[ID patient]],'Import Site'!$B$1:$K$1500,2,FALSE)</f>
        <v>#N/A</v>
      </c>
      <c r="E139" t="e">
        <f>IF(Tableau1[[#This Row],[Nom Patients]]&gt;0,VLOOKUP(Tableau1[[#This Row],[Prix payé]],CONFIG!B$4:D$12,2,FALSE),"")</f>
        <v>#N/A</v>
      </c>
      <c r="F139" s="48" t="e">
        <f>VLOOKUP(Tableau1[[#This Row],[ID patient]],'Import Site'!$B$1:$K$1500,5,FALSE)</f>
        <v>#N/A</v>
      </c>
      <c r="G139" s="31"/>
      <c r="H139" s="54"/>
      <c r="I139" s="73"/>
      <c r="J139" s="72"/>
      <c r="K139" s="70" t="e">
        <f>IF(Tableau1[[#This Row],[Nom Patients]]&gt;0,VLOOKUP(Tableau1[[#This Row],[Prix payé]],CONFIG!B$4:D$12,3,FALSE),"")</f>
        <v>#N/A</v>
      </c>
      <c r="L13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39" s="15" t="str">
        <f>IF(Tableau1[[#This Row],[Facture Associée]]&gt;0,VLOOKUP(Tableau1[[#This Row],[Facture Associée]],Tableau3[#All],3,FALSE),"")</f>
        <v/>
      </c>
      <c r="N139" t="str">
        <f>IF(Tableau1[[#This Row],[Facture Associée]]&gt;0,VLOOKUP(Tableau1[[#This Row],[Facture Associée]],Tableau3[#All],4,FALSE),"")</f>
        <v/>
      </c>
      <c r="O139" s="37"/>
      <c r="P139" s="15" t="str">
        <f>IF(Tableau1[[#This Row],[Facture Associée]]&gt;0,1,"")</f>
        <v/>
      </c>
    </row>
    <row r="140" spans="2:16" ht="15.75">
      <c r="B140">
        <v>65</v>
      </c>
      <c r="C140" t="e">
        <f>VLOOKUP(Tableau1[[#This Row],[ID patient]],'Import Site'!$B$1:$K$1500,3,FALSE)</f>
        <v>#N/A</v>
      </c>
      <c r="D140" s="30" t="e">
        <f>VLOOKUP(Tableau1[[#This Row],[ID patient]],'Import Site'!$B$1:$K$1500,2,FALSE)</f>
        <v>#N/A</v>
      </c>
      <c r="E140" t="e">
        <f>IF(Tableau1[[#This Row],[Nom Patients]]&gt;0,VLOOKUP(Tableau1[[#This Row],[Prix payé]],CONFIG!B$4:D$12,2,FALSE),"")</f>
        <v>#N/A</v>
      </c>
      <c r="F140" s="48" t="e">
        <f>VLOOKUP(Tableau1[[#This Row],[ID patient]],'Import Site'!$B$1:$K$1500,5,FALSE)</f>
        <v>#N/A</v>
      </c>
      <c r="G140" s="31"/>
      <c r="H140" s="54"/>
      <c r="I140" s="73"/>
      <c r="J140" s="72"/>
      <c r="K140" s="70" t="e">
        <f>IF(Tableau1[[#This Row],[Nom Patients]]&gt;0,VLOOKUP(Tableau1[[#This Row],[Prix payé]],CONFIG!B$4:D$12,3,FALSE),"")</f>
        <v>#N/A</v>
      </c>
      <c r="L14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0" s="15" t="str">
        <f>IF(Tableau1[[#This Row],[Facture Associée]]&gt;0,VLOOKUP(Tableau1[[#This Row],[Facture Associée]],Tableau3[#All],3,FALSE),"")</f>
        <v/>
      </c>
      <c r="N140" t="str">
        <f>IF(Tableau1[[#This Row],[Facture Associée]]&gt;0,VLOOKUP(Tableau1[[#This Row],[Facture Associée]],Tableau3[#All],4,FALSE),"")</f>
        <v/>
      </c>
      <c r="O140" s="37"/>
      <c r="P140" s="15" t="str">
        <f>IF(Tableau1[[#This Row],[Facture Associée]]&gt;0,1,"")</f>
        <v/>
      </c>
    </row>
    <row r="141" spans="2:16" ht="15.75">
      <c r="B141">
        <v>66</v>
      </c>
      <c r="C141" t="e">
        <f>VLOOKUP(Tableau1[[#This Row],[ID patient]],'Import Site'!$B$1:$K$1500,3,FALSE)</f>
        <v>#N/A</v>
      </c>
      <c r="D141" s="30" t="e">
        <f>VLOOKUP(Tableau1[[#This Row],[ID patient]],'Import Site'!$B$1:$K$1500,2,FALSE)</f>
        <v>#N/A</v>
      </c>
      <c r="E141" t="e">
        <f>IF(Tableau1[[#This Row],[Nom Patients]]&gt;0,VLOOKUP(Tableau1[[#This Row],[Prix payé]],CONFIG!B$4:D$12,2,FALSE),"")</f>
        <v>#N/A</v>
      </c>
      <c r="F141" s="48" t="e">
        <f>VLOOKUP(Tableau1[[#This Row],[ID patient]],'Import Site'!$B$1:$K$1500,5,FALSE)</f>
        <v>#N/A</v>
      </c>
      <c r="G141" s="31"/>
      <c r="H141" s="54"/>
      <c r="I141" s="73"/>
      <c r="J141" s="72"/>
      <c r="K141" s="70" t="e">
        <f>IF(Tableau1[[#This Row],[Nom Patients]]&gt;0,VLOOKUP(Tableau1[[#This Row],[Prix payé]],CONFIG!B$4:D$12,3,FALSE),"")</f>
        <v>#N/A</v>
      </c>
      <c r="L14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1" s="15" t="str">
        <f>IF(Tableau1[[#This Row],[Facture Associée]]&gt;0,VLOOKUP(Tableau1[[#This Row],[Facture Associée]],Tableau3[#All],3,FALSE),"")</f>
        <v/>
      </c>
      <c r="N141" t="str">
        <f>IF(Tableau1[[#This Row],[Facture Associée]]&gt;0,VLOOKUP(Tableau1[[#This Row],[Facture Associée]],Tableau3[#All],4,FALSE),"")</f>
        <v/>
      </c>
      <c r="O141" s="37"/>
      <c r="P141" s="15" t="str">
        <f>IF(Tableau1[[#This Row],[Facture Associée]]&gt;0,1,"")</f>
        <v/>
      </c>
    </row>
    <row r="142" spans="2:16" ht="15.75">
      <c r="B142">
        <v>67</v>
      </c>
      <c r="C142" t="e">
        <f>VLOOKUP(Tableau1[[#This Row],[ID patient]],'Import Site'!$B$1:$K$1500,3,FALSE)</f>
        <v>#N/A</v>
      </c>
      <c r="D142" s="30" t="e">
        <f>VLOOKUP(Tableau1[[#This Row],[ID patient]],'Import Site'!$B$1:$K$1500,2,FALSE)</f>
        <v>#N/A</v>
      </c>
      <c r="E142" t="e">
        <f>IF(Tableau1[[#This Row],[Nom Patients]]&gt;0,VLOOKUP(Tableau1[[#This Row],[Prix payé]],CONFIG!B$4:D$12,2,FALSE),"")</f>
        <v>#N/A</v>
      </c>
      <c r="F142" s="48" t="e">
        <f>VLOOKUP(Tableau1[[#This Row],[ID patient]],'Import Site'!$B$1:$K$1500,5,FALSE)</f>
        <v>#N/A</v>
      </c>
      <c r="G142" s="31"/>
      <c r="H142" s="54"/>
      <c r="I142" s="73"/>
      <c r="J142" s="72"/>
      <c r="K142" s="70" t="e">
        <f>IF(Tableau1[[#This Row],[Nom Patients]]&gt;0,VLOOKUP(Tableau1[[#This Row],[Prix payé]],CONFIG!B$4:D$12,3,FALSE),"")</f>
        <v>#N/A</v>
      </c>
      <c r="L14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2" s="15" t="str">
        <f>IF(Tableau1[[#This Row],[Facture Associée]]&gt;0,VLOOKUP(Tableau1[[#This Row],[Facture Associée]],Tableau3[#All],3,FALSE),"")</f>
        <v/>
      </c>
      <c r="N142" t="str">
        <f>IF(Tableau1[[#This Row],[Facture Associée]]&gt;0,VLOOKUP(Tableau1[[#This Row],[Facture Associée]],Tableau3[#All],4,FALSE),"")</f>
        <v/>
      </c>
      <c r="O142" s="37"/>
      <c r="P142" s="15" t="str">
        <f>IF(Tableau1[[#This Row],[Facture Associée]]&gt;0,1,"")</f>
        <v/>
      </c>
    </row>
    <row r="143" spans="2:16" ht="15.75">
      <c r="B143">
        <v>68</v>
      </c>
      <c r="C143" t="e">
        <f>VLOOKUP(Tableau1[[#This Row],[ID patient]],'Import Site'!$B$1:$K$1500,3,FALSE)</f>
        <v>#N/A</v>
      </c>
      <c r="D143" s="30" t="e">
        <f>VLOOKUP(Tableau1[[#This Row],[ID patient]],'Import Site'!$B$1:$K$1500,2,FALSE)</f>
        <v>#N/A</v>
      </c>
      <c r="E143" t="e">
        <f>IF(Tableau1[[#This Row],[Nom Patients]]&gt;0,VLOOKUP(Tableau1[[#This Row],[Prix payé]],CONFIG!B$4:D$12,2,FALSE),"")</f>
        <v>#N/A</v>
      </c>
      <c r="F143" s="48" t="e">
        <f>VLOOKUP(Tableau1[[#This Row],[ID patient]],'Import Site'!$B$1:$K$1500,5,FALSE)</f>
        <v>#N/A</v>
      </c>
      <c r="G143" s="31"/>
      <c r="H143" s="54"/>
      <c r="I143" s="73"/>
      <c r="J143" s="72"/>
      <c r="K143" s="70" t="e">
        <f>IF(Tableau1[[#This Row],[Nom Patients]]&gt;0,VLOOKUP(Tableau1[[#This Row],[Prix payé]],CONFIG!B$4:D$12,3,FALSE),"")</f>
        <v>#N/A</v>
      </c>
      <c r="L14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3" s="15" t="str">
        <f>IF(Tableau1[[#This Row],[Facture Associée]]&gt;0,VLOOKUP(Tableau1[[#This Row],[Facture Associée]],Tableau3[#All],3,FALSE),"")</f>
        <v/>
      </c>
      <c r="N143" t="str">
        <f>IF(Tableau1[[#This Row],[Facture Associée]]&gt;0,VLOOKUP(Tableau1[[#This Row],[Facture Associée]],Tableau3[#All],4,FALSE),"")</f>
        <v/>
      </c>
      <c r="O143" s="37"/>
      <c r="P143" s="15" t="str">
        <f>IF(Tableau1[[#This Row],[Facture Associée]]&gt;0,1,"")</f>
        <v/>
      </c>
    </row>
    <row r="144" spans="2:16" ht="15.75">
      <c r="B144">
        <v>69</v>
      </c>
      <c r="C144" t="e">
        <f>VLOOKUP(Tableau1[[#This Row],[ID patient]],'Import Site'!$B$1:$K$1500,3,FALSE)</f>
        <v>#N/A</v>
      </c>
      <c r="D144" s="30" t="e">
        <f>VLOOKUP(Tableau1[[#This Row],[ID patient]],'Import Site'!$B$1:$K$1500,2,FALSE)</f>
        <v>#N/A</v>
      </c>
      <c r="E144" t="e">
        <f>IF(Tableau1[[#This Row],[Nom Patients]]&gt;0,VLOOKUP(Tableau1[[#This Row],[Prix payé]],CONFIG!B$4:D$12,2,FALSE),"")</f>
        <v>#N/A</v>
      </c>
      <c r="F144" s="48" t="e">
        <f>VLOOKUP(Tableau1[[#This Row],[ID patient]],'Import Site'!$B$1:$K$1500,5,FALSE)</f>
        <v>#N/A</v>
      </c>
      <c r="G144" s="31"/>
      <c r="H144" s="54"/>
      <c r="I144" s="73"/>
      <c r="J144" s="72"/>
      <c r="K144" s="70" t="e">
        <f>IF(Tableau1[[#This Row],[Nom Patients]]&gt;0,VLOOKUP(Tableau1[[#This Row],[Prix payé]],CONFIG!B$4:D$12,3,FALSE),"")</f>
        <v>#N/A</v>
      </c>
      <c r="L14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4" s="15" t="str">
        <f>IF(Tableau1[[#This Row],[Facture Associée]]&gt;0,VLOOKUP(Tableau1[[#This Row],[Facture Associée]],Tableau3[#All],3,FALSE),"")</f>
        <v/>
      </c>
      <c r="N144" t="str">
        <f>IF(Tableau1[[#This Row],[Facture Associée]]&gt;0,VLOOKUP(Tableau1[[#This Row],[Facture Associée]],Tableau3[#All],4,FALSE),"")</f>
        <v/>
      </c>
      <c r="O144" s="37"/>
      <c r="P144" s="15" t="str">
        <f>IF(Tableau1[[#This Row],[Facture Associée]]&gt;0,1,"")</f>
        <v/>
      </c>
    </row>
    <row r="145" spans="2:16" ht="15.75">
      <c r="B145">
        <v>70</v>
      </c>
      <c r="C145" t="e">
        <f>VLOOKUP(Tableau1[[#This Row],[ID patient]],'Import Site'!$B$1:$K$1500,3,FALSE)</f>
        <v>#N/A</v>
      </c>
      <c r="D145" s="30" t="e">
        <f>VLOOKUP(Tableau1[[#This Row],[ID patient]],'Import Site'!$B$1:$K$1500,2,FALSE)</f>
        <v>#N/A</v>
      </c>
      <c r="E145" t="e">
        <f>IF(Tableau1[[#This Row],[Nom Patients]]&gt;0,VLOOKUP(Tableau1[[#This Row],[Prix payé]],CONFIG!B$4:D$12,2,FALSE),"")</f>
        <v>#N/A</v>
      </c>
      <c r="F145" s="48" t="e">
        <f>VLOOKUP(Tableau1[[#This Row],[ID patient]],'Import Site'!$B$1:$K$1500,5,FALSE)</f>
        <v>#N/A</v>
      </c>
      <c r="G145" s="31"/>
      <c r="H145" s="54"/>
      <c r="I145" s="73"/>
      <c r="J145" s="72"/>
      <c r="K145" s="70" t="e">
        <f>IF(Tableau1[[#This Row],[Nom Patients]]&gt;0,VLOOKUP(Tableau1[[#This Row],[Prix payé]],CONFIG!B$4:D$12,3,FALSE),"")</f>
        <v>#N/A</v>
      </c>
      <c r="L14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5" s="15" t="str">
        <f>IF(Tableau1[[#This Row],[Facture Associée]]&gt;0,VLOOKUP(Tableau1[[#This Row],[Facture Associée]],Tableau3[#All],3,FALSE),"")</f>
        <v/>
      </c>
      <c r="N145" t="str">
        <f>IF(Tableau1[[#This Row],[Facture Associée]]&gt;0,VLOOKUP(Tableau1[[#This Row],[Facture Associée]],Tableau3[#All],4,FALSE),"")</f>
        <v/>
      </c>
      <c r="O145" s="37"/>
      <c r="P145" s="15" t="str">
        <f>IF(Tableau1[[#This Row],[Facture Associée]]&gt;0,1,"")</f>
        <v/>
      </c>
    </row>
    <row r="146" spans="2:16" ht="15.75">
      <c r="B146">
        <v>71</v>
      </c>
      <c r="C146" t="e">
        <f>VLOOKUP(Tableau1[[#This Row],[ID patient]],'Import Site'!$B$1:$K$1500,3,FALSE)</f>
        <v>#N/A</v>
      </c>
      <c r="D146" s="30" t="e">
        <f>VLOOKUP(Tableau1[[#This Row],[ID patient]],'Import Site'!$B$1:$K$1500,2,FALSE)</f>
        <v>#N/A</v>
      </c>
      <c r="E146" t="e">
        <f>IF(Tableau1[[#This Row],[Nom Patients]]&gt;0,VLOOKUP(Tableau1[[#This Row],[Prix payé]],CONFIG!B$4:D$12,2,FALSE),"")</f>
        <v>#N/A</v>
      </c>
      <c r="F146" s="48" t="e">
        <f>VLOOKUP(Tableau1[[#This Row],[ID patient]],'Import Site'!$B$1:$K$1500,5,FALSE)</f>
        <v>#N/A</v>
      </c>
      <c r="G146" s="31"/>
      <c r="H146" s="54"/>
      <c r="I146" s="73"/>
      <c r="J146" s="72"/>
      <c r="K146" s="70" t="e">
        <f>IF(Tableau1[[#This Row],[Nom Patients]]&gt;0,VLOOKUP(Tableau1[[#This Row],[Prix payé]],CONFIG!B$4:D$12,3,FALSE),"")</f>
        <v>#N/A</v>
      </c>
      <c r="L14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6" s="15" t="str">
        <f>IF(Tableau1[[#This Row],[Facture Associée]]&gt;0,VLOOKUP(Tableau1[[#This Row],[Facture Associée]],Tableau3[#All],3,FALSE),"")</f>
        <v/>
      </c>
      <c r="N146" t="str">
        <f>IF(Tableau1[[#This Row],[Facture Associée]]&gt;0,VLOOKUP(Tableau1[[#This Row],[Facture Associée]],Tableau3[#All],4,FALSE),"")</f>
        <v/>
      </c>
      <c r="O146" s="37"/>
      <c r="P146" s="15" t="str">
        <f>IF(Tableau1[[#This Row],[Facture Associée]]&gt;0,1,"")</f>
        <v/>
      </c>
    </row>
    <row r="147" spans="2:16" ht="15.75">
      <c r="B147">
        <v>72</v>
      </c>
      <c r="C147" t="e">
        <f>VLOOKUP(Tableau1[[#This Row],[ID patient]],'Import Site'!$B$1:$K$1500,3,FALSE)</f>
        <v>#N/A</v>
      </c>
      <c r="D147" s="30" t="e">
        <f>VLOOKUP(Tableau1[[#This Row],[ID patient]],'Import Site'!$B$1:$K$1500,2,FALSE)</f>
        <v>#N/A</v>
      </c>
      <c r="E147" t="e">
        <f>IF(Tableau1[[#This Row],[Nom Patients]]&gt;0,VLOOKUP(Tableau1[[#This Row],[Prix payé]],CONFIG!B$4:D$12,2,FALSE),"")</f>
        <v>#N/A</v>
      </c>
      <c r="F147" s="48" t="e">
        <f>VLOOKUP(Tableau1[[#This Row],[ID patient]],'Import Site'!$B$1:$K$1500,5,FALSE)</f>
        <v>#N/A</v>
      </c>
      <c r="G147" s="31"/>
      <c r="H147" s="54"/>
      <c r="I147" s="73"/>
      <c r="J147" s="72"/>
      <c r="K147" s="70" t="e">
        <f>IF(Tableau1[[#This Row],[Nom Patients]]&gt;0,VLOOKUP(Tableau1[[#This Row],[Prix payé]],CONFIG!B$4:D$12,3,FALSE),"")</f>
        <v>#N/A</v>
      </c>
      <c r="L14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7" s="15" t="str">
        <f>IF(Tableau1[[#This Row],[Facture Associée]]&gt;0,VLOOKUP(Tableau1[[#This Row],[Facture Associée]],Tableau3[#All],3,FALSE),"")</f>
        <v/>
      </c>
      <c r="N147" t="str">
        <f>IF(Tableau1[[#This Row],[Facture Associée]]&gt;0,VLOOKUP(Tableau1[[#This Row],[Facture Associée]],Tableau3[#All],4,FALSE),"")</f>
        <v/>
      </c>
      <c r="O147" s="37"/>
      <c r="P147" s="15" t="str">
        <f>IF(Tableau1[[#This Row],[Facture Associée]]&gt;0,1,"")</f>
        <v/>
      </c>
    </row>
    <row r="148" spans="2:16" ht="15.75">
      <c r="B148">
        <v>73</v>
      </c>
      <c r="C148" t="e">
        <f>VLOOKUP(Tableau1[[#This Row],[ID patient]],'Import Site'!$B$1:$K$1500,3,FALSE)</f>
        <v>#N/A</v>
      </c>
      <c r="D148" s="30" t="e">
        <f>VLOOKUP(Tableau1[[#This Row],[ID patient]],'Import Site'!$B$1:$K$1500,2,FALSE)</f>
        <v>#N/A</v>
      </c>
      <c r="E148" t="e">
        <f>IF(Tableau1[[#This Row],[Nom Patients]]&gt;0,VLOOKUP(Tableau1[[#This Row],[Prix payé]],CONFIG!B$4:D$12,2,FALSE),"")</f>
        <v>#N/A</v>
      </c>
      <c r="F148" s="48" t="e">
        <f>VLOOKUP(Tableau1[[#This Row],[ID patient]],'Import Site'!$B$1:$K$1500,5,FALSE)</f>
        <v>#N/A</v>
      </c>
      <c r="G148" s="31"/>
      <c r="H148" s="54"/>
      <c r="I148" s="73"/>
      <c r="J148" s="72"/>
      <c r="K148" s="70" t="e">
        <f>IF(Tableau1[[#This Row],[Nom Patients]]&gt;0,VLOOKUP(Tableau1[[#This Row],[Prix payé]],CONFIG!B$4:D$12,3,FALSE),"")</f>
        <v>#N/A</v>
      </c>
      <c r="L14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8" s="15" t="str">
        <f>IF(Tableau1[[#This Row],[Facture Associée]]&gt;0,VLOOKUP(Tableau1[[#This Row],[Facture Associée]],Tableau3[#All],3,FALSE),"")</f>
        <v/>
      </c>
      <c r="N148" t="str">
        <f>IF(Tableau1[[#This Row],[Facture Associée]]&gt;0,VLOOKUP(Tableau1[[#This Row],[Facture Associée]],Tableau3[#All],4,FALSE),"")</f>
        <v/>
      </c>
      <c r="O148" s="37"/>
      <c r="P148" s="15" t="str">
        <f>IF(Tableau1[[#This Row],[Facture Associée]]&gt;0,1,"")</f>
        <v/>
      </c>
    </row>
    <row r="149" spans="2:16" ht="15.75">
      <c r="B149">
        <v>74</v>
      </c>
      <c r="C149" t="e">
        <f>VLOOKUP(Tableau1[[#This Row],[ID patient]],'Import Site'!$B$1:$K$1500,3,FALSE)</f>
        <v>#N/A</v>
      </c>
      <c r="D149" s="30" t="e">
        <f>VLOOKUP(Tableau1[[#This Row],[ID patient]],'Import Site'!$B$1:$K$1500,2,FALSE)</f>
        <v>#N/A</v>
      </c>
      <c r="E149" t="e">
        <f>IF(Tableau1[[#This Row],[Nom Patients]]&gt;0,VLOOKUP(Tableau1[[#This Row],[Prix payé]],CONFIG!B$4:D$12,2,FALSE),"")</f>
        <v>#N/A</v>
      </c>
      <c r="F149" s="48" t="e">
        <f>VLOOKUP(Tableau1[[#This Row],[ID patient]],'Import Site'!$B$1:$K$1500,5,FALSE)</f>
        <v>#N/A</v>
      </c>
      <c r="G149" s="31"/>
      <c r="H149" s="54"/>
      <c r="I149" s="73"/>
      <c r="J149" s="72"/>
      <c r="K149" s="70" t="e">
        <f>IF(Tableau1[[#This Row],[Nom Patients]]&gt;0,VLOOKUP(Tableau1[[#This Row],[Prix payé]],CONFIG!B$4:D$12,3,FALSE),"")</f>
        <v>#N/A</v>
      </c>
      <c r="L14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49" s="15" t="str">
        <f>IF(Tableau1[[#This Row],[Facture Associée]]&gt;0,VLOOKUP(Tableau1[[#This Row],[Facture Associée]],Tableau3[#All],3,FALSE),"")</f>
        <v/>
      </c>
      <c r="N149" t="str">
        <f>IF(Tableau1[[#This Row],[Facture Associée]]&gt;0,VLOOKUP(Tableau1[[#This Row],[Facture Associée]],Tableau3[#All],4,FALSE),"")</f>
        <v/>
      </c>
      <c r="O149" s="37"/>
      <c r="P149" s="15" t="str">
        <f>IF(Tableau1[[#This Row],[Facture Associée]]&gt;0,1,"")</f>
        <v/>
      </c>
    </row>
    <row r="150" spans="2:16" ht="15.75">
      <c r="B150">
        <v>75</v>
      </c>
      <c r="C150" t="e">
        <f>VLOOKUP(Tableau1[[#This Row],[ID patient]],'Import Site'!$B$1:$K$1500,3,FALSE)</f>
        <v>#N/A</v>
      </c>
      <c r="D150" s="30" t="e">
        <f>VLOOKUP(Tableau1[[#This Row],[ID patient]],'Import Site'!$B$1:$K$1500,2,FALSE)</f>
        <v>#N/A</v>
      </c>
      <c r="E150" t="e">
        <f>IF(Tableau1[[#This Row],[Nom Patients]]&gt;0,VLOOKUP(Tableau1[[#This Row],[Prix payé]],CONFIG!B$4:D$12,2,FALSE),"")</f>
        <v>#N/A</v>
      </c>
      <c r="F150" s="48" t="e">
        <f>VLOOKUP(Tableau1[[#This Row],[ID patient]],'Import Site'!$B$1:$K$1500,5,FALSE)</f>
        <v>#N/A</v>
      </c>
      <c r="G150" s="31"/>
      <c r="H150" s="54"/>
      <c r="I150" s="73"/>
      <c r="J150" s="72"/>
      <c r="K150" s="70" t="e">
        <f>IF(Tableau1[[#This Row],[Nom Patients]]&gt;0,VLOOKUP(Tableau1[[#This Row],[Prix payé]],CONFIG!B$4:D$12,3,FALSE),"")</f>
        <v>#N/A</v>
      </c>
      <c r="L15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0" s="15" t="str">
        <f>IF(Tableau1[[#This Row],[Facture Associée]]&gt;0,VLOOKUP(Tableau1[[#This Row],[Facture Associée]],Tableau3[#All],3,FALSE),"")</f>
        <v/>
      </c>
      <c r="N150" t="str">
        <f>IF(Tableau1[[#This Row],[Facture Associée]]&gt;0,VLOOKUP(Tableau1[[#This Row],[Facture Associée]],Tableau3[#All],4,FALSE),"")</f>
        <v/>
      </c>
      <c r="O150" s="37"/>
      <c r="P150" s="15" t="str">
        <f>IF(Tableau1[[#This Row],[Facture Associée]]&gt;0,1,"")</f>
        <v/>
      </c>
    </row>
    <row r="151" spans="2:16" ht="15.75">
      <c r="B151">
        <v>76</v>
      </c>
      <c r="C151" t="e">
        <f>VLOOKUP(Tableau1[[#This Row],[ID patient]],'Import Site'!$B$1:$K$1500,3,FALSE)</f>
        <v>#N/A</v>
      </c>
      <c r="D151" s="30" t="e">
        <f>VLOOKUP(Tableau1[[#This Row],[ID patient]],'Import Site'!$B$1:$K$1500,2,FALSE)</f>
        <v>#N/A</v>
      </c>
      <c r="E151" t="e">
        <f>IF(Tableau1[[#This Row],[Nom Patients]]&gt;0,VLOOKUP(Tableau1[[#This Row],[Prix payé]],CONFIG!B$4:D$12,2,FALSE),"")</f>
        <v>#N/A</v>
      </c>
      <c r="F151" s="48" t="e">
        <f>VLOOKUP(Tableau1[[#This Row],[ID patient]],'Import Site'!$B$1:$K$1500,5,FALSE)</f>
        <v>#N/A</v>
      </c>
      <c r="G151" s="31"/>
      <c r="H151" s="54"/>
      <c r="I151" s="73"/>
      <c r="J151" s="72"/>
      <c r="K151" s="70" t="e">
        <f>IF(Tableau1[[#This Row],[Nom Patients]]&gt;0,VLOOKUP(Tableau1[[#This Row],[Prix payé]],CONFIG!B$4:D$12,3,FALSE),"")</f>
        <v>#N/A</v>
      </c>
      <c r="L15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1" s="15" t="str">
        <f>IF(Tableau1[[#This Row],[Facture Associée]]&gt;0,VLOOKUP(Tableau1[[#This Row],[Facture Associée]],Tableau3[#All],3,FALSE),"")</f>
        <v/>
      </c>
      <c r="N151" t="str">
        <f>IF(Tableau1[[#This Row],[Facture Associée]]&gt;0,VLOOKUP(Tableau1[[#This Row],[Facture Associée]],Tableau3[#All],4,FALSE),"")</f>
        <v/>
      </c>
      <c r="O151" s="37"/>
      <c r="P151" s="15" t="str">
        <f>IF(Tableau1[[#This Row],[Facture Associée]]&gt;0,1,"")</f>
        <v/>
      </c>
    </row>
    <row r="152" spans="2:16" ht="15.75">
      <c r="B152">
        <v>77</v>
      </c>
      <c r="C152" t="e">
        <f>VLOOKUP(Tableau1[[#This Row],[ID patient]],'Import Site'!$B$1:$K$1500,3,FALSE)</f>
        <v>#N/A</v>
      </c>
      <c r="D152" s="30" t="e">
        <f>VLOOKUP(Tableau1[[#This Row],[ID patient]],'Import Site'!$B$1:$K$1500,2,FALSE)</f>
        <v>#N/A</v>
      </c>
      <c r="E152" t="e">
        <f>IF(Tableau1[[#This Row],[Nom Patients]]&gt;0,VLOOKUP(Tableau1[[#This Row],[Prix payé]],CONFIG!B$4:D$12,2,FALSE),"")</f>
        <v>#N/A</v>
      </c>
      <c r="F152" s="48" t="e">
        <f>VLOOKUP(Tableau1[[#This Row],[ID patient]],'Import Site'!$B$1:$K$1500,5,FALSE)</f>
        <v>#N/A</v>
      </c>
      <c r="G152" s="31"/>
      <c r="H152" s="54"/>
      <c r="I152" s="73"/>
      <c r="J152" s="72"/>
      <c r="K152" s="70" t="e">
        <f>IF(Tableau1[[#This Row],[Nom Patients]]&gt;0,VLOOKUP(Tableau1[[#This Row],[Prix payé]],CONFIG!B$4:D$12,3,FALSE),"")</f>
        <v>#N/A</v>
      </c>
      <c r="L15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2" s="15" t="str">
        <f>IF(Tableau1[[#This Row],[Facture Associée]]&gt;0,VLOOKUP(Tableau1[[#This Row],[Facture Associée]],Tableau3[#All],3,FALSE),"")</f>
        <v/>
      </c>
      <c r="N152" t="str">
        <f>IF(Tableau1[[#This Row],[Facture Associée]]&gt;0,VLOOKUP(Tableau1[[#This Row],[Facture Associée]],Tableau3[#All],4,FALSE),"")</f>
        <v/>
      </c>
      <c r="O152" s="37"/>
      <c r="P152" s="15" t="str">
        <f>IF(Tableau1[[#This Row],[Facture Associée]]&gt;0,1,"")</f>
        <v/>
      </c>
    </row>
    <row r="153" spans="2:16" ht="15.75">
      <c r="B153">
        <v>78</v>
      </c>
      <c r="C153" t="e">
        <f>VLOOKUP(Tableau1[[#This Row],[ID patient]],'Import Site'!$B$1:$K$1500,3,FALSE)</f>
        <v>#N/A</v>
      </c>
      <c r="D153" s="30" t="e">
        <f>VLOOKUP(Tableau1[[#This Row],[ID patient]],'Import Site'!$B$1:$K$1500,2,FALSE)</f>
        <v>#N/A</v>
      </c>
      <c r="E153" t="e">
        <f>IF(Tableau1[[#This Row],[Nom Patients]]&gt;0,VLOOKUP(Tableau1[[#This Row],[Prix payé]],CONFIG!B$4:D$12,2,FALSE),"")</f>
        <v>#N/A</v>
      </c>
      <c r="F153" s="48" t="e">
        <f>VLOOKUP(Tableau1[[#This Row],[ID patient]],'Import Site'!$B$1:$K$1500,5,FALSE)</f>
        <v>#N/A</v>
      </c>
      <c r="G153" s="31"/>
      <c r="H153" s="54"/>
      <c r="I153" s="73"/>
      <c r="J153" s="72"/>
      <c r="K153" s="70" t="e">
        <f>IF(Tableau1[[#This Row],[Nom Patients]]&gt;0,VLOOKUP(Tableau1[[#This Row],[Prix payé]],CONFIG!B$4:D$12,3,FALSE),"")</f>
        <v>#N/A</v>
      </c>
      <c r="L15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3" s="15" t="str">
        <f>IF(Tableau1[[#This Row],[Facture Associée]]&gt;0,VLOOKUP(Tableau1[[#This Row],[Facture Associée]],Tableau3[#All],3,FALSE),"")</f>
        <v/>
      </c>
      <c r="N153" t="str">
        <f>IF(Tableau1[[#This Row],[Facture Associée]]&gt;0,VLOOKUP(Tableau1[[#This Row],[Facture Associée]],Tableau3[#All],4,FALSE),"")</f>
        <v/>
      </c>
      <c r="O153" s="37"/>
      <c r="P153" s="15" t="str">
        <f>IF(Tableau1[[#This Row],[Facture Associée]]&gt;0,1,"")</f>
        <v/>
      </c>
    </row>
    <row r="154" spans="2:16" ht="15.75">
      <c r="B154">
        <v>79</v>
      </c>
      <c r="C154" t="e">
        <f>VLOOKUP(Tableau1[[#This Row],[ID patient]],'Import Site'!$B$1:$K$1500,3,FALSE)</f>
        <v>#N/A</v>
      </c>
      <c r="D154" s="30" t="e">
        <f>VLOOKUP(Tableau1[[#This Row],[ID patient]],'Import Site'!$B$1:$K$1500,2,FALSE)</f>
        <v>#N/A</v>
      </c>
      <c r="E154" t="e">
        <f>IF(Tableau1[[#This Row],[Nom Patients]]&gt;0,VLOOKUP(Tableau1[[#This Row],[Prix payé]],CONFIG!B$4:D$12,2,FALSE),"")</f>
        <v>#N/A</v>
      </c>
      <c r="F154" s="48" t="e">
        <f>VLOOKUP(Tableau1[[#This Row],[ID patient]],'Import Site'!$B$1:$K$1500,5,FALSE)</f>
        <v>#N/A</v>
      </c>
      <c r="G154" s="31"/>
      <c r="H154" s="54"/>
      <c r="I154" s="73"/>
      <c r="J154" s="72"/>
      <c r="K154" s="70" t="e">
        <f>IF(Tableau1[[#This Row],[Nom Patients]]&gt;0,VLOOKUP(Tableau1[[#This Row],[Prix payé]],CONFIG!B$4:D$12,3,FALSE),"")</f>
        <v>#N/A</v>
      </c>
      <c r="L15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4" s="15" t="str">
        <f>IF(Tableau1[[#This Row],[Facture Associée]]&gt;0,VLOOKUP(Tableau1[[#This Row],[Facture Associée]],Tableau3[#All],3,FALSE),"")</f>
        <v/>
      </c>
      <c r="N154" t="str">
        <f>IF(Tableau1[[#This Row],[Facture Associée]]&gt;0,VLOOKUP(Tableau1[[#This Row],[Facture Associée]],Tableau3[#All],4,FALSE),"")</f>
        <v/>
      </c>
      <c r="O154" s="37"/>
      <c r="P154" s="15" t="str">
        <f>IF(Tableau1[[#This Row],[Facture Associée]]&gt;0,1,"")</f>
        <v/>
      </c>
    </row>
    <row r="155" spans="2:16" ht="15.75">
      <c r="B155">
        <v>80</v>
      </c>
      <c r="C155" t="e">
        <f>VLOOKUP(Tableau1[[#This Row],[ID patient]],'Import Site'!$B$1:$K$1500,3,FALSE)</f>
        <v>#N/A</v>
      </c>
      <c r="D155" s="30" t="e">
        <f>VLOOKUP(Tableau1[[#This Row],[ID patient]],'Import Site'!$B$1:$K$1500,2,FALSE)</f>
        <v>#N/A</v>
      </c>
      <c r="E155" t="e">
        <f>IF(Tableau1[[#This Row],[Nom Patients]]&gt;0,VLOOKUP(Tableau1[[#This Row],[Prix payé]],CONFIG!B$4:D$12,2,FALSE),"")</f>
        <v>#N/A</v>
      </c>
      <c r="F155" s="48" t="e">
        <f>VLOOKUP(Tableau1[[#This Row],[ID patient]],'Import Site'!$B$1:$K$1500,5,FALSE)</f>
        <v>#N/A</v>
      </c>
      <c r="G155" s="31"/>
      <c r="H155" s="54"/>
      <c r="I155" s="73"/>
      <c r="J155" s="72"/>
      <c r="K155" s="70" t="e">
        <f>IF(Tableau1[[#This Row],[Nom Patients]]&gt;0,VLOOKUP(Tableau1[[#This Row],[Prix payé]],CONFIG!B$4:D$12,3,FALSE),"")</f>
        <v>#N/A</v>
      </c>
      <c r="L15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5" s="15" t="str">
        <f>IF(Tableau1[[#This Row],[Facture Associée]]&gt;0,VLOOKUP(Tableau1[[#This Row],[Facture Associée]],Tableau3[#All],3,FALSE),"")</f>
        <v/>
      </c>
      <c r="N155" t="str">
        <f>IF(Tableau1[[#This Row],[Facture Associée]]&gt;0,VLOOKUP(Tableau1[[#This Row],[Facture Associée]],Tableau3[#All],4,FALSE),"")</f>
        <v/>
      </c>
      <c r="O155" s="37"/>
      <c r="P155" s="15" t="str">
        <f>IF(Tableau1[[#This Row],[Facture Associée]]&gt;0,1,"")</f>
        <v/>
      </c>
    </row>
    <row r="156" spans="2:16" ht="15.75">
      <c r="B156">
        <v>81</v>
      </c>
      <c r="C156" t="e">
        <f>VLOOKUP(Tableau1[[#This Row],[ID patient]],'Import Site'!$B$1:$K$1500,3,FALSE)</f>
        <v>#N/A</v>
      </c>
      <c r="D156" s="30" t="e">
        <f>VLOOKUP(Tableau1[[#This Row],[ID patient]],'Import Site'!$B$1:$K$1500,2,FALSE)</f>
        <v>#N/A</v>
      </c>
      <c r="E156" t="e">
        <f>IF(Tableau1[[#This Row],[Nom Patients]]&gt;0,VLOOKUP(Tableau1[[#This Row],[Prix payé]],CONFIG!B$4:D$12,2,FALSE),"")</f>
        <v>#N/A</v>
      </c>
      <c r="F156" s="48" t="e">
        <f>VLOOKUP(Tableau1[[#This Row],[ID patient]],'Import Site'!$B$1:$K$1500,5,FALSE)</f>
        <v>#N/A</v>
      </c>
      <c r="G156" s="31"/>
      <c r="H156" s="54"/>
      <c r="I156" s="73"/>
      <c r="J156" s="72"/>
      <c r="K156" s="70" t="e">
        <f>IF(Tableau1[[#This Row],[Nom Patients]]&gt;0,VLOOKUP(Tableau1[[#This Row],[Prix payé]],CONFIG!B$4:D$12,3,FALSE),"")</f>
        <v>#N/A</v>
      </c>
      <c r="L15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6" s="15" t="str">
        <f>IF(Tableau1[[#This Row],[Facture Associée]]&gt;0,VLOOKUP(Tableau1[[#This Row],[Facture Associée]],Tableau3[#All],3,FALSE),"")</f>
        <v/>
      </c>
      <c r="N156" t="str">
        <f>IF(Tableau1[[#This Row],[Facture Associée]]&gt;0,VLOOKUP(Tableau1[[#This Row],[Facture Associée]],Tableau3[#All],4,FALSE),"")</f>
        <v/>
      </c>
      <c r="O156" s="37"/>
      <c r="P156" s="15" t="str">
        <f>IF(Tableau1[[#This Row],[Facture Associée]]&gt;0,1,"")</f>
        <v/>
      </c>
    </row>
    <row r="157" spans="2:16" ht="15.75">
      <c r="B157">
        <v>82</v>
      </c>
      <c r="C157" t="e">
        <f>VLOOKUP(Tableau1[[#This Row],[ID patient]],'Import Site'!$B$1:$K$1500,3,FALSE)</f>
        <v>#N/A</v>
      </c>
      <c r="D157" s="30" t="e">
        <f>VLOOKUP(Tableau1[[#This Row],[ID patient]],'Import Site'!$B$1:$K$1500,2,FALSE)</f>
        <v>#N/A</v>
      </c>
      <c r="E157" t="e">
        <f>IF(Tableau1[[#This Row],[Nom Patients]]&gt;0,VLOOKUP(Tableau1[[#This Row],[Prix payé]],CONFIG!B$4:D$12,2,FALSE),"")</f>
        <v>#N/A</v>
      </c>
      <c r="F157" s="48" t="e">
        <f>VLOOKUP(Tableau1[[#This Row],[ID patient]],'Import Site'!$B$1:$K$1500,5,FALSE)</f>
        <v>#N/A</v>
      </c>
      <c r="G157" s="31"/>
      <c r="H157" s="54"/>
      <c r="I157" s="73"/>
      <c r="J157" s="72"/>
      <c r="K157" s="70" t="e">
        <f>IF(Tableau1[[#This Row],[Nom Patients]]&gt;0,VLOOKUP(Tableau1[[#This Row],[Prix payé]],CONFIG!B$4:D$12,3,FALSE),"")</f>
        <v>#N/A</v>
      </c>
      <c r="L15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7" s="15" t="str">
        <f>IF(Tableau1[[#This Row],[Facture Associée]]&gt;0,VLOOKUP(Tableau1[[#This Row],[Facture Associée]],Tableau3[#All],3,FALSE),"")</f>
        <v/>
      </c>
      <c r="N157" t="str">
        <f>IF(Tableau1[[#This Row],[Facture Associée]]&gt;0,VLOOKUP(Tableau1[[#This Row],[Facture Associée]],Tableau3[#All],4,FALSE),"")</f>
        <v/>
      </c>
      <c r="O157" s="37"/>
      <c r="P157" s="15" t="str">
        <f>IF(Tableau1[[#This Row],[Facture Associée]]&gt;0,1,"")</f>
        <v/>
      </c>
    </row>
    <row r="158" spans="2:16" ht="15.75">
      <c r="B158">
        <v>83</v>
      </c>
      <c r="C158" t="e">
        <f>VLOOKUP(Tableau1[[#This Row],[ID patient]],'Import Site'!$B$1:$K$1500,3,FALSE)</f>
        <v>#N/A</v>
      </c>
      <c r="D158" s="30" t="e">
        <f>VLOOKUP(Tableau1[[#This Row],[ID patient]],'Import Site'!$B$1:$K$1500,2,FALSE)</f>
        <v>#N/A</v>
      </c>
      <c r="E158" t="e">
        <f>IF(Tableau1[[#This Row],[Nom Patients]]&gt;0,VLOOKUP(Tableau1[[#This Row],[Prix payé]],CONFIG!B$4:D$12,2,FALSE),"")</f>
        <v>#N/A</v>
      </c>
      <c r="F158" s="48" t="e">
        <f>VLOOKUP(Tableau1[[#This Row],[ID patient]],'Import Site'!$B$1:$K$1500,5,FALSE)</f>
        <v>#N/A</v>
      </c>
      <c r="G158" s="31"/>
      <c r="H158" s="54"/>
      <c r="I158" s="73"/>
      <c r="J158" s="72"/>
      <c r="K158" s="70" t="e">
        <f>IF(Tableau1[[#This Row],[Nom Patients]]&gt;0,VLOOKUP(Tableau1[[#This Row],[Prix payé]],CONFIG!B$4:D$12,3,FALSE),"")</f>
        <v>#N/A</v>
      </c>
      <c r="L15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8" s="15" t="str">
        <f>IF(Tableau1[[#This Row],[Facture Associée]]&gt;0,VLOOKUP(Tableau1[[#This Row],[Facture Associée]],Tableau3[#All],3,FALSE),"")</f>
        <v/>
      </c>
      <c r="N158" t="str">
        <f>IF(Tableau1[[#This Row],[Facture Associée]]&gt;0,VLOOKUP(Tableau1[[#This Row],[Facture Associée]],Tableau3[#All],4,FALSE),"")</f>
        <v/>
      </c>
      <c r="O158" s="37"/>
      <c r="P158" s="15" t="str">
        <f>IF(Tableau1[[#This Row],[Facture Associée]]&gt;0,1,"")</f>
        <v/>
      </c>
    </row>
    <row r="159" spans="2:16" ht="15.75">
      <c r="B159">
        <v>84</v>
      </c>
      <c r="C159" t="e">
        <f>VLOOKUP(Tableau1[[#This Row],[ID patient]],'Import Site'!$B$1:$K$1500,3,FALSE)</f>
        <v>#N/A</v>
      </c>
      <c r="D159" s="30" t="e">
        <f>VLOOKUP(Tableau1[[#This Row],[ID patient]],'Import Site'!$B$1:$K$1500,2,FALSE)</f>
        <v>#N/A</v>
      </c>
      <c r="E159" t="e">
        <f>IF(Tableau1[[#This Row],[Nom Patients]]&gt;0,VLOOKUP(Tableau1[[#This Row],[Prix payé]],CONFIG!B$4:D$12,2,FALSE),"")</f>
        <v>#N/A</v>
      </c>
      <c r="F159" s="48" t="e">
        <f>VLOOKUP(Tableau1[[#This Row],[ID patient]],'Import Site'!$B$1:$K$1500,5,FALSE)</f>
        <v>#N/A</v>
      </c>
      <c r="G159" s="31"/>
      <c r="H159" s="54"/>
      <c r="I159" s="73"/>
      <c r="J159" s="72"/>
      <c r="K159" s="70" t="e">
        <f>IF(Tableau1[[#This Row],[Nom Patients]]&gt;0,VLOOKUP(Tableau1[[#This Row],[Prix payé]],CONFIG!B$4:D$12,3,FALSE),"")</f>
        <v>#N/A</v>
      </c>
      <c r="L15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59" s="15" t="str">
        <f>IF(Tableau1[[#This Row],[Facture Associée]]&gt;0,VLOOKUP(Tableau1[[#This Row],[Facture Associée]],Tableau3[#All],3,FALSE),"")</f>
        <v/>
      </c>
      <c r="N159" t="str">
        <f>IF(Tableau1[[#This Row],[Facture Associée]]&gt;0,VLOOKUP(Tableau1[[#This Row],[Facture Associée]],Tableau3[#All],4,FALSE),"")</f>
        <v/>
      </c>
      <c r="O159" s="37"/>
      <c r="P159" s="15" t="str">
        <f>IF(Tableau1[[#This Row],[Facture Associée]]&gt;0,1,"")</f>
        <v/>
      </c>
    </row>
    <row r="160" spans="2:16" ht="15.75">
      <c r="B160">
        <v>85</v>
      </c>
      <c r="C160" t="e">
        <f>VLOOKUP(Tableau1[[#This Row],[ID patient]],'Import Site'!$B$1:$K$1500,3,FALSE)</f>
        <v>#N/A</v>
      </c>
      <c r="D160" s="30" t="e">
        <f>VLOOKUP(Tableau1[[#This Row],[ID patient]],'Import Site'!$B$1:$K$1500,2,FALSE)</f>
        <v>#N/A</v>
      </c>
      <c r="E160" t="e">
        <f>IF(Tableau1[[#This Row],[Nom Patients]]&gt;0,VLOOKUP(Tableau1[[#This Row],[Prix payé]],CONFIG!B$4:D$12,2,FALSE),"")</f>
        <v>#N/A</v>
      </c>
      <c r="F160" s="48" t="e">
        <f>VLOOKUP(Tableau1[[#This Row],[ID patient]],'Import Site'!$B$1:$K$1500,5,FALSE)</f>
        <v>#N/A</v>
      </c>
      <c r="G160" s="31"/>
      <c r="H160" s="54"/>
      <c r="I160" s="73"/>
      <c r="J160" s="72"/>
      <c r="K160" s="70" t="e">
        <f>IF(Tableau1[[#This Row],[Nom Patients]]&gt;0,VLOOKUP(Tableau1[[#This Row],[Prix payé]],CONFIG!B$4:D$12,3,FALSE),"")</f>
        <v>#N/A</v>
      </c>
      <c r="L16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0" s="15" t="str">
        <f>IF(Tableau1[[#This Row],[Facture Associée]]&gt;0,VLOOKUP(Tableau1[[#This Row],[Facture Associée]],Tableau3[#All],3,FALSE),"")</f>
        <v/>
      </c>
      <c r="N160" t="str">
        <f>IF(Tableau1[[#This Row],[Facture Associée]]&gt;0,VLOOKUP(Tableau1[[#This Row],[Facture Associée]],Tableau3[#All],4,FALSE),"")</f>
        <v/>
      </c>
      <c r="O160" s="37"/>
      <c r="P160" s="15" t="str">
        <f>IF(Tableau1[[#This Row],[Facture Associée]]&gt;0,1,"")</f>
        <v/>
      </c>
    </row>
    <row r="161" spans="2:16" ht="15.75">
      <c r="B161">
        <v>86</v>
      </c>
      <c r="C161" t="e">
        <f>VLOOKUP(Tableau1[[#This Row],[ID patient]],'Import Site'!$B$1:$K$1500,3,FALSE)</f>
        <v>#N/A</v>
      </c>
      <c r="D161" s="30" t="e">
        <f>VLOOKUP(Tableau1[[#This Row],[ID patient]],'Import Site'!$B$1:$K$1500,2,FALSE)</f>
        <v>#N/A</v>
      </c>
      <c r="E161" t="e">
        <f>IF(Tableau1[[#This Row],[Nom Patients]]&gt;0,VLOOKUP(Tableau1[[#This Row],[Prix payé]],CONFIG!B$4:D$12,2,FALSE),"")</f>
        <v>#N/A</v>
      </c>
      <c r="F161" s="48" t="e">
        <f>VLOOKUP(Tableau1[[#This Row],[ID patient]],'Import Site'!$B$1:$K$1500,5,FALSE)</f>
        <v>#N/A</v>
      </c>
      <c r="G161" s="31"/>
      <c r="H161" s="54"/>
      <c r="I161" s="73"/>
      <c r="J161" s="72"/>
      <c r="K161" s="70" t="e">
        <f>IF(Tableau1[[#This Row],[Nom Patients]]&gt;0,VLOOKUP(Tableau1[[#This Row],[Prix payé]],CONFIG!B$4:D$12,3,FALSE),"")</f>
        <v>#N/A</v>
      </c>
      <c r="L16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1" s="15" t="str">
        <f>IF(Tableau1[[#This Row],[Facture Associée]]&gt;0,VLOOKUP(Tableau1[[#This Row],[Facture Associée]],Tableau3[#All],3,FALSE),"")</f>
        <v/>
      </c>
      <c r="N161" t="str">
        <f>IF(Tableau1[[#This Row],[Facture Associée]]&gt;0,VLOOKUP(Tableau1[[#This Row],[Facture Associée]],Tableau3[#All],4,FALSE),"")</f>
        <v/>
      </c>
      <c r="O161" s="37"/>
      <c r="P161" s="15" t="str">
        <f>IF(Tableau1[[#This Row],[Facture Associée]]&gt;0,1,"")</f>
        <v/>
      </c>
    </row>
    <row r="162" spans="2:16" ht="15.75">
      <c r="B162">
        <v>87</v>
      </c>
      <c r="C162" t="e">
        <f>VLOOKUP(Tableau1[[#This Row],[ID patient]],'Import Site'!$B$1:$K$1500,3,FALSE)</f>
        <v>#N/A</v>
      </c>
      <c r="D162" s="30" t="e">
        <f>VLOOKUP(Tableau1[[#This Row],[ID patient]],'Import Site'!$B$1:$K$1500,2,FALSE)</f>
        <v>#N/A</v>
      </c>
      <c r="E162" t="e">
        <f>IF(Tableau1[[#This Row],[Nom Patients]]&gt;0,VLOOKUP(Tableau1[[#This Row],[Prix payé]],CONFIG!B$4:D$12,2,FALSE),"")</f>
        <v>#N/A</v>
      </c>
      <c r="F162" s="48" t="e">
        <f>VLOOKUP(Tableau1[[#This Row],[ID patient]],'Import Site'!$B$1:$K$1500,5,FALSE)</f>
        <v>#N/A</v>
      </c>
      <c r="G162" s="31"/>
      <c r="H162" s="54"/>
      <c r="I162" s="73"/>
      <c r="J162" s="72"/>
      <c r="K162" s="70" t="e">
        <f>IF(Tableau1[[#This Row],[Nom Patients]]&gt;0,VLOOKUP(Tableau1[[#This Row],[Prix payé]],CONFIG!B$4:D$12,3,FALSE),"")</f>
        <v>#N/A</v>
      </c>
      <c r="L16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2" s="15" t="str">
        <f>IF(Tableau1[[#This Row],[Facture Associée]]&gt;0,VLOOKUP(Tableau1[[#This Row],[Facture Associée]],Tableau3[#All],3,FALSE),"")</f>
        <v/>
      </c>
      <c r="N162" t="str">
        <f>IF(Tableau1[[#This Row],[Facture Associée]]&gt;0,VLOOKUP(Tableau1[[#This Row],[Facture Associée]],Tableau3[#All],4,FALSE),"")</f>
        <v/>
      </c>
      <c r="O162" s="37"/>
      <c r="P162" s="15" t="str">
        <f>IF(Tableau1[[#This Row],[Facture Associée]]&gt;0,1,"")</f>
        <v/>
      </c>
    </row>
    <row r="163" spans="2:16" ht="15.75">
      <c r="B163">
        <v>88</v>
      </c>
      <c r="C163" t="e">
        <f>VLOOKUP(Tableau1[[#This Row],[ID patient]],'Import Site'!$B$1:$K$1500,3,FALSE)</f>
        <v>#N/A</v>
      </c>
      <c r="D163" s="30" t="e">
        <f>VLOOKUP(Tableau1[[#This Row],[ID patient]],'Import Site'!$B$1:$K$1500,2,FALSE)</f>
        <v>#N/A</v>
      </c>
      <c r="E163" t="e">
        <f>IF(Tableau1[[#This Row],[Nom Patients]]&gt;0,VLOOKUP(Tableau1[[#This Row],[Prix payé]],CONFIG!B$4:D$12,2,FALSE),"")</f>
        <v>#N/A</v>
      </c>
      <c r="F163" s="48" t="e">
        <f>VLOOKUP(Tableau1[[#This Row],[ID patient]],'Import Site'!$B$1:$K$1500,5,FALSE)</f>
        <v>#N/A</v>
      </c>
      <c r="G163" s="31"/>
      <c r="H163" s="54"/>
      <c r="I163" s="73"/>
      <c r="J163" s="72"/>
      <c r="K163" s="70" t="e">
        <f>IF(Tableau1[[#This Row],[Nom Patients]]&gt;0,VLOOKUP(Tableau1[[#This Row],[Prix payé]],CONFIG!B$4:D$12,3,FALSE),"")</f>
        <v>#N/A</v>
      </c>
      <c r="L16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3" s="15" t="str">
        <f>IF(Tableau1[[#This Row],[Facture Associée]]&gt;0,VLOOKUP(Tableau1[[#This Row],[Facture Associée]],Tableau3[#All],3,FALSE),"")</f>
        <v/>
      </c>
      <c r="N163" t="str">
        <f>IF(Tableau1[[#This Row],[Facture Associée]]&gt;0,VLOOKUP(Tableau1[[#This Row],[Facture Associée]],Tableau3[#All],4,FALSE),"")</f>
        <v/>
      </c>
      <c r="O163" s="37"/>
      <c r="P163" s="15" t="str">
        <f>IF(Tableau1[[#This Row],[Facture Associée]]&gt;0,1,"")</f>
        <v/>
      </c>
    </row>
    <row r="164" spans="2:16" ht="15.75">
      <c r="B164">
        <v>89</v>
      </c>
      <c r="C164" t="e">
        <f>VLOOKUP(Tableau1[[#This Row],[ID patient]],'Import Site'!$B$1:$K$1500,3,FALSE)</f>
        <v>#N/A</v>
      </c>
      <c r="D164" s="30" t="e">
        <f>VLOOKUP(Tableau1[[#This Row],[ID patient]],'Import Site'!$B$1:$K$1500,2,FALSE)</f>
        <v>#N/A</v>
      </c>
      <c r="E164" t="e">
        <f>IF(Tableau1[[#This Row],[Nom Patients]]&gt;0,VLOOKUP(Tableau1[[#This Row],[Prix payé]],CONFIG!B$4:D$12,2,FALSE),"")</f>
        <v>#N/A</v>
      </c>
      <c r="F164" s="48" t="e">
        <f>VLOOKUP(Tableau1[[#This Row],[ID patient]],'Import Site'!$B$1:$K$1500,5,FALSE)</f>
        <v>#N/A</v>
      </c>
      <c r="G164" s="31"/>
      <c r="H164" s="54"/>
      <c r="I164" s="73"/>
      <c r="J164" s="72"/>
      <c r="K164" s="70" t="e">
        <f>IF(Tableau1[[#This Row],[Nom Patients]]&gt;0,VLOOKUP(Tableau1[[#This Row],[Prix payé]],CONFIG!B$4:D$12,3,FALSE),"")</f>
        <v>#N/A</v>
      </c>
      <c r="L16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4" s="15" t="str">
        <f>IF(Tableau1[[#This Row],[Facture Associée]]&gt;0,VLOOKUP(Tableau1[[#This Row],[Facture Associée]],Tableau3[#All],3,FALSE),"")</f>
        <v/>
      </c>
      <c r="N164" t="str">
        <f>IF(Tableau1[[#This Row],[Facture Associée]]&gt;0,VLOOKUP(Tableau1[[#This Row],[Facture Associée]],Tableau3[#All],4,FALSE),"")</f>
        <v/>
      </c>
      <c r="O164" s="37"/>
      <c r="P164" s="15" t="str">
        <f>IF(Tableau1[[#This Row],[Facture Associée]]&gt;0,1,"")</f>
        <v/>
      </c>
    </row>
    <row r="165" spans="2:16" ht="15.75">
      <c r="B165">
        <v>90</v>
      </c>
      <c r="C165" t="e">
        <f>VLOOKUP(Tableau1[[#This Row],[ID patient]],'Import Site'!$B$1:$K$1500,3,FALSE)</f>
        <v>#N/A</v>
      </c>
      <c r="D165" s="30" t="e">
        <f>VLOOKUP(Tableau1[[#This Row],[ID patient]],'Import Site'!$B$1:$K$1500,2,FALSE)</f>
        <v>#N/A</v>
      </c>
      <c r="E165" t="e">
        <f>IF(Tableau1[[#This Row],[Nom Patients]]&gt;0,VLOOKUP(Tableau1[[#This Row],[Prix payé]],CONFIG!B$4:D$12,2,FALSE),"")</f>
        <v>#N/A</v>
      </c>
      <c r="F165" s="48" t="e">
        <f>VLOOKUP(Tableau1[[#This Row],[ID patient]],'Import Site'!$B$1:$K$1500,5,FALSE)</f>
        <v>#N/A</v>
      </c>
      <c r="G165" s="31"/>
      <c r="H165" s="54"/>
      <c r="I165" s="73"/>
      <c r="J165" s="72"/>
      <c r="K165" s="70" t="e">
        <f>IF(Tableau1[[#This Row],[Nom Patients]]&gt;0,VLOOKUP(Tableau1[[#This Row],[Prix payé]],CONFIG!B$4:D$12,3,FALSE),"")</f>
        <v>#N/A</v>
      </c>
      <c r="L16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5" s="15" t="str">
        <f>IF(Tableau1[[#This Row],[Facture Associée]]&gt;0,VLOOKUP(Tableau1[[#This Row],[Facture Associée]],Tableau3[#All],3,FALSE),"")</f>
        <v/>
      </c>
      <c r="N165" t="str">
        <f>IF(Tableau1[[#This Row],[Facture Associée]]&gt;0,VLOOKUP(Tableau1[[#This Row],[Facture Associée]],Tableau3[#All],4,FALSE),"")</f>
        <v/>
      </c>
      <c r="O165" s="37"/>
      <c r="P165" s="15" t="str">
        <f>IF(Tableau1[[#This Row],[Facture Associée]]&gt;0,1,"")</f>
        <v/>
      </c>
    </row>
    <row r="166" spans="2:16" ht="15.75">
      <c r="B166">
        <v>91</v>
      </c>
      <c r="C166" t="e">
        <f>VLOOKUP(Tableau1[[#This Row],[ID patient]],'Import Site'!$B$1:$K$1500,3,FALSE)</f>
        <v>#N/A</v>
      </c>
      <c r="D166" s="30" t="e">
        <f>VLOOKUP(Tableau1[[#This Row],[ID patient]],'Import Site'!$B$1:$K$1500,2,FALSE)</f>
        <v>#N/A</v>
      </c>
      <c r="E166" t="e">
        <f>IF(Tableau1[[#This Row],[Nom Patients]]&gt;0,VLOOKUP(Tableau1[[#This Row],[Prix payé]],CONFIG!B$4:D$12,2,FALSE),"")</f>
        <v>#N/A</v>
      </c>
      <c r="F166" s="48" t="e">
        <f>VLOOKUP(Tableau1[[#This Row],[ID patient]],'Import Site'!$B$1:$K$1500,5,FALSE)</f>
        <v>#N/A</v>
      </c>
      <c r="G166" s="31"/>
      <c r="H166" s="54"/>
      <c r="I166" s="73"/>
      <c r="J166" s="72"/>
      <c r="K166" s="70" t="e">
        <f>IF(Tableau1[[#This Row],[Nom Patients]]&gt;0,VLOOKUP(Tableau1[[#This Row],[Prix payé]],CONFIG!B$4:D$12,3,FALSE),"")</f>
        <v>#N/A</v>
      </c>
      <c r="L16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6" s="15" t="str">
        <f>IF(Tableau1[[#This Row],[Facture Associée]]&gt;0,VLOOKUP(Tableau1[[#This Row],[Facture Associée]],Tableau3[#All],3,FALSE),"")</f>
        <v/>
      </c>
      <c r="N166" t="str">
        <f>IF(Tableau1[[#This Row],[Facture Associée]]&gt;0,VLOOKUP(Tableau1[[#This Row],[Facture Associée]],Tableau3[#All],4,FALSE),"")</f>
        <v/>
      </c>
      <c r="O166" s="37"/>
      <c r="P166" s="15" t="str">
        <f>IF(Tableau1[[#This Row],[Facture Associée]]&gt;0,1,"")</f>
        <v/>
      </c>
    </row>
    <row r="167" spans="2:16" ht="15.75">
      <c r="B167">
        <v>92</v>
      </c>
      <c r="C167" t="e">
        <f>VLOOKUP(Tableau1[[#This Row],[ID patient]],'Import Site'!$B$1:$K$1500,3,FALSE)</f>
        <v>#N/A</v>
      </c>
      <c r="D167" s="30" t="e">
        <f>VLOOKUP(Tableau1[[#This Row],[ID patient]],'Import Site'!$B$1:$K$1500,2,FALSE)</f>
        <v>#N/A</v>
      </c>
      <c r="E167" t="e">
        <f>IF(Tableau1[[#This Row],[Nom Patients]]&gt;0,VLOOKUP(Tableau1[[#This Row],[Prix payé]],CONFIG!B$4:D$12,2,FALSE),"")</f>
        <v>#N/A</v>
      </c>
      <c r="F167" s="48" t="e">
        <f>VLOOKUP(Tableau1[[#This Row],[ID patient]],'Import Site'!$B$1:$K$1500,5,FALSE)</f>
        <v>#N/A</v>
      </c>
      <c r="G167" s="31"/>
      <c r="H167" s="54"/>
      <c r="I167" s="73"/>
      <c r="J167" s="72"/>
      <c r="K167" s="70" t="e">
        <f>IF(Tableau1[[#This Row],[Nom Patients]]&gt;0,VLOOKUP(Tableau1[[#This Row],[Prix payé]],CONFIG!B$4:D$12,3,FALSE),"")</f>
        <v>#N/A</v>
      </c>
      <c r="L16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7" s="15" t="str">
        <f>IF(Tableau1[[#This Row],[Facture Associée]]&gt;0,VLOOKUP(Tableau1[[#This Row],[Facture Associée]],Tableau3[#All],3,FALSE),"")</f>
        <v/>
      </c>
      <c r="N167" t="str">
        <f>IF(Tableau1[[#This Row],[Facture Associée]]&gt;0,VLOOKUP(Tableau1[[#This Row],[Facture Associée]],Tableau3[#All],4,FALSE),"")</f>
        <v/>
      </c>
      <c r="O167" s="37"/>
      <c r="P167" s="15" t="str">
        <f>IF(Tableau1[[#This Row],[Facture Associée]]&gt;0,1,"")</f>
        <v/>
      </c>
    </row>
    <row r="168" spans="2:16" ht="15.75">
      <c r="B168">
        <v>93</v>
      </c>
      <c r="C168" t="e">
        <f>VLOOKUP(Tableau1[[#This Row],[ID patient]],'Import Site'!$B$1:$K$1500,3,FALSE)</f>
        <v>#N/A</v>
      </c>
      <c r="D168" s="30" t="e">
        <f>VLOOKUP(Tableau1[[#This Row],[ID patient]],'Import Site'!$B$1:$K$1500,2,FALSE)</f>
        <v>#N/A</v>
      </c>
      <c r="E168" t="e">
        <f>IF(Tableau1[[#This Row],[Nom Patients]]&gt;0,VLOOKUP(Tableau1[[#This Row],[Prix payé]],CONFIG!B$4:D$12,2,FALSE),"")</f>
        <v>#N/A</v>
      </c>
      <c r="F168" s="48" t="e">
        <f>VLOOKUP(Tableau1[[#This Row],[ID patient]],'Import Site'!$B$1:$K$1500,5,FALSE)</f>
        <v>#N/A</v>
      </c>
      <c r="G168" s="31"/>
      <c r="H168" s="54"/>
      <c r="I168" s="73"/>
      <c r="J168" s="72"/>
      <c r="K168" s="70" t="e">
        <f>IF(Tableau1[[#This Row],[Nom Patients]]&gt;0,VLOOKUP(Tableau1[[#This Row],[Prix payé]],CONFIG!B$4:D$12,3,FALSE),"")</f>
        <v>#N/A</v>
      </c>
      <c r="L16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8" s="15" t="str">
        <f>IF(Tableau1[[#This Row],[Facture Associée]]&gt;0,VLOOKUP(Tableau1[[#This Row],[Facture Associée]],Tableau3[#All],3,FALSE),"")</f>
        <v/>
      </c>
      <c r="N168" t="str">
        <f>IF(Tableau1[[#This Row],[Facture Associée]]&gt;0,VLOOKUP(Tableau1[[#This Row],[Facture Associée]],Tableau3[#All],4,FALSE),"")</f>
        <v/>
      </c>
      <c r="O168" s="37"/>
      <c r="P168" s="15" t="str">
        <f>IF(Tableau1[[#This Row],[Facture Associée]]&gt;0,1,"")</f>
        <v/>
      </c>
    </row>
    <row r="169" spans="2:16" ht="15.75">
      <c r="B169">
        <v>94</v>
      </c>
      <c r="C169" t="e">
        <f>VLOOKUP(Tableau1[[#This Row],[ID patient]],'Import Site'!$B$1:$K$1500,3,FALSE)</f>
        <v>#N/A</v>
      </c>
      <c r="D169" s="30" t="e">
        <f>VLOOKUP(Tableau1[[#This Row],[ID patient]],'Import Site'!$B$1:$K$1500,2,FALSE)</f>
        <v>#N/A</v>
      </c>
      <c r="E169" t="e">
        <f>IF(Tableau1[[#This Row],[Nom Patients]]&gt;0,VLOOKUP(Tableau1[[#This Row],[Prix payé]],CONFIG!B$4:D$12,2,FALSE),"")</f>
        <v>#N/A</v>
      </c>
      <c r="F169" s="48" t="e">
        <f>VLOOKUP(Tableau1[[#This Row],[ID patient]],'Import Site'!$B$1:$K$1500,5,FALSE)</f>
        <v>#N/A</v>
      </c>
      <c r="G169" s="31"/>
      <c r="H169" s="54"/>
      <c r="I169" s="73"/>
      <c r="J169" s="72"/>
      <c r="K169" s="70" t="e">
        <f>IF(Tableau1[[#This Row],[Nom Patients]]&gt;0,VLOOKUP(Tableau1[[#This Row],[Prix payé]],CONFIG!B$4:D$12,3,FALSE),"")</f>
        <v>#N/A</v>
      </c>
      <c r="L16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69" s="15" t="str">
        <f>IF(Tableau1[[#This Row],[Facture Associée]]&gt;0,VLOOKUP(Tableau1[[#This Row],[Facture Associée]],Tableau3[#All],3,FALSE),"")</f>
        <v/>
      </c>
      <c r="N169" t="str">
        <f>IF(Tableau1[[#This Row],[Facture Associée]]&gt;0,VLOOKUP(Tableau1[[#This Row],[Facture Associée]],Tableau3[#All],4,FALSE),"")</f>
        <v/>
      </c>
      <c r="O169" s="37"/>
      <c r="P169" s="15" t="str">
        <f>IF(Tableau1[[#This Row],[Facture Associée]]&gt;0,1,"")</f>
        <v/>
      </c>
    </row>
    <row r="170" spans="2:16" ht="15.75">
      <c r="B170">
        <v>95</v>
      </c>
      <c r="C170" t="e">
        <f>VLOOKUP(Tableau1[[#This Row],[ID patient]],'Import Site'!$B$1:$K$1500,3,FALSE)</f>
        <v>#N/A</v>
      </c>
      <c r="D170" s="30" t="e">
        <f>VLOOKUP(Tableau1[[#This Row],[ID patient]],'Import Site'!$B$1:$K$1500,2,FALSE)</f>
        <v>#N/A</v>
      </c>
      <c r="E170" t="e">
        <f>IF(Tableau1[[#This Row],[Nom Patients]]&gt;0,VLOOKUP(Tableau1[[#This Row],[Prix payé]],CONFIG!B$4:D$12,2,FALSE),"")</f>
        <v>#N/A</v>
      </c>
      <c r="F170" s="48" t="e">
        <f>VLOOKUP(Tableau1[[#This Row],[ID patient]],'Import Site'!$B$1:$K$1500,5,FALSE)</f>
        <v>#N/A</v>
      </c>
      <c r="G170" s="31"/>
      <c r="H170" s="54"/>
      <c r="I170" s="73"/>
      <c r="J170" s="72"/>
      <c r="K170" s="70" t="e">
        <f>IF(Tableau1[[#This Row],[Nom Patients]]&gt;0,VLOOKUP(Tableau1[[#This Row],[Prix payé]],CONFIG!B$4:D$12,3,FALSE),"")</f>
        <v>#N/A</v>
      </c>
      <c r="L17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0" s="15" t="str">
        <f>IF(Tableau1[[#This Row],[Facture Associée]]&gt;0,VLOOKUP(Tableau1[[#This Row],[Facture Associée]],Tableau3[#All],3,FALSE),"")</f>
        <v/>
      </c>
      <c r="N170" t="str">
        <f>IF(Tableau1[[#This Row],[Facture Associée]]&gt;0,VLOOKUP(Tableau1[[#This Row],[Facture Associée]],Tableau3[#All],4,FALSE),"")</f>
        <v/>
      </c>
      <c r="O170" s="37"/>
      <c r="P170" s="15" t="str">
        <f>IF(Tableau1[[#This Row],[Facture Associée]]&gt;0,1,"")</f>
        <v/>
      </c>
    </row>
    <row r="171" spans="2:16" ht="15.75">
      <c r="B171">
        <v>96</v>
      </c>
      <c r="C171" t="e">
        <f>VLOOKUP(Tableau1[[#This Row],[ID patient]],'Import Site'!$B$1:$K$1500,3,FALSE)</f>
        <v>#N/A</v>
      </c>
      <c r="D171" s="30" t="e">
        <f>VLOOKUP(Tableau1[[#This Row],[ID patient]],'Import Site'!$B$1:$K$1500,2,FALSE)</f>
        <v>#N/A</v>
      </c>
      <c r="E171" t="e">
        <f>IF(Tableau1[[#This Row],[Nom Patients]]&gt;0,VLOOKUP(Tableau1[[#This Row],[Prix payé]],CONFIG!B$4:D$12,2,FALSE),"")</f>
        <v>#N/A</v>
      </c>
      <c r="F171" s="48" t="e">
        <f>VLOOKUP(Tableau1[[#This Row],[ID patient]],'Import Site'!$B$1:$K$1500,5,FALSE)</f>
        <v>#N/A</v>
      </c>
      <c r="G171" s="31"/>
      <c r="H171" s="54"/>
      <c r="I171" s="73"/>
      <c r="J171" s="72"/>
      <c r="K171" s="70" t="e">
        <f>IF(Tableau1[[#This Row],[Nom Patients]]&gt;0,VLOOKUP(Tableau1[[#This Row],[Prix payé]],CONFIG!B$4:D$12,3,FALSE),"")</f>
        <v>#N/A</v>
      </c>
      <c r="L17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1" s="15" t="str">
        <f>IF(Tableau1[[#This Row],[Facture Associée]]&gt;0,VLOOKUP(Tableau1[[#This Row],[Facture Associée]],Tableau3[#All],3,FALSE),"")</f>
        <v/>
      </c>
      <c r="N171" t="str">
        <f>IF(Tableau1[[#This Row],[Facture Associée]]&gt;0,VLOOKUP(Tableau1[[#This Row],[Facture Associée]],Tableau3[#All],4,FALSE),"")</f>
        <v/>
      </c>
      <c r="O171" s="37"/>
      <c r="P171" s="15" t="str">
        <f>IF(Tableau1[[#This Row],[Facture Associée]]&gt;0,1,"")</f>
        <v/>
      </c>
    </row>
    <row r="172" spans="2:16" ht="15.75">
      <c r="B172">
        <v>97</v>
      </c>
      <c r="C172" t="e">
        <f>VLOOKUP(Tableau1[[#This Row],[ID patient]],'Import Site'!$B$1:$K$1500,3,FALSE)</f>
        <v>#N/A</v>
      </c>
      <c r="D172" s="30" t="e">
        <f>VLOOKUP(Tableau1[[#This Row],[ID patient]],'Import Site'!$B$1:$K$1500,2,FALSE)</f>
        <v>#N/A</v>
      </c>
      <c r="E172" t="e">
        <f>IF(Tableau1[[#This Row],[Nom Patients]]&gt;0,VLOOKUP(Tableau1[[#This Row],[Prix payé]],CONFIG!B$4:D$12,2,FALSE),"")</f>
        <v>#N/A</v>
      </c>
      <c r="F172" s="48" t="e">
        <f>VLOOKUP(Tableau1[[#This Row],[ID patient]],'Import Site'!$B$1:$K$1500,5,FALSE)</f>
        <v>#N/A</v>
      </c>
      <c r="G172" s="31"/>
      <c r="H172" s="54"/>
      <c r="I172" s="73"/>
      <c r="J172" s="72"/>
      <c r="K172" s="70" t="e">
        <f>IF(Tableau1[[#This Row],[Nom Patients]]&gt;0,VLOOKUP(Tableau1[[#This Row],[Prix payé]],CONFIG!B$4:D$12,3,FALSE),"")</f>
        <v>#N/A</v>
      </c>
      <c r="L17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2" s="15" t="str">
        <f>IF(Tableau1[[#This Row],[Facture Associée]]&gt;0,VLOOKUP(Tableau1[[#This Row],[Facture Associée]],Tableau3[#All],3,FALSE),"")</f>
        <v/>
      </c>
      <c r="N172" t="str">
        <f>IF(Tableau1[[#This Row],[Facture Associée]]&gt;0,VLOOKUP(Tableau1[[#This Row],[Facture Associée]],Tableau3[#All],4,FALSE),"")</f>
        <v/>
      </c>
      <c r="O172" s="37"/>
      <c r="P172" s="15" t="str">
        <f>IF(Tableau1[[#This Row],[Facture Associée]]&gt;0,1,"")</f>
        <v/>
      </c>
    </row>
    <row r="173" spans="2:16" ht="15.75">
      <c r="B173">
        <v>98</v>
      </c>
      <c r="C173" t="e">
        <f>VLOOKUP(Tableau1[[#This Row],[ID patient]],'Import Site'!$B$1:$K$1500,3,FALSE)</f>
        <v>#N/A</v>
      </c>
      <c r="D173" s="30" t="e">
        <f>VLOOKUP(Tableau1[[#This Row],[ID patient]],'Import Site'!$B$1:$K$1500,2,FALSE)</f>
        <v>#N/A</v>
      </c>
      <c r="E173" t="e">
        <f>IF(Tableau1[[#This Row],[Nom Patients]]&gt;0,VLOOKUP(Tableau1[[#This Row],[Prix payé]],CONFIG!B$4:D$12,2,FALSE),"")</f>
        <v>#N/A</v>
      </c>
      <c r="F173" s="48" t="e">
        <f>VLOOKUP(Tableau1[[#This Row],[ID patient]],'Import Site'!$B$1:$K$1500,5,FALSE)</f>
        <v>#N/A</v>
      </c>
      <c r="G173" s="31"/>
      <c r="H173" s="54"/>
      <c r="I173" s="73"/>
      <c r="J173" s="72"/>
      <c r="K173" s="70" t="e">
        <f>IF(Tableau1[[#This Row],[Nom Patients]]&gt;0,VLOOKUP(Tableau1[[#This Row],[Prix payé]],CONFIG!B$4:D$12,3,FALSE),"")</f>
        <v>#N/A</v>
      </c>
      <c r="L17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3" s="15" t="str">
        <f>IF(Tableau1[[#This Row],[Facture Associée]]&gt;0,VLOOKUP(Tableau1[[#This Row],[Facture Associée]],Tableau3[#All],3,FALSE),"")</f>
        <v/>
      </c>
      <c r="N173" t="str">
        <f>IF(Tableau1[[#This Row],[Facture Associée]]&gt;0,VLOOKUP(Tableau1[[#This Row],[Facture Associée]],Tableau3[#All],4,FALSE),"")</f>
        <v/>
      </c>
      <c r="O173" s="37"/>
      <c r="P173" s="15" t="str">
        <f>IF(Tableau1[[#This Row],[Facture Associée]]&gt;0,1,"")</f>
        <v/>
      </c>
    </row>
    <row r="174" spans="2:16" ht="15.75">
      <c r="B174">
        <v>99</v>
      </c>
      <c r="C174" t="e">
        <f>VLOOKUP(Tableau1[[#This Row],[ID patient]],'Import Site'!$B$1:$K$1500,3,FALSE)</f>
        <v>#N/A</v>
      </c>
      <c r="D174" s="30" t="e">
        <f>VLOOKUP(Tableau1[[#This Row],[ID patient]],'Import Site'!$B$1:$K$1500,2,FALSE)</f>
        <v>#N/A</v>
      </c>
      <c r="E174" t="e">
        <f>IF(Tableau1[[#This Row],[Nom Patients]]&gt;0,VLOOKUP(Tableau1[[#This Row],[Prix payé]],CONFIG!B$4:D$12,2,FALSE),"")</f>
        <v>#N/A</v>
      </c>
      <c r="F174" s="48" t="e">
        <f>VLOOKUP(Tableau1[[#This Row],[ID patient]],'Import Site'!$B$1:$K$1500,5,FALSE)</f>
        <v>#N/A</v>
      </c>
      <c r="G174" s="31"/>
      <c r="H174" s="54"/>
      <c r="I174" s="73"/>
      <c r="J174" s="72"/>
      <c r="K174" s="70" t="e">
        <f>IF(Tableau1[[#This Row],[Nom Patients]]&gt;0,VLOOKUP(Tableau1[[#This Row],[Prix payé]],CONFIG!B$4:D$12,3,FALSE),"")</f>
        <v>#N/A</v>
      </c>
      <c r="L17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4" s="15" t="str">
        <f>IF(Tableau1[[#This Row],[Facture Associée]]&gt;0,VLOOKUP(Tableau1[[#This Row],[Facture Associée]],Tableau3[#All],3,FALSE),"")</f>
        <v/>
      </c>
      <c r="N174" t="str">
        <f>IF(Tableau1[[#This Row],[Facture Associée]]&gt;0,VLOOKUP(Tableau1[[#This Row],[Facture Associée]],Tableau3[#All],4,FALSE),"")</f>
        <v/>
      </c>
      <c r="O174" s="37"/>
      <c r="P174" s="15" t="str">
        <f>IF(Tableau1[[#This Row],[Facture Associée]]&gt;0,1,"")</f>
        <v/>
      </c>
    </row>
    <row r="175" spans="2:16" ht="15.75">
      <c r="B175">
        <v>100</v>
      </c>
      <c r="C175" t="e">
        <f>VLOOKUP(Tableau1[[#This Row],[ID patient]],'Import Site'!$B$1:$K$1500,3,FALSE)</f>
        <v>#N/A</v>
      </c>
      <c r="D175" s="30" t="e">
        <f>VLOOKUP(Tableau1[[#This Row],[ID patient]],'Import Site'!$B$1:$K$1500,2,FALSE)</f>
        <v>#N/A</v>
      </c>
      <c r="E175" t="e">
        <f>IF(Tableau1[[#This Row],[Nom Patients]]&gt;0,VLOOKUP(Tableau1[[#This Row],[Prix payé]],CONFIG!B$4:D$12,2,FALSE),"")</f>
        <v>#N/A</v>
      </c>
      <c r="F175" s="48" t="e">
        <f>VLOOKUP(Tableau1[[#This Row],[ID patient]],'Import Site'!$B$1:$K$1500,5,FALSE)</f>
        <v>#N/A</v>
      </c>
      <c r="G175" s="31"/>
      <c r="H175" s="54"/>
      <c r="I175" s="73"/>
      <c r="J175" s="72"/>
      <c r="K175" s="70" t="e">
        <f>IF(Tableau1[[#This Row],[Nom Patients]]&gt;0,VLOOKUP(Tableau1[[#This Row],[Prix payé]],CONFIG!B$4:D$12,3,FALSE),"")</f>
        <v>#N/A</v>
      </c>
      <c r="L17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5" s="15" t="str">
        <f>IF(Tableau1[[#This Row],[Facture Associée]]&gt;0,VLOOKUP(Tableau1[[#This Row],[Facture Associée]],Tableau3[#All],3,FALSE),"")</f>
        <v/>
      </c>
      <c r="N175" t="str">
        <f>IF(Tableau1[[#This Row],[Facture Associée]]&gt;0,VLOOKUP(Tableau1[[#This Row],[Facture Associée]],Tableau3[#All],4,FALSE),"")</f>
        <v/>
      </c>
      <c r="O175" s="37"/>
      <c r="P175" s="15" t="str">
        <f>IF(Tableau1[[#This Row],[Facture Associée]]&gt;0,1,"")</f>
        <v/>
      </c>
    </row>
    <row r="176" spans="2:16" ht="15.75">
      <c r="B176">
        <v>101</v>
      </c>
      <c r="C176" t="e">
        <f>VLOOKUP(Tableau1[[#This Row],[ID patient]],'Import Site'!$B$1:$K$1500,3,FALSE)</f>
        <v>#N/A</v>
      </c>
      <c r="D176" s="30" t="e">
        <f>VLOOKUP(Tableau1[[#This Row],[ID patient]],'Import Site'!$B$1:$K$1500,2,FALSE)</f>
        <v>#N/A</v>
      </c>
      <c r="E176" t="e">
        <f>IF(Tableau1[[#This Row],[Nom Patients]]&gt;0,VLOOKUP(Tableau1[[#This Row],[Prix payé]],CONFIG!B$4:D$12,2,FALSE),"")</f>
        <v>#N/A</v>
      </c>
      <c r="F176" s="48" t="e">
        <f>VLOOKUP(Tableau1[[#This Row],[ID patient]],'Import Site'!$B$1:$K$1500,5,FALSE)</f>
        <v>#N/A</v>
      </c>
      <c r="G176" s="31"/>
      <c r="H176" s="54"/>
      <c r="I176" s="73"/>
      <c r="J176" s="72"/>
      <c r="K176" s="70" t="e">
        <f>IF(Tableau1[[#This Row],[Nom Patients]]&gt;0,VLOOKUP(Tableau1[[#This Row],[Prix payé]],CONFIG!B$4:D$12,3,FALSE),"")</f>
        <v>#N/A</v>
      </c>
      <c r="L17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6" s="15" t="str">
        <f>IF(Tableau1[[#This Row],[Facture Associée]]&gt;0,VLOOKUP(Tableau1[[#This Row],[Facture Associée]],Tableau3[#All],3,FALSE),"")</f>
        <v/>
      </c>
      <c r="N176" t="str">
        <f>IF(Tableau1[[#This Row],[Facture Associée]]&gt;0,VLOOKUP(Tableau1[[#This Row],[Facture Associée]],Tableau3[#All],4,FALSE),"")</f>
        <v/>
      </c>
      <c r="O176" s="37"/>
      <c r="P176" s="15" t="str">
        <f>IF(Tableau1[[#This Row],[Facture Associée]]&gt;0,1,"")</f>
        <v/>
      </c>
    </row>
    <row r="177" spans="2:16" ht="15.75">
      <c r="B177">
        <v>102</v>
      </c>
      <c r="C177" t="e">
        <f>VLOOKUP(Tableau1[[#This Row],[ID patient]],'Import Site'!$B$1:$K$1500,3,FALSE)</f>
        <v>#N/A</v>
      </c>
      <c r="D177" s="30" t="e">
        <f>VLOOKUP(Tableau1[[#This Row],[ID patient]],'Import Site'!$B$1:$K$1500,2,FALSE)</f>
        <v>#N/A</v>
      </c>
      <c r="E177" t="e">
        <f>IF(Tableau1[[#This Row],[Nom Patients]]&gt;0,VLOOKUP(Tableau1[[#This Row],[Prix payé]],CONFIG!B$4:D$12,2,FALSE),"")</f>
        <v>#N/A</v>
      </c>
      <c r="F177" s="48" t="e">
        <f>VLOOKUP(Tableau1[[#This Row],[ID patient]],'Import Site'!$B$1:$K$1500,5,FALSE)</f>
        <v>#N/A</v>
      </c>
      <c r="G177" s="31"/>
      <c r="H177" s="54"/>
      <c r="I177" s="73"/>
      <c r="J177" s="72"/>
      <c r="K177" s="70" t="e">
        <f>IF(Tableau1[[#This Row],[Nom Patients]]&gt;0,VLOOKUP(Tableau1[[#This Row],[Prix payé]],CONFIG!B$4:D$12,3,FALSE),"")</f>
        <v>#N/A</v>
      </c>
      <c r="L17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7" s="15" t="str">
        <f>IF(Tableau1[[#This Row],[Facture Associée]]&gt;0,VLOOKUP(Tableau1[[#This Row],[Facture Associée]],Tableau3[#All],3,FALSE),"")</f>
        <v/>
      </c>
      <c r="N177" t="str">
        <f>IF(Tableau1[[#This Row],[Facture Associée]]&gt;0,VLOOKUP(Tableau1[[#This Row],[Facture Associée]],Tableau3[#All],4,FALSE),"")</f>
        <v/>
      </c>
      <c r="O177" s="37"/>
      <c r="P177" s="15" t="str">
        <f>IF(Tableau1[[#This Row],[Facture Associée]]&gt;0,1,"")</f>
        <v/>
      </c>
    </row>
    <row r="178" spans="2:16" ht="15.75">
      <c r="B178">
        <v>103</v>
      </c>
      <c r="C178" t="e">
        <f>VLOOKUP(Tableau1[[#This Row],[ID patient]],'Import Site'!$B$1:$K$1500,3,FALSE)</f>
        <v>#N/A</v>
      </c>
      <c r="D178" s="30" t="e">
        <f>VLOOKUP(Tableau1[[#This Row],[ID patient]],'Import Site'!$B$1:$K$1500,2,FALSE)</f>
        <v>#N/A</v>
      </c>
      <c r="E178" t="e">
        <f>IF(Tableau1[[#This Row],[Nom Patients]]&gt;0,VLOOKUP(Tableau1[[#This Row],[Prix payé]],CONFIG!B$4:D$12,2,FALSE),"")</f>
        <v>#N/A</v>
      </c>
      <c r="F178" s="48" t="e">
        <f>VLOOKUP(Tableau1[[#This Row],[ID patient]],'Import Site'!$B$1:$K$1500,5,FALSE)</f>
        <v>#N/A</v>
      </c>
      <c r="G178" s="31"/>
      <c r="H178" s="54"/>
      <c r="I178" s="73"/>
      <c r="J178" s="72"/>
      <c r="K178" s="70" t="e">
        <f>IF(Tableau1[[#This Row],[Nom Patients]]&gt;0,VLOOKUP(Tableau1[[#This Row],[Prix payé]],CONFIG!B$4:D$12,3,FALSE),"")</f>
        <v>#N/A</v>
      </c>
      <c r="L17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8" s="15" t="str">
        <f>IF(Tableau1[[#This Row],[Facture Associée]]&gt;0,VLOOKUP(Tableau1[[#This Row],[Facture Associée]],Tableau3[#All],3,FALSE),"")</f>
        <v/>
      </c>
      <c r="N178" t="str">
        <f>IF(Tableau1[[#This Row],[Facture Associée]]&gt;0,VLOOKUP(Tableau1[[#This Row],[Facture Associée]],Tableau3[#All],4,FALSE),"")</f>
        <v/>
      </c>
      <c r="O178" s="37"/>
      <c r="P178" s="15" t="str">
        <f>IF(Tableau1[[#This Row],[Facture Associée]]&gt;0,1,"")</f>
        <v/>
      </c>
    </row>
    <row r="179" spans="2:16" ht="15.75">
      <c r="B179">
        <v>104</v>
      </c>
      <c r="C179" t="e">
        <f>VLOOKUP(Tableau1[[#This Row],[ID patient]],'Import Site'!$B$1:$K$1500,3,FALSE)</f>
        <v>#N/A</v>
      </c>
      <c r="D179" s="30" t="e">
        <f>VLOOKUP(Tableau1[[#This Row],[ID patient]],'Import Site'!$B$1:$K$1500,2,FALSE)</f>
        <v>#N/A</v>
      </c>
      <c r="E179" t="e">
        <f>IF(Tableau1[[#This Row],[Nom Patients]]&gt;0,VLOOKUP(Tableau1[[#This Row],[Prix payé]],CONFIG!B$4:D$12,2,FALSE),"")</f>
        <v>#N/A</v>
      </c>
      <c r="F179" s="48" t="e">
        <f>VLOOKUP(Tableau1[[#This Row],[ID patient]],'Import Site'!$B$1:$K$1500,5,FALSE)</f>
        <v>#N/A</v>
      </c>
      <c r="G179" s="31"/>
      <c r="H179" s="54"/>
      <c r="I179" s="73"/>
      <c r="J179" s="72"/>
      <c r="K179" s="70" t="e">
        <f>IF(Tableau1[[#This Row],[Nom Patients]]&gt;0,VLOOKUP(Tableau1[[#This Row],[Prix payé]],CONFIG!B$4:D$12,3,FALSE),"")</f>
        <v>#N/A</v>
      </c>
      <c r="L17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79" s="15" t="str">
        <f>IF(Tableau1[[#This Row],[Facture Associée]]&gt;0,VLOOKUP(Tableau1[[#This Row],[Facture Associée]],Tableau3[#All],3,FALSE),"")</f>
        <v/>
      </c>
      <c r="N179" t="str">
        <f>IF(Tableau1[[#This Row],[Facture Associée]]&gt;0,VLOOKUP(Tableau1[[#This Row],[Facture Associée]],Tableau3[#All],4,FALSE),"")</f>
        <v/>
      </c>
      <c r="O179" s="37"/>
      <c r="P179" s="15" t="str">
        <f>IF(Tableau1[[#This Row],[Facture Associée]]&gt;0,1,"")</f>
        <v/>
      </c>
    </row>
    <row r="180" spans="2:16" ht="15.75">
      <c r="B180">
        <v>105</v>
      </c>
      <c r="C180" t="e">
        <f>VLOOKUP(Tableau1[[#This Row],[ID patient]],'Import Site'!$B$1:$K$1500,3,FALSE)</f>
        <v>#N/A</v>
      </c>
      <c r="D180" s="30" t="e">
        <f>VLOOKUP(Tableau1[[#This Row],[ID patient]],'Import Site'!$B$1:$K$1500,2,FALSE)</f>
        <v>#N/A</v>
      </c>
      <c r="E180" t="e">
        <f>IF(Tableau1[[#This Row],[Nom Patients]]&gt;0,VLOOKUP(Tableau1[[#This Row],[Prix payé]],CONFIG!B$4:D$12,2,FALSE),"")</f>
        <v>#N/A</v>
      </c>
      <c r="F180" s="48" t="e">
        <f>VLOOKUP(Tableau1[[#This Row],[ID patient]],'Import Site'!$B$1:$K$1500,5,FALSE)</f>
        <v>#N/A</v>
      </c>
      <c r="G180" s="31"/>
      <c r="H180" s="54"/>
      <c r="I180" s="73"/>
      <c r="J180" s="72"/>
      <c r="K180" s="70" t="e">
        <f>IF(Tableau1[[#This Row],[Nom Patients]]&gt;0,VLOOKUP(Tableau1[[#This Row],[Prix payé]],CONFIG!B$4:D$12,3,FALSE),"")</f>
        <v>#N/A</v>
      </c>
      <c r="L18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0" s="15" t="str">
        <f>IF(Tableau1[[#This Row],[Facture Associée]]&gt;0,VLOOKUP(Tableau1[[#This Row],[Facture Associée]],Tableau3[#All],3,FALSE),"")</f>
        <v/>
      </c>
      <c r="N180" t="str">
        <f>IF(Tableau1[[#This Row],[Facture Associée]]&gt;0,VLOOKUP(Tableau1[[#This Row],[Facture Associée]],Tableau3[#All],4,FALSE),"")</f>
        <v/>
      </c>
      <c r="O180" s="37"/>
      <c r="P180" s="15" t="str">
        <f>IF(Tableau1[[#This Row],[Facture Associée]]&gt;0,1,"")</f>
        <v/>
      </c>
    </row>
    <row r="181" spans="2:16" ht="15.75">
      <c r="B181">
        <v>106</v>
      </c>
      <c r="C181" t="e">
        <f>VLOOKUP(Tableau1[[#This Row],[ID patient]],'Import Site'!$B$1:$K$1500,3,FALSE)</f>
        <v>#N/A</v>
      </c>
      <c r="D181" s="30" t="e">
        <f>VLOOKUP(Tableau1[[#This Row],[ID patient]],'Import Site'!$B$1:$K$1500,2,FALSE)</f>
        <v>#N/A</v>
      </c>
      <c r="E181" t="e">
        <f>IF(Tableau1[[#This Row],[Nom Patients]]&gt;0,VLOOKUP(Tableau1[[#This Row],[Prix payé]],CONFIG!B$4:D$12,2,FALSE),"")</f>
        <v>#N/A</v>
      </c>
      <c r="F181" s="48" t="e">
        <f>VLOOKUP(Tableau1[[#This Row],[ID patient]],'Import Site'!$B$1:$K$1500,5,FALSE)</f>
        <v>#N/A</v>
      </c>
      <c r="G181" s="31"/>
      <c r="H181" s="54"/>
      <c r="I181" s="73"/>
      <c r="J181" s="72"/>
      <c r="K181" s="70" t="e">
        <f>IF(Tableau1[[#This Row],[Nom Patients]]&gt;0,VLOOKUP(Tableau1[[#This Row],[Prix payé]],CONFIG!B$4:D$12,3,FALSE),"")</f>
        <v>#N/A</v>
      </c>
      <c r="L18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1" s="15" t="str">
        <f>IF(Tableau1[[#This Row],[Facture Associée]]&gt;0,VLOOKUP(Tableau1[[#This Row],[Facture Associée]],Tableau3[#All],3,FALSE),"")</f>
        <v/>
      </c>
      <c r="N181" t="str">
        <f>IF(Tableau1[[#This Row],[Facture Associée]]&gt;0,VLOOKUP(Tableau1[[#This Row],[Facture Associée]],Tableau3[#All],4,FALSE),"")</f>
        <v/>
      </c>
      <c r="O181" s="37"/>
      <c r="P181" s="15" t="str">
        <f>IF(Tableau1[[#This Row],[Facture Associée]]&gt;0,1,"")</f>
        <v/>
      </c>
    </row>
    <row r="182" spans="2:16" ht="15.75">
      <c r="B182">
        <v>107</v>
      </c>
      <c r="C182" t="e">
        <f>VLOOKUP(Tableau1[[#This Row],[ID patient]],'Import Site'!$B$1:$K$1500,3,FALSE)</f>
        <v>#N/A</v>
      </c>
      <c r="D182" s="30" t="e">
        <f>VLOOKUP(Tableau1[[#This Row],[ID patient]],'Import Site'!$B$1:$K$1500,2,FALSE)</f>
        <v>#N/A</v>
      </c>
      <c r="E182" t="e">
        <f>IF(Tableau1[[#This Row],[Nom Patients]]&gt;0,VLOOKUP(Tableau1[[#This Row],[Prix payé]],CONFIG!B$4:D$12,2,FALSE),"")</f>
        <v>#N/A</v>
      </c>
      <c r="F182" s="48" t="e">
        <f>VLOOKUP(Tableau1[[#This Row],[ID patient]],'Import Site'!$B$1:$K$1500,5,FALSE)</f>
        <v>#N/A</v>
      </c>
      <c r="G182" s="31"/>
      <c r="H182" s="54"/>
      <c r="I182" s="73"/>
      <c r="J182" s="72"/>
      <c r="K182" s="70" t="e">
        <f>IF(Tableau1[[#This Row],[Nom Patients]]&gt;0,VLOOKUP(Tableau1[[#This Row],[Prix payé]],CONFIG!B$4:D$12,3,FALSE),"")</f>
        <v>#N/A</v>
      </c>
      <c r="L18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2" s="15" t="str">
        <f>IF(Tableau1[[#This Row],[Facture Associée]]&gt;0,VLOOKUP(Tableau1[[#This Row],[Facture Associée]],Tableau3[#All],3,FALSE),"")</f>
        <v/>
      </c>
      <c r="N182" t="str">
        <f>IF(Tableau1[[#This Row],[Facture Associée]]&gt;0,VLOOKUP(Tableau1[[#This Row],[Facture Associée]],Tableau3[#All],4,FALSE),"")</f>
        <v/>
      </c>
      <c r="O182" s="37"/>
      <c r="P182" s="15" t="str">
        <f>IF(Tableau1[[#This Row],[Facture Associée]]&gt;0,1,"")</f>
        <v/>
      </c>
    </row>
    <row r="183" spans="2:16" ht="15.75">
      <c r="B183">
        <v>108</v>
      </c>
      <c r="C183" t="e">
        <f>VLOOKUP(Tableau1[[#This Row],[ID patient]],'Import Site'!$B$1:$K$1500,3,FALSE)</f>
        <v>#N/A</v>
      </c>
      <c r="D183" s="30" t="e">
        <f>VLOOKUP(Tableau1[[#This Row],[ID patient]],'Import Site'!$B$1:$K$1500,2,FALSE)</f>
        <v>#N/A</v>
      </c>
      <c r="E183" t="e">
        <f>IF(Tableau1[[#This Row],[Nom Patients]]&gt;0,VLOOKUP(Tableau1[[#This Row],[Prix payé]],CONFIG!B$4:D$12,2,FALSE),"")</f>
        <v>#N/A</v>
      </c>
      <c r="F183" s="48" t="e">
        <f>VLOOKUP(Tableau1[[#This Row],[ID patient]],'Import Site'!$B$1:$K$1500,5,FALSE)</f>
        <v>#N/A</v>
      </c>
      <c r="G183" s="31"/>
      <c r="H183" s="54"/>
      <c r="I183" s="73"/>
      <c r="J183" s="72"/>
      <c r="K183" s="70" t="e">
        <f>IF(Tableau1[[#This Row],[Nom Patients]]&gt;0,VLOOKUP(Tableau1[[#This Row],[Prix payé]],CONFIG!B$4:D$12,3,FALSE),"")</f>
        <v>#N/A</v>
      </c>
      <c r="L18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3" s="15" t="str">
        <f>IF(Tableau1[[#This Row],[Facture Associée]]&gt;0,VLOOKUP(Tableau1[[#This Row],[Facture Associée]],Tableau3[#All],3,FALSE),"")</f>
        <v/>
      </c>
      <c r="N183" t="str">
        <f>IF(Tableau1[[#This Row],[Facture Associée]]&gt;0,VLOOKUP(Tableau1[[#This Row],[Facture Associée]],Tableau3[#All],4,FALSE),"")</f>
        <v/>
      </c>
      <c r="O183" s="37"/>
      <c r="P183" s="15" t="str">
        <f>IF(Tableau1[[#This Row],[Facture Associée]]&gt;0,1,"")</f>
        <v/>
      </c>
    </row>
    <row r="184" spans="2:16" ht="15.75">
      <c r="B184">
        <v>109</v>
      </c>
      <c r="C184" t="e">
        <f>VLOOKUP(Tableau1[[#This Row],[ID patient]],'Import Site'!$B$1:$K$1500,3,FALSE)</f>
        <v>#N/A</v>
      </c>
      <c r="D184" s="30" t="e">
        <f>VLOOKUP(Tableau1[[#This Row],[ID patient]],'Import Site'!$B$1:$K$1500,2,FALSE)</f>
        <v>#N/A</v>
      </c>
      <c r="E184" t="e">
        <f>IF(Tableau1[[#This Row],[Nom Patients]]&gt;0,VLOOKUP(Tableau1[[#This Row],[Prix payé]],CONFIG!B$4:D$12,2,FALSE),"")</f>
        <v>#N/A</v>
      </c>
      <c r="F184" s="48" t="e">
        <f>VLOOKUP(Tableau1[[#This Row],[ID patient]],'Import Site'!$B$1:$K$1500,5,FALSE)</f>
        <v>#N/A</v>
      </c>
      <c r="G184" s="31"/>
      <c r="H184" s="54"/>
      <c r="I184" s="73"/>
      <c r="J184" s="72"/>
      <c r="K184" s="70" t="e">
        <f>IF(Tableau1[[#This Row],[Nom Patients]]&gt;0,VLOOKUP(Tableau1[[#This Row],[Prix payé]],CONFIG!B$4:D$12,3,FALSE),"")</f>
        <v>#N/A</v>
      </c>
      <c r="L18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4" s="15" t="str">
        <f>IF(Tableau1[[#This Row],[Facture Associée]]&gt;0,VLOOKUP(Tableau1[[#This Row],[Facture Associée]],Tableau3[#All],3,FALSE),"")</f>
        <v/>
      </c>
      <c r="N184" t="str">
        <f>IF(Tableau1[[#This Row],[Facture Associée]]&gt;0,VLOOKUP(Tableau1[[#This Row],[Facture Associée]],Tableau3[#All],4,FALSE),"")</f>
        <v/>
      </c>
      <c r="O184" s="37"/>
      <c r="P184" s="15" t="str">
        <f>IF(Tableau1[[#This Row],[Facture Associée]]&gt;0,1,"")</f>
        <v/>
      </c>
    </row>
    <row r="185" spans="2:16" ht="15.75">
      <c r="B185">
        <v>110</v>
      </c>
      <c r="C185" t="e">
        <f>VLOOKUP(Tableau1[[#This Row],[ID patient]],'Import Site'!$B$1:$K$1500,3,FALSE)</f>
        <v>#N/A</v>
      </c>
      <c r="D185" s="30" t="e">
        <f>VLOOKUP(Tableau1[[#This Row],[ID patient]],'Import Site'!$B$1:$K$1500,2,FALSE)</f>
        <v>#N/A</v>
      </c>
      <c r="E185" t="e">
        <f>IF(Tableau1[[#This Row],[Nom Patients]]&gt;0,VLOOKUP(Tableau1[[#This Row],[Prix payé]],CONFIG!B$4:D$12,2,FALSE),"")</f>
        <v>#N/A</v>
      </c>
      <c r="F185" s="48" t="e">
        <f>VLOOKUP(Tableau1[[#This Row],[ID patient]],'Import Site'!$B$1:$K$1500,5,FALSE)</f>
        <v>#N/A</v>
      </c>
      <c r="G185" s="31"/>
      <c r="H185" s="54"/>
      <c r="I185" s="73"/>
      <c r="J185" s="72"/>
      <c r="K185" s="70" t="e">
        <f>IF(Tableau1[[#This Row],[Nom Patients]]&gt;0,VLOOKUP(Tableau1[[#This Row],[Prix payé]],CONFIG!B$4:D$12,3,FALSE),"")</f>
        <v>#N/A</v>
      </c>
      <c r="L18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5" s="15" t="str">
        <f>IF(Tableau1[[#This Row],[Facture Associée]]&gt;0,VLOOKUP(Tableau1[[#This Row],[Facture Associée]],Tableau3[#All],3,FALSE),"")</f>
        <v/>
      </c>
      <c r="N185" t="str">
        <f>IF(Tableau1[[#This Row],[Facture Associée]]&gt;0,VLOOKUP(Tableau1[[#This Row],[Facture Associée]],Tableau3[#All],4,FALSE),"")</f>
        <v/>
      </c>
      <c r="O185" s="37"/>
      <c r="P185" s="15" t="str">
        <f>IF(Tableau1[[#This Row],[Facture Associée]]&gt;0,1,"")</f>
        <v/>
      </c>
    </row>
    <row r="186" spans="2:16" ht="15.75">
      <c r="B186">
        <v>111</v>
      </c>
      <c r="C186" t="e">
        <f>VLOOKUP(Tableau1[[#This Row],[ID patient]],'Import Site'!$B$1:$K$1500,3,FALSE)</f>
        <v>#N/A</v>
      </c>
      <c r="D186" s="30" t="e">
        <f>VLOOKUP(Tableau1[[#This Row],[ID patient]],'Import Site'!$B$1:$K$1500,2,FALSE)</f>
        <v>#N/A</v>
      </c>
      <c r="E186" t="e">
        <f>IF(Tableau1[[#This Row],[Nom Patients]]&gt;0,VLOOKUP(Tableau1[[#This Row],[Prix payé]],CONFIG!B$4:D$12,2,FALSE),"")</f>
        <v>#N/A</v>
      </c>
      <c r="F186" s="48" t="e">
        <f>VLOOKUP(Tableau1[[#This Row],[ID patient]],'Import Site'!$B$1:$K$1500,5,FALSE)</f>
        <v>#N/A</v>
      </c>
      <c r="G186" s="31"/>
      <c r="H186" s="54"/>
      <c r="I186" s="73"/>
      <c r="J186" s="72"/>
      <c r="K186" s="70" t="e">
        <f>IF(Tableau1[[#This Row],[Nom Patients]]&gt;0,VLOOKUP(Tableau1[[#This Row],[Prix payé]],CONFIG!B$4:D$12,3,FALSE),"")</f>
        <v>#N/A</v>
      </c>
      <c r="L18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6" s="15" t="str">
        <f>IF(Tableau1[[#This Row],[Facture Associée]]&gt;0,VLOOKUP(Tableau1[[#This Row],[Facture Associée]],Tableau3[#All],3,FALSE),"")</f>
        <v/>
      </c>
      <c r="N186" t="str">
        <f>IF(Tableau1[[#This Row],[Facture Associée]]&gt;0,VLOOKUP(Tableau1[[#This Row],[Facture Associée]],Tableau3[#All],4,FALSE),"")</f>
        <v/>
      </c>
      <c r="O186" s="37"/>
      <c r="P186" s="15" t="str">
        <f>IF(Tableau1[[#This Row],[Facture Associée]]&gt;0,1,"")</f>
        <v/>
      </c>
    </row>
    <row r="187" spans="2:16" ht="15.75">
      <c r="B187">
        <v>112</v>
      </c>
      <c r="C187" t="e">
        <f>VLOOKUP(Tableau1[[#This Row],[ID patient]],'Import Site'!$B$1:$K$1500,3,FALSE)</f>
        <v>#N/A</v>
      </c>
      <c r="D187" s="30" t="e">
        <f>VLOOKUP(Tableau1[[#This Row],[ID patient]],'Import Site'!$B$1:$K$1500,2,FALSE)</f>
        <v>#N/A</v>
      </c>
      <c r="E187" t="e">
        <f>IF(Tableau1[[#This Row],[Nom Patients]]&gt;0,VLOOKUP(Tableau1[[#This Row],[Prix payé]],CONFIG!B$4:D$12,2,FALSE),"")</f>
        <v>#N/A</v>
      </c>
      <c r="F187" s="48" t="e">
        <f>VLOOKUP(Tableau1[[#This Row],[ID patient]],'Import Site'!$B$1:$K$1500,5,FALSE)</f>
        <v>#N/A</v>
      </c>
      <c r="G187" s="31"/>
      <c r="H187" s="54"/>
      <c r="I187" s="73"/>
      <c r="J187" s="72"/>
      <c r="K187" s="70" t="e">
        <f>IF(Tableau1[[#This Row],[Nom Patients]]&gt;0,VLOOKUP(Tableau1[[#This Row],[Prix payé]],CONFIG!B$4:D$12,3,FALSE),"")</f>
        <v>#N/A</v>
      </c>
      <c r="L18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7" s="15" t="str">
        <f>IF(Tableau1[[#This Row],[Facture Associée]]&gt;0,VLOOKUP(Tableau1[[#This Row],[Facture Associée]],Tableau3[#All],3,FALSE),"")</f>
        <v/>
      </c>
      <c r="N187" t="str">
        <f>IF(Tableau1[[#This Row],[Facture Associée]]&gt;0,VLOOKUP(Tableau1[[#This Row],[Facture Associée]],Tableau3[#All],4,FALSE),"")</f>
        <v/>
      </c>
      <c r="O187" s="37"/>
      <c r="P187" s="15" t="str">
        <f>IF(Tableau1[[#This Row],[Facture Associée]]&gt;0,1,"")</f>
        <v/>
      </c>
    </row>
    <row r="188" spans="2:16" ht="15.75">
      <c r="B188">
        <v>113</v>
      </c>
      <c r="C188" t="e">
        <f>VLOOKUP(Tableau1[[#This Row],[ID patient]],'Import Site'!$B$1:$K$1500,3,FALSE)</f>
        <v>#N/A</v>
      </c>
      <c r="D188" s="30" t="e">
        <f>VLOOKUP(Tableau1[[#This Row],[ID patient]],'Import Site'!$B$1:$K$1500,2,FALSE)</f>
        <v>#N/A</v>
      </c>
      <c r="E188" t="e">
        <f>IF(Tableau1[[#This Row],[Nom Patients]]&gt;0,VLOOKUP(Tableau1[[#This Row],[Prix payé]],CONFIG!B$4:D$12,2,FALSE),"")</f>
        <v>#N/A</v>
      </c>
      <c r="F188" s="48" t="e">
        <f>VLOOKUP(Tableau1[[#This Row],[ID patient]],'Import Site'!$B$1:$K$1500,5,FALSE)</f>
        <v>#N/A</v>
      </c>
      <c r="G188" s="31"/>
      <c r="H188" s="54"/>
      <c r="I188" s="73"/>
      <c r="J188" s="72"/>
      <c r="K188" s="70" t="e">
        <f>IF(Tableau1[[#This Row],[Nom Patients]]&gt;0,VLOOKUP(Tableau1[[#This Row],[Prix payé]],CONFIG!B$4:D$12,3,FALSE),"")</f>
        <v>#N/A</v>
      </c>
      <c r="L18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8" s="15" t="str">
        <f>IF(Tableau1[[#This Row],[Facture Associée]]&gt;0,VLOOKUP(Tableau1[[#This Row],[Facture Associée]],Tableau3[#All],3,FALSE),"")</f>
        <v/>
      </c>
      <c r="N188" t="str">
        <f>IF(Tableau1[[#This Row],[Facture Associée]]&gt;0,VLOOKUP(Tableau1[[#This Row],[Facture Associée]],Tableau3[#All],4,FALSE),"")</f>
        <v/>
      </c>
      <c r="O188" s="37"/>
      <c r="P188" s="15" t="str">
        <f>IF(Tableau1[[#This Row],[Facture Associée]]&gt;0,1,"")</f>
        <v/>
      </c>
    </row>
    <row r="189" spans="2:16" ht="15.75">
      <c r="B189">
        <v>114</v>
      </c>
      <c r="C189" t="e">
        <f>VLOOKUP(Tableau1[[#This Row],[ID patient]],'Import Site'!$B$1:$K$1500,3,FALSE)</f>
        <v>#N/A</v>
      </c>
      <c r="D189" s="30" t="e">
        <f>VLOOKUP(Tableau1[[#This Row],[ID patient]],'Import Site'!$B$1:$K$1500,2,FALSE)</f>
        <v>#N/A</v>
      </c>
      <c r="E189" t="e">
        <f>IF(Tableau1[[#This Row],[Nom Patients]]&gt;0,VLOOKUP(Tableau1[[#This Row],[Prix payé]],CONFIG!B$4:D$12,2,FALSE),"")</f>
        <v>#N/A</v>
      </c>
      <c r="F189" s="48" t="e">
        <f>VLOOKUP(Tableau1[[#This Row],[ID patient]],'Import Site'!$B$1:$K$1500,5,FALSE)</f>
        <v>#N/A</v>
      </c>
      <c r="G189" s="31"/>
      <c r="H189" s="54"/>
      <c r="I189" s="73"/>
      <c r="J189" s="72"/>
      <c r="K189" s="70" t="e">
        <f>IF(Tableau1[[#This Row],[Nom Patients]]&gt;0,VLOOKUP(Tableau1[[#This Row],[Prix payé]],CONFIG!B$4:D$12,3,FALSE),"")</f>
        <v>#N/A</v>
      </c>
      <c r="L18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89" s="15" t="str">
        <f>IF(Tableau1[[#This Row],[Facture Associée]]&gt;0,VLOOKUP(Tableau1[[#This Row],[Facture Associée]],Tableau3[#All],3,FALSE),"")</f>
        <v/>
      </c>
      <c r="N189" t="str">
        <f>IF(Tableau1[[#This Row],[Facture Associée]]&gt;0,VLOOKUP(Tableau1[[#This Row],[Facture Associée]],Tableau3[#All],4,FALSE),"")</f>
        <v/>
      </c>
      <c r="O189" s="37"/>
      <c r="P189" s="15" t="str">
        <f>IF(Tableau1[[#This Row],[Facture Associée]]&gt;0,1,"")</f>
        <v/>
      </c>
    </row>
    <row r="190" spans="2:16" ht="15.75">
      <c r="B190">
        <v>115</v>
      </c>
      <c r="C190" t="e">
        <f>VLOOKUP(Tableau1[[#This Row],[ID patient]],'Import Site'!$B$1:$K$1500,3,FALSE)</f>
        <v>#N/A</v>
      </c>
      <c r="D190" s="30" t="e">
        <f>VLOOKUP(Tableau1[[#This Row],[ID patient]],'Import Site'!$B$1:$K$1500,2,FALSE)</f>
        <v>#N/A</v>
      </c>
      <c r="E190" t="e">
        <f>IF(Tableau1[[#This Row],[Nom Patients]]&gt;0,VLOOKUP(Tableau1[[#This Row],[Prix payé]],CONFIG!B$4:D$12,2,FALSE),"")</f>
        <v>#N/A</v>
      </c>
      <c r="F190" s="48" t="e">
        <f>VLOOKUP(Tableau1[[#This Row],[ID patient]],'Import Site'!$B$1:$K$1500,5,FALSE)</f>
        <v>#N/A</v>
      </c>
      <c r="G190" s="31"/>
      <c r="H190" s="54"/>
      <c r="I190" s="73"/>
      <c r="J190" s="72"/>
      <c r="K190" s="70" t="e">
        <f>IF(Tableau1[[#This Row],[Nom Patients]]&gt;0,VLOOKUP(Tableau1[[#This Row],[Prix payé]],CONFIG!B$4:D$12,3,FALSE),"")</f>
        <v>#N/A</v>
      </c>
      <c r="L190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0" s="15" t="str">
        <f>IF(Tableau1[[#This Row],[Facture Associée]]&gt;0,VLOOKUP(Tableau1[[#This Row],[Facture Associée]],Tableau3[#All],3,FALSE),"")</f>
        <v/>
      </c>
      <c r="N190" t="str">
        <f>IF(Tableau1[[#This Row],[Facture Associée]]&gt;0,VLOOKUP(Tableau1[[#This Row],[Facture Associée]],Tableau3[#All],4,FALSE),"")</f>
        <v/>
      </c>
      <c r="O190" s="37"/>
      <c r="P190" s="15" t="str">
        <f>IF(Tableau1[[#This Row],[Facture Associée]]&gt;0,1,"")</f>
        <v/>
      </c>
    </row>
    <row r="191" spans="2:16" ht="15.75">
      <c r="B191">
        <v>116</v>
      </c>
      <c r="C191" t="e">
        <f>VLOOKUP(Tableau1[[#This Row],[ID patient]],'Import Site'!$B$1:$K$1500,3,FALSE)</f>
        <v>#N/A</v>
      </c>
      <c r="D191" s="30" t="e">
        <f>VLOOKUP(Tableau1[[#This Row],[ID patient]],'Import Site'!$B$1:$K$1500,2,FALSE)</f>
        <v>#N/A</v>
      </c>
      <c r="E191" t="e">
        <f>IF(Tableau1[[#This Row],[Nom Patients]]&gt;0,VLOOKUP(Tableau1[[#This Row],[Prix payé]],CONFIG!B$4:D$12,2,FALSE),"")</f>
        <v>#N/A</v>
      </c>
      <c r="F191" s="48" t="e">
        <f>VLOOKUP(Tableau1[[#This Row],[ID patient]],'Import Site'!$B$1:$K$1500,5,FALSE)</f>
        <v>#N/A</v>
      </c>
      <c r="G191" s="31"/>
      <c r="H191" s="54"/>
      <c r="I191" s="73"/>
      <c r="J191" s="72"/>
      <c r="K191" s="70" t="e">
        <f>IF(Tableau1[[#This Row],[Nom Patients]]&gt;0,VLOOKUP(Tableau1[[#This Row],[Prix payé]],CONFIG!B$4:D$12,3,FALSE),"")</f>
        <v>#N/A</v>
      </c>
      <c r="L191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1" s="15" t="str">
        <f>IF(Tableau1[[#This Row],[Facture Associée]]&gt;0,VLOOKUP(Tableau1[[#This Row],[Facture Associée]],Tableau3[#All],3,FALSE),"")</f>
        <v/>
      </c>
      <c r="N191" t="str">
        <f>IF(Tableau1[[#This Row],[Facture Associée]]&gt;0,VLOOKUP(Tableau1[[#This Row],[Facture Associée]],Tableau3[#All],4,FALSE),"")</f>
        <v/>
      </c>
      <c r="O191" s="37"/>
      <c r="P191" s="15" t="str">
        <f>IF(Tableau1[[#This Row],[Facture Associée]]&gt;0,1,"")</f>
        <v/>
      </c>
    </row>
    <row r="192" spans="2:16" ht="15.75">
      <c r="B192">
        <v>117</v>
      </c>
      <c r="C192" t="e">
        <f>VLOOKUP(Tableau1[[#This Row],[ID patient]],'Import Site'!$B$1:$K$1500,3,FALSE)</f>
        <v>#N/A</v>
      </c>
      <c r="D192" s="30" t="e">
        <f>VLOOKUP(Tableau1[[#This Row],[ID patient]],'Import Site'!$B$1:$K$1500,2,FALSE)</f>
        <v>#N/A</v>
      </c>
      <c r="E192" t="e">
        <f>IF(Tableau1[[#This Row],[Nom Patients]]&gt;0,VLOOKUP(Tableau1[[#This Row],[Prix payé]],CONFIG!B$4:D$12,2,FALSE),"")</f>
        <v>#N/A</v>
      </c>
      <c r="F192" s="48" t="e">
        <f>VLOOKUP(Tableau1[[#This Row],[ID patient]],'Import Site'!$B$1:$K$1500,5,FALSE)</f>
        <v>#N/A</v>
      </c>
      <c r="G192" s="31"/>
      <c r="H192" s="54"/>
      <c r="I192" s="73"/>
      <c r="J192" s="72"/>
      <c r="K192" s="70" t="e">
        <f>IF(Tableau1[[#This Row],[Nom Patients]]&gt;0,VLOOKUP(Tableau1[[#This Row],[Prix payé]],CONFIG!B$4:D$12,3,FALSE),"")</f>
        <v>#N/A</v>
      </c>
      <c r="L192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2" s="15" t="str">
        <f>IF(Tableau1[[#This Row],[Facture Associée]]&gt;0,VLOOKUP(Tableau1[[#This Row],[Facture Associée]],Tableau3[#All],3,FALSE),"")</f>
        <v/>
      </c>
      <c r="N192" t="str">
        <f>IF(Tableau1[[#This Row],[Facture Associée]]&gt;0,VLOOKUP(Tableau1[[#This Row],[Facture Associée]],Tableau3[#All],4,FALSE),"")</f>
        <v/>
      </c>
      <c r="O192" s="37"/>
      <c r="P192" s="15" t="str">
        <f>IF(Tableau1[[#This Row],[Facture Associée]]&gt;0,1,"")</f>
        <v/>
      </c>
    </row>
    <row r="193" spans="2:16" ht="15.75">
      <c r="B193">
        <v>118</v>
      </c>
      <c r="C193" t="e">
        <f>VLOOKUP(Tableau1[[#This Row],[ID patient]],'Import Site'!$B$1:$K$1500,3,FALSE)</f>
        <v>#N/A</v>
      </c>
      <c r="D193" s="30" t="e">
        <f>VLOOKUP(Tableau1[[#This Row],[ID patient]],'Import Site'!$B$1:$K$1500,2,FALSE)</f>
        <v>#N/A</v>
      </c>
      <c r="E193" t="e">
        <f>IF(Tableau1[[#This Row],[Nom Patients]]&gt;0,VLOOKUP(Tableau1[[#This Row],[Prix payé]],CONFIG!B$4:D$12,2,FALSE),"")</f>
        <v>#N/A</v>
      </c>
      <c r="F193" s="48" t="e">
        <f>VLOOKUP(Tableau1[[#This Row],[ID patient]],'Import Site'!$B$1:$K$1500,5,FALSE)</f>
        <v>#N/A</v>
      </c>
      <c r="G193" s="31"/>
      <c r="H193" s="54"/>
      <c r="I193" s="73"/>
      <c r="J193" s="72"/>
      <c r="K193" s="70" t="e">
        <f>IF(Tableau1[[#This Row],[Nom Patients]]&gt;0,VLOOKUP(Tableau1[[#This Row],[Prix payé]],CONFIG!B$4:D$12,3,FALSE),"")</f>
        <v>#N/A</v>
      </c>
      <c r="L193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3" s="15" t="str">
        <f>IF(Tableau1[[#This Row],[Facture Associée]]&gt;0,VLOOKUP(Tableau1[[#This Row],[Facture Associée]],Tableau3[#All],3,FALSE),"")</f>
        <v/>
      </c>
      <c r="N193" t="str">
        <f>IF(Tableau1[[#This Row],[Facture Associée]]&gt;0,VLOOKUP(Tableau1[[#This Row],[Facture Associée]],Tableau3[#All],4,FALSE),"")</f>
        <v/>
      </c>
      <c r="O193" s="37"/>
      <c r="P193" s="15" t="str">
        <f>IF(Tableau1[[#This Row],[Facture Associée]]&gt;0,1,"")</f>
        <v/>
      </c>
    </row>
    <row r="194" spans="2:16" ht="15.75">
      <c r="B194">
        <v>119</v>
      </c>
      <c r="C194" t="e">
        <f>VLOOKUP(Tableau1[[#This Row],[ID patient]],'Import Site'!$B$1:$K$1500,3,FALSE)</f>
        <v>#N/A</v>
      </c>
      <c r="D194" s="30" t="e">
        <f>VLOOKUP(Tableau1[[#This Row],[ID patient]],'Import Site'!$B$1:$K$1500,2,FALSE)</f>
        <v>#N/A</v>
      </c>
      <c r="E194" t="e">
        <f>IF(Tableau1[[#This Row],[Nom Patients]]&gt;0,VLOOKUP(Tableau1[[#This Row],[Prix payé]],CONFIG!B$4:D$12,2,FALSE),"")</f>
        <v>#N/A</v>
      </c>
      <c r="F194" s="48" t="e">
        <f>VLOOKUP(Tableau1[[#This Row],[ID patient]],'Import Site'!$B$1:$K$1500,5,FALSE)</f>
        <v>#N/A</v>
      </c>
      <c r="G194" s="31"/>
      <c r="H194" s="54"/>
      <c r="I194" s="73"/>
      <c r="J194" s="72"/>
      <c r="K194" s="70" t="e">
        <f>IF(Tableau1[[#This Row],[Nom Patients]]&gt;0,VLOOKUP(Tableau1[[#This Row],[Prix payé]],CONFIG!B$4:D$12,3,FALSE),"")</f>
        <v>#N/A</v>
      </c>
      <c r="L194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4" s="15" t="str">
        <f>IF(Tableau1[[#This Row],[Facture Associée]]&gt;0,VLOOKUP(Tableau1[[#This Row],[Facture Associée]],Tableau3[#All],3,FALSE),"")</f>
        <v/>
      </c>
      <c r="N194" t="str">
        <f>IF(Tableau1[[#This Row],[Facture Associée]]&gt;0,VLOOKUP(Tableau1[[#This Row],[Facture Associée]],Tableau3[#All],4,FALSE),"")</f>
        <v/>
      </c>
      <c r="O194" s="37"/>
      <c r="P194" s="15" t="str">
        <f>IF(Tableau1[[#This Row],[Facture Associée]]&gt;0,1,"")</f>
        <v/>
      </c>
    </row>
    <row r="195" spans="2:16" ht="15.75">
      <c r="B195">
        <v>120</v>
      </c>
      <c r="C195" t="e">
        <f>VLOOKUP(Tableau1[[#This Row],[ID patient]],'Import Site'!$B$1:$K$1500,3,FALSE)</f>
        <v>#N/A</v>
      </c>
      <c r="D195" s="30" t="e">
        <f>VLOOKUP(Tableau1[[#This Row],[ID patient]],'Import Site'!$B$1:$K$1500,2,FALSE)</f>
        <v>#N/A</v>
      </c>
      <c r="E195" t="e">
        <f>IF(Tableau1[[#This Row],[Nom Patients]]&gt;0,VLOOKUP(Tableau1[[#This Row],[Prix payé]],CONFIG!B$4:D$12,2,FALSE),"")</f>
        <v>#N/A</v>
      </c>
      <c r="F195" s="48" t="e">
        <f>VLOOKUP(Tableau1[[#This Row],[ID patient]],'Import Site'!$B$1:$K$1500,5,FALSE)</f>
        <v>#N/A</v>
      </c>
      <c r="G195" s="31"/>
      <c r="H195" s="54"/>
      <c r="I195" s="73"/>
      <c r="J195" s="72"/>
      <c r="K195" s="70" t="e">
        <f>IF(Tableau1[[#This Row],[Nom Patients]]&gt;0,VLOOKUP(Tableau1[[#This Row],[Prix payé]],CONFIG!B$4:D$12,3,FALSE),"")</f>
        <v>#N/A</v>
      </c>
      <c r="L195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5" s="15" t="str">
        <f>IF(Tableau1[[#This Row],[Facture Associée]]&gt;0,VLOOKUP(Tableau1[[#This Row],[Facture Associée]],Tableau3[#All],3,FALSE),"")</f>
        <v/>
      </c>
      <c r="N195" t="str">
        <f>IF(Tableau1[[#This Row],[Facture Associée]]&gt;0,VLOOKUP(Tableau1[[#This Row],[Facture Associée]],Tableau3[#All],4,FALSE),"")</f>
        <v/>
      </c>
      <c r="O195" s="37"/>
      <c r="P195" s="15" t="str">
        <f>IF(Tableau1[[#This Row],[Facture Associée]]&gt;0,1,"")</f>
        <v/>
      </c>
    </row>
    <row r="196" spans="2:16" ht="15.75">
      <c r="B196">
        <v>121</v>
      </c>
      <c r="C196" t="e">
        <f>VLOOKUP(Tableau1[[#This Row],[ID patient]],'Import Site'!$B$1:$K$1500,3,FALSE)</f>
        <v>#N/A</v>
      </c>
      <c r="D196" s="30" t="e">
        <f>VLOOKUP(Tableau1[[#This Row],[ID patient]],'Import Site'!$B$1:$K$1500,2,FALSE)</f>
        <v>#N/A</v>
      </c>
      <c r="E196" t="e">
        <f>IF(Tableau1[[#This Row],[Nom Patients]]&gt;0,VLOOKUP(Tableau1[[#This Row],[Prix payé]],CONFIG!B$4:D$12,2,FALSE),"")</f>
        <v>#N/A</v>
      </c>
      <c r="F196" s="48" t="e">
        <f>VLOOKUP(Tableau1[[#This Row],[ID patient]],'Import Site'!$B$1:$K$1500,5,FALSE)</f>
        <v>#N/A</v>
      </c>
      <c r="G196" s="31"/>
      <c r="H196" s="54"/>
      <c r="I196" s="73"/>
      <c r="J196" s="72"/>
      <c r="K196" s="70" t="e">
        <f>IF(Tableau1[[#This Row],[Nom Patients]]&gt;0,VLOOKUP(Tableau1[[#This Row],[Prix payé]],CONFIG!B$4:D$12,3,FALSE),"")</f>
        <v>#N/A</v>
      </c>
      <c r="L196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6" s="15" t="str">
        <f>IF(Tableau1[[#This Row],[Facture Associée]]&gt;0,VLOOKUP(Tableau1[[#This Row],[Facture Associée]],Tableau3[#All],3,FALSE),"")</f>
        <v/>
      </c>
      <c r="N196" t="str">
        <f>IF(Tableau1[[#This Row],[Facture Associée]]&gt;0,VLOOKUP(Tableau1[[#This Row],[Facture Associée]],Tableau3[#All],4,FALSE),"")</f>
        <v/>
      </c>
      <c r="O196" s="37"/>
      <c r="P196" s="15" t="str">
        <f>IF(Tableau1[[#This Row],[Facture Associée]]&gt;0,1,"")</f>
        <v/>
      </c>
    </row>
    <row r="197" spans="2:16" ht="15.75">
      <c r="B197">
        <v>122</v>
      </c>
      <c r="C197" t="e">
        <f>VLOOKUP(Tableau1[[#This Row],[ID patient]],'Import Site'!$B$1:$K$1500,3,FALSE)</f>
        <v>#N/A</v>
      </c>
      <c r="D197" s="30" t="e">
        <f>VLOOKUP(Tableau1[[#This Row],[ID patient]],'Import Site'!$B$1:$K$1500,2,FALSE)</f>
        <v>#N/A</v>
      </c>
      <c r="E197" t="e">
        <f>IF(Tableau1[[#This Row],[Nom Patients]]&gt;0,VLOOKUP(Tableau1[[#This Row],[Prix payé]],CONFIG!B$4:D$12,2,FALSE),"")</f>
        <v>#N/A</v>
      </c>
      <c r="F197" s="48" t="e">
        <f>VLOOKUP(Tableau1[[#This Row],[ID patient]],'Import Site'!$B$1:$K$1500,5,FALSE)</f>
        <v>#N/A</v>
      </c>
      <c r="G197" s="31"/>
      <c r="H197" s="54"/>
      <c r="I197" s="73"/>
      <c r="J197" s="72"/>
      <c r="K197" s="70" t="e">
        <f>IF(Tableau1[[#This Row],[Nom Patients]]&gt;0,VLOOKUP(Tableau1[[#This Row],[Prix payé]],CONFIG!B$4:D$12,3,FALSE),"")</f>
        <v>#N/A</v>
      </c>
      <c r="L197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7" s="15" t="str">
        <f>IF(Tableau1[[#This Row],[Facture Associée]]&gt;0,VLOOKUP(Tableau1[[#This Row],[Facture Associée]],Tableau3[#All],3,FALSE),"")</f>
        <v/>
      </c>
      <c r="N197" t="str">
        <f>IF(Tableau1[[#This Row],[Facture Associée]]&gt;0,VLOOKUP(Tableau1[[#This Row],[Facture Associée]],Tableau3[#All],4,FALSE),"")</f>
        <v/>
      </c>
      <c r="O197" s="37"/>
      <c r="P197" s="15" t="str">
        <f>IF(Tableau1[[#This Row],[Facture Associée]]&gt;0,1,"")</f>
        <v/>
      </c>
    </row>
    <row r="198" spans="2:16" ht="15.75">
      <c r="B198">
        <v>123</v>
      </c>
      <c r="C198" t="e">
        <f>VLOOKUP(Tableau1[[#This Row],[ID patient]],'Import Site'!$B$1:$K$1500,3,FALSE)</f>
        <v>#N/A</v>
      </c>
      <c r="D198" s="30" t="e">
        <f>VLOOKUP(Tableau1[[#This Row],[ID patient]],'Import Site'!$B$1:$K$1500,2,FALSE)</f>
        <v>#N/A</v>
      </c>
      <c r="E198" t="e">
        <f>IF(Tableau1[[#This Row],[Nom Patients]]&gt;0,VLOOKUP(Tableau1[[#This Row],[Prix payé]],CONFIG!B$4:D$12,2,FALSE),"")</f>
        <v>#N/A</v>
      </c>
      <c r="F198" s="48" t="e">
        <f>VLOOKUP(Tableau1[[#This Row],[ID patient]],'Import Site'!$B$1:$K$1500,5,FALSE)</f>
        <v>#N/A</v>
      </c>
      <c r="G198" s="31"/>
      <c r="H198" s="54"/>
      <c r="I198" s="73"/>
      <c r="J198" s="72"/>
      <c r="K198" s="70" t="e">
        <f>IF(Tableau1[[#This Row],[Nom Patients]]&gt;0,VLOOKUP(Tableau1[[#This Row],[Prix payé]],CONFIG!B$4:D$12,3,FALSE),"")</f>
        <v>#N/A</v>
      </c>
      <c r="L198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8" s="15" t="str">
        <f>IF(Tableau1[[#This Row],[Facture Associée]]&gt;0,VLOOKUP(Tableau1[[#This Row],[Facture Associée]],Tableau3[#All],3,FALSE),"")</f>
        <v/>
      </c>
      <c r="N198" t="str">
        <f>IF(Tableau1[[#This Row],[Facture Associée]]&gt;0,VLOOKUP(Tableau1[[#This Row],[Facture Associée]],Tableau3[#All],4,FALSE),"")</f>
        <v/>
      </c>
      <c r="O198" s="37"/>
      <c r="P198" s="15" t="str">
        <f>IF(Tableau1[[#This Row],[Facture Associée]]&gt;0,1,"")</f>
        <v/>
      </c>
    </row>
    <row r="199" spans="2:16" ht="15.75">
      <c r="C199" t="e">
        <f>VLOOKUP(Tableau1[[#This Row],[ID patient]],'Import Site'!$B$1:$K$1500,3,FALSE)</f>
        <v>#N/A</v>
      </c>
      <c r="D199" s="30" t="e">
        <f>VLOOKUP(Tableau1[[#This Row],[ID patient]],'Import Site'!$B$1:$K$1500,2,FALSE)</f>
        <v>#N/A</v>
      </c>
      <c r="E199" t="e">
        <f>IF(Tableau1[[#This Row],[Nom Patients]]&gt;0,VLOOKUP(Tableau1[[#This Row],[Prix payé]],CONFIG!B$4:D$12,2,FALSE),"")</f>
        <v>#N/A</v>
      </c>
      <c r="F199" s="48" t="e">
        <f>VLOOKUP(Tableau1[[#This Row],[ID patient]],'Import Site'!$B$1:$K$1500,5,FALSE)</f>
        <v>#N/A</v>
      </c>
      <c r="G199" s="31"/>
      <c r="H199" s="54"/>
      <c r="I199" s="73"/>
      <c r="J199" s="72"/>
      <c r="K199" s="70" t="e">
        <f>IF(Tableau1[[#This Row],[Nom Patients]]&gt;0,VLOOKUP(Tableau1[[#This Row],[Prix payé]],CONFIG!B$4:D$12,3,FALSE),"")</f>
        <v>#N/A</v>
      </c>
      <c r="L199" s="52" t="e">
        <f>IF(Tableau1[[#This Row],[Mode Paiement]]=CONFIG!$I$6,((Tableau1[[#This Row],[Prix payé]]-Tableau1[[#This Row],[Prix chargé masolution]])*-1),Tableau1[[#This Row],[Prix chargé masolution]]+Tableau1[[#This Row],[montant pourboire]])</f>
        <v>#N/A</v>
      </c>
      <c r="M199" s="15" t="str">
        <f>IF(Tableau1[[#This Row],[Facture Associée]]&gt;0,VLOOKUP(Tableau1[[#This Row],[Facture Associée]],Tableau3[#All],3,FALSE),"")</f>
        <v/>
      </c>
      <c r="N199" t="str">
        <f>IF(Tableau1[[#This Row],[Facture Associée]]&gt;0,VLOOKUP(Tableau1[[#This Row],[Facture Associée]],Tableau3[#All],4,FALSE),"")</f>
        <v/>
      </c>
      <c r="O199" s="37"/>
      <c r="P199" s="15" t="str">
        <f>IF(Tableau1[[#This Row],[Facture Associée]]&gt;0,1,"")</f>
        <v/>
      </c>
    </row>
  </sheetData>
  <mergeCells count="15">
    <mergeCell ref="B45:E45"/>
    <mergeCell ref="B74:K74"/>
    <mergeCell ref="H6:I6"/>
    <mergeCell ref="H7:I7"/>
    <mergeCell ref="A43:J43"/>
    <mergeCell ref="H40:I40"/>
    <mergeCell ref="H41:I41"/>
    <mergeCell ref="H42:I42"/>
    <mergeCell ref="B1:I1"/>
    <mergeCell ref="A1:A42"/>
    <mergeCell ref="J1:J42"/>
    <mergeCell ref="F2:G4"/>
    <mergeCell ref="H2:I4"/>
    <mergeCell ref="D16:G16"/>
    <mergeCell ref="B16:C16"/>
  </mergeCells>
  <dataValidations count="1">
    <dataValidation type="list" allowBlank="1" showInputMessage="1" showErrorMessage="1" sqref="H6:I6 O76:O199 N77:N199" xr:uid="{00000000-0002-0000-0200-000000000000}">
      <formula1>$B$47:$B$70</formula1>
    </dataValidation>
  </dataValidations>
  <pageMargins left="0.25" right="0.25" top="0.75" bottom="0.75" header="0.3" footer="0.3"/>
  <pageSetup scale="22" orientation="portrait" horizontalDpi="4294967293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CONFIG!$I$5:$I$15</xm:f>
          </x14:formula1>
          <xm:sqref>G76:G199</xm:sqref>
        </x14:dataValidation>
        <x14:dataValidation type="list" allowBlank="1" showInputMessage="1" showErrorMessage="1" xr:uid="{00000000-0002-0000-0200-000002000000}">
          <x14:formula1>
            <xm:f>'Liste Clients'!$B$6:$B$15</xm:f>
          </x14:formula1>
          <xm:sqref>E47:E70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J15"/>
  <sheetViews>
    <sheetView topLeftCell="A3" workbookViewId="0">
      <selection activeCell="J12" sqref="J12"/>
    </sheetView>
  </sheetViews>
  <sheetFormatPr baseColWidth="10" defaultRowHeight="15"/>
  <cols>
    <col min="2" max="2" width="15.7109375" customWidth="1"/>
    <col min="4" max="4" width="17" customWidth="1"/>
    <col min="9" max="9" width="21.42578125" customWidth="1"/>
  </cols>
  <sheetData>
    <row r="3" spans="2:10" ht="15.75" thickBot="1"/>
    <row r="4" spans="2:10" ht="15.75" thickBot="1">
      <c r="B4" s="38" t="s">
        <v>83</v>
      </c>
      <c r="C4" s="39" t="s">
        <v>84</v>
      </c>
      <c r="D4" s="40" t="s">
        <v>85</v>
      </c>
      <c r="I4" s="36" t="s">
        <v>86</v>
      </c>
      <c r="J4" s="36" t="s">
        <v>93</v>
      </c>
    </row>
    <row r="5" spans="2:10">
      <c r="B5" s="38">
        <v>20</v>
      </c>
      <c r="C5" s="39" t="s">
        <v>96</v>
      </c>
      <c r="D5" s="40">
        <v>15</v>
      </c>
      <c r="I5" s="34"/>
      <c r="J5" s="34"/>
    </row>
    <row r="6" spans="2:10">
      <c r="B6" s="41">
        <v>30</v>
      </c>
      <c r="C6" s="42" t="s">
        <v>94</v>
      </c>
      <c r="D6" s="49">
        <v>25</v>
      </c>
      <c r="I6" s="34" t="s">
        <v>89</v>
      </c>
      <c r="J6" s="34">
        <v>-1</v>
      </c>
    </row>
    <row r="7" spans="2:10">
      <c r="B7" s="41">
        <v>40</v>
      </c>
      <c r="C7" s="42" t="s">
        <v>94</v>
      </c>
      <c r="D7" s="43">
        <v>30</v>
      </c>
      <c r="I7" s="34" t="s">
        <v>88</v>
      </c>
      <c r="J7" s="34">
        <v>1</v>
      </c>
    </row>
    <row r="8" spans="2:10">
      <c r="B8" s="41">
        <v>80</v>
      </c>
      <c r="C8" s="42" t="s">
        <v>95</v>
      </c>
      <c r="D8" s="43">
        <v>50</v>
      </c>
      <c r="I8" s="34" t="s">
        <v>90</v>
      </c>
      <c r="J8" s="34">
        <v>1</v>
      </c>
    </row>
    <row r="9" spans="2:10">
      <c r="B9" s="41">
        <v>110</v>
      </c>
      <c r="C9" s="42" t="s">
        <v>97</v>
      </c>
      <c r="D9" s="43">
        <v>75</v>
      </c>
      <c r="I9" s="34" t="s">
        <v>92</v>
      </c>
      <c r="J9" s="34">
        <v>1</v>
      </c>
    </row>
    <row r="10" spans="2:10">
      <c r="B10" s="41"/>
      <c r="C10" s="42"/>
      <c r="D10" s="43"/>
      <c r="I10" s="34" t="s">
        <v>87</v>
      </c>
      <c r="J10" s="34">
        <v>1</v>
      </c>
    </row>
    <row r="11" spans="2:10">
      <c r="B11" s="41"/>
      <c r="C11" s="42"/>
      <c r="D11" s="43"/>
      <c r="I11" s="34" t="s">
        <v>91</v>
      </c>
      <c r="J11" s="34">
        <v>1</v>
      </c>
    </row>
    <row r="12" spans="2:10" ht="15.75" thickBot="1">
      <c r="B12" s="44"/>
      <c r="C12" s="45"/>
      <c r="D12" s="46"/>
      <c r="I12" s="34"/>
      <c r="J12" s="34"/>
    </row>
    <row r="13" spans="2:10">
      <c r="I13" s="34"/>
      <c r="J13" s="34"/>
    </row>
    <row r="14" spans="2:10">
      <c r="I14" s="34"/>
      <c r="J14" s="34"/>
    </row>
    <row r="15" spans="2:10" ht="15.75" thickBot="1">
      <c r="I15" s="35"/>
      <c r="J15" s="3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5:L16"/>
  <sheetViews>
    <sheetView workbookViewId="0">
      <selection activeCell="E19" sqref="E19"/>
    </sheetView>
  </sheetViews>
  <sheetFormatPr baseColWidth="10" defaultRowHeight="15"/>
  <cols>
    <col min="2" max="2" width="12.7109375" customWidth="1"/>
    <col min="3" max="3" width="14.28515625" customWidth="1"/>
    <col min="4" max="4" width="17.140625" customWidth="1"/>
    <col min="5" max="5" width="17.28515625" customWidth="1"/>
    <col min="6" max="6" width="22" customWidth="1"/>
    <col min="7" max="7" width="19" customWidth="1"/>
    <col min="8" max="8" width="21" customWidth="1"/>
    <col min="9" max="9" width="19.85546875" customWidth="1"/>
  </cols>
  <sheetData>
    <row r="5" spans="2:12" ht="21">
      <c r="B5" s="65" t="s">
        <v>47</v>
      </c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2:12">
      <c r="B6" t="s">
        <v>3</v>
      </c>
      <c r="C6" t="s">
        <v>39</v>
      </c>
      <c r="D6" t="s">
        <v>24</v>
      </c>
      <c r="E6" t="s">
        <v>40</v>
      </c>
      <c r="F6" t="s">
        <v>41</v>
      </c>
      <c r="G6" t="s">
        <v>42</v>
      </c>
      <c r="H6" t="s">
        <v>43</v>
      </c>
      <c r="I6" t="s">
        <v>44</v>
      </c>
      <c r="J6" t="s">
        <v>45</v>
      </c>
      <c r="K6" t="s">
        <v>4</v>
      </c>
      <c r="L6" t="s">
        <v>46</v>
      </c>
    </row>
    <row r="7" spans="2:12">
      <c r="B7" t="s">
        <v>48</v>
      </c>
    </row>
    <row r="8" spans="2:12">
      <c r="B8" t="s">
        <v>49</v>
      </c>
    </row>
    <row r="9" spans="2:12">
      <c r="B9" t="s">
        <v>50</v>
      </c>
    </row>
    <row r="10" spans="2:12">
      <c r="B10" t="s">
        <v>51</v>
      </c>
    </row>
    <row r="11" spans="2:12">
      <c r="B11" t="s">
        <v>52</v>
      </c>
    </row>
    <row r="12" spans="2:12">
      <c r="B12" t="s">
        <v>53</v>
      </c>
    </row>
    <row r="13" spans="2:12">
      <c r="B13" t="s">
        <v>54</v>
      </c>
    </row>
    <row r="14" spans="2:12">
      <c r="B14" t="s">
        <v>55</v>
      </c>
    </row>
    <row r="15" spans="2:12">
      <c r="B15" t="s">
        <v>56</v>
      </c>
    </row>
    <row r="16" spans="2:12">
      <c r="B16" t="s">
        <v>57</v>
      </c>
    </row>
  </sheetData>
  <mergeCells count="1">
    <mergeCell ref="B5:L5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>
      <selection activeCell="D11" sqref="D1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Liste Clients</vt:lpstr>
      <vt:lpstr>Import Site</vt:lpstr>
      <vt:lpstr>Nouvelle facture</vt:lpstr>
      <vt:lpstr>CONFIG</vt:lpstr>
      <vt:lpstr>Sommaire des factures</vt:lpstr>
      <vt:lpstr>Mabonneamie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Poirier</dc:creator>
  <cp:lastModifiedBy>sophie</cp:lastModifiedBy>
  <cp:lastPrinted>2019-03-01T08:05:00Z</cp:lastPrinted>
  <dcterms:created xsi:type="dcterms:W3CDTF">2019-02-25T13:19:46Z</dcterms:created>
  <dcterms:modified xsi:type="dcterms:W3CDTF">2019-03-01T08:39:39Z</dcterms:modified>
</cp:coreProperties>
</file>