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915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romainpouget/Desktop/"/>
    </mc:Choice>
  </mc:AlternateContent>
  <bookViews>
    <workbookView xWindow="640" yWindow="1180" windowWidth="28160" windowHeight="16740" tabRatio="500"/>
  </bookViews>
  <sheets>
    <sheet name="Feuil1" sheetId="1" r:id="rId1"/>
    <sheet name="Feuil2" sheetId="2" r:id="rId2"/>
  </sheets>
  <externalReferences>
    <externalReference r:id="rId3"/>
  </externalReferences>
  <calcPr calcId="150000" calcMode="manual" iterate="1" calcCompleted="0" calcOnSave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3" i="2" l="1"/>
  <c r="E35" i="2"/>
  <c r="E25" i="2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C8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C7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C6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C5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C4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C3" i="1"/>
  <c r="AC2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J2" i="1"/>
  <c r="I2" i="1"/>
  <c r="H2" i="1"/>
  <c r="G2" i="1"/>
  <c r="C2" i="1"/>
</calcChain>
</file>

<file path=xl/sharedStrings.xml><?xml version="1.0" encoding="utf-8"?>
<sst xmlns="http://schemas.openxmlformats.org/spreadsheetml/2006/main" count="78" uniqueCount="61">
  <si>
    <t>Numéro client</t>
  </si>
  <si>
    <t>Sexe</t>
  </si>
  <si>
    <t>Titre</t>
  </si>
  <si>
    <t>Prénom</t>
  </si>
  <si>
    <t>Nom</t>
  </si>
  <si>
    <t>Adresse postale</t>
  </si>
  <si>
    <t>Ville</t>
  </si>
  <si>
    <t>Code postal</t>
  </si>
  <si>
    <t>Adresse email</t>
  </si>
  <si>
    <t>Téléphone</t>
  </si>
  <si>
    <t>Date de naissance</t>
  </si>
  <si>
    <t>Age</t>
  </si>
  <si>
    <t>Code carte de fidélité</t>
  </si>
  <si>
    <t>Montant des achats</t>
  </si>
  <si>
    <t>Statut membre</t>
  </si>
  <si>
    <t>Tranche d'âge</t>
  </si>
  <si>
    <t>Rang</t>
  </si>
  <si>
    <t>Produits favoris</t>
  </si>
  <si>
    <t>Fraise</t>
  </si>
  <si>
    <t>Carotte</t>
  </si>
  <si>
    <t>Tomate</t>
  </si>
  <si>
    <t>Dégivrant</t>
  </si>
  <si>
    <t>Décoration voiture</t>
  </si>
  <si>
    <t>T-shirt</t>
  </si>
  <si>
    <t>Jogging</t>
  </si>
  <si>
    <t>Chaussettes</t>
  </si>
  <si>
    <t>Parapluie</t>
  </si>
  <si>
    <t>Lunette de soleil</t>
  </si>
  <si>
    <t>Farce et Attrape</t>
  </si>
  <si>
    <t>Femme</t>
  </si>
  <si>
    <t>Parnella</t>
  </si>
  <si>
    <t>Monty</t>
  </si>
  <si>
    <t>65 rue La Boétie</t>
  </si>
  <si>
    <t>Cammile</t>
  </si>
  <si>
    <t>Grivois</t>
  </si>
  <si>
    <t>67 rue Léon Dierx</t>
  </si>
  <si>
    <t>Homme</t>
  </si>
  <si>
    <t>Hamilton</t>
  </si>
  <si>
    <t>Majory</t>
  </si>
  <si>
    <t>7 rue Adolphe Wurtz</t>
  </si>
  <si>
    <t>Théberge</t>
  </si>
  <si>
    <t>48 Boulevard de Normandie</t>
  </si>
  <si>
    <t>Josephe</t>
  </si>
  <si>
    <t>Salmons</t>
  </si>
  <si>
    <t>18 rue de Geneve</t>
  </si>
  <si>
    <t>Delit</t>
  </si>
  <si>
    <t>Pépin</t>
  </si>
  <si>
    <t>81 route de Lyon</t>
  </si>
  <si>
    <t>Victoire</t>
  </si>
  <si>
    <t>Lampron</t>
  </si>
  <si>
    <t>81 rue des six frères Ruellan</t>
  </si>
  <si>
    <t>Vous êtes authentifié comme étant le vendeur Arnaud. 
Ce formulaire permet de retrouver un client et ses données.
Veuillez entrer son adresse e-mail</t>
  </si>
  <si>
    <t>Adresse e-mail</t>
  </si>
  <si>
    <t>Audrey</t>
  </si>
  <si>
    <t>27 rue ballon rond</t>
  </si>
  <si>
    <t>Toulouse</t>
  </si>
  <si>
    <t xml:space="preserve">Code postal </t>
  </si>
  <si>
    <t>E-mail</t>
  </si>
  <si>
    <t>06.06.06.06.06</t>
  </si>
  <si>
    <t>lolilol</t>
  </si>
  <si>
    <t>Audrey.lolilol@gmail.com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</si>
</sst>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theme="7"/>
      </left>
      <right style="thin">
        <color theme="7"/>
      </right>
      <top style="thin">
        <color theme="7"/>
      </top>
      <bottom style="medium">
        <color theme="7"/>
      </bottom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medium">
        <color rgb="FF00B050"/>
      </left>
      <right/>
      <top style="medium">
        <color rgb="FF00B050"/>
      </top>
      <bottom/>
      <diagonal/>
    </border>
    <border>
      <left/>
      <right/>
      <top style="medium">
        <color rgb="FF00B050"/>
      </top>
      <bottom/>
      <diagonal/>
    </border>
    <border>
      <left/>
      <right style="medium">
        <color rgb="FF00B050"/>
      </right>
      <top style="medium">
        <color rgb="FF00B050"/>
      </top>
      <bottom/>
      <diagonal/>
    </border>
    <border>
      <left style="medium">
        <color rgb="FF00B050"/>
      </left>
      <right/>
      <top/>
      <bottom/>
      <diagonal/>
    </border>
    <border>
      <left/>
      <right style="medium">
        <color rgb="FF00B050"/>
      </right>
      <top/>
      <bottom/>
      <diagonal/>
    </border>
    <border>
      <left style="medium">
        <color rgb="FF00B050"/>
      </left>
      <right/>
      <top/>
      <bottom style="medium">
        <color rgb="FF00B050"/>
      </bottom>
      <diagonal/>
    </border>
    <border>
      <left/>
      <right/>
      <top/>
      <bottom style="medium">
        <color rgb="FF00B050"/>
      </bottom>
      <diagonal/>
    </border>
    <border>
      <left/>
      <right style="thin">
        <color theme="1"/>
      </right>
      <top/>
      <bottom style="medium">
        <color rgb="FF00B050"/>
      </bottom>
      <diagonal/>
    </border>
    <border>
      <left style="thin">
        <color theme="1"/>
      </left>
      <right/>
      <top/>
      <bottom style="medium">
        <color rgb="FF00B050"/>
      </bottom>
      <diagonal/>
    </border>
    <border>
      <left/>
      <right style="medium">
        <color rgb="FF00B050"/>
      </right>
      <top/>
      <bottom style="medium">
        <color rgb="FF00B05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/>
      <top style="thin">
        <color theme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3" borderId="2" xfId="0" applyNumberFormat="1" applyFont="1" applyFill="1" applyBorder="1" applyAlignment="1">
      <alignment horizontal="center" vertical="center"/>
    </xf>
    <xf numFmtId="14" fontId="0" fillId="3" borderId="2" xfId="0" applyNumberFormat="1" applyFont="1" applyFill="1" applyBorder="1" applyAlignment="1">
      <alignment horizontal="center" vertical="center"/>
    </xf>
    <xf numFmtId="1" fontId="0" fillId="3" borderId="2" xfId="0" applyNumberFormat="1" applyFont="1" applyFill="1" applyBorder="1" applyAlignment="1">
      <alignment horizontal="center" vertical="center"/>
    </xf>
    <xf numFmtId="164" fontId="0" fillId="3" borderId="2" xfId="0" applyNumberFormat="1" applyFont="1" applyFill="1" applyBorder="1" applyAlignment="1">
      <alignment horizontal="center" vertical="center"/>
    </xf>
    <xf numFmtId="0" fontId="0" fillId="3" borderId="2" xfId="0" applyNumberFormat="1" applyFont="1" applyFill="1" applyBorder="1"/>
    <xf numFmtId="0" fontId="0" fillId="3" borderId="2" xfId="0" applyNumberFormat="1" applyFont="1" applyFill="1" applyBorder="1" applyAlignment="1">
      <alignment horizontal="center"/>
    </xf>
    <xf numFmtId="0" fontId="0" fillId="3" borderId="2" xfId="0" applyFont="1" applyFill="1" applyBorder="1"/>
    <xf numFmtId="0" fontId="0" fillId="0" borderId="2" xfId="0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14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/>
    <xf numFmtId="0" fontId="0" fillId="0" borderId="2" xfId="0" applyNumberFormat="1" applyFont="1" applyBorder="1" applyAlignment="1">
      <alignment horizontal="center"/>
    </xf>
    <xf numFmtId="0" fontId="0" fillId="0" borderId="2" xfId="0" applyFont="1" applyBorder="1"/>
    <xf numFmtId="0" fontId="3" fillId="4" borderId="3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0" fontId="0" fillId="4" borderId="6" xfId="0" applyFill="1" applyBorder="1"/>
    <xf numFmtId="0" fontId="0" fillId="4" borderId="0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12" xfId="0" applyFill="1" applyBorder="1"/>
    <xf numFmtId="0" fontId="4" fillId="4" borderId="3" xfId="0" applyFont="1" applyFill="1" applyBorder="1" applyAlignment="1">
      <alignment horizontal="center" vertical="center" wrapText="1"/>
    </xf>
    <xf numFmtId="0" fontId="0" fillId="5" borderId="13" xfId="0" applyFill="1" applyBorder="1" applyAlignment="1"/>
    <xf numFmtId="0" fontId="0" fillId="4" borderId="0" xfId="0" applyFill="1" applyBorder="1" applyAlignment="1"/>
    <xf numFmtId="0" fontId="0" fillId="4" borderId="0" xfId="0" applyFont="1" applyFill="1" applyBorder="1"/>
    <xf numFmtId="0" fontId="1" fillId="4" borderId="0" xfId="0" applyFont="1" applyFill="1" applyBorder="1" applyAlignment="1">
      <alignment horizontal="center"/>
    </xf>
    <xf numFmtId="0" fontId="1" fillId="4" borderId="6" xfId="0" applyFont="1" applyFill="1" applyBorder="1" applyAlignment="1"/>
    <xf numFmtId="0" fontId="0" fillId="5" borderId="14" xfId="0" applyNumberFormat="1" applyFont="1" applyFill="1" applyBorder="1" applyAlignment="1">
      <alignment horizontal="justify"/>
    </xf>
    <xf numFmtId="0" fontId="1" fillId="4" borderId="0" xfId="0" applyFont="1" applyFill="1" applyBorder="1" applyAlignment="1"/>
    <xf numFmtId="0" fontId="1" fillId="4" borderId="7" xfId="0" applyFont="1" applyFill="1" applyBorder="1" applyAlignment="1"/>
    <xf numFmtId="0" fontId="0" fillId="5" borderId="14" xfId="1" applyNumberFormat="1" applyFont="1" applyFill="1" applyBorder="1" applyAlignment="1">
      <alignment horizontal="justify"/>
    </xf>
    <xf numFmtId="0" fontId="6" fillId="4" borderId="6" xfId="0" applyFont="1" applyFill="1" applyBorder="1" applyAlignment="1">
      <alignment vertical="center"/>
    </xf>
    <xf numFmtId="0" fontId="6" fillId="4" borderId="0" xfId="0" applyFont="1" applyFill="1" applyBorder="1" applyAlignment="1">
      <alignment vertical="center"/>
    </xf>
    <xf numFmtId="0" fontId="6" fillId="4" borderId="7" xfId="0" applyFont="1" applyFill="1" applyBorder="1" applyAlignment="1">
      <alignment vertical="center"/>
    </xf>
    <xf numFmtId="0" fontId="0" fillId="5" borderId="15" xfId="0" applyNumberFormat="1" applyFont="1" applyFill="1" applyBorder="1" applyAlignment="1">
      <alignment horizontal="justify"/>
    </xf>
    <xf numFmtId="0" fontId="0" fillId="5" borderId="16" xfId="0" applyNumberFormat="1" applyFont="1" applyFill="1" applyBorder="1" applyAlignment="1">
      <alignment horizontal="justify" vertical="justify"/>
    </xf>
    <xf numFmtId="0" fontId="0" fillId="4" borderId="17" xfId="1" applyNumberFormat="1" applyFont="1" applyFill="1" applyBorder="1" applyAlignment="1">
      <alignment horizontal="justify"/>
    </xf>
    <xf numFmtId="14" fontId="0" fillId="4" borderId="0" xfId="0" applyNumberFormat="1" applyFont="1" applyFill="1" applyBorder="1"/>
    <xf numFmtId="0" fontId="5" fillId="0" borderId="14" xfId="1" applyNumberFormat="1" applyBorder="1" applyAlignment="1">
      <alignment horizontal="justify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267241</xdr:colOff>
      <xdr:row>14</xdr:row>
      <xdr:rowOff>168468</xdr:rowOff>
    </xdr:from>
    <xdr:to>
      <xdr:col>6</xdr:col>
      <xdr:colOff>339391</xdr:colOff>
      <xdr:row>16</xdr:row>
      <xdr:rowOff>129590</xdr:rowOff>
    </xdr:to>
    <xdr:sp macro="" textlink="">
      <xdr:nvSpPr>
        <xdr:cNvPr id="2" name="Rectangle à coins arrondis 1"/>
        <xdr:cNvSpPr/>
      </xdr:nvSpPr>
      <xdr:spPr>
        <a:xfrm>
          <a:off x="3569241" y="3025968"/>
          <a:ext cx="2294650" cy="367522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1" cap="none" spc="0">
            <a:ln w="22225">
              <a:solidFill>
                <a:schemeClr val="accent2"/>
              </a:solidFill>
              <a:prstDash val="solid"/>
            </a:ln>
            <a:solidFill>
              <a:schemeClr val="accent2">
                <a:lumMod val="40000"/>
                <a:lumOff val="60000"/>
              </a:schemeClr>
            </a:solidFill>
            <a:effectLst/>
          </a:endParaRPr>
        </a:p>
      </xdr:txBody>
    </xdr:sp>
    <xdr:clientData/>
  </xdr:twoCellAnchor>
  <xdr:twoCellAnchor>
    <xdr:from>
      <xdr:col>4</xdr:col>
      <xdr:colOff>324913</xdr:colOff>
      <xdr:row>14</xdr:row>
      <xdr:rowOff>194504</xdr:rowOff>
    </xdr:from>
    <xdr:to>
      <xdr:col>6</xdr:col>
      <xdr:colOff>265720</xdr:colOff>
      <xdr:row>16</xdr:row>
      <xdr:rowOff>79272</xdr:rowOff>
    </xdr:to>
    <xdr:sp macro="[1]!Rechercher" textlink="">
      <xdr:nvSpPr>
        <xdr:cNvPr id="3" name="ZoneTexte 2"/>
        <xdr:cNvSpPr txBox="1"/>
      </xdr:nvSpPr>
      <xdr:spPr>
        <a:xfrm>
          <a:off x="3626913" y="3052004"/>
          <a:ext cx="2163307" cy="291168"/>
        </a:xfrm>
        <a:prstGeom prst="rect">
          <a:avLst/>
        </a:prstGeom>
        <a:ln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RECHERCHER</a:t>
          </a:r>
          <a:r>
            <a:rPr lang="fr-FR" sz="1100" b="1" baseline="0"/>
            <a:t> </a:t>
          </a:r>
          <a:endParaRPr lang="fr-FR" sz="1100" b="1"/>
        </a:p>
      </xdr:txBody>
    </xdr:sp>
    <xdr:clientData/>
  </xdr:twoCellAnchor>
  <xdr:twoCellAnchor>
    <xdr:from>
      <xdr:col>4</xdr:col>
      <xdr:colOff>582346</xdr:colOff>
      <xdr:row>36</xdr:row>
      <xdr:rowOff>45767</xdr:rowOff>
    </xdr:from>
    <xdr:to>
      <xdr:col>6</xdr:col>
      <xdr:colOff>393700</xdr:colOff>
      <xdr:row>38</xdr:row>
      <xdr:rowOff>38100</xdr:rowOff>
    </xdr:to>
    <xdr:sp macro="" textlink="">
      <xdr:nvSpPr>
        <xdr:cNvPr id="4" name="Rectangle à coins arrondis 3"/>
        <xdr:cNvSpPr/>
      </xdr:nvSpPr>
      <xdr:spPr>
        <a:xfrm>
          <a:off x="3884346" y="8516667"/>
          <a:ext cx="1462354" cy="398733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676096</xdr:colOff>
      <xdr:row>36</xdr:row>
      <xdr:rowOff>99120</xdr:rowOff>
    </xdr:from>
    <xdr:to>
      <xdr:col>6</xdr:col>
      <xdr:colOff>248443</xdr:colOff>
      <xdr:row>37</xdr:row>
      <xdr:rowOff>163916</xdr:rowOff>
    </xdr:to>
    <xdr:sp macro="[0]!Feuille2.Enregistrement" textlink="">
      <xdr:nvSpPr>
        <xdr:cNvPr id="5" name="ZoneTexte 4"/>
        <xdr:cNvSpPr txBox="1"/>
      </xdr:nvSpPr>
      <xdr:spPr>
        <a:xfrm>
          <a:off x="3978096" y="7642920"/>
          <a:ext cx="1794847" cy="267996"/>
        </a:xfrm>
        <a:prstGeom prst="rect">
          <a:avLst/>
        </a:prstGeom>
        <a:ln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ENREGSITRER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mainpouget/Dropbox/Scolaire/IAE/S2/SIG/Excel/SIG%20-%20S2%20Macroo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Caissière"/>
    </sheetNames>
    <definedNames>
      <definedName name="Enregistrement"/>
      <definedName name="Rechercher"/>
    </defined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AN@gmail.com" TargetMode="External"/><Relationship Id="rId2" Type="http://schemas.openxmlformats.org/officeDocument/2006/relationships/hyperlink" Target="mailto:Audrey.lolilol@gmail.com" TargetMode="External"/><Relationship Id="rId3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AC8"/>
  <sheetViews>
    <sheetView tabSelected="1" workbookViewId="0">
      <selection activeCell="Q2" sqref="Q2"/>
    </sheetView>
  </sheetViews>
  <sheetFormatPr baseColWidth="10" defaultRowHeight="16" x14ac:dyDescent="0.2"/>
  <cols>
    <col min="9" max="9" width="29.1640625" bestFit="1" customWidth="1"/>
  </cols>
  <sheetData>
    <row r="1" spans="1:29" ht="17" thickBo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2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</row>
    <row r="2" spans="1:29" x14ac:dyDescent="0.2">
      <c r="A2" s="3">
        <v>1</v>
      </c>
      <c r="B2" s="3" t="s">
        <v>29</v>
      </c>
      <c r="C2" s="3" t="str">
        <f t="shared" ref="C2:C8" ca="1" si="0">VLOOKUP(B2,#REF!,2,FALSE)</f>
        <v>Madame</v>
      </c>
      <c r="D2" s="3" t="s">
        <v>30</v>
      </c>
      <c r="E2" s="3" t="s">
        <v>31</v>
      </c>
      <c r="F2" s="3" t="s">
        <v>32</v>
      </c>
      <c r="G2" s="3" t="str">
        <f t="shared" ref="G2:G8" ca="1" si="1">CHOOSE(INT(RAND()*10)+1,"Pibrac","Toulouse","Toulouse","Balma","Carbonne","Balma","Tournefeuille","Blagnac","Toulouse","Labège")</f>
        <v>Labège</v>
      </c>
      <c r="H2" s="3">
        <f t="shared" ref="H2:H8" ca="1" si="2">VLOOKUP(G2,#REF!,2,FALSE)</f>
        <v>31670</v>
      </c>
      <c r="I2" s="3" t="str">
        <f t="shared" ref="I2:I8" ca="1" si="3">CONCATENATE(D2,CHOOSE(INT(RAND()*4)+1,".","-","_",""),E2,CHOOSE(INT(RAND()*4)+1,"@gmail.com","@yahoo.fr","@iae-toulouse.fr","@hotmail.com"))</f>
        <v>ParnellaMonty@yahoo.fr</v>
      </c>
      <c r="J2" s="4" t="str">
        <f t="shared" ref="J2:J8" ca="1" si="4">CONCATENATE(CHOOSE(INT(RAND()*6)+1,"01","02","03","04","06","07"),".",RANDBETWEEN(0,9),RANDBETWEEN(0,9),".",RANDBETWEEN(0,9),RANDBETWEEN(0,9),".",RANDBETWEEN(0,9),RANDBETWEEN(0,9),".",RANDBETWEEN(0,9),,RANDBETWEEN(0,9))</f>
        <v>01.25.03.00.33</v>
      </c>
      <c r="K2" s="5">
        <f t="shared" ref="K2:K8" ca="1" si="5">(RAND()*($AC$5-$AB$5+1))+$AB$5</f>
        <v>4424.7826444507918</v>
      </c>
      <c r="L2" s="4">
        <f t="shared" ref="L2:L8" ca="1" si="6">YEAR(TODAY())-YEAR(K2)</f>
        <v>104</v>
      </c>
      <c r="M2" s="6" t="str">
        <f ca="1">CONCATENATE(1970297337295,  ,[1]!_DonneesClients[[#This Row],[Numéro client]])</f>
        <v>19702973372951</v>
      </c>
      <c r="N2" s="7">
        <f ca="1">SUMPRODUCT((M2=#REF!)*(#REF!=$J$7)*(#REF!)*$M$7)+SUMPRODUCT((M2=#REF!)*(#REF!=$J$8)*(#REF!)*#REF!)+SUMPRODUCT((M2=#REF!)*(#REF!=$J$9)*(#REF!)*$M$9)+SUMPRODUCT((M2=#REF!)*(#REF!=$J$10)*(#REF!)*#REF!)+SUMPRODUCT((M2=#REF!)*(#REF!=$J$11)*(#REF!)*$M$11)+SUMPRODUCT((M2=#REF!)*(#REF!=$J$12)*(#REF!)*#REF!)+SUMPRODUCT((M2=#REF!)*(#REF!=$J$13)*(#REF!)*$M$13)+SUMPRODUCT((M2=#REF!)*(#REF!=$J$14)*(#REF!)*#REF!)+SUMPRODUCT((M2=#REF!)*(#REF!=$J$15)*(#REF!)*$M$15)+SUMPRODUCT((M2=#REF!)*(#REF!=$J$16)*(#REF!)*#REF!)+SUMPRODUCT((M2=#REF!)*(#REF!=$J$17)*(#REF!)*$M$17)</f>
        <v>0</v>
      </c>
      <c r="O2" s="3" t="str">
        <f t="shared" ref="O2:O8" ca="1" si="7">HLOOKUP(N2,#REF!,2,TRUE)</f>
        <v>Basic</v>
      </c>
      <c r="P2" s="3" t="str">
        <f t="shared" ref="P2:P8" ca="1" si="8">VLOOKUP(L2,#REF!,2,TRUE)</f>
        <v>Centenaire</v>
      </c>
      <c r="Q2" s="8">
        <f t="shared" ref="Q2:Q8" ca="1" si="9">RANK(N2,N$2:N$680)</f>
        <v>679</v>
      </c>
      <c r="R2" s="9" t="str">
        <f ca="1">IF(MAX([1]!_DonneesClients[[#This Row],[Fraise]:[Farce et Attrape]])=[1]!_DonneesClients[[#This Row],[Fraise]],[1]!_DonneesClients[[#Headers],[Fraise]],IF(MAX([1]!_DonneesClients[[#This Row],[Fraise]:[Farce et Attrape]])=[1]!_DonneesClients[[#This Row],[Carotte]],[1]!_DonneesClients[[#Headers],[Carotte]],IF(MAX([1]!_DonneesClients[[#This Row],[Fraise]:[Farce et Attrape]])=[1]!_DonneesClients[[#This Row],[Tomate]],[1]!_DonneesClients[[#Headers],[Tomate]],IF(MAX([1]!_DonneesClients[[#This Row],[Fraise]:[Farce et Attrape]])=[1]!_DonneesClients[[#This Row],[Dégivrant]],[1]!_DonneesClients[[#Headers],[Dégivrant]],IF(MAX([1]!_DonneesClients[[#This Row],[Fraise]:[Farce et Attrape]])=[1]!_DonneesClients[[#This Row],[Décoration voiture]],[1]!_DonneesClients[[#Headers],[Décoration voiture]],IF(MAX([1]!_DonneesClients[[#This Row],[Fraise]:[Farce et Attrape]])=[1]!_DonneesClients[[#This Row],[T-shirt]],[1]!_DonneesClients[[#Headers],[T-shirt]],IF(MAX([1]!_DonneesClients[[#This Row],[Fraise]:[Farce et Attrape]])=[1]!_DonneesClients[[#This Row],[Jogging]],[1]!_DonneesClients[[#Headers],[Jogging]],IF(MAX([1]!_DonneesClients[[#This Row],[Fraise]:[Farce et Attrape]])=[1]!_DonneesClients[[#This Row],[Chaussettes]],[1]!_DonneesClients[[#Headers],[Chaussettes]],IF(MAX([1]!_DonneesClients[[#This Row],[Fraise]:[Farce et Attrape]])=[1]!_DonneesClients[[#This Row],[Parapluie]],[1]!_DonneesClients[[#Headers],[Parapluie]],IF(MAX([1]!_DonneesClients[[#This Row],[Fraise]:[Farce et Attrape]])=[1]!_DonneesClients[[#This Row],[Lunette de soleil]],[1]!_DonneesClients[[#Headers],[Lunette de soleil]],[1]!_DonneesClients[[#Headers],[Farce et Attrape]]))))))))))</f>
        <v>Fraise</v>
      </c>
      <c r="S2" s="8">
        <f ca="1">SUMIFS($E$6:$E$11168,$F$6:$F$11168,[1]!_DonneesClients[[#This Row],[Code carte de fidélité]],$D$6:$D$11168,[1]!_DonneesClients[[#Headers],[Fraise]])</f>
        <v>0</v>
      </c>
      <c r="T2" s="10">
        <f ca="1">SUMIFS($E$6:$E$11168,$F$6:$F$11168,[1]!_DonneesClients[[#This Row],[Code carte de fidélité]],$D$6:$D$11168,[1]!_DonneesClients[[#Headers],[Carotte]])</f>
        <v>0</v>
      </c>
      <c r="U2" s="10">
        <f ca="1">SUMIFS($E$6:$E$11168,$F$6:$F$11168,[1]!_DonneesClients[[#This Row],[Code carte de fidélité]],$D$6:$D$11168,[1]!_DonneesClients[[#Headers],[Tomate]])</f>
        <v>0</v>
      </c>
      <c r="V2" s="10">
        <f ca="1">SUMIFS($E$6:$E$11168,$F$6:$F$11168,[1]!_DonneesClients[[#This Row],[Code carte de fidélité]],$D$6:$D$11168,[1]!_DonneesClients[[#Headers],[Dégivrant]])</f>
        <v>0</v>
      </c>
      <c r="W2" s="10">
        <f ca="1">SUMIFS($E$6:$E$11168,$F$6:$F$11168,[1]!_DonneesClients[[#This Row],[Code carte de fidélité]],$D$6:$D$11168,[1]!_DonneesClients[[#Headers],[Décoration voiture]])</f>
        <v>0</v>
      </c>
      <c r="X2" s="10">
        <f ca="1">SUMIFS($E$6:$E$11168,$F$6:$F$11168,[1]!_DonneesClients[[#This Row],[Code carte de fidélité]],$D$6:$D$11168,[1]!_DonneesClients[[#Headers],[T-shirt]])</f>
        <v>0</v>
      </c>
      <c r="Y2" s="10">
        <f ca="1">SUMIFS($E$6:$E$11168,$F$6:$F$11168,[1]!_DonneesClients[[#This Row],[Code carte de fidélité]],$D$6:$D$11168,[1]!_DonneesClients[[#Headers],[Jogging]])</f>
        <v>0</v>
      </c>
      <c r="Z2" s="10">
        <f ca="1">SUMIFS($E$6:$E$11168,$F$6:$F$11168,[1]!_DonneesClients[[#This Row],[Code carte de fidélité]],$D$6:$D$11168,[1]!_DonneesClients[[#Headers],[Chaussettes]])</f>
        <v>0</v>
      </c>
      <c r="AA2" s="10">
        <f ca="1">SUMIFS($E$6:$E$11168,$F$6:$F$11168,[1]!_DonneesClients[[#This Row],[Code carte de fidélité]],$D$6:$D$11168,[1]!_DonneesClients[[#Headers],[Parapluie]])</f>
        <v>0</v>
      </c>
      <c r="AB2" s="10">
        <f ca="1">SUMIFS($E$6:$E$11168,$F$6:$F$11168,[1]!_DonneesClients[[#This Row],[Code carte de fidélité]],$D$6:$D$11168,[1]!_DonneesClients[[#Headers],[Lunette de soleil]])</f>
        <v>0</v>
      </c>
      <c r="AC2" s="10">
        <f ca="1">SUMIFS($E$6:$E$11168,$F$6:$F$11168,[1]!_DonneesClients[[#This Row],[Code carte de fidélité]],$D$6:$D$11168,[1]!_DonneesClients[[#Headers],[Farce et Attrape]])</f>
        <v>0</v>
      </c>
    </row>
    <row r="3" spans="1:29" x14ac:dyDescent="0.2">
      <c r="A3" s="11">
        <v>2</v>
      </c>
      <c r="B3" s="11" t="s">
        <v>29</v>
      </c>
      <c r="C3" s="11" t="str">
        <f t="shared" ref="C3:C8" ca="1" si="10">VLOOKUP(B3,#REF!,2,FALSE)</f>
        <v>Madame</v>
      </c>
      <c r="D3" s="11" t="s">
        <v>33</v>
      </c>
      <c r="E3" s="11" t="s">
        <v>34</v>
      </c>
      <c r="F3" s="11" t="s">
        <v>35</v>
      </c>
      <c r="G3" s="11" t="str">
        <f t="shared" ca="1" si="1"/>
        <v>Blagnac</v>
      </c>
      <c r="H3" s="11">
        <f t="shared" ref="H3:H8" ca="1" si="11">VLOOKUP(G3,#REF!,2,FALSE)</f>
        <v>31700</v>
      </c>
      <c r="I3" s="11" t="str">
        <f t="shared" ca="1" si="3"/>
        <v>CammileGrivois@hotmail.com</v>
      </c>
      <c r="J3" s="12" t="str">
        <f t="shared" ca="1" si="4"/>
        <v>02.14.72.54.46</v>
      </c>
      <c r="K3" s="13">
        <f t="shared" ca="1" si="5"/>
        <v>4703.8167856358359</v>
      </c>
      <c r="L3" s="12">
        <f t="shared" ca="1" si="6"/>
        <v>104</v>
      </c>
      <c r="M3" s="14" t="str">
        <f ca="1">CONCATENATE(1970297337295,  ,[1]!_DonneesClients[[#This Row],[Numéro client]])</f>
        <v>19702973372952</v>
      </c>
      <c r="N3" s="15">
        <f ca="1">SUMPRODUCT((M3=#REF!)*(#REF!=$J$7)*(#REF!)*$M$7)+SUMPRODUCT((M3=#REF!)*(#REF!=$J$8)*(#REF!)*#REF!)+SUMPRODUCT((M3=#REF!)*(#REF!=$J$9)*(#REF!)*$M$9)+SUMPRODUCT((M3=#REF!)*(#REF!=$J$10)*(#REF!)*#REF!)+SUMPRODUCT((M3=#REF!)*(#REF!=$J$11)*(#REF!)*$M$11)+SUMPRODUCT((M3=#REF!)*(#REF!=$J$12)*(#REF!)*#REF!)+SUMPRODUCT((M3=#REF!)*(#REF!=$J$13)*(#REF!)*$M$13)+SUMPRODUCT((M3=#REF!)*(#REF!=$J$14)*(#REF!)*#REF!)+SUMPRODUCT((M3=#REF!)*(#REF!=$J$15)*(#REF!)*$M$15)+SUMPRODUCT((M3=#REF!)*(#REF!=$J$16)*(#REF!)*#REF!)+SUMPRODUCT((M3=#REF!)*(#REF!=$J$17)*(#REF!)*$M$17)</f>
        <v>1920.9710499999999</v>
      </c>
      <c r="O3" s="11" t="str">
        <f t="shared" ref="O3:O8" ca="1" si="12">HLOOKUP(N3,#REF!,2,TRUE)</f>
        <v>Gold</v>
      </c>
      <c r="P3" s="11" t="str">
        <f t="shared" ref="P3:P8" ca="1" si="13">VLOOKUP(L3,#REF!,2,TRUE)</f>
        <v>Centenaire</v>
      </c>
      <c r="Q3" s="16">
        <f t="shared" ca="1" si="9"/>
        <v>135</v>
      </c>
      <c r="R3" s="17" t="str">
        <f ca="1">IF(MAX([1]!_DonneesClients[[#This Row],[Fraise]:[Farce et Attrape]])=[1]!_DonneesClients[[#This Row],[Fraise]],[1]!_DonneesClients[[#Headers],[Fraise]],IF(MAX([1]!_DonneesClients[[#This Row],[Fraise]:[Farce et Attrape]])=[1]!_DonneesClients[[#This Row],[Carotte]],[1]!_DonneesClients[[#Headers],[Carotte]],IF(MAX([1]!_DonneesClients[[#This Row],[Fraise]:[Farce et Attrape]])=[1]!_DonneesClients[[#This Row],[Tomate]],[1]!_DonneesClients[[#Headers],[Tomate]],IF(MAX([1]!_DonneesClients[[#This Row],[Fraise]:[Farce et Attrape]])=[1]!_DonneesClients[[#This Row],[Dégivrant]],[1]!_DonneesClients[[#Headers],[Dégivrant]],IF(MAX([1]!_DonneesClients[[#This Row],[Fraise]:[Farce et Attrape]])=[1]!_DonneesClients[[#This Row],[Décoration voiture]],[1]!_DonneesClients[[#Headers],[Décoration voiture]],IF(MAX([1]!_DonneesClients[[#This Row],[Fraise]:[Farce et Attrape]])=[1]!_DonneesClients[[#This Row],[T-shirt]],[1]!_DonneesClients[[#Headers],[T-shirt]],IF(MAX([1]!_DonneesClients[[#This Row],[Fraise]:[Farce et Attrape]])=[1]!_DonneesClients[[#This Row],[Jogging]],[1]!_DonneesClients[[#Headers],[Jogging]],IF(MAX([1]!_DonneesClients[[#This Row],[Fraise]:[Farce et Attrape]])=[1]!_DonneesClients[[#This Row],[Chaussettes]],[1]!_DonneesClients[[#Headers],[Chaussettes]],IF(MAX([1]!_DonneesClients[[#This Row],[Fraise]:[Farce et Attrape]])=[1]!_DonneesClients[[#This Row],[Parapluie]],[1]!_DonneesClients[[#Headers],[Parapluie]],IF(MAX([1]!_DonneesClients[[#This Row],[Fraise]:[Farce et Attrape]])=[1]!_DonneesClients[[#This Row],[Lunette de soleil]],[1]!_DonneesClients[[#Headers],[Lunette de soleil]],[1]!_DonneesClients[[#Headers],[Farce et Attrape]]))))))))))</f>
        <v>Jogging</v>
      </c>
      <c r="S3" s="16">
        <f ca="1">SUMIFS($E$6:$E$11168,$F$6:$F$11168,[1]!_DonneesClients[[#This Row],[Code carte de fidélité]],$D$6:$D$11168,[1]!_DonneesClients[[#Headers],[Fraise]])</f>
        <v>4</v>
      </c>
      <c r="T3" s="18">
        <f ca="1">SUMIFS($E$6:$E$11168,$F$6:$F$11168,[1]!_DonneesClients[[#This Row],[Code carte de fidélité]],$D$6:$D$11168,[1]!_DonneesClients[[#Headers],[Carotte]])</f>
        <v>12</v>
      </c>
      <c r="U3" s="18">
        <f ca="1">SUMIFS($E$6:$E$11168,$F$6:$F$11168,[1]!_DonneesClients[[#This Row],[Code carte de fidélité]],$D$6:$D$11168,[1]!_DonneesClients[[#Headers],[Tomate]])</f>
        <v>19</v>
      </c>
      <c r="V3" s="18">
        <f ca="1">SUMIFS($E$6:$E$11168,$F$6:$F$11168,[1]!_DonneesClients[[#This Row],[Code carte de fidélité]],$D$6:$D$11168,[1]!_DonneesClients[[#Headers],[Dégivrant]])</f>
        <v>18</v>
      </c>
      <c r="W3" s="18">
        <f ca="1">SUMIFS($E$6:$E$11168,$F$6:$F$11168,[1]!_DonneesClients[[#This Row],[Code carte de fidélité]],$D$6:$D$11168,[1]!_DonneesClients[[#Headers],[Décoration voiture]])</f>
        <v>26</v>
      </c>
      <c r="X3" s="18">
        <f ca="1">SUMIFS($E$6:$E$11168,$F$6:$F$11168,[1]!_DonneesClients[[#This Row],[Code carte de fidélité]],$D$6:$D$11168,[1]!_DonneesClients[[#Headers],[T-shirt]])</f>
        <v>3</v>
      </c>
      <c r="Y3" s="18">
        <f ca="1">SUMIFS($E$6:$E$11168,$F$6:$F$11168,[1]!_DonneesClients[[#This Row],[Code carte de fidélité]],$D$6:$D$11168,[1]!_DonneesClients[[#Headers],[Jogging]])</f>
        <v>31</v>
      </c>
      <c r="Z3" s="18">
        <f ca="1">SUMIFS($E$6:$E$11168,$F$6:$F$11168,[1]!_DonneesClients[[#This Row],[Code carte de fidélité]],$D$6:$D$11168,[1]!_DonneesClients[[#Headers],[Chaussettes]])</f>
        <v>0</v>
      </c>
      <c r="AA3" s="18">
        <f ca="1">SUMIFS($E$6:$E$11168,$F$6:$F$11168,[1]!_DonneesClients[[#This Row],[Code carte de fidélité]],$D$6:$D$11168,[1]!_DonneesClients[[#Headers],[Parapluie]])</f>
        <v>3</v>
      </c>
      <c r="AB3" s="18">
        <f ca="1">SUMIFS($E$6:$E$11168,$F$6:$F$11168,[1]!_DonneesClients[[#This Row],[Code carte de fidélité]],$D$6:$D$11168,[1]!_DonneesClients[[#Headers],[Lunette de soleil]])</f>
        <v>30</v>
      </c>
      <c r="AC3" s="18">
        <f ca="1">SUMIFS($E$6:$E$11168,$F$6:$F$11168,[1]!_DonneesClients[[#This Row],[Code carte de fidélité]],$D$6:$D$11168,[1]!_DonneesClients[[#Headers],[Farce et Attrape]])</f>
        <v>16</v>
      </c>
    </row>
    <row r="4" spans="1:29" x14ac:dyDescent="0.2">
      <c r="A4" s="3">
        <v>3</v>
      </c>
      <c r="B4" s="3" t="s">
        <v>36</v>
      </c>
      <c r="C4" s="3" t="str">
        <f t="shared" ref="C4:C8" ca="1" si="14">VLOOKUP(B4,#REF!,2,FALSE)</f>
        <v>Monsieur</v>
      </c>
      <c r="D4" s="3" t="s">
        <v>37</v>
      </c>
      <c r="E4" s="3" t="s">
        <v>38</v>
      </c>
      <c r="F4" s="3" t="s">
        <v>39</v>
      </c>
      <c r="G4" s="3" t="str">
        <f t="shared" ca="1" si="1"/>
        <v>Blagnac</v>
      </c>
      <c r="H4" s="3">
        <f t="shared" ref="H4:H8" ca="1" si="15">VLOOKUP(G4,#REF!,2,FALSE)</f>
        <v>31700</v>
      </c>
      <c r="I4" s="3" t="str">
        <f t="shared" ca="1" si="3"/>
        <v>Hamilton_Majory@iae-toulouse.fr</v>
      </c>
      <c r="J4" s="4" t="str">
        <f t="shared" ca="1" si="4"/>
        <v>03.56.44.81.46</v>
      </c>
      <c r="K4" s="5">
        <f t="shared" ca="1" si="5"/>
        <v>11798.010576864071</v>
      </c>
      <c r="L4" s="4">
        <f t="shared" ca="1" si="6"/>
        <v>84</v>
      </c>
      <c r="M4" s="6" t="str">
        <f ca="1">CONCATENATE(1970297337295,  ,[1]!_DonneesClients[[#This Row],[Numéro client]])</f>
        <v>19702973372953</v>
      </c>
      <c r="N4" s="7">
        <f ca="1">SUMPRODUCT((M4=#REF!)*(#REF!=$J$7)*(#REF!)*$M$7)+SUMPRODUCT((M4=#REF!)*(#REF!=$J$8)*(#REF!)*#REF!)+SUMPRODUCT((M4=#REF!)*(#REF!=$J$9)*(#REF!)*$M$9)+SUMPRODUCT((M4=#REF!)*(#REF!=$J$10)*(#REF!)*#REF!)+SUMPRODUCT((M4=#REF!)*(#REF!=$J$11)*(#REF!)*$M$11)+SUMPRODUCT((M4=#REF!)*(#REF!=$J$12)*(#REF!)*#REF!)+SUMPRODUCT((M4=#REF!)*(#REF!=$J$13)*(#REF!)*$M$13)+SUMPRODUCT((M4=#REF!)*(#REF!=$J$14)*(#REF!)*#REF!)+SUMPRODUCT((M4=#REF!)*(#REF!=$J$15)*(#REF!)*$M$15)+SUMPRODUCT((M4=#REF!)*(#REF!=$J$16)*(#REF!)*#REF!)+SUMPRODUCT((M4=#REF!)*(#REF!=$J$17)*(#REF!)*$M$17)</f>
        <v>1839.8968</v>
      </c>
      <c r="O4" s="3" t="str">
        <f t="shared" ref="O4:O8" ca="1" si="16">HLOOKUP(N4,#REF!,2,TRUE)</f>
        <v>Gold</v>
      </c>
      <c r="P4" s="3" t="str">
        <f t="shared" ref="P4:P8" ca="1" si="17">VLOOKUP(L4,#REF!,2,TRUE)</f>
        <v>Senior intermédiaire</v>
      </c>
      <c r="Q4" s="8">
        <f t="shared" ca="1" si="9"/>
        <v>164</v>
      </c>
      <c r="R4" s="9" t="str">
        <f ca="1">IF(MAX([1]!_DonneesClients[[#This Row],[Fraise]:[Farce et Attrape]])=[1]!_DonneesClients[[#This Row],[Fraise]],[1]!_DonneesClients[[#Headers],[Fraise]],IF(MAX([1]!_DonneesClients[[#This Row],[Fraise]:[Farce et Attrape]])=[1]!_DonneesClients[[#This Row],[Carotte]],[1]!_DonneesClients[[#Headers],[Carotte]],IF(MAX([1]!_DonneesClients[[#This Row],[Fraise]:[Farce et Attrape]])=[1]!_DonneesClients[[#This Row],[Tomate]],[1]!_DonneesClients[[#Headers],[Tomate]],IF(MAX([1]!_DonneesClients[[#This Row],[Fraise]:[Farce et Attrape]])=[1]!_DonneesClients[[#This Row],[Dégivrant]],[1]!_DonneesClients[[#Headers],[Dégivrant]],IF(MAX([1]!_DonneesClients[[#This Row],[Fraise]:[Farce et Attrape]])=[1]!_DonneesClients[[#This Row],[Décoration voiture]],[1]!_DonneesClients[[#Headers],[Décoration voiture]],IF(MAX([1]!_DonneesClients[[#This Row],[Fraise]:[Farce et Attrape]])=[1]!_DonneesClients[[#This Row],[T-shirt]],[1]!_DonneesClients[[#Headers],[T-shirt]],IF(MAX([1]!_DonneesClients[[#This Row],[Fraise]:[Farce et Attrape]])=[1]!_DonneesClients[[#This Row],[Jogging]],[1]!_DonneesClients[[#Headers],[Jogging]],IF(MAX([1]!_DonneesClients[[#This Row],[Fraise]:[Farce et Attrape]])=[1]!_DonneesClients[[#This Row],[Chaussettes]],[1]!_DonneesClients[[#Headers],[Chaussettes]],IF(MAX([1]!_DonneesClients[[#This Row],[Fraise]:[Farce et Attrape]])=[1]!_DonneesClients[[#This Row],[Parapluie]],[1]!_DonneesClients[[#Headers],[Parapluie]],IF(MAX([1]!_DonneesClients[[#This Row],[Fraise]:[Farce et Attrape]])=[1]!_DonneesClients[[#This Row],[Lunette de soleil]],[1]!_DonneesClients[[#Headers],[Lunette de soleil]],[1]!_DonneesClients[[#Headers],[Farce et Attrape]]))))))))))</f>
        <v>Parapluie</v>
      </c>
      <c r="S4" s="8">
        <f ca="1">SUMIFS($E$6:$E$11168,$F$6:$F$11168,[1]!_DonneesClients[[#This Row],[Code carte de fidélité]],$D$6:$D$11168,[1]!_DonneesClients[[#Headers],[Fraise]])</f>
        <v>13</v>
      </c>
      <c r="T4" s="10">
        <f ca="1">SUMIFS($E$6:$E$11168,$F$6:$F$11168,[1]!_DonneesClients[[#This Row],[Code carte de fidélité]],$D$6:$D$11168,[1]!_DonneesClients[[#Headers],[Carotte]])</f>
        <v>11</v>
      </c>
      <c r="U4" s="10">
        <f ca="1">SUMIFS($E$6:$E$11168,$F$6:$F$11168,[1]!_DonneesClients[[#This Row],[Code carte de fidélité]],$D$6:$D$11168,[1]!_DonneesClients[[#Headers],[Tomate]])</f>
        <v>20</v>
      </c>
      <c r="V4" s="10">
        <f ca="1">SUMIFS($E$6:$E$11168,$F$6:$F$11168,[1]!_DonneesClients[[#This Row],[Code carte de fidélité]],$D$6:$D$11168,[1]!_DonneesClients[[#Headers],[Dégivrant]])</f>
        <v>16</v>
      </c>
      <c r="W4" s="10">
        <f ca="1">SUMIFS($E$6:$E$11168,$F$6:$F$11168,[1]!_DonneesClients[[#This Row],[Code carte de fidélité]],$D$6:$D$11168,[1]!_DonneesClients[[#Headers],[Décoration voiture]])</f>
        <v>14</v>
      </c>
      <c r="X4" s="10">
        <f ca="1">SUMIFS($E$6:$E$11168,$F$6:$F$11168,[1]!_DonneesClients[[#This Row],[Code carte de fidélité]],$D$6:$D$11168,[1]!_DonneesClients[[#Headers],[T-shirt]])</f>
        <v>19</v>
      </c>
      <c r="Y4" s="10">
        <f ca="1">SUMIFS($E$6:$E$11168,$F$6:$F$11168,[1]!_DonneesClients[[#This Row],[Code carte de fidélité]],$D$6:$D$11168,[1]!_DonneesClients[[#Headers],[Jogging]])</f>
        <v>11</v>
      </c>
      <c r="Z4" s="10">
        <f ca="1">SUMIFS($E$6:$E$11168,$F$6:$F$11168,[1]!_DonneesClients[[#This Row],[Code carte de fidélité]],$D$6:$D$11168,[1]!_DonneesClients[[#Headers],[Chaussettes]])</f>
        <v>27</v>
      </c>
      <c r="AA4" s="10">
        <f ca="1">SUMIFS($E$6:$E$11168,$F$6:$F$11168,[1]!_DonneesClients[[#This Row],[Code carte de fidélité]],$D$6:$D$11168,[1]!_DonneesClients[[#Headers],[Parapluie]])</f>
        <v>28</v>
      </c>
      <c r="AB4" s="10">
        <f ca="1">SUMIFS($E$6:$E$11168,$F$6:$F$11168,[1]!_DonneesClients[[#This Row],[Code carte de fidélité]],$D$6:$D$11168,[1]!_DonneesClients[[#Headers],[Lunette de soleil]])</f>
        <v>5</v>
      </c>
      <c r="AC4" s="10">
        <f ca="1">SUMIFS($E$6:$E$11168,$F$6:$F$11168,[1]!_DonneesClients[[#This Row],[Code carte de fidélité]],$D$6:$D$11168,[1]!_DonneesClients[[#Headers],[Farce et Attrape]])</f>
        <v>22</v>
      </c>
    </row>
    <row r="5" spans="1:29" x14ac:dyDescent="0.2">
      <c r="A5" s="11">
        <v>4</v>
      </c>
      <c r="B5" s="11" t="s">
        <v>29</v>
      </c>
      <c r="C5" s="11" t="str">
        <f t="shared" ref="C5:C8" ca="1" si="18">VLOOKUP(B5,#REF!,2,FALSE)</f>
        <v>Madame</v>
      </c>
      <c r="D5" s="11" t="s">
        <v>30</v>
      </c>
      <c r="E5" s="11" t="s">
        <v>40</v>
      </c>
      <c r="F5" s="11" t="s">
        <v>41</v>
      </c>
      <c r="G5" s="11" t="str">
        <f t="shared" ca="1" si="1"/>
        <v>Pibrac</v>
      </c>
      <c r="H5" s="11">
        <f t="shared" ref="H5:H8" ca="1" si="19">VLOOKUP(G5,#REF!,2,FALSE)</f>
        <v>31820</v>
      </c>
      <c r="I5" s="11" t="str">
        <f t="shared" ca="1" si="3"/>
        <v>Parnella_Théberge@yahoo.fr</v>
      </c>
      <c r="J5" s="12" t="str">
        <f t="shared" ca="1" si="4"/>
        <v>02.37.50.42.33</v>
      </c>
      <c r="K5" s="13">
        <f t="shared" ca="1" si="5"/>
        <v>1351.2649512535002</v>
      </c>
      <c r="L5" s="12">
        <f t="shared" ca="1" si="6"/>
        <v>113</v>
      </c>
      <c r="M5" s="14" t="str">
        <f ca="1">CONCATENATE(1970297337295,  ,[1]!_DonneesClients[[#This Row],[Numéro client]])</f>
        <v>19702973372954</v>
      </c>
      <c r="N5" s="15">
        <f ca="1">SUMPRODUCT((M5=#REF!)*(#REF!=$J$7)*(#REF!)*$M$7)+SUMPRODUCT((M5=#REF!)*(#REF!=$J$8)*(#REF!)*#REF!)+SUMPRODUCT((M5=#REF!)*(#REF!=$J$9)*(#REF!)*$M$9)+SUMPRODUCT((M5=#REF!)*(#REF!=$J$10)*(#REF!)*#REF!)+SUMPRODUCT((M5=#REF!)*(#REF!=$J$11)*(#REF!)*$M$11)+SUMPRODUCT((M5=#REF!)*(#REF!=$J$12)*(#REF!)*#REF!)+SUMPRODUCT((M5=#REF!)*(#REF!=$J$13)*(#REF!)*$M$13)+SUMPRODUCT((M5=#REF!)*(#REF!=$J$14)*(#REF!)*#REF!)+SUMPRODUCT((M5=#REF!)*(#REF!=$J$15)*(#REF!)*$M$15)+SUMPRODUCT((M5=#REF!)*(#REF!=$J$16)*(#REF!)*#REF!)+SUMPRODUCT((M5=#REF!)*(#REF!=$J$17)*(#REF!)*$M$17)</f>
        <v>1044.36195</v>
      </c>
      <c r="O5" s="11" t="str">
        <f t="shared" ref="O5:O8" ca="1" si="20">HLOOKUP(N5,#REF!,2,TRUE)</f>
        <v>Silver</v>
      </c>
      <c r="P5" s="11" t="str">
        <f t="shared" ref="P5:P8" ca="1" si="21">VLOOKUP(L5,#REF!,2,TRUE)</f>
        <v>Centenaire</v>
      </c>
      <c r="Q5" s="16">
        <f t="shared" ca="1" si="9"/>
        <v>520</v>
      </c>
      <c r="R5" s="17" t="str">
        <f ca="1">IF(MAX([1]!_DonneesClients[[#This Row],[Fraise]:[Farce et Attrape]])=[1]!_DonneesClients[[#This Row],[Fraise]],[1]!_DonneesClients[[#Headers],[Fraise]],IF(MAX([1]!_DonneesClients[[#This Row],[Fraise]:[Farce et Attrape]])=[1]!_DonneesClients[[#This Row],[Carotte]],[1]!_DonneesClients[[#Headers],[Carotte]],IF(MAX([1]!_DonneesClients[[#This Row],[Fraise]:[Farce et Attrape]])=[1]!_DonneesClients[[#This Row],[Tomate]],[1]!_DonneesClients[[#Headers],[Tomate]],IF(MAX([1]!_DonneesClients[[#This Row],[Fraise]:[Farce et Attrape]])=[1]!_DonneesClients[[#This Row],[Dégivrant]],[1]!_DonneesClients[[#Headers],[Dégivrant]],IF(MAX([1]!_DonneesClients[[#This Row],[Fraise]:[Farce et Attrape]])=[1]!_DonneesClients[[#This Row],[Décoration voiture]],[1]!_DonneesClients[[#Headers],[Décoration voiture]],IF(MAX([1]!_DonneesClients[[#This Row],[Fraise]:[Farce et Attrape]])=[1]!_DonneesClients[[#This Row],[T-shirt]],[1]!_DonneesClients[[#Headers],[T-shirt]],IF(MAX([1]!_DonneesClients[[#This Row],[Fraise]:[Farce et Attrape]])=[1]!_DonneesClients[[#This Row],[Jogging]],[1]!_DonneesClients[[#Headers],[Jogging]],IF(MAX([1]!_DonneesClients[[#This Row],[Fraise]:[Farce et Attrape]])=[1]!_DonneesClients[[#This Row],[Chaussettes]],[1]!_DonneesClients[[#Headers],[Chaussettes]],IF(MAX([1]!_DonneesClients[[#This Row],[Fraise]:[Farce et Attrape]])=[1]!_DonneesClients[[#This Row],[Parapluie]],[1]!_DonneesClients[[#Headers],[Parapluie]],IF(MAX([1]!_DonneesClients[[#This Row],[Fraise]:[Farce et Attrape]])=[1]!_DonneesClients[[#This Row],[Lunette de soleil]],[1]!_DonneesClients[[#Headers],[Lunette de soleil]],[1]!_DonneesClients[[#Headers],[Farce et Attrape]]))))))))))</f>
        <v>Tomate</v>
      </c>
      <c r="S5" s="16">
        <f ca="1">SUMIFS($E$6:$E$11168,$F$6:$F$11168,[1]!_DonneesClients[[#This Row],[Code carte de fidélité]],$D$6:$D$11168,[1]!_DonneesClients[[#Headers],[Fraise]])</f>
        <v>9</v>
      </c>
      <c r="T5" s="18">
        <f ca="1">SUMIFS($E$6:$E$11168,$F$6:$F$11168,[1]!_DonneesClients[[#This Row],[Code carte de fidélité]],$D$6:$D$11168,[1]!_DonneesClients[[#Headers],[Carotte]])</f>
        <v>4</v>
      </c>
      <c r="U5" s="18">
        <f ca="1">SUMIFS($E$6:$E$11168,$F$6:$F$11168,[1]!_DonneesClients[[#This Row],[Code carte de fidélité]],$D$6:$D$11168,[1]!_DonneesClients[[#Headers],[Tomate]])</f>
        <v>28</v>
      </c>
      <c r="V5" s="18">
        <f ca="1">SUMIFS($E$6:$E$11168,$F$6:$F$11168,[1]!_DonneesClients[[#This Row],[Code carte de fidélité]],$D$6:$D$11168,[1]!_DonneesClients[[#Headers],[Dégivrant]])</f>
        <v>15</v>
      </c>
      <c r="W5" s="18">
        <f ca="1">SUMIFS($E$6:$E$11168,$F$6:$F$11168,[1]!_DonneesClients[[#This Row],[Code carte de fidélité]],$D$6:$D$11168,[1]!_DonneesClients[[#Headers],[Décoration voiture]])</f>
        <v>20</v>
      </c>
      <c r="X5" s="18">
        <f ca="1">SUMIFS($E$6:$E$11168,$F$6:$F$11168,[1]!_DonneesClients[[#This Row],[Code carte de fidélité]],$D$6:$D$11168,[1]!_DonneesClients[[#Headers],[T-shirt]])</f>
        <v>16</v>
      </c>
      <c r="Y5" s="18">
        <f ca="1">SUMIFS($E$6:$E$11168,$F$6:$F$11168,[1]!_DonneesClients[[#This Row],[Code carte de fidélité]],$D$6:$D$11168,[1]!_DonneesClients[[#Headers],[Jogging]])</f>
        <v>10</v>
      </c>
      <c r="Z5" s="18">
        <f ca="1">SUMIFS($E$6:$E$11168,$F$6:$F$11168,[1]!_DonneesClients[[#This Row],[Code carte de fidélité]],$D$6:$D$11168,[1]!_DonneesClients[[#Headers],[Chaussettes]])</f>
        <v>5</v>
      </c>
      <c r="AA5" s="18">
        <f ca="1">SUMIFS($E$6:$E$11168,$F$6:$F$11168,[1]!_DonneesClients[[#This Row],[Code carte de fidélité]],$D$6:$D$11168,[1]!_DonneesClients[[#Headers],[Parapluie]])</f>
        <v>4</v>
      </c>
      <c r="AB5" s="18">
        <f ca="1">SUMIFS($E$6:$E$11168,$F$6:$F$11168,[1]!_DonneesClients[[#This Row],[Code carte de fidélité]],$D$6:$D$11168,[1]!_DonneesClients[[#Headers],[Lunette de soleil]])</f>
        <v>0</v>
      </c>
      <c r="AC5" s="18">
        <f ca="1">SUMIFS($E$6:$E$11168,$F$6:$F$11168,[1]!_DonneesClients[[#This Row],[Code carte de fidélité]],$D$6:$D$11168,[1]!_DonneesClients[[#Headers],[Farce et Attrape]])</f>
        <v>14</v>
      </c>
    </row>
    <row r="6" spans="1:29" x14ac:dyDescent="0.2">
      <c r="A6" s="3">
        <v>5</v>
      </c>
      <c r="B6" s="3" t="s">
        <v>29</v>
      </c>
      <c r="C6" s="3" t="str">
        <f t="shared" ref="C6:C8" ca="1" si="22">VLOOKUP(B6,#REF!,2,FALSE)</f>
        <v>Madame</v>
      </c>
      <c r="D6" s="3" t="s">
        <v>42</v>
      </c>
      <c r="E6" s="3" t="s">
        <v>43</v>
      </c>
      <c r="F6" s="3" t="s">
        <v>44</v>
      </c>
      <c r="G6" s="3" t="str">
        <f t="shared" ca="1" si="1"/>
        <v>Labège</v>
      </c>
      <c r="H6" s="3">
        <f t="shared" ref="H6:H8" ca="1" si="23">VLOOKUP(G6,#REF!,2,FALSE)</f>
        <v>31670</v>
      </c>
      <c r="I6" s="3" t="str">
        <f t="shared" ca="1" si="3"/>
        <v>Josephe_Salmons@gmail.com</v>
      </c>
      <c r="J6" s="4" t="str">
        <f t="shared" ca="1" si="4"/>
        <v>03.47.36.91.15</v>
      </c>
      <c r="K6" s="5">
        <f t="shared" ca="1" si="5"/>
        <v>27460.499742800217</v>
      </c>
      <c r="L6" s="4">
        <f t="shared" ca="1" si="6"/>
        <v>41</v>
      </c>
      <c r="M6" s="6" t="str">
        <f ca="1">CONCATENATE(1970297337295,  ,[1]!_DonneesClients[[#This Row],[Numéro client]])</f>
        <v>19702973372955</v>
      </c>
      <c r="N6" s="7">
        <f ca="1">SUMPRODUCT((M6=#REF!)*(#REF!=$J$7)*(#REF!)*$M$7)+SUMPRODUCT((M6=#REF!)*(#REF!=$J$8)*(#REF!)*#REF!)+SUMPRODUCT((M6=#REF!)*(#REF!=$J$9)*(#REF!)*$M$9)+SUMPRODUCT((M6=#REF!)*(#REF!=$J$10)*(#REF!)*#REF!)+SUMPRODUCT((M6=#REF!)*(#REF!=$J$11)*(#REF!)*$M$11)+SUMPRODUCT((M6=#REF!)*(#REF!=$J$12)*(#REF!)*#REF!)+SUMPRODUCT((M6=#REF!)*(#REF!=$J$13)*(#REF!)*$M$13)+SUMPRODUCT((M6=#REF!)*(#REF!=$J$14)*(#REF!)*#REF!)+SUMPRODUCT((M6=#REF!)*(#REF!=$J$15)*(#REF!)*$M$15)+SUMPRODUCT((M6=#REF!)*(#REF!=$J$16)*(#REF!)*#REF!)+SUMPRODUCT((M6=#REF!)*(#REF!=$J$17)*(#REF!)*$M$17)</f>
        <v>1752.89075</v>
      </c>
      <c r="O6" s="3" t="str">
        <f t="shared" ref="O6:O8" ca="1" si="24">HLOOKUP(N6,#REF!,2,TRUE)</f>
        <v>Gold</v>
      </c>
      <c r="P6" s="3" t="str">
        <f t="shared" ref="P6:P8" ca="1" si="25">VLOOKUP(L6,#REF!,2,TRUE)</f>
        <v>Adulte</v>
      </c>
      <c r="Q6" s="8">
        <f t="shared" ca="1" si="9"/>
        <v>207</v>
      </c>
      <c r="R6" s="9" t="str">
        <f ca="1">IF(MAX([1]!_DonneesClients[[#This Row],[Fraise]:[Farce et Attrape]])=[1]!_DonneesClients[[#This Row],[Fraise]],[1]!_DonneesClients[[#Headers],[Fraise]],IF(MAX([1]!_DonneesClients[[#This Row],[Fraise]:[Farce et Attrape]])=[1]!_DonneesClients[[#This Row],[Carotte]],[1]!_DonneesClients[[#Headers],[Carotte]],IF(MAX([1]!_DonneesClients[[#This Row],[Fraise]:[Farce et Attrape]])=[1]!_DonneesClients[[#This Row],[Tomate]],[1]!_DonneesClients[[#Headers],[Tomate]],IF(MAX([1]!_DonneesClients[[#This Row],[Fraise]:[Farce et Attrape]])=[1]!_DonneesClients[[#This Row],[Dégivrant]],[1]!_DonneesClients[[#Headers],[Dégivrant]],IF(MAX([1]!_DonneesClients[[#This Row],[Fraise]:[Farce et Attrape]])=[1]!_DonneesClients[[#This Row],[Décoration voiture]],[1]!_DonneesClients[[#Headers],[Décoration voiture]],IF(MAX([1]!_DonneesClients[[#This Row],[Fraise]:[Farce et Attrape]])=[1]!_DonneesClients[[#This Row],[T-shirt]],[1]!_DonneesClients[[#Headers],[T-shirt]],IF(MAX([1]!_DonneesClients[[#This Row],[Fraise]:[Farce et Attrape]])=[1]!_DonneesClients[[#This Row],[Jogging]],[1]!_DonneesClients[[#Headers],[Jogging]],IF(MAX([1]!_DonneesClients[[#This Row],[Fraise]:[Farce et Attrape]])=[1]!_DonneesClients[[#This Row],[Chaussettes]],[1]!_DonneesClients[[#Headers],[Chaussettes]],IF(MAX([1]!_DonneesClients[[#This Row],[Fraise]:[Farce et Attrape]])=[1]!_DonneesClients[[#This Row],[Parapluie]],[1]!_DonneesClients[[#Headers],[Parapluie]],IF(MAX([1]!_DonneesClients[[#This Row],[Fraise]:[Farce et Attrape]])=[1]!_DonneesClients[[#This Row],[Lunette de soleil]],[1]!_DonneesClients[[#Headers],[Lunette de soleil]],[1]!_DonneesClients[[#Headers],[Farce et Attrape]]))))))))))</f>
        <v>T-shirt</v>
      </c>
      <c r="S6" s="8">
        <f ca="1">SUMIFS($E$6:$E$11168,$F$6:$F$11168,[1]!_DonneesClients[[#This Row],[Code carte de fidélité]],$D$6:$D$11168,[1]!_DonneesClients[[#Headers],[Fraise]])</f>
        <v>8</v>
      </c>
      <c r="T6" s="10">
        <f ca="1">SUMIFS($E$6:$E$11168,$F$6:$F$11168,[1]!_DonneesClients[[#This Row],[Code carte de fidélité]],$D$6:$D$11168,[1]!_DonneesClients[[#Headers],[Carotte]])</f>
        <v>3</v>
      </c>
      <c r="U6" s="10">
        <f ca="1">SUMIFS($E$6:$E$11168,$F$6:$F$11168,[1]!_DonneesClients[[#This Row],[Code carte de fidélité]],$D$6:$D$11168,[1]!_DonneesClients[[#Headers],[Tomate]])</f>
        <v>42</v>
      </c>
      <c r="V6" s="10">
        <f ca="1">SUMIFS($E$6:$E$11168,$F$6:$F$11168,[1]!_DonneesClients[[#This Row],[Code carte de fidélité]],$D$6:$D$11168,[1]!_DonneesClients[[#Headers],[Dégivrant]])</f>
        <v>0</v>
      </c>
      <c r="W6" s="10">
        <f ca="1">SUMIFS($E$6:$E$11168,$F$6:$F$11168,[1]!_DonneesClients[[#This Row],[Code carte de fidélité]],$D$6:$D$11168,[1]!_DonneesClients[[#Headers],[Décoration voiture]])</f>
        <v>25</v>
      </c>
      <c r="X6" s="10">
        <f ca="1">SUMIFS($E$6:$E$11168,$F$6:$F$11168,[1]!_DonneesClients[[#This Row],[Code carte de fidélité]],$D$6:$D$11168,[1]!_DonneesClients[[#Headers],[T-shirt]])</f>
        <v>49</v>
      </c>
      <c r="Y6" s="10">
        <f ca="1">SUMIFS($E$6:$E$11168,$F$6:$F$11168,[1]!_DonneesClients[[#This Row],[Code carte de fidélité]],$D$6:$D$11168,[1]!_DonneesClients[[#Headers],[Jogging]])</f>
        <v>11</v>
      </c>
      <c r="Z6" s="10">
        <f ca="1">SUMIFS($E$6:$E$11168,$F$6:$F$11168,[1]!_DonneesClients[[#This Row],[Code carte de fidélité]],$D$6:$D$11168,[1]!_DonneesClients[[#Headers],[Chaussettes]])</f>
        <v>2</v>
      </c>
      <c r="AA6" s="10">
        <f ca="1">SUMIFS($E$6:$E$11168,$F$6:$F$11168,[1]!_DonneesClients[[#This Row],[Code carte de fidélité]],$D$6:$D$11168,[1]!_DonneesClients[[#Headers],[Parapluie]])</f>
        <v>15</v>
      </c>
      <c r="AB6" s="10">
        <f ca="1">SUMIFS($E$6:$E$11168,$F$6:$F$11168,[1]!_DonneesClients[[#This Row],[Code carte de fidélité]],$D$6:$D$11168,[1]!_DonneesClients[[#Headers],[Lunette de soleil]])</f>
        <v>0</v>
      </c>
      <c r="AC6" s="10">
        <f ca="1">SUMIFS($E$6:$E$11168,$F$6:$F$11168,[1]!_DonneesClients[[#This Row],[Code carte de fidélité]],$D$6:$D$11168,[1]!_DonneesClients[[#Headers],[Farce et Attrape]])</f>
        <v>10</v>
      </c>
    </row>
    <row r="7" spans="1:29" x14ac:dyDescent="0.2">
      <c r="A7" s="11">
        <v>6</v>
      </c>
      <c r="B7" s="11" t="s">
        <v>29</v>
      </c>
      <c r="C7" s="11" t="str">
        <f t="shared" ref="C7:C8" ca="1" si="26">VLOOKUP(B7,#REF!,2,FALSE)</f>
        <v>Madame</v>
      </c>
      <c r="D7" s="11" t="s">
        <v>45</v>
      </c>
      <c r="E7" s="11" t="s">
        <v>46</v>
      </c>
      <c r="F7" s="11" t="s">
        <v>47</v>
      </c>
      <c r="G7" s="11" t="str">
        <f t="shared" ca="1" si="1"/>
        <v>Labège</v>
      </c>
      <c r="H7" s="11">
        <f t="shared" ref="H7:H8" ca="1" si="27">VLOOKUP(G7,#REF!,2,FALSE)</f>
        <v>31670</v>
      </c>
      <c r="I7" s="11" t="str">
        <f t="shared" ca="1" si="3"/>
        <v>Delit-Pépin@gmail.com</v>
      </c>
      <c r="J7" s="12" t="str">
        <f t="shared" ca="1" si="4"/>
        <v>06.23.00.20.11</v>
      </c>
      <c r="K7" s="13">
        <f t="shared" ca="1" si="5"/>
        <v>3520.4127765148992</v>
      </c>
      <c r="L7" s="12">
        <f t="shared" ca="1" si="6"/>
        <v>107</v>
      </c>
      <c r="M7" s="14" t="str">
        <f ca="1">CONCATENATE(1970297337295,  ,[1]!_DonneesClients[[#This Row],[Numéro client]])</f>
        <v>19702973372956</v>
      </c>
      <c r="N7" s="15">
        <f ca="1">SUMPRODUCT((M7=#REF!)*(#REF!=$J$7)*(#REF!)*$M$7)+SUMPRODUCT((M7=#REF!)*(#REF!=$J$8)*(#REF!)*#REF!)+SUMPRODUCT((M7=#REF!)*(#REF!=$J$9)*(#REF!)*$M$9)+SUMPRODUCT((M7=#REF!)*(#REF!=$J$10)*(#REF!)*#REF!)+SUMPRODUCT((M7=#REF!)*(#REF!=$J$11)*(#REF!)*$M$11)+SUMPRODUCT((M7=#REF!)*(#REF!=$J$12)*(#REF!)*#REF!)+SUMPRODUCT((M7=#REF!)*(#REF!=$J$13)*(#REF!)*$M$13)+SUMPRODUCT((M7=#REF!)*(#REF!=$J$14)*(#REF!)*#REF!)+SUMPRODUCT((M7=#REF!)*(#REF!=$J$15)*(#REF!)*$M$15)+SUMPRODUCT((M7=#REF!)*(#REF!=$J$16)*(#REF!)*#REF!)+SUMPRODUCT((M7=#REF!)*(#REF!=$J$17)*(#REF!)*$M$17)</f>
        <v>2397.7272499999999</v>
      </c>
      <c r="O7" s="11" t="str">
        <f t="shared" ref="O7:O8" ca="1" si="28">HLOOKUP(N7,#REF!,2,TRUE)</f>
        <v>Gold</v>
      </c>
      <c r="P7" s="11" t="str">
        <f t="shared" ref="P7:P8" ca="1" si="29">VLOOKUP(L7,#REF!,2,TRUE)</f>
        <v>Centenaire</v>
      </c>
      <c r="Q7" s="16">
        <f t="shared" ca="1" si="9"/>
        <v>41</v>
      </c>
      <c r="R7" s="17" t="str">
        <f ca="1">IF(MAX([1]!_DonneesClients[[#This Row],[Fraise]:[Farce et Attrape]])=[1]!_DonneesClients[[#This Row],[Fraise]],[1]!_DonneesClients[[#Headers],[Fraise]],IF(MAX([1]!_DonneesClients[[#This Row],[Fraise]:[Farce et Attrape]])=[1]!_DonneesClients[[#This Row],[Carotte]],[1]!_DonneesClients[[#Headers],[Carotte]],IF(MAX([1]!_DonneesClients[[#This Row],[Fraise]:[Farce et Attrape]])=[1]!_DonneesClients[[#This Row],[Tomate]],[1]!_DonneesClients[[#Headers],[Tomate]],IF(MAX([1]!_DonneesClients[[#This Row],[Fraise]:[Farce et Attrape]])=[1]!_DonneesClients[[#This Row],[Dégivrant]],[1]!_DonneesClients[[#Headers],[Dégivrant]],IF(MAX([1]!_DonneesClients[[#This Row],[Fraise]:[Farce et Attrape]])=[1]!_DonneesClients[[#This Row],[Décoration voiture]],[1]!_DonneesClients[[#Headers],[Décoration voiture]],IF(MAX([1]!_DonneesClients[[#This Row],[Fraise]:[Farce et Attrape]])=[1]!_DonneesClients[[#This Row],[T-shirt]],[1]!_DonneesClients[[#Headers],[T-shirt]],IF(MAX([1]!_DonneesClients[[#This Row],[Fraise]:[Farce et Attrape]])=[1]!_DonneesClients[[#This Row],[Jogging]],[1]!_DonneesClients[[#Headers],[Jogging]],IF(MAX([1]!_DonneesClients[[#This Row],[Fraise]:[Farce et Attrape]])=[1]!_DonneesClients[[#This Row],[Chaussettes]],[1]!_DonneesClients[[#Headers],[Chaussettes]],IF(MAX([1]!_DonneesClients[[#This Row],[Fraise]:[Farce et Attrape]])=[1]!_DonneesClients[[#This Row],[Parapluie]],[1]!_DonneesClients[[#Headers],[Parapluie]],IF(MAX([1]!_DonneesClients[[#This Row],[Fraise]:[Farce et Attrape]])=[1]!_DonneesClients[[#This Row],[Lunette de soleil]],[1]!_DonneesClients[[#Headers],[Lunette de soleil]],[1]!_DonneesClients[[#Headers],[Farce et Attrape]]))))))))))</f>
        <v>Parapluie</v>
      </c>
      <c r="S7" s="16">
        <f ca="1">SUMIFS($E$6:$E$11168,$F$6:$F$11168,[1]!_DonneesClients[[#This Row],[Code carte de fidélité]],$D$6:$D$11168,[1]!_DonneesClients[[#Headers],[Fraise]])</f>
        <v>8</v>
      </c>
      <c r="T7" s="18">
        <f ca="1">SUMIFS($E$6:$E$11168,$F$6:$F$11168,[1]!_DonneesClients[[#This Row],[Code carte de fidélité]],$D$6:$D$11168,[1]!_DonneesClients[[#Headers],[Carotte]])</f>
        <v>0</v>
      </c>
      <c r="U7" s="18">
        <f ca="1">SUMIFS($E$6:$E$11168,$F$6:$F$11168,[1]!_DonneesClients[[#This Row],[Code carte de fidélité]],$D$6:$D$11168,[1]!_DonneesClients[[#Headers],[Tomate]])</f>
        <v>7</v>
      </c>
      <c r="V7" s="18">
        <f ca="1">SUMIFS($E$6:$E$11168,$F$6:$F$11168,[1]!_DonneesClients[[#This Row],[Code carte de fidélité]],$D$6:$D$11168,[1]!_DonneesClients[[#Headers],[Dégivrant]])</f>
        <v>0</v>
      </c>
      <c r="W7" s="18">
        <f ca="1">SUMIFS($E$6:$E$11168,$F$6:$F$11168,[1]!_DonneesClients[[#This Row],[Code carte de fidélité]],$D$6:$D$11168,[1]!_DonneesClients[[#Headers],[Décoration voiture]])</f>
        <v>33</v>
      </c>
      <c r="X7" s="18">
        <f ca="1">SUMIFS($E$6:$E$11168,$F$6:$F$11168,[1]!_DonneesClients[[#This Row],[Code carte de fidélité]],$D$6:$D$11168,[1]!_DonneesClients[[#Headers],[T-shirt]])</f>
        <v>32</v>
      </c>
      <c r="Y7" s="18">
        <f ca="1">SUMIFS($E$6:$E$11168,$F$6:$F$11168,[1]!_DonneesClients[[#This Row],[Code carte de fidélité]],$D$6:$D$11168,[1]!_DonneesClients[[#Headers],[Jogging]])</f>
        <v>6</v>
      </c>
      <c r="Z7" s="18">
        <f ca="1">SUMIFS($E$6:$E$11168,$F$6:$F$11168,[1]!_DonneesClients[[#This Row],[Code carte de fidélité]],$D$6:$D$11168,[1]!_DonneesClients[[#Headers],[Chaussettes]])</f>
        <v>17</v>
      </c>
      <c r="AA7" s="18">
        <f ca="1">SUMIFS($E$6:$E$11168,$F$6:$F$11168,[1]!_DonneesClients[[#This Row],[Code carte de fidélité]],$D$6:$D$11168,[1]!_DonneesClients[[#Headers],[Parapluie]])</f>
        <v>44</v>
      </c>
      <c r="AB7" s="18">
        <f ca="1">SUMIFS($E$6:$E$11168,$F$6:$F$11168,[1]!_DonneesClients[[#This Row],[Code carte de fidélité]],$D$6:$D$11168,[1]!_DonneesClients[[#Headers],[Lunette de soleil]])</f>
        <v>20</v>
      </c>
      <c r="AC7" s="18">
        <f ca="1">SUMIFS($E$6:$E$11168,$F$6:$F$11168,[1]!_DonneesClients[[#This Row],[Code carte de fidélité]],$D$6:$D$11168,[1]!_DonneesClients[[#Headers],[Farce et Attrape]])</f>
        <v>6</v>
      </c>
    </row>
    <row r="8" spans="1:29" x14ac:dyDescent="0.2">
      <c r="A8" s="3">
        <v>7</v>
      </c>
      <c r="B8" s="3" t="s">
        <v>29</v>
      </c>
      <c r="C8" s="3" t="str">
        <f t="shared" ref="C8" ca="1" si="30">VLOOKUP(B8,#REF!,2,FALSE)</f>
        <v>Madame</v>
      </c>
      <c r="D8" s="3" t="s">
        <v>48</v>
      </c>
      <c r="E8" s="3" t="s">
        <v>49</v>
      </c>
      <c r="F8" s="3" t="s">
        <v>50</v>
      </c>
      <c r="G8" s="3" t="str">
        <f t="shared" ca="1" si="1"/>
        <v>Pibrac</v>
      </c>
      <c r="H8" s="3">
        <f t="shared" ref="H8" ca="1" si="31">VLOOKUP(G8,#REF!,2,FALSE)</f>
        <v>31820</v>
      </c>
      <c r="I8" s="3" t="str">
        <f t="shared" ca="1" si="3"/>
        <v>VictoireLampron@yahoo.fr</v>
      </c>
      <c r="J8" s="4" t="str">
        <f t="shared" ca="1" si="4"/>
        <v>03.58.97.85.06</v>
      </c>
      <c r="K8" s="5">
        <f t="shared" ca="1" si="5"/>
        <v>5189.4457318763134</v>
      </c>
      <c r="L8" s="4">
        <f t="shared" ca="1" si="6"/>
        <v>102</v>
      </c>
      <c r="M8" s="6" t="str">
        <f ca="1">CONCATENATE(1970297337295,  ,[1]!_DonneesClients[[#This Row],[Numéro client]])</f>
        <v>19702973372957</v>
      </c>
      <c r="N8" s="7">
        <f ca="1">SUMPRODUCT((M8=#REF!)*(#REF!=$J$7)*(#REF!)*$M$7)+SUMPRODUCT((M8=#REF!)*(#REF!=$J$8)*(#REF!)*#REF!)+SUMPRODUCT((M8=#REF!)*(#REF!=$J$9)*(#REF!)*$M$9)+SUMPRODUCT((M8=#REF!)*(#REF!=$J$10)*(#REF!)*#REF!)+SUMPRODUCT((M8=#REF!)*(#REF!=$J$11)*(#REF!)*$M$11)+SUMPRODUCT((M8=#REF!)*(#REF!=$J$12)*(#REF!)*#REF!)+SUMPRODUCT((M8=#REF!)*(#REF!=$J$13)*(#REF!)*$M$13)+SUMPRODUCT((M8=#REF!)*(#REF!=$J$14)*(#REF!)*#REF!)+SUMPRODUCT((M8=#REF!)*(#REF!=$J$15)*(#REF!)*$M$15)+SUMPRODUCT((M8=#REF!)*(#REF!=$J$16)*(#REF!)*#REF!)+SUMPRODUCT((M8=#REF!)*(#REF!=$J$17)*(#REF!)*$M$17)</f>
        <v>1690.6392999999998</v>
      </c>
      <c r="O8" s="3" t="str">
        <f t="shared" ref="O8" ca="1" si="32">HLOOKUP(N8,#REF!,2,TRUE)</f>
        <v>Gold</v>
      </c>
      <c r="P8" s="3" t="str">
        <f t="shared" ref="P8" ca="1" si="33">VLOOKUP(L8,#REF!,2,TRUE)</f>
        <v>Centenaire</v>
      </c>
      <c r="Q8" s="8">
        <f t="shared" ca="1" si="9"/>
        <v>234</v>
      </c>
      <c r="R8" s="9" t="str">
        <f ca="1">IF(MAX([1]!_DonneesClients[[#This Row],[Fraise]:[Farce et Attrape]])=[1]!_DonneesClients[[#This Row],[Fraise]],[1]!_DonneesClients[[#Headers],[Fraise]],IF(MAX([1]!_DonneesClients[[#This Row],[Fraise]:[Farce et Attrape]])=[1]!_DonneesClients[[#This Row],[Carotte]],[1]!_DonneesClients[[#Headers],[Carotte]],IF(MAX([1]!_DonneesClients[[#This Row],[Fraise]:[Farce et Attrape]])=[1]!_DonneesClients[[#This Row],[Tomate]],[1]!_DonneesClients[[#Headers],[Tomate]],IF(MAX([1]!_DonneesClients[[#This Row],[Fraise]:[Farce et Attrape]])=[1]!_DonneesClients[[#This Row],[Dégivrant]],[1]!_DonneesClients[[#Headers],[Dégivrant]],IF(MAX([1]!_DonneesClients[[#This Row],[Fraise]:[Farce et Attrape]])=[1]!_DonneesClients[[#This Row],[Décoration voiture]],[1]!_DonneesClients[[#Headers],[Décoration voiture]],IF(MAX([1]!_DonneesClients[[#This Row],[Fraise]:[Farce et Attrape]])=[1]!_DonneesClients[[#This Row],[T-shirt]],[1]!_DonneesClients[[#Headers],[T-shirt]],IF(MAX([1]!_DonneesClients[[#This Row],[Fraise]:[Farce et Attrape]])=[1]!_DonneesClients[[#This Row],[Jogging]],[1]!_DonneesClients[[#Headers],[Jogging]],IF(MAX([1]!_DonneesClients[[#This Row],[Fraise]:[Farce et Attrape]])=[1]!_DonneesClients[[#This Row],[Chaussettes]],[1]!_DonneesClients[[#Headers],[Chaussettes]],IF(MAX([1]!_DonneesClients[[#This Row],[Fraise]:[Farce et Attrape]])=[1]!_DonneesClients[[#This Row],[Parapluie]],[1]!_DonneesClients[[#Headers],[Parapluie]],IF(MAX([1]!_DonneesClients[[#This Row],[Fraise]:[Farce et Attrape]])=[1]!_DonneesClients[[#This Row],[Lunette de soleil]],[1]!_DonneesClients[[#Headers],[Lunette de soleil]],[1]!_DonneesClients[[#Headers],[Farce et Attrape]]))))))))))</f>
        <v>Jogging</v>
      </c>
      <c r="S8" s="8">
        <f ca="1">SUMIFS($E$6:$E$11168,$F$6:$F$11168,[1]!_DonneesClients[[#This Row],[Code carte de fidélité]],$D$6:$D$11168,[1]!_DonneesClients[[#Headers],[Fraise]])</f>
        <v>4</v>
      </c>
      <c r="T8" s="10">
        <f ca="1">SUMIFS($E$6:$E$11168,$F$6:$F$11168,[1]!_DonneesClients[[#This Row],[Code carte de fidélité]],$D$6:$D$11168,[1]!_DonneesClients[[#Headers],[Carotte]])</f>
        <v>12</v>
      </c>
      <c r="U8" s="10">
        <f ca="1">SUMIFS($E$6:$E$11168,$F$6:$F$11168,[1]!_DonneesClients[[#This Row],[Code carte de fidélité]],$D$6:$D$11168,[1]!_DonneesClients[[#Headers],[Tomate]])</f>
        <v>14</v>
      </c>
      <c r="V8" s="10">
        <f ca="1">SUMIFS($E$6:$E$11168,$F$6:$F$11168,[1]!_DonneesClients[[#This Row],[Code carte de fidélité]],$D$6:$D$11168,[1]!_DonneesClients[[#Headers],[Dégivrant]])</f>
        <v>18</v>
      </c>
      <c r="W8" s="10">
        <f ca="1">SUMIFS($E$6:$E$11168,$F$6:$F$11168,[1]!_DonneesClients[[#This Row],[Code carte de fidélité]],$D$6:$D$11168,[1]!_DonneesClients[[#Headers],[Décoration voiture]])</f>
        <v>3</v>
      </c>
      <c r="X8" s="10">
        <f ca="1">SUMIFS($E$6:$E$11168,$F$6:$F$11168,[1]!_DonneesClients[[#This Row],[Code carte de fidélité]],$D$6:$D$11168,[1]!_DonneesClients[[#Headers],[T-shirt]])</f>
        <v>8</v>
      </c>
      <c r="Y8" s="10">
        <f ca="1">SUMIFS($E$6:$E$11168,$F$6:$F$11168,[1]!_DonneesClients[[#This Row],[Code carte de fidélité]],$D$6:$D$11168,[1]!_DonneesClients[[#Headers],[Jogging]])</f>
        <v>31</v>
      </c>
      <c r="Z8" s="10">
        <f ca="1">SUMIFS($E$6:$E$11168,$F$6:$F$11168,[1]!_DonneesClients[[#This Row],[Code carte de fidélité]],$D$6:$D$11168,[1]!_DonneesClients[[#Headers],[Chaussettes]])</f>
        <v>21</v>
      </c>
      <c r="AA8" s="10">
        <f ca="1">SUMIFS($E$6:$E$11168,$F$6:$F$11168,[1]!_DonneesClients[[#This Row],[Code carte de fidélité]],$D$6:$D$11168,[1]!_DonneesClients[[#Headers],[Parapluie]])</f>
        <v>0</v>
      </c>
      <c r="AB8" s="10">
        <f ca="1">SUMIFS($E$6:$E$11168,$F$6:$F$11168,[1]!_DonneesClients[[#This Row],[Code carte de fidélité]],$D$6:$D$11168,[1]!_DonneesClients[[#Headers],[Lunette de soleil]])</f>
        <v>17</v>
      </c>
      <c r="AC8" s="10">
        <f ca="1">SUMIFS($E$6:$E$11168,$F$6:$F$11168,[1]!_DonneesClients[[#This Row],[Code carte de fidélité]],$D$6:$D$11168,[1]!_DonneesClients[[#Headers],[Farce et Attrape]])</f>
        <v>27</v>
      </c>
    </row>
  </sheetData>
  <conditionalFormatting sqref="C2:C8 A2:A8 G2:O8">
    <cfRule type="colorScale" priority="5">
      <colorScale>
        <cfvo type="formula" val="&quot;AV2=&quot;&quot;Silver&quot;&quot;&quot;"/>
        <cfvo type="formula" val="&quot;AV2=&quot;&quot;Gold&quot;&quot;&quot;"/>
        <cfvo type="formula" val="&quot;AV2=&quot;&quot;Platinium&quot;&quot;&quot;"/>
        <color theme="2" tint="-9.9978637043366805E-2"/>
        <color theme="7" tint="0.59999389629810485"/>
        <color theme="5" tint="0.59999389629810485"/>
      </colorScale>
    </cfRule>
  </conditionalFormatting>
  <conditionalFormatting sqref="P2:P8">
    <cfRule type="colorScale" priority="4">
      <colorScale>
        <cfvo type="formula" val="&quot;AV2=&quot;&quot;Silver&quot;&quot;&quot;"/>
        <cfvo type="formula" val="&quot;AV2=&quot;&quot;Gold&quot;&quot;&quot;"/>
        <cfvo type="formula" val="&quot;AV2=&quot;&quot;Platinium&quot;&quot;&quot;"/>
        <color theme="2" tint="-9.9978637043366805E-2"/>
        <color theme="7" tint="0.59999389629810485"/>
        <color theme="5" tint="0.59999389629810485"/>
      </colorScale>
    </cfRule>
  </conditionalFormatting>
  <conditionalFormatting sqref="Q2:R8">
    <cfRule type="colorScale" priority="3">
      <colorScale>
        <cfvo type="min"/>
        <cfvo type="percentile" val="50"/>
        <cfvo type="max"/>
        <color rgb="FF00B050"/>
        <color rgb="FFFFEB84"/>
        <color rgb="FFFF0000"/>
      </colorScale>
    </cfRule>
  </conditionalFormatting>
  <conditionalFormatting sqref="D2:F8">
    <cfRule type="colorScale" priority="2">
      <colorScale>
        <cfvo type="formula" val="&quot;AV2=&quot;&quot;Silver&quot;&quot;&quot;"/>
        <cfvo type="formula" val="&quot;AV2=&quot;&quot;Gold&quot;&quot;&quot;"/>
        <cfvo type="formula" val="&quot;AV2=&quot;&quot;Platinium&quot;&quot;&quot;"/>
        <color theme="2" tint="-9.9978637043366805E-2"/>
        <color theme="7" tint="0.59999389629810485"/>
        <color theme="5" tint="0.59999389629810485"/>
      </colorScale>
    </cfRule>
  </conditionalFormatting>
  <conditionalFormatting sqref="B2:B8">
    <cfRule type="colorScale" priority="1">
      <colorScale>
        <cfvo type="formula" val="&quot;AV2=&quot;&quot;Silver&quot;&quot;&quot;"/>
        <cfvo type="formula" val="&quot;AV2=&quot;&quot;Gold&quot;&quot;&quot;"/>
        <cfvo type="formula" val="&quot;AV2=&quot;&quot;Platinium&quot;&quot;&quot;"/>
        <color theme="2" tint="-9.9978637043366805E-2"/>
        <color theme="7" tint="0.59999389629810485"/>
        <color theme="5" tint="0.59999389629810485"/>
      </colorScale>
    </cfRule>
  </conditionalFormatting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G44"/>
  <sheetViews>
    <sheetView view="pageLayout" topLeftCell="A13" workbookViewId="0">
      <selection activeCell="G33" sqref="G33"/>
    </sheetView>
  </sheetViews>
  <sheetFormatPr baseColWidth="10" defaultRowHeight="16" x14ac:dyDescent="0.2"/>
  <sheetData>
    <row r="1" spans="1:7" x14ac:dyDescent="0.2">
      <c r="A1" s="19"/>
      <c r="B1" s="20"/>
      <c r="C1" s="20"/>
      <c r="D1" s="20"/>
      <c r="E1" s="20"/>
      <c r="F1" s="20"/>
      <c r="G1" s="21"/>
    </row>
    <row r="2" spans="1:7" x14ac:dyDescent="0.2">
      <c r="A2" s="22"/>
      <c r="B2" s="23"/>
      <c r="C2" s="23"/>
      <c r="D2" s="23"/>
      <c r="E2" s="23"/>
      <c r="F2" s="23"/>
      <c r="G2" s="24"/>
    </row>
    <row r="3" spans="1:7" x14ac:dyDescent="0.2">
      <c r="A3" s="22"/>
      <c r="B3" s="23"/>
      <c r="C3" s="23"/>
      <c r="D3" s="23"/>
      <c r="E3" s="23"/>
      <c r="F3" s="23"/>
      <c r="G3" s="24"/>
    </row>
    <row r="4" spans="1:7" x14ac:dyDescent="0.2">
      <c r="A4" s="22"/>
      <c r="B4" s="23"/>
      <c r="C4" s="23"/>
      <c r="D4" s="23"/>
      <c r="E4" s="23"/>
      <c r="F4" s="23"/>
      <c r="G4" s="24"/>
    </row>
    <row r="5" spans="1:7" x14ac:dyDescent="0.2">
      <c r="A5" s="22"/>
      <c r="B5" s="23"/>
      <c r="C5" s="23"/>
      <c r="D5" s="23"/>
      <c r="E5" s="23"/>
      <c r="F5" s="23"/>
      <c r="G5" s="24"/>
    </row>
    <row r="6" spans="1:7" x14ac:dyDescent="0.2">
      <c r="A6" s="25"/>
      <c r="B6" s="26"/>
      <c r="C6" s="26"/>
      <c r="D6" s="26"/>
      <c r="E6" s="26"/>
      <c r="F6" s="26"/>
      <c r="G6" s="27"/>
    </row>
    <row r="7" spans="1:7" ht="17" thickBot="1" x14ac:dyDescent="0.25">
      <c r="A7" s="28"/>
      <c r="B7" s="29"/>
      <c r="C7" s="29"/>
      <c r="D7" s="29"/>
      <c r="E7" s="30"/>
      <c r="F7" s="31"/>
      <c r="G7" s="32"/>
    </row>
    <row r="8" spans="1:7" x14ac:dyDescent="0.2">
      <c r="A8" s="33" t="s">
        <v>51</v>
      </c>
      <c r="B8" s="20"/>
      <c r="C8" s="20"/>
      <c r="D8" s="20"/>
      <c r="E8" s="20"/>
      <c r="F8" s="20"/>
      <c r="G8" s="21"/>
    </row>
    <row r="9" spans="1:7" x14ac:dyDescent="0.2">
      <c r="A9" s="22"/>
      <c r="B9" s="23"/>
      <c r="C9" s="23"/>
      <c r="D9" s="23"/>
      <c r="E9" s="23"/>
      <c r="F9" s="23"/>
      <c r="G9" s="24"/>
    </row>
    <row r="10" spans="1:7" x14ac:dyDescent="0.2">
      <c r="A10" s="22"/>
      <c r="B10" s="23"/>
      <c r="C10" s="23"/>
      <c r="D10" s="23"/>
      <c r="E10" s="23"/>
      <c r="F10" s="23"/>
      <c r="G10" s="24"/>
    </row>
    <row r="11" spans="1:7" x14ac:dyDescent="0.2">
      <c r="A11" s="22"/>
      <c r="B11" s="23"/>
      <c r="C11" s="23"/>
      <c r="D11" s="23"/>
      <c r="E11" s="23"/>
      <c r="F11" s="23"/>
      <c r="G11" s="24"/>
    </row>
    <row r="12" spans="1:7" x14ac:dyDescent="0.2">
      <c r="A12" s="22"/>
      <c r="B12" s="23"/>
      <c r="C12" s="23"/>
      <c r="D12" s="23"/>
      <c r="E12" s="23"/>
      <c r="F12" s="23"/>
      <c r="G12" s="24"/>
    </row>
    <row r="13" spans="1:7" x14ac:dyDescent="0.2">
      <c r="A13" s="25"/>
      <c r="B13" s="26"/>
      <c r="C13" s="26"/>
      <c r="D13" s="26"/>
      <c r="E13" s="26"/>
      <c r="F13" s="26"/>
      <c r="G13" s="27"/>
    </row>
    <row r="14" spans="1:7" x14ac:dyDescent="0.2">
      <c r="A14" s="25"/>
      <c r="B14" s="26" t="s">
        <v>52</v>
      </c>
      <c r="C14" s="26"/>
      <c r="D14" s="26"/>
      <c r="E14" s="34"/>
      <c r="F14" s="35"/>
      <c r="G14" s="27"/>
    </row>
    <row r="15" spans="1:7" x14ac:dyDescent="0.2">
      <c r="A15" s="25"/>
      <c r="B15" s="26"/>
      <c r="C15" s="26"/>
      <c r="D15" s="26"/>
      <c r="E15" s="35"/>
      <c r="F15" s="35"/>
      <c r="G15" s="27"/>
    </row>
    <row r="16" spans="1:7" x14ac:dyDescent="0.2">
      <c r="A16" s="25"/>
      <c r="B16" s="26"/>
      <c r="C16" s="26"/>
      <c r="D16" s="26"/>
      <c r="E16" s="35"/>
      <c r="F16" s="35"/>
      <c r="G16" s="27"/>
    </row>
    <row r="17" spans="1:7" x14ac:dyDescent="0.2">
      <c r="A17" s="25"/>
      <c r="B17" s="26"/>
      <c r="C17" s="26"/>
      <c r="D17" s="26"/>
      <c r="E17" s="36"/>
      <c r="F17" s="36"/>
      <c r="G17" s="27"/>
    </row>
    <row r="18" spans="1:7" ht="17" thickBot="1" x14ac:dyDescent="0.25">
      <c r="A18" s="28"/>
      <c r="B18" s="29"/>
      <c r="C18" s="29"/>
      <c r="D18" s="29"/>
      <c r="E18" s="29"/>
      <c r="F18" s="29"/>
      <c r="G18" s="32"/>
    </row>
    <row r="19" spans="1:7" x14ac:dyDescent="0.2">
      <c r="A19" s="25"/>
      <c r="B19" s="26"/>
      <c r="C19" s="26"/>
      <c r="D19" s="26"/>
      <c r="E19" s="37"/>
      <c r="F19" s="37"/>
      <c r="G19" s="27"/>
    </row>
    <row r="20" spans="1:7" x14ac:dyDescent="0.2">
      <c r="A20" s="25"/>
      <c r="B20" s="26"/>
      <c r="C20" s="26"/>
      <c r="D20" s="26"/>
      <c r="E20" s="26"/>
      <c r="F20" s="26"/>
      <c r="G20" s="27"/>
    </row>
    <row r="21" spans="1:7" x14ac:dyDescent="0.2">
      <c r="A21" s="25"/>
      <c r="B21" s="26"/>
      <c r="C21" s="26"/>
      <c r="D21" s="26"/>
      <c r="E21" s="26"/>
      <c r="F21" s="26"/>
      <c r="G21" s="27"/>
    </row>
    <row r="22" spans="1:7" x14ac:dyDescent="0.2">
      <c r="A22" s="25"/>
      <c r="B22" s="26"/>
      <c r="C22" s="26"/>
      <c r="D22" s="26"/>
      <c r="E22" s="26"/>
      <c r="F22" s="26"/>
      <c r="G22" s="27"/>
    </row>
    <row r="23" spans="1:7" x14ac:dyDescent="0.2">
      <c r="A23" s="38"/>
      <c r="B23" s="26" t="s">
        <v>0</v>
      </c>
      <c r="C23" s="26"/>
      <c r="D23" s="26"/>
      <c r="E23" s="39">
        <f ca="1">MAX([1]!_DonneesClients[Numéro client])+1</f>
        <v>680</v>
      </c>
      <c r="F23" s="40"/>
      <c r="G23" s="41"/>
    </row>
    <row r="24" spans="1:7" x14ac:dyDescent="0.2">
      <c r="A24" s="38"/>
      <c r="B24" s="26" t="s">
        <v>1</v>
      </c>
      <c r="C24" s="26"/>
      <c r="D24" s="26"/>
      <c r="E24" s="39" t="s">
        <v>29</v>
      </c>
      <c r="F24" s="40"/>
      <c r="G24" s="41"/>
    </row>
    <row r="25" spans="1:7" x14ac:dyDescent="0.2">
      <c r="A25" s="38"/>
      <c r="B25" s="26" t="s">
        <v>2</v>
      </c>
      <c r="C25" s="26"/>
      <c r="D25" s="26"/>
      <c r="E25" s="39" t="str">
        <f ca="1">IF(E24="Homme","Mr","Mme")</f>
        <v>Mme</v>
      </c>
      <c r="F25" s="40"/>
      <c r="G25" s="41"/>
    </row>
    <row r="26" spans="1:7" x14ac:dyDescent="0.2">
      <c r="A26" s="38"/>
      <c r="B26" s="26" t="s">
        <v>3</v>
      </c>
      <c r="C26" s="26"/>
      <c r="D26" s="26"/>
      <c r="E26" s="42" t="s">
        <v>53</v>
      </c>
      <c r="F26" s="40"/>
      <c r="G26" s="41"/>
    </row>
    <row r="27" spans="1:7" ht="19" x14ac:dyDescent="0.2">
      <c r="A27" s="43"/>
      <c r="B27" s="26" t="s">
        <v>4</v>
      </c>
      <c r="C27" s="26"/>
      <c r="D27" s="26"/>
      <c r="E27" s="39" t="s">
        <v>59</v>
      </c>
      <c r="F27" s="44"/>
      <c r="G27" s="45"/>
    </row>
    <row r="28" spans="1:7" ht="32" x14ac:dyDescent="0.2">
      <c r="A28" s="43"/>
      <c r="B28" s="26" t="s">
        <v>5</v>
      </c>
      <c r="C28" s="26"/>
      <c r="D28" s="26"/>
      <c r="E28" s="39" t="s">
        <v>54</v>
      </c>
      <c r="F28" s="44"/>
      <c r="G28" s="45"/>
    </row>
    <row r="29" spans="1:7" ht="19" x14ac:dyDescent="0.2">
      <c r="A29" s="43"/>
      <c r="B29" s="26" t="s">
        <v>6</v>
      </c>
      <c r="C29" s="26"/>
      <c r="D29" s="26"/>
      <c r="E29" s="39" t="s">
        <v>55</v>
      </c>
      <c r="F29" s="44"/>
      <c r="G29" s="45"/>
    </row>
    <row r="30" spans="1:7" ht="19" x14ac:dyDescent="0.2">
      <c r="A30" s="43"/>
      <c r="B30" s="26" t="s">
        <v>56</v>
      </c>
      <c r="C30" s="26"/>
      <c r="D30" s="26"/>
      <c r="E30" s="46">
        <v>31000</v>
      </c>
      <c r="F30" s="44"/>
      <c r="G30" s="45"/>
    </row>
    <row r="31" spans="1:7" ht="48" x14ac:dyDescent="0.2">
      <c r="A31" s="25"/>
      <c r="B31" s="26" t="s">
        <v>57</v>
      </c>
      <c r="C31" s="26"/>
      <c r="D31" s="26"/>
      <c r="E31" s="50" t="s">
        <v>60</v>
      </c>
      <c r="F31" s="26"/>
      <c r="G31" s="27"/>
    </row>
    <row r="32" spans="1:7" ht="32" x14ac:dyDescent="0.2">
      <c r="A32" s="25"/>
      <c r="B32" s="26" t="s">
        <v>9</v>
      </c>
      <c r="C32" s="26"/>
      <c r="D32" s="26"/>
      <c r="E32" s="47" t="s">
        <v>58</v>
      </c>
      <c r="F32" s="26"/>
      <c r="G32" s="27"/>
    </row>
    <row r="33" spans="1:7" x14ac:dyDescent="0.2">
      <c r="A33" s="25"/>
      <c r="B33" s="26" t="s">
        <v>10</v>
      </c>
      <c r="C33" s="26"/>
      <c r="D33" s="26"/>
      <c r="E33" s="39">
        <v>35927</v>
      </c>
      <c r="F33" s="26"/>
      <c r="G33" s="27"/>
    </row>
    <row r="34" spans="1:7" x14ac:dyDescent="0.2">
      <c r="A34" s="25"/>
      <c r="B34" s="26"/>
      <c r="C34" s="26"/>
      <c r="D34" s="26"/>
      <c r="E34" s="48"/>
      <c r="F34" s="26"/>
      <c r="G34" s="27"/>
    </row>
    <row r="35" spans="1:7" ht="32" x14ac:dyDescent="0.2">
      <c r="A35" s="25"/>
      <c r="B35" s="26" t="s">
        <v>12</v>
      </c>
      <c r="C35" s="26"/>
      <c r="D35" s="26"/>
      <c r="E35" s="39" t="str">
        <f ca="1">CONCATENATE(1970297337295,E23)</f>
        <v>1970297337295680</v>
      </c>
      <c r="F35" s="26"/>
      <c r="G35" s="27"/>
    </row>
    <row r="36" spans="1:7" x14ac:dyDescent="0.2">
      <c r="A36" s="25"/>
      <c r="B36" s="26"/>
      <c r="C36" s="26"/>
      <c r="D36" s="26"/>
      <c r="E36" s="35"/>
      <c r="F36" s="26"/>
      <c r="G36" s="27"/>
    </row>
    <row r="37" spans="1:7" x14ac:dyDescent="0.2">
      <c r="A37" s="25"/>
      <c r="B37" s="26"/>
      <c r="C37" s="26"/>
      <c r="D37" s="26"/>
      <c r="E37" s="35"/>
      <c r="F37" s="26"/>
      <c r="G37" s="27"/>
    </row>
    <row r="38" spans="1:7" x14ac:dyDescent="0.2">
      <c r="A38" s="25"/>
      <c r="B38" s="26"/>
      <c r="C38" s="26"/>
      <c r="D38" s="26"/>
      <c r="E38" s="35"/>
      <c r="F38" s="26"/>
      <c r="G38" s="27"/>
    </row>
    <row r="39" spans="1:7" x14ac:dyDescent="0.2">
      <c r="A39" s="25"/>
      <c r="B39" s="26"/>
      <c r="C39" s="26"/>
      <c r="D39" s="26"/>
      <c r="E39" s="35"/>
      <c r="F39" s="26"/>
      <c r="G39" s="27"/>
    </row>
    <row r="40" spans="1:7" x14ac:dyDescent="0.2">
      <c r="A40" s="25"/>
      <c r="B40" s="26"/>
      <c r="C40" s="26"/>
      <c r="D40" s="26"/>
      <c r="E40" s="49"/>
      <c r="F40" s="26"/>
      <c r="G40" s="27"/>
    </row>
    <row r="41" spans="1:7" x14ac:dyDescent="0.2">
      <c r="A41" s="25"/>
      <c r="B41" s="26"/>
      <c r="C41" s="26"/>
      <c r="D41" s="26"/>
      <c r="E41" s="35"/>
      <c r="F41" s="26"/>
      <c r="G41" s="27"/>
    </row>
    <row r="42" spans="1:7" x14ac:dyDescent="0.2">
      <c r="A42" s="25"/>
      <c r="B42" s="26"/>
      <c r="C42" s="26"/>
      <c r="D42" s="26"/>
      <c r="E42" s="36"/>
      <c r="F42" s="26"/>
      <c r="G42" s="27"/>
    </row>
    <row r="43" spans="1:7" x14ac:dyDescent="0.2">
      <c r="A43" s="25"/>
      <c r="B43" s="26"/>
      <c r="C43" s="26"/>
      <c r="D43" s="26"/>
      <c r="E43" s="26"/>
      <c r="F43" s="26"/>
      <c r="G43" s="27"/>
    </row>
    <row r="44" spans="1:7" ht="17" thickBot="1" x14ac:dyDescent="0.25">
      <c r="A44" s="28"/>
      <c r="B44" s="29"/>
      <c r="C44" s="29"/>
      <c r="D44" s="29"/>
      <c r="E44" s="29"/>
      <c r="F44" s="29"/>
      <c r="G44" s="32"/>
    </row>
  </sheetData>
  <mergeCells count="3">
    <mergeCell ref="A1:G5"/>
    <mergeCell ref="E7:F7"/>
    <mergeCell ref="A8:G12"/>
  </mergeCells>
  <phoneticPr fontId="2" type="noConversion"/>
  <dataValidations count="1">
    <dataValidation type="list" showInputMessage="1" showErrorMessage="1" sqref="E24">
      <formula1>"Homme,Femme"</formula1>
    </dataValidation>
  </dataValidations>
  <hyperlinks>
    <hyperlink ref="E26" r:id="rId1" display="JEAN@gmail.com"/>
    <hyperlink ref="E31" r:id="rId2"/>
  </hyperlinks>
  <pageMargins left="0.7" right="0.7" top="0.75" bottom="0.75" header="0.3" footer="0.3"/>
  <pageSetup paperSize="9" orientation="portrait" horizontalDpi="0" verticalDpi="0"/>
  <drawing r:id="rId3"/>
  <extLst>
    <ext xmlns:mx="http://schemas.microsoft.com/office/mac/excel/2008/main" uri="{64002731-A6B0-56B0-2670-7721B7C09600}">
      <mx:PLV Mode="1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SARL DRH</dc:creator>
  <cp:lastModifiedBy>SARL DRH</cp:lastModifiedBy>
  <dcterms:created xsi:type="dcterms:W3CDTF">2016-03-27T10:14:46Z</dcterms:created>
  <dcterms:modified xsi:type="dcterms:W3CDTF">2016-03-27T10:19:19Z</dcterms:modified>
</cp:coreProperties>
</file>