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" yWindow="0" windowWidth="18960" windowHeight="9876" tabRatio="914" activeTab="8"/>
  </bookViews>
  <sheets>
    <sheet name="Package Estimation" sheetId="5" r:id="rId1"/>
    <sheet name="Couts Estimation" sheetId="4" r:id="rId2"/>
    <sheet name="Calc JZ02" sheetId="6" r:id="rId3"/>
    <sheet name="Feuille de Débit JZ02" sheetId="11" r:id="rId4"/>
    <sheet name="Totaux M L &amp; Prix JZ02" sheetId="12" r:id="rId5"/>
    <sheet name="Calc JZ04 &amp; JZ06" sheetId="9" r:id="rId6"/>
    <sheet name="Feuille de Débit JZ04 &amp; JZ06" sheetId="13" r:id="rId7"/>
    <sheet name="Totaux M L &amp; Prix JZ04 &amp; JZ06" sheetId="17" r:id="rId8"/>
    <sheet name="Calc JZ05 &amp; JZ07" sheetId="16" r:id="rId9"/>
    <sheet name="Feuille de Débit JZ05 &amp; JZ07" sheetId="15" r:id="rId10"/>
    <sheet name="Totaux M L &amp; Prix JZ05 &amp; JZ07" sheetId="18" r:id="rId11"/>
    <sheet name="Poids &amp; Prix Materiaux" sheetId="10" r:id="rId12"/>
  </sheets>
  <definedNames>
    <definedName name="Debit_Affichage_Haut_Chassis_JZ04">'Feuille de Débit JZ04 &amp; JZ06'!$J$4:$J$5</definedName>
    <definedName name="Debit_Affichage_Haut_Chassis_JZ05">'Feuille de Débit JZ05 &amp; JZ07'!$J$4:$J$5</definedName>
    <definedName name="Debit_Affichage_Haut_GrandsCotes_Panneaux_JZ04">'Feuille de Débit JZ04 &amp; JZ06'!$U$4</definedName>
    <definedName name="Debit_Affichage_Haut_GrandsCotes_Panneaux_JZ05">'Feuille de Débit JZ05 &amp; JZ07'!$V$3</definedName>
    <definedName name="Debit_Affichage_Haut_PetitsCotes_Panneaux_JZ04">'Feuille de Débit JZ04 &amp; JZ06'!$U$5</definedName>
    <definedName name="Debit_Affichage_Haut_PetitsCotes_Panneaux_JZ05">'Feuille de Débit JZ05 &amp; JZ07'!$V$4</definedName>
    <definedName name="Debit_Affichage_Haut_Total_SousVide_JZ05">'Feuille de Débit JZ05 &amp; JZ07'!$AN$6</definedName>
    <definedName name="Debit_Affichage_Haut_Total_SousVide_JZ06">'Feuille de Débit JZ04 &amp; JZ06'!$AA$26</definedName>
    <definedName name="Debit_Affichage_Larg_Chassis_JZ02">'Feuille de Débit JZ02'!$G$4:$G$5</definedName>
    <definedName name="Debit_Affichage_Larg_Chassis_JZ04">'Feuille de Débit JZ04 &amp; JZ06'!$G$4:$G$5</definedName>
    <definedName name="Debit_Affichage_Larg_Chassis_JZ05">'Feuille de Débit JZ05 &amp; JZ07'!$G$4:$G$5</definedName>
    <definedName name="Debit_Affichage_Larg_PetitsCotes_Panneaux_JZ04">'Feuille de Débit JZ04 &amp; JZ06'!$S$5</definedName>
    <definedName name="Debit_Affichage_Larg_PetitsCotes_Panneaux_JZ05">'Feuille de Débit JZ05 &amp; JZ07'!$T$4</definedName>
    <definedName name="Debit_Affichage_Larg_Toit_Panneaux_JZ04">'Feuille de Débit JZ04 &amp; JZ06'!$U$6</definedName>
    <definedName name="Debit_Affichage_Larg_Toit_Panneaux_JZ05">'Feuille de Débit JZ05 &amp; JZ07'!$V$5</definedName>
    <definedName name="Debit_Affichage_Larg_Total_SousVide_JZ05">'Feuille de Débit JZ05 &amp; JZ07'!$AL$6</definedName>
    <definedName name="Debit_Affichage_Larg_Total_SousVide_JZ06">'Feuille de Débit JZ04 &amp; JZ06'!$Y$26</definedName>
    <definedName name="Debit_Affichage_Long_Chassis_JZ02">'Feuille de Débit JZ02'!$C$4</definedName>
    <definedName name="Debit_Affichage_Long_Chassis_JZ04">'Feuille de Débit JZ04 &amp; JZ06'!$C$4</definedName>
    <definedName name="Debit_Affichage_Long_Chassis_JZ05">'Feuille de Débit JZ05 &amp; JZ07'!$C$4</definedName>
    <definedName name="Debit_Affichage_Long_GrandsCotes_Panneaux_JZ04">'Feuille de Débit JZ04 &amp; JZ06'!$S$4</definedName>
    <definedName name="Debit_Affichage_Long_GrandsCotes_Panneaux_JZ05">'Feuille de Débit JZ05 &amp; JZ07'!$T$3</definedName>
    <definedName name="Debit_Affichage_Long_Toit_Panneaux_JZ04">'Feuille de Débit JZ04 &amp; JZ06'!$S$6</definedName>
    <definedName name="Debit_Affichage_Long_Toit_Panneaux_JZ05">'Feuille de Débit JZ05 &amp; JZ07'!$T$5</definedName>
    <definedName name="Debit_Affichage_Long_Total_SousVide_JZ05">'Feuille de Débit JZ05 &amp; JZ07'!$AJ$6</definedName>
    <definedName name="Debit_Affichage_Long_Total_SousVide_JZ06">'Feuille de Débit JZ04 &amp; JZ06'!$W$26</definedName>
    <definedName name="Debit_EcartChevronsBas_Chassis_JZ02">'Feuille de Débit JZ02'!$C$6</definedName>
    <definedName name="Debit_EcartChevronsHaut_Chassis_JZ02">'Feuille de Débit JZ02'!$J$6</definedName>
    <definedName name="Debit_HautContrePlaque_GrandsCotes_JZ04">'Feuille de Débit JZ04 &amp; JZ06'!$Z$10</definedName>
    <definedName name="Debit_HautContrePlaque_PetitsCotes_JZ04">'Feuille de Débit JZ04 &amp; JZ06'!$Z$14</definedName>
    <definedName name="Debit_Larg_FeuilleFond_SousVide_JZ05">'Feuille de Débit JZ05 &amp; JZ07'!$AL$8</definedName>
    <definedName name="Debit_Larg_FeuilleFond_SousVide_JZ06">'Feuille de Débit JZ04 &amp; JZ06'!$Y$29</definedName>
    <definedName name="Debit_Larg_FeuilleGrandsCotes_SousVide_JZ05">'Feuille de Débit JZ05 &amp; JZ07'!$AL$10</definedName>
    <definedName name="Debit_Larg_FeuilleGrandsCotes_SousVide_JZ06">'Feuille de Débit JZ04 &amp; JZ06'!$Y$31</definedName>
    <definedName name="Debit_Larg_FeuilleToitEtPetitsCotes_SousVide_JZ05">'Feuille de Débit JZ05 &amp; JZ07'!$AL$9</definedName>
    <definedName name="Debit_Larg_FeuilleToitEtPetitsCotes_SousVide_JZ06">'Feuille de Débit JZ04 &amp; JZ06'!$Y$30</definedName>
    <definedName name="Debit_LargContrePlaque_PetitsCotes_JZ04">'Feuille de Débit JZ04 &amp; JZ06'!$W$14</definedName>
    <definedName name="Debit_LargContrePlaque_Sup1_JZ02">'Feuille de Débit JZ02'!$P$28</definedName>
    <definedName name="Debit_LargContrePlaque_Sup1_JZ04">'Feuille de Débit JZ04 &amp; JZ06'!$P$28</definedName>
    <definedName name="Debit_LargContrePlaque_Sup1_JZ05">'Feuille de Débit JZ05 &amp; JZ07'!$P$28</definedName>
    <definedName name="Debit_LargContrePlaque_Sup2_JZ02">'Feuille de Débit JZ02'!$P$29</definedName>
    <definedName name="Debit_LargContrePlaque_Sup2_JZ04">'Feuille de Débit JZ04 &amp; JZ06'!$P$29</definedName>
    <definedName name="Debit_LargContrePlaque_Sup2_JZ05">'Feuille de Débit JZ05 &amp; JZ07'!$P$29</definedName>
    <definedName name="Debit_LargContrePlaque_Sup3_JZ02">'Feuille de Débit JZ02'!$P$30</definedName>
    <definedName name="Debit_LargContrePlaque_Sup3_JZ04">'Feuille de Débit JZ04 &amp; JZ06'!$P$30</definedName>
    <definedName name="Debit_LargContrePlaque_Sup3_JZ05">'Feuille de Débit JZ05 &amp; JZ07'!$P$30</definedName>
    <definedName name="Debit_LargContrePlaque_Sup4_JZ02">'Feuille de Débit JZ02'!$P$31</definedName>
    <definedName name="Debit_LargContrePlaque_Sup4_JZ04">'Feuille de Débit JZ04 &amp; JZ06'!$P$31</definedName>
    <definedName name="Debit_LargContrePlaque_Sup4_JZ05">'Feuille de Débit JZ05 &amp; JZ07'!$P$31</definedName>
    <definedName name="Debit_LargContrePlaque_Toit_JZ04">'Feuille de Débit JZ04 &amp; JZ06'!$Z$18</definedName>
    <definedName name="Debit_LargPlanchesX10_Derniere_Plancher_JZ05">'Feuille de Débit JZ05 &amp; JZ07'!$C$17</definedName>
    <definedName name="Debit_LargPlanchesX10_GrandsCotes_JZ05">'Feuille de Débit JZ05 &amp; JZ07'!$W$9</definedName>
    <definedName name="Debit_LargPlanchesX10_PetitsCotes_JZ05">'Feuille de Débit JZ05 &amp; JZ07'!$W$17</definedName>
    <definedName name="Debit_LargPlanchesX10_Plancher_JZ02">'Feuille de Débit JZ02'!$C$14:$D$14</definedName>
    <definedName name="Debit_LargPlanchesX10_Plancher_JZ04">'Feuille de Débit JZ04 &amp; JZ06'!$C$16:$D$16</definedName>
    <definedName name="Debit_LargPlanchesX10_Plancher_JZ05">'Feuille de Débit JZ05 &amp; JZ07'!$C$16:$D$16</definedName>
    <definedName name="Debit_LargPlanchesX10_Reste_GrandsCotes_JZ05">'Feuille de Débit JZ05 &amp; JZ07'!$W$10</definedName>
    <definedName name="Debit_LargPlanchesX10_Reste_PetitsCotes_JZ05">'Feuille de Débit JZ05 &amp; JZ07'!$W$18</definedName>
    <definedName name="Debit_LargPlanchesX10_Reste_Plancher_JZ02">'Feuille de Débit JZ02'!$C$15:$D$15</definedName>
    <definedName name="Debit_LargPlanchesX10_Reste_Plancher_JZ04">'Feuille de Débit JZ04 &amp; JZ06'!$C$17:$D$17</definedName>
    <definedName name="Debit_LargPlanchesX10_Reste_Toit_JZ05">'Feuille de Débit JZ05 &amp; JZ07'!$W$26</definedName>
    <definedName name="Debit_LargPlanchesX10_Toit_JZ05">'Feuille de Débit JZ05 &amp; JZ07'!$W$25</definedName>
    <definedName name="Debit_LargPlanchesX12_5_Derniere_Plancher_JZ05">'Feuille de Débit JZ05 &amp; JZ07'!$C$19</definedName>
    <definedName name="Debit_LargPlanchesX12_5_GrandsCotes_JZ05">'Feuille de Débit JZ05 &amp; JZ07'!$W$11</definedName>
    <definedName name="Debit_LargPlanchesX12_5_PetitsCotes_JZ05">'Feuille de Débit JZ05 &amp; JZ07'!$W$19</definedName>
    <definedName name="Debit_LargPlanchesX12_5_Plancher_JZ02">'Feuille de Débit JZ02'!$C$16:$D$16</definedName>
    <definedName name="Debit_LargPlanchesX12_5_Plancher_JZ04">'Feuille de Débit JZ04 &amp; JZ06'!$C$18:$D$18</definedName>
    <definedName name="Debit_LargPlanchesX12_5_Plancher_JZ05">'Feuille de Débit JZ05 &amp; JZ07'!$C$18:$D$18</definedName>
    <definedName name="Debit_LargPlanchesX12_5_Reste_GrandsCotes_JZ05">'Feuille de Débit JZ05 &amp; JZ07'!$W$12</definedName>
    <definedName name="Debit_LargPlanchesX12_5_Reste_PetitsCotes_JZ05">'Feuille de Débit JZ05 &amp; JZ07'!$W$20</definedName>
    <definedName name="Debit_LargPlanchesX12_5_Reste_Plancher_JZ02">'Feuille de Débit JZ02'!$C$17:$D$17</definedName>
    <definedName name="Debit_LargPlanchesX12_5_Reste_Plancher_JZ04">'Feuille de Débit JZ04 &amp; JZ06'!$C$19:$D$19</definedName>
    <definedName name="Debit_LargPlanchesX12_5_Reste_Toit_JZ05">'Feuille de Débit JZ05 &amp; JZ07'!$W$28</definedName>
    <definedName name="Debit_LargPlanchesX12_5_Toit_JZ05">'Feuille de Débit JZ05 &amp; JZ07'!$W$27</definedName>
    <definedName name="Debit_LargPlanchesX15_Derniere_Plancher_JZ05">'Feuille de Débit JZ05 &amp; JZ07'!$C$21</definedName>
    <definedName name="Debit_LargPlanchesX15_GrandsCotes_JZ05">'Feuille de Débit JZ05 &amp; JZ07'!$W$13</definedName>
    <definedName name="Debit_LargPlanchesX15_PetitsCotes_JZ05">'Feuille de Débit JZ05 &amp; JZ07'!$W$21</definedName>
    <definedName name="Debit_LargPlanchesX15_Plancher_JZ02">'Feuille de Débit JZ02'!$C$18:$D$18</definedName>
    <definedName name="Debit_LargPlanchesX15_Plancher_JZ04">'Feuille de Débit JZ04 &amp; JZ06'!$C$20:$D$20</definedName>
    <definedName name="Debit_LargPlanchesX15_Plancher_JZ05">'Feuille de Débit JZ05 &amp; JZ07'!$C$20:$D$20</definedName>
    <definedName name="Debit_LargPlanchesX15_Reste_GrandsCotes_JZ05">'Feuille de Débit JZ05 &amp; JZ07'!$W$14</definedName>
    <definedName name="Debit_LargPlanchesX15_Reste_PetitsCotes_JZ05">'Feuille de Débit JZ05 &amp; JZ07'!$W$22</definedName>
    <definedName name="Debit_LargPlanchesX15_Reste_Plancher_JZ02">'Feuille de Débit JZ02'!$C$19:$D$19</definedName>
    <definedName name="Debit_LargPlanchesX15_Reste_Plancher_JZ04">'Feuille de Débit JZ04 &amp; JZ06'!$C$21:$D$21</definedName>
    <definedName name="Debit_LargPlanchesX15_Reste_Toit_JZ05">'Feuille de Débit JZ05 &amp; JZ07'!$W$30</definedName>
    <definedName name="Debit_LargPlanchesX15_Toit_JZ05">'Feuille de Débit JZ05 &amp; JZ07'!$W$29</definedName>
    <definedName name="Debit_Long_FeuilleFond_SousVide_JZ05">'Feuille de Débit JZ05 &amp; JZ07'!$AJ$8</definedName>
    <definedName name="Debit_Long_FeuilleFond_SousVide_JZ06">'Feuille de Débit JZ04 &amp; JZ06'!$W$29</definedName>
    <definedName name="Debit_Long_FeuilleGrandsCotes_SousVide_JZ05">'Feuille de Débit JZ05 &amp; JZ07'!$AJ$10</definedName>
    <definedName name="Debit_Long_FeuilleGrandsCotes_SousVide_JZ06">'Feuille de Débit JZ04 &amp; JZ06'!$W$31</definedName>
    <definedName name="Debit_Long_FeuilleToitEtPetitsCotes_SousVide_JZ05">'Feuille de Débit JZ05 &amp; JZ07'!$AJ$9</definedName>
    <definedName name="Debit_Long_FeuilleToitEtPetitsCotes_SousVide_JZ06">'Feuille de Débit JZ04 &amp; JZ06'!$W$30</definedName>
    <definedName name="Debit_LongChevrons5X8_Sup1_JZ02">'Feuille de Débit JZ02'!$M$12</definedName>
    <definedName name="Debit_LongChevrons5X8_Sup1_JZ04">'Feuille de Débit JZ04 &amp; JZ06'!$M$12</definedName>
    <definedName name="Debit_LongChevrons5X8_Sup1_JZ05">'Feuille de Débit JZ05 &amp; JZ07'!$M$12</definedName>
    <definedName name="Debit_LongChevrons5X8_Sup2_JZ02">'Feuille de Débit JZ02'!$M$13</definedName>
    <definedName name="Debit_LongChevrons5X8_Sup2_JZ04">'Feuille de Débit JZ04 &amp; JZ06'!$M$13</definedName>
    <definedName name="Debit_LongChevrons5X8_Sup2_JZ05">'Feuille de Débit JZ05 &amp; JZ07'!$M$13</definedName>
    <definedName name="Debit_LongChevrons5X8_Sup3_JZ02">'Feuille de Débit JZ02'!$M$14</definedName>
    <definedName name="Debit_LongChevrons5X8_Sup3_JZ04">'Feuille de Débit JZ04 &amp; JZ06'!$M$14</definedName>
    <definedName name="Debit_LongChevrons5X8_Sup3_JZ05">'Feuille de Débit JZ05 &amp; JZ07'!$M$14</definedName>
    <definedName name="Debit_LongChevrons5X8_Sup4_JZ02">'Feuille de Débit JZ02'!$M$15</definedName>
    <definedName name="Debit_LongChevrons5X8_Sup4_JZ04">'Feuille de Débit JZ04 &amp; JZ06'!$M$15</definedName>
    <definedName name="Debit_LongChevrons5X8_Sup4_JZ05">'Feuille de Débit JZ05 &amp; JZ07'!$M$15</definedName>
    <definedName name="Debit_LongChevrons8X10_Sup1_JZ02">'Feuille de Débit JZ02'!$M$8</definedName>
    <definedName name="Debit_LongChevrons8X10_Sup1_JZ04">'Feuille de Débit JZ04 &amp; JZ06'!$M$8</definedName>
    <definedName name="Debit_LongChevrons8X10_Sup1_JZ05">'Feuille de Débit JZ05 &amp; JZ07'!$M$8</definedName>
    <definedName name="Debit_LongChevrons8X10_Sup2_JZ02">'Feuille de Débit JZ02'!$M$9</definedName>
    <definedName name="Debit_LongChevrons8X10_Sup2_JZ04">'Feuille de Débit JZ04 &amp; JZ06'!$M$9</definedName>
    <definedName name="Debit_LongChevrons8X10_Sup2_JZ05">'Feuille de Débit JZ05 &amp; JZ07'!$M$9</definedName>
    <definedName name="Debit_LongChevrons8X10_Sup3_JZ02">'Feuille de Débit JZ02'!$M$10</definedName>
    <definedName name="Debit_LongChevrons8X10_Sup3_JZ04">'Feuille de Débit JZ04 &amp; JZ06'!$M$10</definedName>
    <definedName name="Debit_LongChevrons8X10_Sup3_JZ05">'Feuille de Débit JZ05 &amp; JZ07'!$M$10</definedName>
    <definedName name="Debit_LongChevrons8X10_Sup4_JZ02">'Feuille de Débit JZ02'!$M$11</definedName>
    <definedName name="Debit_LongChevrons8X10_Sup4_JZ04">'Feuille de Débit JZ04 &amp; JZ06'!$M$11</definedName>
    <definedName name="Debit_LongChevrons8X10_Sup4_JZ05">'Feuille de Débit JZ05 &amp; JZ07'!$M$11</definedName>
    <definedName name="Debit_LongChevronsBas_ChaisesBas_JZ02">'Feuille de Débit JZ02'!$E$21</definedName>
    <definedName name="Debit_LongChevronsBas_ChaisesBas_JZ04">'Feuille de Débit JZ04 &amp; JZ06'!$E$23</definedName>
    <definedName name="Debit_LongChevronsBas_ChaisesBas_JZ05">'Feuille de Débit JZ05 &amp; JZ07'!$E$23</definedName>
    <definedName name="Debit_LongChevronsBas_ChaisesHaut_JZ02">'Feuille de Débit JZ02'!$E$25</definedName>
    <definedName name="Debit_LongChevronsBas_ChaisesHaut_JZ04">'Feuille de Débit JZ04 &amp; JZ06'!$E$27</definedName>
    <definedName name="Debit_LongChevronsBas_ChaisesHaut_JZ05">'Feuille de Débit JZ05 &amp; JZ07'!$E$27</definedName>
    <definedName name="Debit_LongChevronsBas_Chassis_JZ02">'Feuille de Débit JZ02'!$E$8</definedName>
    <definedName name="Debit_LongChevronsBas_Chassis_JZ04">'Feuille de Débit JZ04 &amp; JZ06'!$E$8</definedName>
    <definedName name="Debit_LongChevronsBas_Chassis_JZ05">'Feuille de Débit JZ05 &amp; JZ07'!$E$8</definedName>
    <definedName name="Debit_LongChevronsHaut_ChaisesBas_JZ02">'Feuille de Débit JZ02'!$E$22</definedName>
    <definedName name="Debit_LongChevronsHaut_ChaisesBas_JZ04">'Feuille de Débit JZ04 &amp; JZ06'!$E$24</definedName>
    <definedName name="Debit_LongChevronsHaut_ChaisesBas_JZ05">'Feuille de Débit JZ05 &amp; JZ07'!$E$24</definedName>
    <definedName name="Debit_LongChevronsHaut_ChaisesHaut_JZ02">'Feuille de Débit JZ02'!$E$26</definedName>
    <definedName name="Debit_LongChevronsHaut_ChaisesHaut_JZ04">'Feuille de Débit JZ04 &amp; JZ06'!$E$28</definedName>
    <definedName name="Debit_LongChevronsHaut_ChaisesHaut_JZ05">'Feuille de Débit JZ05 &amp; JZ07'!$E$28</definedName>
    <definedName name="Debit_LongChevronsHaut_Chassis_JZ02">'Feuille de Débit JZ02'!$E$9</definedName>
    <definedName name="Debit_LongChevronsHaut_Chassis_JZ04">'Feuille de Débit JZ04 &amp; JZ06'!$E$9</definedName>
    <definedName name="Debit_LongChevronsHaut_Chassis_JZ05">'Feuille de Débit JZ05 &amp; JZ07'!$E$9</definedName>
    <definedName name="Debit_LongChevronsHautBis_Chassis_JZ02">'Feuille de Débit JZ02'!$E$10</definedName>
    <definedName name="Debit_LongChevronsHautBis_Chassis_JZ04">'Feuille de Débit JZ04 &amp; JZ06'!$E$10</definedName>
    <definedName name="Debit_LongChevronsHautBis_Chassis_JZ05">'Feuille de Débit JZ05 &amp; JZ07'!$E$10</definedName>
    <definedName name="Debit_LongChevronsHauteur_ChaisesBas_JZ02">'Feuille de Débit JZ02'!$E$23</definedName>
    <definedName name="Debit_LongChevronsHauteur_ChaisesBas_JZ04">'Feuille de Débit JZ04 &amp; JZ06'!$E$25</definedName>
    <definedName name="Debit_LongChevronsHauteur_ChaisesBas_JZ05">'Feuille de Débit JZ05 &amp; JZ07'!$E$25</definedName>
    <definedName name="Debit_LongChevronsHauteur_ChaisesHaut_JZ02">'Feuille de Débit JZ02'!$E$27</definedName>
    <definedName name="Debit_LongChevronsHauteur_ChaisesHaut_JZ04">'Feuille de Débit JZ04 &amp; JZ06'!$E$29</definedName>
    <definedName name="Debit_LongChevronsHauteur_ChaisesHaut_JZ05">'Feuille de Débit JZ05 &amp; JZ07'!$E$29</definedName>
    <definedName name="Debit_LongChevronsHautRenfort_Chassis_JZ02">'Feuille de Débit JZ02'!$E$11</definedName>
    <definedName name="Debit_LongChevronsHautRenfort_Chassis_JZ04">'Feuille de Débit JZ04 &amp; JZ06'!$E$11</definedName>
    <definedName name="Debit_LongChevronsHautRenfort_Chassis_JZ05">'Feuille de Débit JZ05 &amp; JZ07'!$E$11</definedName>
    <definedName name="Debit_LongChevronsHautTalons_Chassis_JZ04">'Feuille de Débit JZ04 &amp; JZ06'!$E$12</definedName>
    <definedName name="Debit_LongChevronsHautTalons_Chassis_JZ05">'Feuille de Débit JZ05 &amp; JZ07'!$E$12</definedName>
    <definedName name="Debit_LongChevronsHautToit_Chassis_JZ04">'Feuille de Débit JZ04 &amp; JZ06'!$E$13</definedName>
    <definedName name="Debit_LongChevronsHautToit_Chassis_JZ05">'Feuille de Débit JZ05 &amp; JZ07'!$E$13</definedName>
    <definedName name="Debit_LongChevronsTalons_Chassis_JZ04">'Feuille de Débit JZ04 &amp; JZ06'!$C$12</definedName>
    <definedName name="Debit_LongChevronsTalons_Chassis_JZ05">'Feuille de Débit JZ05 &amp; JZ07'!$C$12</definedName>
    <definedName name="Debit_LongChevronsToit_Chassis_JZ04">'Feuille de Débit JZ04 &amp; JZ06'!$C$13</definedName>
    <definedName name="Debit_LongChevronsToit_Chassis_JZ05">'Feuille de Débit JZ05 &amp; JZ07'!$C$13</definedName>
    <definedName name="Debit_LongContrePlaque_GrandsCotes_JZ04">'Feuille de Débit JZ04 &amp; JZ06'!$W$10</definedName>
    <definedName name="Debit_LongContrePlaque_Sup1_JZ02">'Feuille de Débit JZ02'!$M$28</definedName>
    <definedName name="Debit_LongContrePlaque_Sup1_JZ04">'Feuille de Débit JZ04 &amp; JZ06'!$M$28</definedName>
    <definedName name="Debit_LongContrePlaque_Sup1_JZ05">'Feuille de Débit JZ05 &amp; JZ07'!$M$28</definedName>
    <definedName name="Debit_LongContrePlaque_Sup2_JZ02">'Feuille de Débit JZ02'!$M$29</definedName>
    <definedName name="Debit_LongContrePlaque_Sup2_JZ04">'Feuille de Débit JZ04 &amp; JZ06'!$M$29</definedName>
    <definedName name="Debit_LongContrePlaque_Sup2_JZ05">'Feuille de Débit JZ05 &amp; JZ07'!$M$29</definedName>
    <definedName name="Debit_LongContrePlaque_Sup3_JZ02">'Feuille de Débit JZ02'!$M$30</definedName>
    <definedName name="Debit_LongContrePlaque_Sup3_JZ04">'Feuille de Débit JZ04 &amp; JZ06'!$M$30</definedName>
    <definedName name="Debit_LongContrePlaque_Sup3_JZ05">'Feuille de Débit JZ05 &amp; JZ07'!$M$30</definedName>
    <definedName name="Debit_LongContrePlaque_Sup4_JZ02">'Feuille de Débit JZ02'!$M$31</definedName>
    <definedName name="Debit_LongContrePlaque_Sup4_JZ04">'Feuille de Débit JZ04 &amp; JZ06'!$M$31</definedName>
    <definedName name="Debit_LongContrePlaque_Sup4_JZ05">'Feuille de Débit JZ05 &amp; JZ07'!$M$31</definedName>
    <definedName name="Debit_LongContrePlaque_Toit_JZ04">'Feuille de Débit JZ04 &amp; JZ06'!$W$18</definedName>
    <definedName name="Debit_LongPlanches_Haut_GrandsCotes_JZ05">'Feuille de Débit JZ05 &amp; JZ07'!$X$9</definedName>
    <definedName name="Debit_LongPlanches_Haut_PetitsCotes_JZ05">'Feuille de Débit JZ05 &amp; JZ07'!$X$17</definedName>
    <definedName name="Debit_LongPlanches_Larg_PetitsCotes_JZ04">'Feuille de Débit JZ04 &amp; JZ06'!$W$15</definedName>
    <definedName name="Debit_LongPlanches_Larg_PetitsCotes_JZ05">'Feuille de Débit JZ05 &amp; JZ07'!$X$23</definedName>
    <definedName name="Debit_LongPlanches_Larg_Toit_JZ05">'Feuille de Débit JZ05 &amp; JZ07'!$X$25</definedName>
    <definedName name="Debit_LongPlanches_Long_GrandsCotes_JZ04">'Feuille de Débit JZ04 &amp; JZ06'!$W$11</definedName>
    <definedName name="Debit_LongPlanches_Long_GrandsCotes_JZ05">'Feuille de Débit JZ05 &amp; JZ07'!$X$15</definedName>
    <definedName name="Debit_LongPlanches_Long_Toit_JZ04">'Feuille de Débit JZ04 &amp; JZ06'!$W$19</definedName>
    <definedName name="Debit_LongPlanches_Long_Toit_JZ05">'Feuille de Débit JZ05 &amp; JZ07'!$X$31</definedName>
    <definedName name="Debit_LongPlanches_Travers_GrandsCotes_JZ05">'Feuille de Débit JZ05 &amp; JZ07'!$X$16</definedName>
    <definedName name="Debit_LongPlanches_Travers_PetitsCotes_JZ05">'Feuille de Débit JZ05 &amp; JZ07'!$X$24</definedName>
    <definedName name="Debit_LongPlanchesX10_Haut_GrandsCotes_JZ04">'Feuille de Débit JZ04 &amp; JZ06'!$W$13</definedName>
    <definedName name="Debit_LongPlanchesX10_Haut_PetitsCotes_JZ04">'Feuille de Débit JZ04 &amp; JZ06'!$W$17</definedName>
    <definedName name="Debit_LongPlanchesX10_Haut_Toit_JZ04">'Feuille de Débit JZ04 &amp; JZ06'!$W$21</definedName>
    <definedName name="Debit_LongPlanchesX10_Plancher_JZ02">'Feuille de Débit JZ02'!$E$14</definedName>
    <definedName name="Debit_LongPlanchesX10_Plancher_JZ04">'Feuille de Débit JZ04 &amp; JZ06'!$E$16</definedName>
    <definedName name="Debit_LongPlanchesX10_Plancher_JZ05">'Feuille de Débit JZ05 &amp; JZ07'!$E$16</definedName>
    <definedName name="Debit_LongPlanchesX10_Sup1_JZ02">'Feuille de Débit JZ02'!$M$16</definedName>
    <definedName name="Debit_LongPlanchesX10_Sup1_JZ04">'Feuille de Débit JZ04 &amp; JZ06'!$M$16</definedName>
    <definedName name="Debit_LongPlanchesX10_Sup1_JZ05">'Feuille de Débit JZ05 &amp; JZ07'!$M$16</definedName>
    <definedName name="Debit_LongPlanchesX10_Sup2_JZ02">'Feuille de Débit JZ02'!$M$17</definedName>
    <definedName name="Debit_LongPlanchesX10_Sup2_JZ04">'Feuille de Débit JZ04 &amp; JZ06'!$M$17</definedName>
    <definedName name="Debit_LongPlanchesX10_Sup2_JZ05">'Feuille de Débit JZ05 &amp; JZ07'!$M$17</definedName>
    <definedName name="Debit_LongPlanchesX10_Sup3_JZ02">'Feuille de Débit JZ02'!$M$18</definedName>
    <definedName name="Debit_LongPlanchesX10_Sup3_JZ04">'Feuille de Débit JZ04 &amp; JZ06'!$M$18</definedName>
    <definedName name="Debit_LongPlanchesX10_Sup3_JZ05">'Feuille de Débit JZ05 &amp; JZ07'!$M$18</definedName>
    <definedName name="Debit_LongPlanchesX10_Sup4_JZ02">'Feuille de Débit JZ02'!$M$19</definedName>
    <definedName name="Debit_LongPlanchesX10_Sup4_JZ04">'Feuille de Débit JZ04 &amp; JZ06'!$M$19</definedName>
    <definedName name="Debit_LongPlanchesX10_Sup4_JZ05">'Feuille de Débit JZ05 &amp; JZ07'!$M$19</definedName>
    <definedName name="Debit_LongPlanchesX12_5_Haut_GrandsCotes_JZ04">'Feuille de Débit JZ04 &amp; JZ06'!$Y$13</definedName>
    <definedName name="Debit_LongPlanchesX12_5_Haut_PetitsCotes_JZ04">'Feuille de Débit JZ04 &amp; JZ06'!$Y$17</definedName>
    <definedName name="Debit_LongPlanchesX12_5_Haut_Toit_JZ04">'Feuille de Débit JZ04 &amp; JZ06'!$Y$21</definedName>
    <definedName name="Debit_LongPlanchesX12_5_Plancher_JZ02">'Feuille de Débit JZ02'!$E$16</definedName>
    <definedName name="Debit_LongPlanchesX12_5_Plancher_JZ04">'Feuille de Débit JZ04 &amp; JZ06'!$E$18</definedName>
    <definedName name="Debit_LongPlanchesX12_5_Plancher_JZ05">'Feuille de Débit JZ05 &amp; JZ07'!$E$18</definedName>
    <definedName name="Debit_LongPlanchesX12_5_Sup1_JZ02">'Feuille de Débit JZ02'!$M$20</definedName>
    <definedName name="Debit_LongPlanchesX12_5_Sup1_JZ04">'Feuille de Débit JZ04 &amp; JZ06'!$M$20</definedName>
    <definedName name="Debit_LongPlanchesX12_5_Sup1_JZ05">'Feuille de Débit JZ05 &amp; JZ07'!$M$20</definedName>
    <definedName name="Debit_LongPlanchesX12_5_Sup2_JZ02">'Feuille de Débit JZ02'!$M$21</definedName>
    <definedName name="Debit_LongPlanchesX12_5_Sup2_JZ04">'Feuille de Débit JZ04 &amp; JZ06'!$M$21</definedName>
    <definedName name="Debit_LongPlanchesX12_5_Sup2_JZ05">'Feuille de Débit JZ05 &amp; JZ07'!$M$21</definedName>
    <definedName name="Debit_LongPlanchesX12_5_Sup3_JZ02">'Feuille de Débit JZ02'!$M$22</definedName>
    <definedName name="Debit_LongPlanchesX12_5_Sup3_JZ04">'Feuille de Débit JZ04 &amp; JZ06'!$M$22</definedName>
    <definedName name="Debit_LongPlanchesX12_5_Sup3_JZ05">'Feuille de Débit JZ05 &amp; JZ07'!$M$22</definedName>
    <definedName name="Debit_LongPlanchesX12_5_Sup4_JZ02">'Feuille de Débit JZ02'!$M$23</definedName>
    <definedName name="Debit_LongPlanchesX12_5_Sup4_JZ04">'Feuille de Débit JZ04 &amp; JZ06'!$M$23</definedName>
    <definedName name="Debit_LongPlanchesX12_5_Sup4_JZ05">'Feuille de Débit JZ05 &amp; JZ07'!$M$23</definedName>
    <definedName name="Debit_LongPlanchesX15_Haut_GrandsCotes_JZ04">'Feuille de Débit JZ04 &amp; JZ06'!$AA$13</definedName>
    <definedName name="Debit_LongPlanchesX15_Haut_PetitsCotes_JZ04">'Feuille de Débit JZ04 &amp; JZ06'!$AA$17</definedName>
    <definedName name="Debit_LongPlanchesX15_Haut_Toit_JZ04">'Feuille de Débit JZ04 &amp; JZ06'!$AA$21</definedName>
    <definedName name="Debit_LongPlanchesX15_Plancher_JZ02">'Feuille de Débit JZ02'!$E$18</definedName>
    <definedName name="Debit_LongPlanchesX15_Plancher_JZ04">'Feuille de Débit JZ04 &amp; JZ06'!$E$20</definedName>
    <definedName name="Debit_LongPlanchesX15_Plancher_JZ05">'Feuille de Débit JZ05 &amp; JZ07'!$E$20</definedName>
    <definedName name="Debit_LongPlanchesX15_Sup1_JZ02">'Feuille de Débit JZ02'!$M$24</definedName>
    <definedName name="Debit_LongPlanchesX15_Sup1_JZ04">'Feuille de Débit JZ04 &amp; JZ06'!$M$24</definedName>
    <definedName name="Debit_LongPlanchesX15_Sup1_JZ05">'Feuille de Débit JZ05 &amp; JZ07'!$M$24</definedName>
    <definedName name="Debit_LongPlanchesX15_Sup2_JZ02">'Feuille de Débit JZ02'!$M$25</definedName>
    <definedName name="Debit_LongPlanchesX15_Sup2_JZ04">'Feuille de Débit JZ04 &amp; JZ06'!$M$25</definedName>
    <definedName name="Debit_LongPlanchesX15_Sup2_JZ05">'Feuille de Débit JZ05 &amp; JZ07'!$M$25</definedName>
    <definedName name="Debit_LongPlanchesX15_Sup3_JZ02">'Feuille de Débit JZ02'!$M$26</definedName>
    <definedName name="Debit_LongPlanchesX15_Sup3_JZ04">'Feuille de Débit JZ04 &amp; JZ06'!$M$26</definedName>
    <definedName name="Debit_LongPlanchesX15_Sup3_JZ05">'Feuille de Débit JZ05 &amp; JZ07'!$M$26</definedName>
    <definedName name="Debit_LongPlanchesX15_Sup4_JZ02">'Feuille de Débit JZ02'!$M$27</definedName>
    <definedName name="Debit_LongPlanchesX15_Sup4_JZ04">'Feuille de Débit JZ04 &amp; JZ06'!$M$27</definedName>
    <definedName name="Debit_LongPlanchesX15_Sup4_JZ05">'Feuille de Débit JZ05 &amp; JZ07'!$M$27</definedName>
    <definedName name="Debit_Nb_FeuilleFond_SousVide_JZ05">'Feuille de Débit JZ05 &amp; JZ07'!$AG$8</definedName>
    <definedName name="Debit_Nb_FeuilleFond_SousVide_JZ06">'Feuille de Débit JZ04 &amp; JZ06'!$U$29</definedName>
    <definedName name="Debit_Nb_FeuilleGrandsCotes_SousVide_JZ05">'Feuille de Débit JZ05 &amp; JZ07'!$AG$10</definedName>
    <definedName name="Debit_Nb_FeuilleGrandsCotes_SousVide_JZ06">'Feuille de Débit JZ04 &amp; JZ06'!$U$31</definedName>
    <definedName name="Debit_Nb_FeuilleToitEtPetitsCotes_SousVide_JZ05">'Feuille de Débit JZ05 &amp; JZ07'!$AG$9</definedName>
    <definedName name="Debit_Nb_FeuilleToitEtPetitsCotes_SousVide_JZ06">'Feuille de Débit JZ04 &amp; JZ06'!$U$30</definedName>
    <definedName name="Debit_NbChevrons5X8_Sup1_JZ02">'Feuille de Débit JZ02'!$K$12</definedName>
    <definedName name="Debit_NbChevrons5X8_Sup1_JZ04">'Feuille de Débit JZ04 &amp; JZ06'!$K$12</definedName>
    <definedName name="Debit_NbChevrons5X8_Sup1_JZ05">'Feuille de Débit JZ05 &amp; JZ07'!$K$12</definedName>
    <definedName name="Debit_NbChevrons5X8_Sup2_JZ02">'Feuille de Débit JZ02'!$K$13</definedName>
    <definedName name="Debit_NbChevrons5X8_Sup2_JZ04">'Feuille de Débit JZ04 &amp; JZ06'!$K$13</definedName>
    <definedName name="Debit_NbChevrons5X8_Sup2_JZ05">'Feuille de Débit JZ05 &amp; JZ07'!$K$13</definedName>
    <definedName name="Debit_NbChevrons5X8_Sup3_JZ02">'Feuille de Débit JZ02'!$K$14</definedName>
    <definedName name="Debit_NbChevrons5X8_Sup3_JZ04">'Feuille de Débit JZ04 &amp; JZ06'!$K$14</definedName>
    <definedName name="Debit_NbChevrons5X8_Sup3_JZ05">'Feuille de Débit JZ05 &amp; JZ07'!$K$14</definedName>
    <definedName name="Debit_NbChevrons5X8_Sup4_JZ02">'Feuille de Débit JZ02'!$K$15</definedName>
    <definedName name="Debit_NbChevrons5X8_Sup4_JZ04">'Feuille de Débit JZ04 &amp; JZ06'!$K$15</definedName>
    <definedName name="Debit_NbChevrons5X8_Sup4_JZ05">'Feuille de Débit JZ05 &amp; JZ07'!$K$15</definedName>
    <definedName name="Debit_NbChevrons8X10_Sup1_JZ02">'Feuille de Débit JZ02'!$K$8</definedName>
    <definedName name="Debit_NbChevrons8X10_Sup1_JZ04">'Feuille de Débit JZ04 &amp; JZ06'!$K$8</definedName>
    <definedName name="Debit_NbChevrons8X10_Sup1_JZ05">'Feuille de Débit JZ05 &amp; JZ07'!$K$8</definedName>
    <definedName name="Debit_NbChevrons8X10_Sup2_JZ02">'Feuille de Débit JZ02'!$K$9</definedName>
    <definedName name="Debit_NbChevrons8X10_Sup2_JZ04">'Feuille de Débit JZ04 &amp; JZ06'!$K$9</definedName>
    <definedName name="Debit_NbChevrons8X10_Sup2_JZ05">'Feuille de Débit JZ05 &amp; JZ07'!$K$9</definedName>
    <definedName name="Debit_NbChevrons8X10_Sup3_JZ02">'Feuille de Débit JZ02'!$K$10</definedName>
    <definedName name="Debit_NbChevrons8X10_Sup3_JZ04">'Feuille de Débit JZ04 &amp; JZ06'!$K$10</definedName>
    <definedName name="Debit_NbChevrons8X10_Sup3_JZ05">'Feuille de Débit JZ05 &amp; JZ07'!$K$10</definedName>
    <definedName name="Debit_NbChevrons8X10_Sup4_JZ02">'Feuille de Débit JZ02'!$K$11</definedName>
    <definedName name="Debit_NbChevrons8X10_Sup4_JZ04">'Feuille de Débit JZ04 &amp; JZ06'!$K$11</definedName>
    <definedName name="Debit_NbChevrons8X10_Sup4_JZ05">'Feuille de Débit JZ05 &amp; JZ07'!$K$11</definedName>
    <definedName name="Debit_NbChevronsBas_ChaisesBas_JZ02">'Feuille de Débit JZ02'!$C$21</definedName>
    <definedName name="Debit_NbChevronsBas_ChaisesBas_JZ04">'Feuille de Débit JZ04 &amp; JZ06'!$C$23</definedName>
    <definedName name="Debit_NbChevronsBas_ChaisesBas_JZ05">'Feuille de Débit JZ05 &amp; JZ07'!$C$23</definedName>
    <definedName name="Debit_NbChevronsBas_ChaisesHaut_JZ02">'Feuille de Débit JZ02'!$C$25</definedName>
    <definedName name="Debit_NbChevronsBas_ChaisesHaut_JZ04">'Feuille de Débit JZ04 &amp; JZ06'!$C$27</definedName>
    <definedName name="Debit_NbChevronsBas_ChaisesHaut_JZ05">'Feuille de Débit JZ05 &amp; JZ07'!$C$27</definedName>
    <definedName name="Debit_NbChevronsBas_Chassis_JZ02">'Feuille de Débit JZ02'!$C$8</definedName>
    <definedName name="Debit_NbChevronsBas_Chassis_JZ04">'Feuille de Débit JZ04 &amp; JZ06'!$C$8</definedName>
    <definedName name="Debit_NbChevronsBas_Chassis_JZ05">'Feuille de Débit JZ05 &amp; JZ07'!$C$8</definedName>
    <definedName name="Debit_NbChevronsHaut_ChaisesBas_JZ02">'Feuille de Débit JZ02'!$C$22</definedName>
    <definedName name="Debit_NbChevronsHaut_ChaisesBas_JZ04">'Feuille de Débit JZ04 &amp; JZ06'!$C$24</definedName>
    <definedName name="Debit_NbChevronsHaut_ChaisesBas_JZ05">'Feuille de Débit JZ05 &amp; JZ07'!$C$24</definedName>
    <definedName name="Debit_NbChevronsHaut_ChaisesHaut_JZ02">'Feuille de Débit JZ02'!$C$26</definedName>
    <definedName name="Debit_NbChevronsHaut_ChaisesHaut_JZ04">'Feuille de Débit JZ04 &amp; JZ06'!$C$28</definedName>
    <definedName name="Debit_NbChevronsHaut_ChaisesHaut_JZ05">'Feuille de Débit JZ05 &amp; JZ07'!$C$28</definedName>
    <definedName name="Debit_NbChevronsHaut_Chassis_JZ02">'Feuille de Débit JZ02'!$C$9</definedName>
    <definedName name="Debit_NbChevronsHaut_Chassis_JZ04">'Feuille de Débit JZ04 &amp; JZ06'!$C$9</definedName>
    <definedName name="Debit_NbChevronsHaut_Chassis_JZ05">'Feuille de Débit JZ05 &amp; JZ07'!$C$9</definedName>
    <definedName name="Debit_NbChevronsHautBis_Chassis_JZ02">'Feuille de Débit JZ02'!$C$10</definedName>
    <definedName name="Debit_NbChevronsHautBis_Chassis_JZ04">'Feuille de Débit JZ04 &amp; JZ06'!$C$10</definedName>
    <definedName name="Debit_NbChevronsHautBis_Chassis_JZ05">'Feuille de Débit JZ05 &amp; JZ07'!$C$10</definedName>
    <definedName name="Debit_NbChevronsHauteur_ChaiseBas_JZ02">'Feuille de Débit JZ02'!$C$23</definedName>
    <definedName name="Debit_NbChevronsHauteur_ChaiseBas_JZ04">'Feuille de Débit JZ04 &amp; JZ06'!$C$25</definedName>
    <definedName name="Debit_NbChevronsHauteur_ChaiseBas_JZ05">'Feuille de Débit JZ05 &amp; JZ07'!$C$25</definedName>
    <definedName name="Debit_NbChevronsHauteur_ChaiseHaut_JZ02">'Feuille de Débit JZ02'!$C$27</definedName>
    <definedName name="Debit_NbChevronsHauteur_ChaiseHaut_JZ04">'Feuille de Débit JZ04 &amp; JZ06'!$C$29</definedName>
    <definedName name="Debit_NbChevronsHauteur_ChaiseHaut_JZ05">'Feuille de Débit JZ05 &amp; JZ07'!$C$29</definedName>
    <definedName name="Debit_NbChevronsHauteur_ChaisesBas_JZ02">'Feuille de Débit JZ02'!$C$23</definedName>
    <definedName name="Debit_NbChevronsHautRenfort_Chassis_JZ02">'Feuille de Débit JZ02'!$C$11</definedName>
    <definedName name="Debit_NbChevronsHautRenfort_Chassis_JZ04">'Feuille de Débit JZ04 &amp; JZ06'!$C$11</definedName>
    <definedName name="Debit_NbChevronsHautRenfort_Chassis_JZ05">'Feuille de Débit JZ05 &amp; JZ07'!$C$11</definedName>
    <definedName name="Debit_NbContrePlaque_GrandsCotes_JZ04">'Feuille de Débit JZ04 &amp; JZ06'!$U$10</definedName>
    <definedName name="Debit_NbContrePlaque_PetitsCotes_JZ04">'Feuille de Débit JZ04 &amp; JZ06'!$U$14</definedName>
    <definedName name="Debit_NbContrePlaque_Sup1_JZ02">'Feuille de Débit JZ02'!$K$28</definedName>
    <definedName name="Debit_NbContrePlaque_Sup1_JZ04">'Feuille de Débit JZ04 &amp; JZ06'!$K$28</definedName>
    <definedName name="Debit_NbContrePlaque_Sup1_JZ05">'Feuille de Débit JZ05 &amp; JZ07'!$K$28</definedName>
    <definedName name="Debit_NbContrePlaque_Sup2_JZ02">'Feuille de Débit JZ02'!$K$29</definedName>
    <definedName name="Debit_NbContrePlaque_Sup2_JZ04">'Feuille de Débit JZ04 &amp; JZ06'!$K$29</definedName>
    <definedName name="Debit_NbContrePlaque_Sup2_JZ05">'Feuille de Débit JZ05 &amp; JZ07'!$K$29</definedName>
    <definedName name="Debit_NbContrePlaque_Sup3_JZ02">'Feuille de Débit JZ02'!$K$30</definedName>
    <definedName name="Debit_NbContrePlaque_Sup3_JZ04">'Feuille de Débit JZ04 &amp; JZ06'!$K$30</definedName>
    <definedName name="Debit_NbContrePlaque_Sup3_JZ05">'Feuille de Débit JZ05 &amp; JZ07'!$K$30</definedName>
    <definedName name="Debit_NbContrePlaque_Sup4_JZ02">'Feuille de Débit JZ02'!$K$31</definedName>
    <definedName name="Debit_NbContrePlaque_Sup4_JZ04">'Feuille de Débit JZ04 &amp; JZ06'!$K$31</definedName>
    <definedName name="Debit_NbContrePlaque_Sup4_JZ05">'Feuille de Débit JZ05 &amp; JZ07'!$K$31</definedName>
    <definedName name="Debit_NbContrePlaque_Toit_JZ04">'Feuille de Débit JZ04 &amp; JZ06'!$U$18</definedName>
    <definedName name="Debit_NbPlanches_Haut_GrandsCotes_JZ04">'Feuille de Débit JZ04 &amp; JZ06'!$U$12:$U$13</definedName>
    <definedName name="Debit_NbPlanches_Haut_PetitsCotes_JZ04">'Feuille de Débit JZ04 &amp; JZ06'!$U$16:$U$17</definedName>
    <definedName name="Debit_NbPlanches_Larg_PetitsCotes_JZ04">'Feuille de Débit JZ04 &amp; JZ06'!$U$15</definedName>
    <definedName name="Debit_NbPlanches_Larg_PetitsCotes_JZ05">'Feuille de Débit JZ05 &amp; JZ07'!$V$23</definedName>
    <definedName name="Debit_NbPlanches_Larg_Toit_JZ04">'Feuille de Débit JZ04 &amp; JZ06'!$U$20:$U$21</definedName>
    <definedName name="Debit_NbPlanches_Long_GrandsCotes_JZ04">'Feuille de Débit JZ04 &amp; JZ06'!$U$11</definedName>
    <definedName name="Debit_NbPlanches_Long_GrandsCotes_JZ05">'Feuille de Débit JZ05 &amp; JZ07'!$V$15</definedName>
    <definedName name="Debit_NbPlanches_Long_Toit_JZ04">'Feuille de Débit JZ04 &amp; JZ06'!$U$19</definedName>
    <definedName name="Debit_NbPlanches_Long_Toit_JZ05">'Feuille de Débit JZ05 &amp; JZ07'!$V$31</definedName>
    <definedName name="Debit_NbPlanches_Travers_GrandsCotes_JZ05">'Feuille de Débit JZ05 &amp; JZ07'!$V$16</definedName>
    <definedName name="Debit_NbPlanches_Travers_PetitsCotes_JZ05">'Feuille de Débit JZ05 &amp; JZ07'!$V$24</definedName>
    <definedName name="Debit_NbPlanchesX10_GrandsCotes_JZ05">'Feuille de Débit JZ05 &amp; JZ07'!$V$9</definedName>
    <definedName name="Debit_NbPlanchesX10_PetitsCotes_JZ05">'Feuille de Débit JZ05 &amp; JZ07'!$V$17</definedName>
    <definedName name="Debit_NbPlanchesX10_Plancher_JZ02">'Feuille de Débit JZ02'!$B$14</definedName>
    <definedName name="Debit_NbPlanchesX10_Plancher_JZ04">'Feuille de Débit JZ04 &amp; JZ06'!$B$16</definedName>
    <definedName name="Debit_NbPlanchesX10_Plancher_JZ05">'Feuille de Débit JZ05 &amp; JZ07'!$B$16</definedName>
    <definedName name="Debit_NbPlanchesX10_Reste_GrandsCotes_JZ05">'Feuille de Débit JZ05 &amp; JZ07'!$V$10</definedName>
    <definedName name="Debit_NbPlanchesX10_Reste_PetitsCotes_JZ05">'Feuille de Débit JZ05 &amp; JZ07'!$V$18</definedName>
    <definedName name="Debit_NbPlanchesX10_Reste_Plancher_JZ02">'Feuille de Débit JZ02'!$B$15</definedName>
    <definedName name="Debit_NbPlanchesX10_Reste_Plancher_JZ04">'Feuille de Débit JZ04 &amp; JZ06'!$B$17</definedName>
    <definedName name="Debit_NbPlanchesX10_Reste_Plancher_JZ05">'Feuille de Débit JZ05 &amp; JZ07'!$B$17</definedName>
    <definedName name="Debit_NbPlanchesX10_Reste_Toit_JZ05">'Feuille de Débit JZ05 &amp; JZ07'!$V$26</definedName>
    <definedName name="Debit_NbPlanchesX10_Sup1_JZ02">'Feuille de Débit JZ02'!$K$16</definedName>
    <definedName name="Debit_NbPlanchesX10_Sup1_JZ04">'Feuille de Débit JZ04 &amp; JZ06'!$K$16</definedName>
    <definedName name="Debit_NbPlanchesX10_Sup1_JZ05">'Feuille de Débit JZ05 &amp; JZ07'!$K$16</definedName>
    <definedName name="Debit_NbPlanchesX10_Sup2_JZ02">'Feuille de Débit JZ02'!$K$17</definedName>
    <definedName name="Debit_NbPlanchesX10_Sup2_JZ04">'Feuille de Débit JZ04 &amp; JZ06'!$K$17</definedName>
    <definedName name="Debit_NbPlanchesX10_Sup2_JZ05">'Feuille de Débit JZ05 &amp; JZ07'!$K$17</definedName>
    <definedName name="Debit_NbPlanchesX10_Sup3_JZ02">'Feuille de Débit JZ02'!$K$18</definedName>
    <definedName name="Debit_NbPlanchesX10_Sup3_JZ04">'Feuille de Débit JZ04 &amp; JZ06'!$K$18</definedName>
    <definedName name="Debit_NbPlanchesX10_Sup3_JZ05">'Feuille de Débit JZ05 &amp; JZ07'!$K$18</definedName>
    <definedName name="Debit_NbPlanchesX10_Sup4_JZ02">'Feuille de Débit JZ02'!$K$19</definedName>
    <definedName name="Debit_NbPlanchesX10_Sup4_JZ04">'Feuille de Débit JZ04 &amp; JZ06'!$K$19</definedName>
    <definedName name="Debit_NbPlanchesX10_Sup4_JZ05">'Feuille de Débit JZ05 &amp; JZ07'!$K$19</definedName>
    <definedName name="Debit_NbPlanchesX10_Toit_JZ05">'Feuille de Débit JZ05 &amp; JZ07'!$V$25</definedName>
    <definedName name="Debit_NbPlanchesX12_5_GrandsCotes_JZ05">'Feuille de Débit JZ05 &amp; JZ07'!$V$11</definedName>
    <definedName name="Debit_NbPlanchesX12_5_PetitsCotes_JZ05">'Feuille de Débit JZ05 &amp; JZ07'!$V$19</definedName>
    <definedName name="Debit_NbPlanchesX12_5_Plancher_JZ02">'Feuille de Débit JZ02'!$B$16</definedName>
    <definedName name="Debit_NbPlanchesX12_5_Plancher_JZ04">'Feuille de Débit JZ04 &amp; JZ06'!$B$18</definedName>
    <definedName name="Debit_NbPlanchesX12_5_Plancher_JZ05">'Feuille de Débit JZ05 &amp; JZ07'!$B$18</definedName>
    <definedName name="Debit_NbPlanchesX12_5_Reste_GrandsCotes_JZ05">'Feuille de Débit JZ05 &amp; JZ07'!$V$12</definedName>
    <definedName name="Debit_NbPlanchesX12_5_Reste_PetitsCotes_JZ05">'Feuille de Débit JZ05 &amp; JZ07'!$V$20</definedName>
    <definedName name="Debit_NbPlanchesX12_5_Reste_Plancher_JZ02">'Feuille de Débit JZ02'!$B$17</definedName>
    <definedName name="Debit_NbPlanchesX12_5_Reste_Plancher_JZ04">'Feuille de Débit JZ04 &amp; JZ06'!$B$19</definedName>
    <definedName name="Debit_NbPlanchesX12_5_Reste_Plancher_JZ05">'Feuille de Débit JZ05 &amp; JZ07'!$B$19</definedName>
    <definedName name="Debit_NbPlanchesX12_5_Reste_Toit_JZ05">'Feuille de Débit JZ05 &amp; JZ07'!$V$28</definedName>
    <definedName name="Debit_NbPlanchesX12_5_Sup1_JZ02">'Feuille de Débit JZ02'!$K$20</definedName>
    <definedName name="Debit_NbPlanchesX12_5_Sup1_JZ04">'Feuille de Débit JZ04 &amp; JZ06'!$K$20</definedName>
    <definedName name="Debit_NbPlanchesX12_5_Sup1_JZ05">'Feuille de Débit JZ05 &amp; JZ07'!$K$20</definedName>
    <definedName name="Debit_NbPlanchesX12_5_Sup2_JZ02">'Feuille de Débit JZ02'!$K$21</definedName>
    <definedName name="Debit_NbPlanchesX12_5_Sup2_JZ04">'Feuille de Débit JZ04 &amp; JZ06'!$K$21</definedName>
    <definedName name="Debit_NbPlanchesX12_5_Sup2_JZ05">'Feuille de Débit JZ05 &amp; JZ07'!$K$21</definedName>
    <definedName name="Debit_NbPlanchesX12_5_Sup3_JZ02">'Feuille de Débit JZ02'!$K$22</definedName>
    <definedName name="Debit_NbPlanchesX12_5_Sup3_JZ04">'Feuille de Débit JZ04 &amp; JZ06'!$K$22</definedName>
    <definedName name="Debit_NbPlanchesX12_5_Sup3_JZ05">'Feuille de Débit JZ05 &amp; JZ07'!$K$22</definedName>
    <definedName name="Debit_NbPlanchesX12_5_Sup4_JZ02">'Feuille de Débit JZ02'!$K$23</definedName>
    <definedName name="Debit_NbPlanchesX12_5_Sup4_JZ04">'Feuille de Débit JZ04 &amp; JZ06'!$K$23</definedName>
    <definedName name="Debit_NbPlanchesX12_5_Sup4_JZ05">'Feuille de Débit JZ05 &amp; JZ07'!$K$23</definedName>
    <definedName name="Debit_NbPlanchesX12_5_Toit_JZ05">'Feuille de Débit JZ05 &amp; JZ07'!$V$27</definedName>
    <definedName name="Debit_NbPlanchesX15_GrandsCotes_JZ05">'Feuille de Débit JZ05 &amp; JZ07'!$V$13</definedName>
    <definedName name="Debit_NbPlanchesX15_PetitsCotes_JZ05">'Feuille de Débit JZ05 &amp; JZ07'!$V$21</definedName>
    <definedName name="Debit_NbPlanchesX15_Plancher_JZ02">'Feuille de Débit JZ02'!$B$18</definedName>
    <definedName name="Debit_NbPlanchesX15_Plancher_JZ04">'Feuille de Débit JZ04 &amp; JZ06'!$B$20</definedName>
    <definedName name="Debit_NbPlanchesX15_Plancher_JZ05">'Feuille de Débit JZ05 &amp; JZ07'!$B$20</definedName>
    <definedName name="Debit_NbPlanchesX15_Reste_GrandsCotes_JZ05">'Feuille de Débit JZ05 &amp; JZ07'!$V$14</definedName>
    <definedName name="Debit_NbPlanchesX15_Reste_PetitsCotes_JZ05">'Feuille de Débit JZ05 &amp; JZ07'!$V$22</definedName>
    <definedName name="Debit_NbPlanchesX15_Reste_Plancher_JZ02">'Feuille de Débit JZ02'!$B$19+'Feuille de Débit JZ02'!$B$19</definedName>
    <definedName name="Debit_NbPlanchesX15_Reste_Plancher_JZ04">'Feuille de Débit JZ04 &amp; JZ06'!$B$21</definedName>
    <definedName name="Debit_NbPlanchesX15_Reste_Plancher_JZ05">'Feuille de Débit JZ05 &amp; JZ07'!$B$21</definedName>
    <definedName name="Debit_NbPlanchesX15_Reste_Toit_JZ05">'Feuille de Débit JZ05 &amp; JZ07'!$V$30</definedName>
    <definedName name="Debit_NbPlanchesX15_Sup1_JZ02">'Feuille de Débit JZ02'!$K$24</definedName>
    <definedName name="Debit_NbPlanchesX15_Sup1_JZ04">'Feuille de Débit JZ04 &amp; JZ06'!$K$24</definedName>
    <definedName name="Debit_NbPlanchesX15_Sup1_JZ05">'Feuille de Débit JZ05 &amp; JZ07'!$K$24</definedName>
    <definedName name="Debit_NbPlanchesX15_Sup2_JZ02">'Feuille de Débit JZ02'!$K$25</definedName>
    <definedName name="Debit_NbPlanchesX15_Sup2_JZ04">'Feuille de Débit JZ04 &amp; JZ06'!$K$25</definedName>
    <definedName name="Debit_NbPlanchesX15_Sup2_JZ05">'Feuille de Débit JZ05 &amp; JZ07'!$K$25</definedName>
    <definedName name="Debit_NbPlanchesX15_Sup3_JZ02">'Feuille de Débit JZ02'!$K$26</definedName>
    <definedName name="Debit_NbPlanchesX15_Sup3_JZ04">'Feuille de Débit JZ04 &amp; JZ06'!$K$26</definedName>
    <definedName name="Debit_NbPlanchesX15_Sup3_JZ05">'Feuille de Débit JZ05 &amp; JZ07'!$K$26</definedName>
    <definedName name="Debit_NbPlanchesX15_Sup4_JZ02">'Feuille de Débit JZ02'!$K$27</definedName>
    <definedName name="Debit_NbPlanchesX15_Sup4_JZ04">'Feuille de Débit JZ04 &amp; JZ06'!$K$27</definedName>
    <definedName name="Debit_NbPlanchesX15_Sup4_JZ05">'Feuille de Débit JZ05 &amp; JZ07'!$K$27</definedName>
    <definedName name="Debit_NbPlanchesX15_Toit_JZ05">'Feuille de Débit JZ05 &amp; JZ07'!$V$29</definedName>
    <definedName name="Debit_Numero_Colis_JZ02">'Feuille de Débit JZ02'!$N$1:$Q$1</definedName>
    <definedName name="Debit_Numero_Colis_JZ04">'Feuille de Débit JZ04 &amp; JZ06'!$N$1:$Q$1</definedName>
    <definedName name="Debit_Numero_Colis_JZ05">'Feuille de Débit JZ05 &amp; JZ07'!$N$1:$Q$1</definedName>
    <definedName name="Debit_Numero_ColisBis_JZ04">'Feuille de Débit JZ04 &amp; JZ06'!$AB$1:$AC$1</definedName>
    <definedName name="Debit_Numero_ColisBis_JZ05">'Feuille de Débit JZ05 &amp; JZ07'!$AB$1:$AC$1</definedName>
    <definedName name="Debit_Numero_Job_JZ02">'Feuille de Débit JZ02'!$H$1</definedName>
    <definedName name="Debit_Numero_Job_JZ04">'Feuille de Débit JZ04 &amp; JZ06'!$H$1</definedName>
    <definedName name="Debit_Numero_Job_JZ05">'Feuille de Débit JZ05 &amp; JZ07'!$H$1</definedName>
    <definedName name="Debit_Numero_JobBis_JZ04">'Feuille de Débit JZ04 &amp; JZ06'!$W$1:$Y$1</definedName>
    <definedName name="Debit_Numero_JobBis_JZ05">'Feuille de Débit JZ05 &amp; JZ07'!$W$1:$Y$1</definedName>
    <definedName name="Debit_Packing_Type_JZ02">'Feuille de Débit JZ02'!$A$4</definedName>
    <definedName name="Debit_Packing_Type_JZ04">'Feuille de Débit JZ04 &amp; JZ06'!$A$4</definedName>
    <definedName name="Debit_Packing_Type_JZ05">'Feuille de Débit JZ05 &amp; JZ07'!$A$4</definedName>
    <definedName name="essai">'Package Estimation'!$D$11</definedName>
    <definedName name="Haut_ChaisesBas_JZ02">'Calc JZ02'!$C$14</definedName>
    <definedName name="Haut_ChaisesBas_JZ04">'Calc JZ04 &amp; JZ06'!$D$14</definedName>
    <definedName name="Haut_ChaisesBas_JZ05">'Calc JZ05 &amp; JZ07'!$D$14</definedName>
    <definedName name="Haut_ChaisesHaut_JZ02">'Calc JZ02'!$C$15</definedName>
    <definedName name="Haut_ChaisesHaut_JZ04">'Calc JZ04 &amp; JZ06'!$D$15</definedName>
    <definedName name="Haut_ChaisesHaut_JZ05">'Calc JZ05 &amp; JZ07'!$D$15</definedName>
    <definedName name="Haut_GrandsCotes_Panneaux_JZ04">'Calc JZ04 &amp; JZ06'!$G$19</definedName>
    <definedName name="Haut_GrandsCotes_Panneaux_JZ05">'Calc JZ05 &amp; JZ07'!$G$19</definedName>
    <definedName name="Haut_PetitsCotes_Panneaux_JZ04">'Calc JZ04 &amp; JZ06'!$G$20</definedName>
    <definedName name="Haut_PetitsCotes_Panneaux_JZ05">'Calc JZ05 &amp; JZ07'!$G$20</definedName>
    <definedName name="Haut_SousVide_JZ04">'Calc JZ04 &amp; JZ06'!$G$24</definedName>
    <definedName name="Haut_SousVide_JZ05">'Calc JZ05 &amp; JZ07'!$G$24</definedName>
    <definedName name="Hauteur_Chassis_JZ02">'Calc JZ02'!$C$7</definedName>
    <definedName name="Hauteur_Chassis_JZ04">'Calc JZ04 &amp; JZ06'!$D$7</definedName>
    <definedName name="Hauteur_Chassis_JZ05">'Calc JZ05 &amp; JZ07'!$D$7</definedName>
    <definedName name="Larg_ContrePlaque_Sup1_JZ02">'Calc JZ02'!$M$25</definedName>
    <definedName name="Larg_ContrePlaque_Sup1_JZ04">'Calc JZ04 &amp; JZ06'!$O$25</definedName>
    <definedName name="Larg_ContrePlaque_Sup1_JZ05">'Calc JZ05 &amp; JZ07'!$O$25</definedName>
    <definedName name="Larg_ContrePlaque_Sup2_JZ02">'Calc JZ02'!$M$26</definedName>
    <definedName name="Larg_ContrePlaque_Sup2_JZ04">'Calc JZ04 &amp; JZ06'!$O$26</definedName>
    <definedName name="Larg_ContrePlaque_Sup2_JZ05">'Calc JZ05 &amp; JZ07'!$O$26</definedName>
    <definedName name="Larg_ContrePlaque_Sup3_JZ02">'Calc JZ02'!$M$27</definedName>
    <definedName name="Larg_ContrePlaque_Sup3_JZ04">'Calc JZ04 &amp; JZ06'!$O$27</definedName>
    <definedName name="Larg_ContrePlaque_Sup3_JZ05">'Calc JZ05 &amp; JZ07'!$O$27</definedName>
    <definedName name="Larg_ContrePlaque_Sup4_JZ02">'Calc JZ02'!$M$28</definedName>
    <definedName name="Larg_ContrePlaque_Sup4_JZ04">'Calc JZ04 &amp; JZ06'!$O$28</definedName>
    <definedName name="Larg_ContrePlaque_Sup4_JZ05">'Calc JZ05 &amp; JZ07'!$O$28</definedName>
    <definedName name="Larg_PetitsCotes_Panneaux_JZ04">'Calc JZ04 &amp; JZ06'!$D$20</definedName>
    <definedName name="Larg_PetitsCotes_Panneaux_JZ05">'Calc JZ05 &amp; JZ07'!$D$20</definedName>
    <definedName name="Larg_SousVide_JZ04">'Calc JZ04 &amp; JZ06'!$E$24</definedName>
    <definedName name="Larg_SousVide_JZ05">'Calc JZ05 &amp; JZ07'!$E$24</definedName>
    <definedName name="Larg_Toit_Panneaux_JZ04">'Calc JZ04 &amp; JZ06'!$G$21</definedName>
    <definedName name="Larg_Toit_Panneaux_JZ05">'Calc JZ05 &amp; JZ07'!$G$21</definedName>
    <definedName name="Long_Chevrons5X8_Sup1_JZ02">'Calc JZ02'!$K$9</definedName>
    <definedName name="Long_Chevrons5X8_Sup1_JZ04">'Calc JZ04 &amp; JZ06'!$M$9</definedName>
    <definedName name="Long_Chevrons5X8_Sup1_JZ05">'Calc JZ05 &amp; JZ07'!$M$9</definedName>
    <definedName name="Long_Chevrons5X8_Sup2_JZ02">'Calc JZ02'!$K$10</definedName>
    <definedName name="Long_Chevrons5X8_Sup2_JZ04">'Calc JZ04 &amp; JZ06'!$M$10</definedName>
    <definedName name="Long_Chevrons5X8_Sup2_JZ05">'Calc JZ05 &amp; JZ07'!$M$10</definedName>
    <definedName name="Long_Chevrons5X8_Sup3_JZ02">'Calc JZ02'!$K$11</definedName>
    <definedName name="Long_Chevrons5X8_Sup3_JZ04">'Calc JZ04 &amp; JZ06'!$M$11</definedName>
    <definedName name="Long_Chevrons5X8_Sup3_JZ05">'Calc JZ05 &amp; JZ07'!$M$11</definedName>
    <definedName name="Long_Chevrons5X8_Sup4_JZ02">'Calc JZ02'!$K$12</definedName>
    <definedName name="Long_Chevrons5X8_Sup4_JZ04">'Calc JZ04 &amp; JZ06'!$M$12</definedName>
    <definedName name="Long_Chevrons5X8_Sup4_JZ05">'Calc JZ05 &amp; JZ07'!$M$12</definedName>
    <definedName name="Long_Chevrons8X10_Sup1_JZ02">'Calc JZ02'!$K$5</definedName>
    <definedName name="Long_Chevrons8X10_Sup1_JZ04">'Calc JZ04 &amp; JZ06'!$M$5</definedName>
    <definedName name="Long_Chevrons8X10_Sup1_JZ05">'Calc JZ05 &amp; JZ07'!$M$5</definedName>
    <definedName name="Long_Chevrons8X10_Sup2_JZ02">'Calc JZ02'!$K$6</definedName>
    <definedName name="Long_Chevrons8X10_Sup2_JZ04">'Calc JZ04 &amp; JZ06'!$M$6</definedName>
    <definedName name="Long_Chevrons8X10_Sup2_JZ05">'Calc JZ05 &amp; JZ07'!$M$6</definedName>
    <definedName name="Long_Chevrons8X10_Sup3_JZ02">'Calc JZ02'!$K$7</definedName>
    <definedName name="Long_Chevrons8X10_Sup3_JZ04">'Calc JZ04 &amp; JZ06'!$M$7</definedName>
    <definedName name="Long_Chevrons8X10_Sup3_JZ05">'Calc JZ05 &amp; JZ07'!$M$7</definedName>
    <definedName name="Long_Chevrons8X10_Sup4_JZ02">'Calc JZ02'!$K$8</definedName>
    <definedName name="Long_Chevrons8X10_Sup4_JZ04">'Calc JZ04 &amp; JZ06'!$M$8</definedName>
    <definedName name="Long_Chevrons8X10_Sup4_JZ05">'Calc JZ05 &amp; JZ07'!$M$8</definedName>
    <definedName name="Long_ChevronsBas_Chassis_JZ02">'Calc JZ02'!$C$5</definedName>
    <definedName name="Long_ChevronsBas_Chassis_JZ04">'Calc JZ04 &amp; JZ06'!$D$5</definedName>
    <definedName name="Long_ChevronsBas_Chassis_JZ05">'Calc JZ05 &amp; JZ07'!$D$5</definedName>
    <definedName name="Long_ChevronsHaut_Chassis_JZ02">'Calc JZ02'!$C$6</definedName>
    <definedName name="Long_ChevronsHaut_Chassis_JZ04">'Calc JZ04 &amp; JZ06'!$D$6</definedName>
    <definedName name="Long_ChevronsHaut_Chassis_JZ05">'Calc JZ05 &amp; JZ07'!$D$6</definedName>
    <definedName name="Long_ContrePlaque_Sup1_JZ02">'Calc JZ02'!$K$25</definedName>
    <definedName name="Long_ContrePlaque_Sup1_JZ04">'Calc JZ04 &amp; JZ06'!$M$25</definedName>
    <definedName name="Long_ContrePlaque_Sup1_JZ05">'Calc JZ05 &amp; JZ07'!$M$25</definedName>
    <definedName name="Long_ContrePlaque_Sup2_JZ02">'Calc JZ02'!$K$26</definedName>
    <definedName name="Long_ContrePlaque_Sup2_JZ04">'Calc JZ04 &amp; JZ06'!$M$26</definedName>
    <definedName name="Long_ContrePlaque_Sup2_JZ05">'Calc JZ05 &amp; JZ07'!$M$26</definedName>
    <definedName name="Long_ContrePlaque_Sup3_JZ02">'Calc JZ02'!$K$27</definedName>
    <definedName name="Long_ContrePlaque_Sup3_JZ04">'Calc JZ04 &amp; JZ06'!$M$27</definedName>
    <definedName name="Long_ContrePlaque_Sup3_JZ05">'Calc JZ05 &amp; JZ07'!$M$27</definedName>
    <definedName name="Long_ContrePlaque_Sup4_JZ02">'Calc JZ02'!$K$28</definedName>
    <definedName name="Long_ContrePlaque_Sup4_JZ04">'Calc JZ04 &amp; JZ06'!$M$28</definedName>
    <definedName name="Long_ContrePlaque_Sup4_JZ05">'Calc JZ05 &amp; JZ07'!$M$28</definedName>
    <definedName name="Long_GrandsCotes_Panneaux_JZ04">'Calc JZ04 &amp; JZ06'!$D$19</definedName>
    <definedName name="Long_GrandsCotes_Panneaux_JZ05">'Calc JZ05 &amp; JZ07'!$D$19</definedName>
    <definedName name="Long_Plancher_Chassis_JZ02">'Calc JZ02'!$C$8</definedName>
    <definedName name="Long_Plancher_Chassis_JZ04">'Calc JZ04 &amp; JZ06'!$D$8</definedName>
    <definedName name="Long_Plancher_Chassis_JZ05">'Calc JZ05 &amp; JZ07'!$D$8</definedName>
    <definedName name="Long_PlanchesX10_Sup1_JZ02">'Calc JZ02'!$K$13</definedName>
    <definedName name="Long_PlanchesX10_Sup1_JZ04">'Calc JZ04 &amp; JZ06'!$M$13</definedName>
    <definedName name="Long_PlanchesX10_Sup1_JZ05">'Calc JZ05 &amp; JZ07'!$M$13</definedName>
    <definedName name="Long_PlanchesX10_Sup2_JZ02">'Calc JZ02'!$K$14</definedName>
    <definedName name="Long_PlanchesX10_Sup2_JZ04">'Calc JZ04 &amp; JZ06'!$M$14</definedName>
    <definedName name="Long_PlanchesX10_Sup2_JZ05">'Calc JZ05 &amp; JZ07'!$M$14</definedName>
    <definedName name="Long_PlanchesX10_Sup3_JZ02">'Calc JZ02'!$K$15</definedName>
    <definedName name="Long_PlanchesX10_Sup3_JZ04">'Calc JZ04 &amp; JZ06'!$M$15</definedName>
    <definedName name="Long_PlanchesX10_Sup3_JZ05">'Calc JZ05 &amp; JZ07'!$M$15</definedName>
    <definedName name="Long_PlanchesX10_Sup4_JZ02">'Calc JZ02'!$K$16</definedName>
    <definedName name="Long_PlanchesX10_Sup4_JZ04">'Calc JZ04 &amp; JZ06'!$M$16</definedName>
    <definedName name="Long_PlanchesX10_Sup4_JZ05">'Calc JZ05 &amp; JZ07'!$M$16</definedName>
    <definedName name="Long_PlanchesX12_5_Sup1_JZ02">'Calc JZ02'!$K$17</definedName>
    <definedName name="Long_PlanchesX12_5_Sup1_JZ04">'Calc JZ04 &amp; JZ06'!$M$17</definedName>
    <definedName name="Long_PlanchesX12_5_Sup1_JZ05">'Calc JZ05 &amp; JZ07'!$M$17</definedName>
    <definedName name="Long_PlanchesX12_5_Sup2_JZ02">'Calc JZ02'!$K$18</definedName>
    <definedName name="Long_PlanchesX12_5_Sup2_JZ04">'Calc JZ04 &amp; JZ06'!$M$18</definedName>
    <definedName name="Long_PlanchesX12_5_Sup2_JZ05">'Calc JZ05 &amp; JZ07'!$M$18</definedName>
    <definedName name="Long_PlanchesX12_5_Sup3_JZ02">'Calc JZ02'!$K$19</definedName>
    <definedName name="Long_PlanchesX12_5_Sup3_JZ04">'Calc JZ04 &amp; JZ06'!$M$19</definedName>
    <definedName name="Long_PlanchesX12_5_Sup3_JZ05">'Calc JZ05 &amp; JZ07'!$M$19</definedName>
    <definedName name="Long_PlanchesX12_5_Sup4_JZ02">'Calc JZ02'!$K$20</definedName>
    <definedName name="Long_PlanchesX12_5_Sup4_JZ04">'Calc JZ04 &amp; JZ06'!$M$20</definedName>
    <definedName name="Long_PlanchesX12_5_Sup4_JZ05">'Calc JZ05 &amp; JZ07'!$M$20</definedName>
    <definedName name="Long_PlanchesX15_Sup1_JZ02">'Calc JZ02'!$K$21</definedName>
    <definedName name="Long_PlanchesX15_Sup1_JZ04">'Calc JZ04 &amp; JZ06'!$M$21</definedName>
    <definedName name="Long_PlanchesX15_Sup1_JZ05">'Calc JZ05 &amp; JZ07'!$M$21</definedName>
    <definedName name="Long_PlanchesX15_Sup2_JZ02">'Calc JZ02'!$K$22</definedName>
    <definedName name="Long_PlanchesX15_Sup2_JZ04">'Calc JZ04 &amp; JZ06'!$M$22</definedName>
    <definedName name="Long_PlanchesX15_Sup2_JZ05">'Calc JZ05 &amp; JZ07'!$M$22</definedName>
    <definedName name="Long_PlanchesX15_Sup3_JZ02">'Calc JZ02'!$K$23</definedName>
    <definedName name="Long_PlanchesX15_Sup3_JZ04">'Calc JZ04 &amp; JZ06'!$M$23</definedName>
    <definedName name="Long_PlanchesX15_Sup3_JZ05">'Calc JZ05 &amp; JZ07'!$M$23</definedName>
    <definedName name="Long_PlanchesX15_Sup4_JZ02">'Calc JZ02'!$K$24</definedName>
    <definedName name="Long_PlanchesX15_Sup4_JZ04">'Calc JZ04 &amp; JZ06'!$M$24</definedName>
    <definedName name="Long_PlanchesX15_Sup4_JZ05">'Calc JZ05 &amp; JZ07'!$M$24</definedName>
    <definedName name="Long_SousVide_JZ04">'Calc JZ04 &amp; JZ06'!$C$24</definedName>
    <definedName name="Long_SousVide_JZ05">'Calc JZ05 &amp; JZ07'!$C$24</definedName>
    <definedName name="Long_Toit_Panneaux_JZ04">'Calc JZ04 &amp; JZ06'!$D$21</definedName>
    <definedName name="Long_Toit_Panneaux_JZ05">'Calc JZ05 &amp; JZ07'!$D$21</definedName>
    <definedName name="Nb_ChaisesBas_JZ02">'Calc JZ02'!$C$12</definedName>
    <definedName name="Nb_ChaisesBas_JZ04">'Calc JZ04 &amp; JZ06'!$D$12</definedName>
    <definedName name="Nb_ChaisesBas_JZ05">'Calc JZ05 &amp; JZ07'!$D$12</definedName>
    <definedName name="Nb_ChaisesHaut_JZ02">'Calc JZ02'!$C$13</definedName>
    <definedName name="Nb_ChaisesHaut_JZ04">'Calc JZ04 &amp; JZ06'!$D$13</definedName>
    <definedName name="Nb_ChaisesHaut_JZ05">'Calc JZ05 &amp; JZ07'!$D$13</definedName>
    <definedName name="Nb_Chevrons5X8_Sup1_JZ02">'Calc JZ02'!$I$9</definedName>
    <definedName name="Nb_Chevrons5X8_Sup1_JZ04">'Calc JZ04 &amp; JZ06'!$K$9</definedName>
    <definedName name="Nb_Chevrons5X8_Sup1_JZ05">'Calc JZ05 &amp; JZ07'!$K$9</definedName>
    <definedName name="Nb_Chevrons5X8_Sup2_JZ02">'Calc JZ02'!$I$10</definedName>
    <definedName name="Nb_Chevrons5X8_Sup2_JZ04">'Calc JZ04 &amp; JZ06'!$K$10</definedName>
    <definedName name="Nb_Chevrons5X8_Sup2_JZ05">'Calc JZ05 &amp; JZ07'!$K$10</definedName>
    <definedName name="Nb_Chevrons5X8_Sup3_JZ02">'Calc JZ02'!$I$11</definedName>
    <definedName name="Nb_Chevrons5X8_Sup3_JZ04">'Calc JZ04 &amp; JZ06'!$K$11</definedName>
    <definedName name="Nb_Chevrons5X8_Sup3_JZ05">'Calc JZ05 &amp; JZ07'!$K$11</definedName>
    <definedName name="Nb_Chevrons5X8_Sup4_JZ02">'Calc JZ02'!$I$12</definedName>
    <definedName name="Nb_Chevrons5X8_Sup4_JZ04">'Calc JZ04 &amp; JZ06'!$K$12</definedName>
    <definedName name="Nb_Chevrons5X8_Sup4_JZ05">'Calc JZ05 &amp; JZ07'!$K$12</definedName>
    <definedName name="Nb_Chevrons8X10_Sup1_JZ02">'Calc JZ02'!$I$5</definedName>
    <definedName name="Nb_Chevrons8X10_Sup1_JZ04">'Calc JZ04 &amp; JZ06'!$K$5</definedName>
    <definedName name="Nb_Chevrons8X10_Sup1_JZ05">'Calc JZ05 &amp; JZ07'!$K$5</definedName>
    <definedName name="Nb_Chevrons8X10_Sup2_JZ02">'Calc JZ02'!$I$6</definedName>
    <definedName name="Nb_Chevrons8X10_Sup2_JZ04">'Calc JZ04 &amp; JZ06'!$K$6</definedName>
    <definedName name="Nb_Chevrons8X10_Sup2_JZ05">'Calc JZ05 &amp; JZ07'!$K$6</definedName>
    <definedName name="Nb_Chevrons8X10_Sup3_JZ02">'Calc JZ02'!$I$7</definedName>
    <definedName name="Nb_Chevrons8X10_Sup3_JZ04">'Calc JZ04 &amp; JZ06'!$K$7</definedName>
    <definedName name="Nb_Chevrons8X10_Sup3_JZ05">'Calc JZ05 &amp; JZ07'!$K$7</definedName>
    <definedName name="Nb_Chevrons8X10_Sup4_JZ02">'Calc JZ02'!$I$8</definedName>
    <definedName name="Nb_Chevrons8X10_Sup4_JZ04">'Calc JZ04 &amp; JZ06'!$K$8</definedName>
    <definedName name="Nb_Chevrons8X10_Sup4_JZ05">'Calc JZ05 &amp; JZ07'!$K$8</definedName>
    <definedName name="Nb_ContrePlaque_Sup1_JZ02">'Calc JZ02'!$I$25</definedName>
    <definedName name="Nb_ContrePlaque_Sup1_JZ04">'Calc JZ04 &amp; JZ06'!$K$25</definedName>
    <definedName name="Nb_ContrePlaque_Sup1_JZ05">'Calc JZ05 &amp; JZ07'!$K$25</definedName>
    <definedName name="Nb_ContrePlaque_Sup2_JZ02">'Calc JZ02'!$I$26</definedName>
    <definedName name="Nb_ContrePlaque_Sup2_JZ04">'Calc JZ04 &amp; JZ06'!$K$26</definedName>
    <definedName name="Nb_ContrePlaque_Sup2_JZ05">'Calc JZ05 &amp; JZ07'!$K$26</definedName>
    <definedName name="Nb_ContrePlaque_Sup3_JZ02">'Calc JZ02'!$I$27</definedName>
    <definedName name="Nb_ContrePlaque_Sup3_JZ04">'Calc JZ04 &amp; JZ06'!$K$27</definedName>
    <definedName name="Nb_ContrePlaque_Sup3_JZ05">'Calc JZ05 &amp; JZ07'!$K$27</definedName>
    <definedName name="Nb_ContrePlaque_Sup4_JZ02">'Calc JZ02'!$I$28</definedName>
    <definedName name="Nb_ContrePlaque_Sup4_JZ04">'Calc JZ04 &amp; JZ06'!$K$28</definedName>
    <definedName name="Nb_ContrePlaque_Sup4_JZ05">'Calc JZ05 &amp; JZ07'!$K$28</definedName>
    <definedName name="Nb_Heure_JZ02">'Calc JZ02'!$C$23</definedName>
    <definedName name="Nb_Heure_JZ04">'Calc JZ04 &amp; JZ06'!$D$32</definedName>
    <definedName name="Nb_Heure_JZ05">'Calc JZ05 &amp; JZ07'!$D$32</definedName>
    <definedName name="Nb_PlanchesX10_Sup1_JZ02">'Calc JZ02'!$I$13</definedName>
    <definedName name="Nb_PlanchesX10_Sup1_JZ04">'Calc JZ04 &amp; JZ06'!$K$13</definedName>
    <definedName name="Nb_PlanchesX10_Sup1_JZ05">'Calc JZ05 &amp; JZ07'!$K$13</definedName>
    <definedName name="Nb_PlanchesX10_Sup2_JZ02">'Calc JZ02'!$I$14</definedName>
    <definedName name="Nb_PlanchesX10_Sup2_JZ04">'Calc JZ04 &amp; JZ06'!$K$14</definedName>
    <definedName name="Nb_PlanchesX10_Sup2_JZ05">'Calc JZ05 &amp; JZ07'!$K$14</definedName>
    <definedName name="Nb_PlanchesX10_Sup3_JZ02">'Calc JZ02'!$I$15</definedName>
    <definedName name="Nb_PlanchesX10_Sup3_JZ04">'Calc JZ04 &amp; JZ06'!$K$15</definedName>
    <definedName name="Nb_PlanchesX10_Sup3_JZ05">'Calc JZ05 &amp; JZ07'!$K$15</definedName>
    <definedName name="Nb_PlanchesX10_Sup4_JZ02">'Calc JZ02'!$I$16</definedName>
    <definedName name="Nb_PlanchesX10_Sup4_JZ04">'Calc JZ04 &amp; JZ06'!$K$16</definedName>
    <definedName name="Nb_PlanchesX10_Sup4_JZ05">'Calc JZ05 &amp; JZ07'!$K$16</definedName>
    <definedName name="Nb_PlanchesX12_5_Sup1_JZ02">'Calc JZ02'!$I$17</definedName>
    <definedName name="Nb_PlanchesX12_5_Sup1_JZ04">'Calc JZ04 &amp; JZ06'!$K$17</definedName>
    <definedName name="Nb_PlanchesX12_5_Sup1_JZ05">'Calc JZ05 &amp; JZ07'!$K$17</definedName>
    <definedName name="Nb_PlanchesX12_5_Sup2_JZ02">'Calc JZ02'!$I$18</definedName>
    <definedName name="Nb_PlanchesX12_5_Sup2_JZ04">'Calc JZ04 &amp; JZ06'!$K$18</definedName>
    <definedName name="Nb_PlanchesX12_5_Sup2_JZ05">'Calc JZ05 &amp; JZ07'!$K$18</definedName>
    <definedName name="Nb_PlanchesX12_5_Sup3_JZ02">'Calc JZ02'!$I$19</definedName>
    <definedName name="Nb_PlanchesX12_5_Sup3_JZ04">'Calc JZ04 &amp; JZ06'!$K$19</definedName>
    <definedName name="Nb_PlanchesX12_5_Sup3_JZ05">'Calc JZ05 &amp; JZ07'!$K$19</definedName>
    <definedName name="Nb_PlanchesX12_5_Sup4_JZ02">'Calc JZ02'!$I$20</definedName>
    <definedName name="Nb_PlanchesX12_5_Sup4_JZ04">'Calc JZ04 &amp; JZ06'!$K$20</definedName>
    <definedName name="Nb_PlanchesX12_5_Sup4_JZ05">'Calc JZ05 &amp; JZ07'!$K$20</definedName>
    <definedName name="Nb_PlanchesX15_Sup1_JZ02">'Calc JZ02'!$I$21</definedName>
    <definedName name="Nb_PlanchesX15_Sup1_JZ04">'Calc JZ04 &amp; JZ06'!$K$21</definedName>
    <definedName name="Nb_PlanchesX15_Sup1_JZ05">'Calc JZ05 &amp; JZ07'!$K$21</definedName>
    <definedName name="Nb_PlanchesX15_Sup2_JZ02">'Calc JZ02'!$I$22</definedName>
    <definedName name="Nb_PlanchesX15_Sup2_JZ04">'Calc JZ04 &amp; JZ06'!$K$22</definedName>
    <definedName name="Nb_PlanchesX15_Sup2_JZ05">'Calc JZ05 &amp; JZ07'!$K$22</definedName>
    <definedName name="Nb_PlanchesX15_Sup3_JZ02">'Calc JZ02'!$I$23</definedName>
    <definedName name="Nb_PlanchesX15_Sup3_JZ04">'Calc JZ04 &amp; JZ06'!$K$23</definedName>
    <definedName name="Nb_PlanchesX15_Sup3_JZ05">'Calc JZ05 &amp; JZ07'!$K$23</definedName>
    <definedName name="Nb_PlanchesX15_Sup4_JZ02">'Calc JZ02'!$I$24</definedName>
    <definedName name="Nb_PlanchesX15_Sup4_JZ04">'Calc JZ04 &amp; JZ06'!$K$24</definedName>
    <definedName name="Nb_PlanchesX15_Sup4_JZ05">'Calc JZ05 &amp; JZ07'!$K$24</definedName>
    <definedName name="Poids_Chevrons5X8_KgXML">'Poids &amp; Prix Materiaux'!$H$7</definedName>
    <definedName name="Poids_Chevrons8X10_KgXML">'Poids &amp; Prix Materiaux'!$H$6</definedName>
    <definedName name="Poids_ContrePlaque_KgXML">'Poids &amp; Prix Materiaux'!$H$13</definedName>
    <definedName name="Poids_PlanchesX10_KgXML">'Poids &amp; Prix Materiaux'!$H$8</definedName>
    <definedName name="Poids_PlanchesX12_5_KgXML">'Poids &amp; Prix Materiaux'!$H$9</definedName>
    <definedName name="Poids_PlanchesX15_KgXML">'Poids &amp; Prix Materiaux'!$H$10</definedName>
    <definedName name="Poids_Skid_JZ04">'Calc JZ04 &amp; JZ06'!$AZ$10</definedName>
    <definedName name="PoidsBotte_Chevrons5X8">'Poids &amp; Prix Materiaux'!$G$7</definedName>
    <definedName name="PoidsBotte_Chevrons8X10">'Poids &amp; Prix Materiaux'!$G$6</definedName>
    <definedName name="PoidsBotte_ContrePlaque">'Poids &amp; Prix Materiaux'!$G$13</definedName>
    <definedName name="PoidsBotte_PlanchesX10">'Poids &amp; Prix Materiaux'!$G$8</definedName>
    <definedName name="PoidsBotte_PlanchesX12_5">'Poids &amp; Prix Materiaux'!$G$9</definedName>
    <definedName name="PoidsBotte_PlanchesX15">'Poids &amp; Prix Materiaux'!$G$10</definedName>
    <definedName name="PoidsBrut">'Totaux M L &amp; Prix JZ02'!$I$11</definedName>
    <definedName name="PoidsBrut_JZ04_JZ06">'Totaux M L &amp; Prix JZ04 &amp; JZ06'!$I$11</definedName>
    <definedName name="PoidsBrut_JZ06_JZ07">'Totaux M L &amp; Prix JZ05 &amp; JZ07'!$I$11</definedName>
    <definedName name="PoidsNet_JZ02">'Totaux M L &amp; Prix JZ02'!$I$9</definedName>
    <definedName name="PoidsNet_JZ02_Calc">'Calc JZ02'!$C$19</definedName>
    <definedName name="PoidsNet_JZ04">'Calc JZ04 &amp; JZ06'!$D$28</definedName>
    <definedName name="PoidsNet_JZ04_JZ06">'Totaux M L &amp; Prix JZ04 &amp; JZ06'!$I$9</definedName>
    <definedName name="PoidsNet_JZ05">'Calc JZ05 &amp; JZ07'!$D$28</definedName>
    <definedName name="PoidsNet_JZ06_JZ07">'Totaux M L &amp; Prix JZ05 &amp; JZ07'!$I$9</definedName>
    <definedName name="PoidsSkid">'Totaux M L &amp; Prix JZ02'!$I$10</definedName>
    <definedName name="PoidsSkid_JZ04_JZ06">'Totaux M L &amp; Prix JZ04 &amp; JZ06'!$I$10</definedName>
    <definedName name="PoidsSkid_JZ05_JZ07">'Totaux M L &amp; Prix JZ05 &amp; JZ07'!$I$10</definedName>
    <definedName name="PoidsTotal_Chevrons5X8">'Totaux M L &amp; Prix JZ02'!$E$8</definedName>
    <definedName name="PoidsTotal_Chevrons5X8_JZ04_JZ06">'Totaux M L &amp; Prix JZ04 &amp; JZ06'!$E$8</definedName>
    <definedName name="PoidsTotal_Chevrons5X8_JZ06_JZ07">'Totaux M L &amp; Prix JZ05 &amp; JZ07'!$E$8</definedName>
    <definedName name="PoidsTotal_Chevrons8X10">'Totaux M L &amp; Prix JZ02'!$E$7</definedName>
    <definedName name="PoidsTotal_Chevrons8X10_JZ04_JZ06">'Totaux M L &amp; Prix JZ04 &amp; JZ06'!$E$7</definedName>
    <definedName name="PoidsTotal_Chevrons8X10_JZ06_JZ07">'Totaux M L &amp; Prix JZ05 &amp; JZ07'!$E$7</definedName>
    <definedName name="PoidsTotal_ContrePlaque">'Totaux M L &amp; Prix JZ02'!$E$14</definedName>
    <definedName name="PoidsTotal_ContrePlaque_JZ04_JZ06">'Totaux M L &amp; Prix JZ04 &amp; JZ06'!$E$14</definedName>
    <definedName name="PoidsTotal_ContrePlaque_JZ06_JZ07">'Totaux M L &amp; Prix JZ05 &amp; JZ07'!$E$14</definedName>
    <definedName name="PoidsTotal_PlanchesX10">'Totaux M L &amp; Prix JZ02'!$E$9</definedName>
    <definedName name="PoidsTotal_PlanchesX10_JZ04_JZ06">'Totaux M L &amp; Prix JZ04 &amp; JZ06'!$E$9</definedName>
    <definedName name="PoidsTotal_PlanchesX10_JZ06_JZ07">'Totaux M L &amp; Prix JZ05 &amp; JZ07'!$E$9</definedName>
    <definedName name="PoidsTotal_PlanchesX12_5">'Totaux M L &amp; Prix JZ02'!$E$10</definedName>
    <definedName name="PoidsTotal_PlanchesX12_5_JZ04_JZ06">'Totaux M L &amp; Prix JZ04 &amp; JZ06'!$E$10</definedName>
    <definedName name="PoidsTotal_PlanchesX12_5_JZ06_JZ07">'Totaux M L &amp; Prix JZ05 &amp; JZ07'!$E$10</definedName>
    <definedName name="PoidsTotal_PlanchesX15">'Totaux M L &amp; Prix JZ02'!$E$11</definedName>
    <definedName name="PoidsTotal_PlanchesX15_JZ04_JZ06">'Totaux M L &amp; Prix JZ04 &amp; JZ06'!$E$11</definedName>
    <definedName name="PoidsTotal_PlanchesX15_JZ06_JZ07">'Totaux M L &amp; Prix JZ05 &amp; JZ07'!$E$11</definedName>
    <definedName name="PoidsTotal_SousVide">'Totaux M L &amp; Prix JZ02'!$E$15</definedName>
    <definedName name="PoidsTotal_SousVide_JZ04_JZ06">'Totaux M L &amp; Prix JZ04 &amp; JZ06'!$E$15</definedName>
    <definedName name="PoidsTotal_SousVide_JZ06_JZ07">'Totaux M L &amp; Prix JZ05 &amp; JZ07'!$E$15</definedName>
    <definedName name="Prix_Chevrons5X8_XBotte">'Poids &amp; Prix Materiaux'!$D$7</definedName>
    <definedName name="Prix_Chevrons5X8_XM3">'Poids &amp; Prix Materiaux'!$E$7</definedName>
    <definedName name="Prix_Chevrons5X8_XML">'Poids &amp; Prix Materiaux'!$F$7</definedName>
    <definedName name="Prix_Chevrons8X10_EurXML">'Poids &amp; Prix Materiaux'!$F$6</definedName>
    <definedName name="Prix_Chevrons8X10_XBotte">'Poids &amp; Prix Materiaux'!$D$6</definedName>
    <definedName name="Prix_Chevrons8X10_XM3">'Poids &amp; Prix Materiaux'!$E$6</definedName>
    <definedName name="Prix_ContrePlaque_XBotte">'Poids &amp; Prix Materiaux'!$D$13</definedName>
    <definedName name="Prix_ContrePlaque_XM2">'Poids &amp; Prix Materiaux'!$E$13</definedName>
    <definedName name="Prix_Horraire_JZ04">'Calc JZ04 &amp; JZ06'!$AZ$6</definedName>
    <definedName name="Prix_PlanchesX10_XBotte">'Poids &amp; Prix Materiaux'!$D$8</definedName>
    <definedName name="Prix_PlanchesX10_XM3">'Poids &amp; Prix Materiaux'!$E$8</definedName>
    <definedName name="Prix_PlanchesX10_XML">'Poids &amp; Prix Materiaux'!$F$8</definedName>
    <definedName name="Prix_PlanchesX12_5_EurXML">'Poids &amp; Prix Materiaux'!$F$9</definedName>
    <definedName name="Prix_PlanchesX12_5_XBotte">'Poids &amp; Prix Materiaux'!$D$9</definedName>
    <definedName name="Prix_PlanchesX12_5_XM3">'Poids &amp; Prix Materiaux'!$E$9</definedName>
    <definedName name="Prix_PlanchesX15_EurXML">'Poids &amp; Prix Materiaux'!$F$10</definedName>
    <definedName name="Prix_PlanchesX15_XBotte">'Poids &amp; Prix Materiaux'!$D$10</definedName>
    <definedName name="Prix_PlanchesX15_XM3">'Poids &amp; Prix Materiaux'!$E$10</definedName>
    <definedName name="PrixTotal">'Totaux M L &amp; Prix JZ02'!$I$14</definedName>
    <definedName name="PrixTotal_Bois_JZ04">'Calc JZ04 &amp; JZ06'!$AZ$12</definedName>
    <definedName name="PrixTotal_Chevrons5X8">'Totaux M L &amp; Prix JZ02'!$F$8</definedName>
    <definedName name="PrixTotal_Chevrons5X8_JZ04_JZ06">'Totaux M L &amp; Prix JZ04 &amp; JZ06'!$F$8</definedName>
    <definedName name="PrixTotal_Chevrons5X8_JZ06_JZ07">'Totaux M L &amp; Prix JZ05 &amp; JZ07'!$F$8</definedName>
    <definedName name="PrixTotal_Chevrons8X10">'Totaux M L &amp; Prix JZ02'!$F$7</definedName>
    <definedName name="PrixTotal_Chevrons8X10_JZ04">'Calc JZ04 &amp; JZ06'!$AW$6</definedName>
    <definedName name="PrixTotal_Chevrons8X10_JZ04_JZ06">'Totaux M L &amp; Prix JZ04 &amp; JZ06'!$F$7</definedName>
    <definedName name="PrixTotal_Chevrons8X10_JZ06_JZ07">'Totaux M L &amp; Prix JZ05 &amp; JZ07'!$F$7</definedName>
    <definedName name="PrixTotal_ContrePlaque">'Totaux M L &amp; Prix JZ02'!$F$14</definedName>
    <definedName name="PrixTotal_ContrePlaque_JZ04">'Calc JZ04 &amp; JZ06'!$AW$13</definedName>
    <definedName name="PrixTotal_ContrePlaque_JZ04_JZ06">'Totaux M L &amp; Prix JZ04 &amp; JZ06'!$F$14</definedName>
    <definedName name="PrixTotal_ContrePlaque_JZ06_JZ07">'Totaux M L &amp; Prix JZ05 &amp; JZ07'!$F$14</definedName>
    <definedName name="PrixTotal_JZ04_JZ06">'Totaux M L &amp; Prix JZ04 &amp; JZ06'!$I$14</definedName>
    <definedName name="PrixTotal_JZ06_JZ07">'Totaux M L &amp; Prix JZ05 &amp; JZ07'!$I$14</definedName>
    <definedName name="PrixTotal_MaindOeuvre">'Totaux M L &amp; Prix JZ02'!$I$13</definedName>
    <definedName name="PrixTotal_MaindOeuvre_JZ04">'Calc JZ04 &amp; JZ06'!$AZ$13</definedName>
    <definedName name="PrixTotal_MaindOeuvre_JZ04_JZ06">'Totaux M L &amp; Prix JZ04 &amp; JZ06'!$I$13</definedName>
    <definedName name="PrixTotal_MaindOeuvre_JZ06_JZ07">'Totaux M L &amp; Prix JZ05 &amp; JZ07'!$I$13</definedName>
    <definedName name="PrixTotal_Materiaux">'Totaux M L &amp; Prix JZ02'!$I$12</definedName>
    <definedName name="PrixTotal_Materiaux_JZ04_JZ06">'Totaux M L &amp; Prix JZ04 &amp; JZ06'!$I$12</definedName>
    <definedName name="PrixTotal_Materiaux_JZ06_JZ07">'Totaux M L &amp; Prix JZ05 &amp; JZ07'!$I$12</definedName>
    <definedName name="PrixTotal_PlanchesX10">'Totaux M L &amp; Prix JZ02'!$F$9</definedName>
    <definedName name="PrixTotal_PlanchesX10_JZ04_JZ06">'Totaux M L &amp; Prix JZ04 &amp; JZ06'!$F$9</definedName>
    <definedName name="PrixTotal_PlanchesX10_JZ06_JZ07">'Totaux M L &amp; Prix JZ05 &amp; JZ07'!$F$9</definedName>
    <definedName name="PrixTotal_PlanchesX12_5">'Totaux M L &amp; Prix JZ02'!$F$10</definedName>
    <definedName name="PrixTotal_PlanchesX12_5_JZ04_JZ06">'Totaux M L &amp; Prix JZ04 &amp; JZ06'!$F$10</definedName>
    <definedName name="PrixTotal_PlanchesX12_5_JZ06_JZ07">'Totaux M L &amp; Prix JZ05 &amp; JZ07'!$F$10</definedName>
    <definedName name="PrixTotal_PlanchesX15">'Totaux M L &amp; Prix JZ02'!$F$11</definedName>
    <definedName name="PrixTotal_PlanchesX15_JZ04">'Calc JZ04 &amp; JZ06'!$AW$10</definedName>
    <definedName name="PrixTotal_PlanchesX15_JZ04_JZ06">'Totaux M L &amp; Prix JZ04 &amp; JZ06'!$F$11</definedName>
    <definedName name="PrixTotal_PlanchesX15_JZ06_JZ07">'Totaux M L &amp; Prix JZ05 &amp; JZ07'!$F$11</definedName>
    <definedName name="PrixTotal_SousVide">'Totaux M L &amp; Prix JZ02'!$F$15</definedName>
    <definedName name="PrixTotal_SousVide_JZ04_JZ06">'Totaux M L &amp; Prix JZ04 &amp; JZ06'!$F$15</definedName>
    <definedName name="PrixTotal_SousVide_JZ06_JZ07">'Totaux M L &amp; Prix JZ05 &amp; JZ07'!$F$15</definedName>
    <definedName name="Quantite_Chevrons5X8_M3XBotte">'Poids &amp; Prix Materiaux'!$B$7</definedName>
    <definedName name="Quantite_Chevrons5X8_MLXBotte">'Poids &amp; Prix Materiaux'!$C$7</definedName>
    <definedName name="Quantite_Chevrons8X10_M3XBotte">'Poids &amp; Prix Materiaux'!$B$6</definedName>
    <definedName name="Quantite_Chevrons8X10_MLXBotte">'Poids &amp; Prix Materiaux'!$C$6</definedName>
    <definedName name="Quantite_ContrePlaque_M2XBotte">'Poids &amp; Prix Materiaux'!$C$13</definedName>
    <definedName name="Quantite_ContrePlaque_M3XBotte">'Poids &amp; Prix Materiaux'!$B$13</definedName>
    <definedName name="Quantite_PlanchesX10_M3XBotte">'Poids &amp; Prix Materiaux'!$B$8</definedName>
    <definedName name="Quantite_PlanchesX10_MLXBotte">'Poids &amp; Prix Materiaux'!$C$8</definedName>
    <definedName name="Quantite_PlanchesX12_5_M3XBotte">'Poids &amp; Prix Materiaux'!$B$9</definedName>
    <definedName name="Quantite_PlanchesX12_5_MLXBotte">'Poids &amp; Prix Materiaux'!$C$9</definedName>
    <definedName name="Quantite_PlanchesX15_M3XBotte">'Poids &amp; Prix Materiaux'!$B$10</definedName>
    <definedName name="Quantite_PlanchesX15_MLXBotte">'Poids &amp; Prix Materiaux'!$C$10</definedName>
    <definedName name="Tarif_Horraire">'Totaux M L &amp; Prix JZ02'!$I$7</definedName>
    <definedName name="Tarif_Horraire_JZ04_JZ06">'Totaux M L &amp; Prix JZ04 &amp; JZ06'!$I$7</definedName>
    <definedName name="Tarif_Horraire_JZ06_JZ07">'Totaux M L &amp; Prix JZ05 &amp; JZ07'!$I$7</definedName>
    <definedName name="TotalM2_ContrePlaque">'Totaux M L &amp; Prix JZ02'!$D$14</definedName>
    <definedName name="TotalM2_ContrePlaque_JZ04">'Calc JZ04 &amp; JZ06'!$AU$13</definedName>
    <definedName name="TotalM2_ContrePlaque_JZ04_JZ06">'Totaux M L &amp; Prix JZ04 &amp; JZ06'!$D$14</definedName>
    <definedName name="TotalM2_ContrePlaque_JZ06_JZ07">'Totaux M L &amp; Prix JZ05 &amp; JZ07'!$D$14</definedName>
    <definedName name="TotalM2_SousVide">'Totaux M L &amp; Prix JZ02'!$D$15</definedName>
    <definedName name="TotalM2_SousVide_JZ04_JZ06">'Totaux M L &amp; Prix JZ04 &amp; JZ06'!$D$15</definedName>
    <definedName name="TotalM2_SousVide_JZ06_JZ07">'Totaux M L &amp; Prix JZ05 &amp; JZ07'!$D$15</definedName>
    <definedName name="TotalML_Chevrons5X8">'Totaux M L &amp; Prix JZ02'!$D$8</definedName>
    <definedName name="TotalML_Chevrons5X8_JZ04">'Calc JZ04 &amp; JZ06'!$AU$7</definedName>
    <definedName name="TotalML_Chevrons5X8_JZ04_JZ06">'Totaux M L &amp; Prix JZ04 &amp; JZ06'!$D$8</definedName>
    <definedName name="TotalML_Chevrons5X8_JZ06_JZ07">'Totaux M L &amp; Prix JZ05 &amp; JZ07'!$D$8</definedName>
    <definedName name="TotalML_Chevrons8X10">'Totaux M L &amp; Prix JZ02'!$D$7</definedName>
    <definedName name="TotalML_Chevrons8X10_JZ04">'Calc JZ04 &amp; JZ06'!$AU$6</definedName>
    <definedName name="TotalML_Chevrons8X10_JZ04_JZ06">'Totaux M L &amp; Prix JZ04 &amp; JZ06'!$D$7</definedName>
    <definedName name="TotalML_Chevrons8X10_JZ06_JZ07">'Totaux M L &amp; Prix JZ05 &amp; JZ07'!$D$7</definedName>
    <definedName name="TotalML_PlanchesX10">'Totaux M L &amp; Prix JZ02'!$D$9</definedName>
    <definedName name="TotalML_PlanchesX10_JZ04">'Calc JZ04 &amp; JZ06'!$AU$8</definedName>
    <definedName name="TotalML_PlanchesX10_JZ04_JZ06">'Totaux M L &amp; Prix JZ04 &amp; JZ06'!$D$9</definedName>
    <definedName name="TotalML_PlanchesX10_JZ06_JZ07">'Totaux M L &amp; Prix JZ05 &amp; JZ07'!$D$9</definedName>
    <definedName name="TotalML_PlanchesX12_5">'Totaux M L &amp; Prix JZ02'!$D$10</definedName>
    <definedName name="TotalML_PlanchesX12_5_JZ04">'Calc JZ04 &amp; JZ06'!$AU$9</definedName>
    <definedName name="TotalML_PlanchesX12_5_JZ04_JZ06">'Totaux M L &amp; Prix JZ04 &amp; JZ06'!$D$10</definedName>
    <definedName name="TotalML_PlanchesX12_5_JZ06_JZ07">'Totaux M L &amp; Prix JZ05 &amp; JZ07'!$D$10</definedName>
    <definedName name="TotalML_PlanchesX15">'Totaux M L &amp; Prix JZ02'!$D$11</definedName>
    <definedName name="TotalML_PlanchesX15_JZ04">'Calc JZ04 &amp; JZ06'!$AU$10</definedName>
    <definedName name="TotalML_PlanchesX15_JZ04_JZ06">'Totaux M L &amp; Prix JZ04 &amp; JZ06'!$D$11</definedName>
    <definedName name="TotalML_PlanchesX15_JZ06_JZ07">'Totaux M L &amp; Prix JZ05 &amp; JZ07'!$D$11</definedName>
    <definedName name="Volume">'Totaux M L &amp; Prix JZ02'!$I$8</definedName>
    <definedName name="Volume_JZ04_JZ06">'Totaux M L &amp; Prix JZ04 &amp; JZ06'!$I$8</definedName>
    <definedName name="Volume_JZ06_JZ07">'Totaux M L &amp; Prix JZ05 &amp; JZ07'!$I$8</definedName>
  </definedNames>
  <calcPr calcId="125725"/>
</workbook>
</file>

<file path=xl/calcChain.xml><?xml version="1.0" encoding="utf-8"?>
<calcChain xmlns="http://schemas.openxmlformats.org/spreadsheetml/2006/main">
  <c r="C4" i="13"/>
  <c r="I13" i="18" l="1"/>
  <c r="I8"/>
  <c r="I13" i="17"/>
  <c r="I8"/>
  <c r="G24" i="16"/>
  <c r="AN6" i="15" s="1"/>
  <c r="AG10" s="1"/>
  <c r="AL10" s="1"/>
  <c r="E24" i="16"/>
  <c r="AL6" i="15" s="1"/>
  <c r="C24" i="16"/>
  <c r="AJ6" i="15" s="1"/>
  <c r="AJ8" s="1"/>
  <c r="D8" i="16"/>
  <c r="E20" i="15" s="1"/>
  <c r="T3"/>
  <c r="X15" s="1"/>
  <c r="T5"/>
  <c r="X25" s="1"/>
  <c r="V5"/>
  <c r="X31" s="1"/>
  <c r="C11"/>
  <c r="V4"/>
  <c r="X17" s="1"/>
  <c r="V3"/>
  <c r="X9" s="1"/>
  <c r="T4"/>
  <c r="X23" s="1"/>
  <c r="E29"/>
  <c r="E28"/>
  <c r="E27"/>
  <c r="E24"/>
  <c r="P31"/>
  <c r="P30"/>
  <c r="P29"/>
  <c r="P28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E25"/>
  <c r="E23"/>
  <c r="C28"/>
  <c r="C27"/>
  <c r="C24"/>
  <c r="C23"/>
  <c r="C10"/>
  <c r="E9"/>
  <c r="E10" s="1"/>
  <c r="C8"/>
  <c r="C9"/>
  <c r="C8" i="11"/>
  <c r="E8" s="1"/>
  <c r="E8" i="15"/>
  <c r="J4"/>
  <c r="G4"/>
  <c r="C4"/>
  <c r="G4" i="13"/>
  <c r="G20" i="16"/>
  <c r="D19"/>
  <c r="D20"/>
  <c r="G19"/>
  <c r="C4" i="11"/>
  <c r="G4"/>
  <c r="D8" i="9"/>
  <c r="E18" i="13" s="1"/>
  <c r="K8"/>
  <c r="G24" i="9"/>
  <c r="AA26" i="13" s="1"/>
  <c r="U31" s="1"/>
  <c r="Y31" s="1"/>
  <c r="C24" i="9"/>
  <c r="W26" i="13" s="1"/>
  <c r="W29" s="1"/>
  <c r="E24" i="9"/>
  <c r="Y26" i="13" s="1"/>
  <c r="U30" s="1"/>
  <c r="D19" i="9"/>
  <c r="W11" i="13" s="1"/>
  <c r="J4"/>
  <c r="B15" i="11"/>
  <c r="B17"/>
  <c r="B14"/>
  <c r="B19"/>
  <c r="B18"/>
  <c r="D11" i="18" s="1"/>
  <c r="B16" i="11"/>
  <c r="D10" i="18" s="1"/>
  <c r="G21" i="16"/>
  <c r="D21"/>
  <c r="P31" i="13"/>
  <c r="M31"/>
  <c r="K31"/>
  <c r="P30"/>
  <c r="M30"/>
  <c r="K30"/>
  <c r="P29"/>
  <c r="M29"/>
  <c r="K29"/>
  <c r="P28"/>
  <c r="M28"/>
  <c r="K28"/>
  <c r="M27"/>
  <c r="K27"/>
  <c r="M26"/>
  <c r="K26"/>
  <c r="M25"/>
  <c r="K25"/>
  <c r="M24"/>
  <c r="K24"/>
  <c r="M23"/>
  <c r="K23"/>
  <c r="E29"/>
  <c r="M22"/>
  <c r="K22"/>
  <c r="C28"/>
  <c r="M21"/>
  <c r="K21"/>
  <c r="C27"/>
  <c r="M20"/>
  <c r="K20"/>
  <c r="M19"/>
  <c r="K19"/>
  <c r="E25"/>
  <c r="M18"/>
  <c r="K18"/>
  <c r="C24"/>
  <c r="M17"/>
  <c r="K17"/>
  <c r="C23"/>
  <c r="M16"/>
  <c r="K16"/>
  <c r="M15"/>
  <c r="K15"/>
  <c r="E20"/>
  <c r="M14"/>
  <c r="K14"/>
  <c r="M13"/>
  <c r="K13"/>
  <c r="E16"/>
  <c r="M12"/>
  <c r="K12"/>
  <c r="M11"/>
  <c r="K11"/>
  <c r="M10"/>
  <c r="K10"/>
  <c r="M9"/>
  <c r="K9"/>
  <c r="M8"/>
  <c r="C9"/>
  <c r="C10" s="1"/>
  <c r="C11" s="1"/>
  <c r="C8"/>
  <c r="I13" i="12"/>
  <c r="I8"/>
  <c r="P31" i="11"/>
  <c r="M31"/>
  <c r="K31"/>
  <c r="P30"/>
  <c r="M30"/>
  <c r="K30"/>
  <c r="P29"/>
  <c r="M29"/>
  <c r="K29"/>
  <c r="P28"/>
  <c r="M28"/>
  <c r="K28"/>
  <c r="M27"/>
  <c r="K27"/>
  <c r="M26"/>
  <c r="K26"/>
  <c r="M25"/>
  <c r="K25"/>
  <c r="E27"/>
  <c r="M24"/>
  <c r="K24"/>
  <c r="E26"/>
  <c r="C27" s="1"/>
  <c r="C26"/>
  <c r="M23"/>
  <c r="K23"/>
  <c r="E25"/>
  <c r="C25"/>
  <c r="M22"/>
  <c r="K22"/>
  <c r="M21"/>
  <c r="K21"/>
  <c r="M20"/>
  <c r="K20"/>
  <c r="M19"/>
  <c r="K19"/>
  <c r="E23"/>
  <c r="M18"/>
  <c r="K18"/>
  <c r="E22"/>
  <c r="C22"/>
  <c r="M17"/>
  <c r="K17"/>
  <c r="E21"/>
  <c r="C23" s="1"/>
  <c r="C21"/>
  <c r="M16"/>
  <c r="K16"/>
  <c r="M15"/>
  <c r="K15"/>
  <c r="M14"/>
  <c r="K14"/>
  <c r="M13"/>
  <c r="K13"/>
  <c r="E18"/>
  <c r="M12"/>
  <c r="K12"/>
  <c r="D8" i="17" s="1"/>
  <c r="E16" i="11"/>
  <c r="M11"/>
  <c r="K11"/>
  <c r="E14"/>
  <c r="M10"/>
  <c r="K10"/>
  <c r="M9"/>
  <c r="K9"/>
  <c r="C9"/>
  <c r="C10" s="1"/>
  <c r="C11" s="1"/>
  <c r="M8"/>
  <c r="K8"/>
  <c r="B6" i="10"/>
  <c r="F6" s="1"/>
  <c r="C6"/>
  <c r="H6" s="1"/>
  <c r="B7"/>
  <c r="F7" s="1"/>
  <c r="C7"/>
  <c r="H7"/>
  <c r="B8"/>
  <c r="C8"/>
  <c r="H8" s="1"/>
  <c r="B9"/>
  <c r="C9"/>
  <c r="H9" s="1"/>
  <c r="B10"/>
  <c r="C10"/>
  <c r="H10" s="1"/>
  <c r="B13"/>
  <c r="C13"/>
  <c r="E13" s="1"/>
  <c r="G21" i="9"/>
  <c r="U6" i="13" s="1"/>
  <c r="Y21" s="1"/>
  <c r="D21" i="9"/>
  <c r="U19" i="13" s="1"/>
  <c r="G20" i="9"/>
  <c r="U5" i="13" s="1"/>
  <c r="W17" s="1"/>
  <c r="G19" i="9"/>
  <c r="U4" i="13" s="1"/>
  <c r="AA13" s="1"/>
  <c r="D20" i="9"/>
  <c r="U15" i="13" s="1"/>
  <c r="W26" i="15" l="1"/>
  <c r="E28" i="13"/>
  <c r="C29" s="1"/>
  <c r="E8"/>
  <c r="J6" s="1"/>
  <c r="E11" i="18"/>
  <c r="E10"/>
  <c r="D14" i="17"/>
  <c r="D9"/>
  <c r="D8" i="18"/>
  <c r="D9"/>
  <c r="E16" i="15"/>
  <c r="D11" i="17"/>
  <c r="E11" s="1"/>
  <c r="D10"/>
  <c r="E10" s="1"/>
  <c r="D14" i="18"/>
  <c r="F14" i="17"/>
  <c r="E9"/>
  <c r="E8"/>
  <c r="F8"/>
  <c r="AG9" i="15"/>
  <c r="AG8"/>
  <c r="AL8" s="1"/>
  <c r="V18"/>
  <c r="W18"/>
  <c r="E11"/>
  <c r="V17"/>
  <c r="V22"/>
  <c r="V21"/>
  <c r="W22"/>
  <c r="V19"/>
  <c r="W20"/>
  <c r="AJ10"/>
  <c r="AJ9"/>
  <c r="W10"/>
  <c r="W30"/>
  <c r="W12"/>
  <c r="W28"/>
  <c r="W14"/>
  <c r="V9"/>
  <c r="V28"/>
  <c r="V11"/>
  <c r="V13"/>
  <c r="V27"/>
  <c r="V14"/>
  <c r="V12"/>
  <c r="V26"/>
  <c r="V30"/>
  <c r="V10"/>
  <c r="V25"/>
  <c r="V29"/>
  <c r="V20"/>
  <c r="J6"/>
  <c r="E10" i="11"/>
  <c r="E9" s="1"/>
  <c r="C6" s="1"/>
  <c r="J6"/>
  <c r="E18" i="15"/>
  <c r="X24"/>
  <c r="X16"/>
  <c r="V31"/>
  <c r="C25"/>
  <c r="C29"/>
  <c r="C19" i="11"/>
  <c r="C15"/>
  <c r="C17"/>
  <c r="Y13" i="13"/>
  <c r="AA17"/>
  <c r="W13"/>
  <c r="Y17"/>
  <c r="W21"/>
  <c r="AA21"/>
  <c r="U29"/>
  <c r="Y29" s="1"/>
  <c r="W31"/>
  <c r="W30"/>
  <c r="E9"/>
  <c r="S4"/>
  <c r="C12" i="15"/>
  <c r="E12" s="1"/>
  <c r="E27" i="13"/>
  <c r="E12"/>
  <c r="E24"/>
  <c r="E23"/>
  <c r="C25" s="1"/>
  <c r="C12"/>
  <c r="S6"/>
  <c r="E13"/>
  <c r="S5"/>
  <c r="U10"/>
  <c r="Z10" s="1"/>
  <c r="U11"/>
  <c r="D11" i="12"/>
  <c r="E11" s="1"/>
  <c r="D14"/>
  <c r="F14" s="1"/>
  <c r="D8"/>
  <c r="E8" s="1"/>
  <c r="D9"/>
  <c r="E9" s="1"/>
  <c r="D10"/>
  <c r="E10" s="1"/>
  <c r="U18" i="13"/>
  <c r="U20" s="1"/>
  <c r="W19"/>
  <c r="W15"/>
  <c r="U14"/>
  <c r="U16" s="1"/>
  <c r="H13" i="10"/>
  <c r="E14" i="17" s="1"/>
  <c r="F8" i="10"/>
  <c r="F9" i="17" s="1"/>
  <c r="F9" i="10"/>
  <c r="F10" i="17" s="1"/>
  <c r="F10" i="10"/>
  <c r="F11" i="17" s="1"/>
  <c r="E11" i="11" l="1"/>
  <c r="E14" i="18"/>
  <c r="F14"/>
  <c r="F11"/>
  <c r="E8"/>
  <c r="F8"/>
  <c r="F10"/>
  <c r="E9"/>
  <c r="F9"/>
  <c r="AL9" i="15"/>
  <c r="D7" i="18"/>
  <c r="D7" i="17"/>
  <c r="C6" i="15"/>
  <c r="B21" i="13"/>
  <c r="B17"/>
  <c r="B19"/>
  <c r="Y30"/>
  <c r="B19" i="15"/>
  <c r="B18"/>
  <c r="B21"/>
  <c r="B20"/>
  <c r="B16"/>
  <c r="E10" i="13"/>
  <c r="B16" s="1"/>
  <c r="C13" i="15"/>
  <c r="E13" s="1"/>
  <c r="B17"/>
  <c r="C13" i="13"/>
  <c r="U12"/>
  <c r="W10"/>
  <c r="F9" i="12"/>
  <c r="F11"/>
  <c r="F8"/>
  <c r="E14"/>
  <c r="F10"/>
  <c r="W14" i="13"/>
  <c r="Z14"/>
  <c r="W18"/>
  <c r="Z18"/>
  <c r="I10" i="18" l="1"/>
  <c r="I11" s="1"/>
  <c r="E7"/>
  <c r="F7"/>
  <c r="I12" s="1"/>
  <c r="I14" s="1"/>
  <c r="I10" i="17"/>
  <c r="I11" s="1"/>
  <c r="E7"/>
  <c r="F7"/>
  <c r="I12" s="1"/>
  <c r="I14" s="1"/>
  <c r="C6" i="13"/>
  <c r="C19" i="15"/>
  <c r="C17"/>
  <c r="B18" i="13"/>
  <c r="C19" s="1"/>
  <c r="B20"/>
  <c r="C21" s="1"/>
  <c r="C21" i="15"/>
  <c r="C17" i="13"/>
  <c r="E11"/>
  <c r="D7" i="12"/>
  <c r="E7" s="1"/>
  <c r="F7" l="1"/>
  <c r="I12" s="1"/>
  <c r="I14" s="1"/>
  <c r="I10"/>
  <c r="I11" s="1"/>
</calcChain>
</file>

<file path=xl/sharedStrings.xml><?xml version="1.0" encoding="utf-8"?>
<sst xmlns="http://schemas.openxmlformats.org/spreadsheetml/2006/main" count="1127" uniqueCount="246">
  <si>
    <t>TOTAL :</t>
  </si>
  <si>
    <t>TOTAL MAIN D'OEUVRE :</t>
  </si>
  <si>
    <t>TOTAL CAISSE :</t>
  </si>
  <si>
    <t>88888,88E</t>
  </si>
  <si>
    <t>JZ88</t>
  </si>
  <si>
    <t>OF</t>
  </si>
  <si>
    <t>Total</t>
  </si>
  <si>
    <t>M. Œuvre</t>
  </si>
  <si>
    <t>Caisse</t>
  </si>
  <si>
    <r>
      <t>( 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 )</t>
    </r>
  </si>
  <si>
    <t>( CM )</t>
  </si>
  <si>
    <t>( KG )</t>
  </si>
  <si>
    <t>emb.</t>
  </si>
  <si>
    <t>Pack</t>
  </si>
  <si>
    <t>Prix</t>
  </si>
  <si>
    <t>PL</t>
  </si>
  <si>
    <t>Volume</t>
  </si>
  <si>
    <t>Haut.</t>
  </si>
  <si>
    <t>Larg.</t>
  </si>
  <si>
    <t>Long.</t>
  </si>
  <si>
    <t>Poids Brut</t>
  </si>
  <si>
    <t>Poids Net</t>
  </si>
  <si>
    <t>Type</t>
  </si>
  <si>
    <t>N°</t>
  </si>
  <si>
    <t>JOB :</t>
  </si>
  <si>
    <t>PACKAGE ESTIMATION</t>
  </si>
  <si>
    <t>Quantité</t>
  </si>
  <si>
    <t>Item</t>
  </si>
  <si>
    <t>Désignation</t>
  </si>
  <si>
    <t>Pc(s)</t>
  </si>
  <si>
    <t>600.01</t>
  </si>
  <si>
    <t>CALCULS ESTIMATIONS SKID JZ02</t>
  </si>
  <si>
    <t>Chevrons bas =</t>
  </si>
  <si>
    <t>Cm</t>
  </si>
  <si>
    <t>Chevrons Bas</t>
  </si>
  <si>
    <t>Chevrons haut =</t>
  </si>
  <si>
    <t>Volume :</t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</si>
  <si>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</si>
  <si>
    <t>Chevrons Haut</t>
  </si>
  <si>
    <t>Plancher =</t>
  </si>
  <si>
    <t>Poids Net :</t>
  </si>
  <si>
    <t>Kg</t>
  </si>
  <si>
    <t>Nb de chaises bas =</t>
  </si>
  <si>
    <t>Nb de chaises haut =</t>
  </si>
  <si>
    <t>Poids Brut :</t>
  </si>
  <si>
    <t>Nb. Heures :</t>
  </si>
  <si>
    <t>Heures</t>
  </si>
  <si>
    <t>Bois supplémentaire :</t>
  </si>
  <si>
    <t>Pcs    de</t>
  </si>
  <si>
    <t>Chevrons Hauteur</t>
  </si>
  <si>
    <t>Cm    X</t>
  </si>
  <si>
    <t>ML</t>
  </si>
  <si>
    <t>Contre plaqué</t>
  </si>
  <si>
    <t>Chevrons 8 X 10</t>
  </si>
  <si>
    <t>Chevrons 5 X 8</t>
  </si>
  <si>
    <r>
      <t>M</t>
    </r>
    <r>
      <rPr>
        <vertAlign val="superscript"/>
        <sz val="11"/>
        <color theme="1"/>
        <rFont val="Calibri"/>
        <family val="2"/>
        <scheme val="minor"/>
      </rPr>
      <t>2</t>
    </r>
  </si>
  <si>
    <t>/heure</t>
  </si>
  <si>
    <t>Contre Plaqué</t>
  </si>
  <si>
    <t>X</t>
  </si>
  <si>
    <t>Hauteur =</t>
  </si>
  <si>
    <t>Chevrons Toit</t>
  </si>
  <si>
    <t>Dim. Panneaux :</t>
  </si>
  <si>
    <t>G. Côtés :</t>
  </si>
  <si>
    <t>Long. =</t>
  </si>
  <si>
    <t>Haut. =</t>
  </si>
  <si>
    <t>P. Côtés :</t>
  </si>
  <si>
    <t>Larg. =</t>
  </si>
  <si>
    <t>Toit :</t>
  </si>
  <si>
    <t>Contre Plaqué G. Côtés</t>
  </si>
  <si>
    <t>Longueur</t>
  </si>
  <si>
    <t>Hauteur</t>
  </si>
  <si>
    <t>Planches Long. G. Côtés</t>
  </si>
  <si>
    <t>Planches Haut G. Côtés</t>
  </si>
  <si>
    <t>Contre Plaqué P. Côtés</t>
  </si>
  <si>
    <t>Largeur</t>
  </si>
  <si>
    <t>Planches Larg. P. Côtés</t>
  </si>
  <si>
    <t>Planches Haut. P. Côtés</t>
  </si>
  <si>
    <t>Contre Plaqué Toit</t>
  </si>
  <si>
    <t>Planches  Long. Toit</t>
  </si>
  <si>
    <t>Planches Larg. Toit</t>
  </si>
  <si>
    <t>Poids Skid :</t>
  </si>
  <si>
    <t>Planches X 15 Cm</t>
  </si>
  <si>
    <t>Planches X 12,5 Cm</t>
  </si>
  <si>
    <t>Planches X10 Cm</t>
  </si>
  <si>
    <t>Hauteur de Chaises Haut =</t>
  </si>
  <si>
    <t>Hauteur de chaises Bas =</t>
  </si>
  <si>
    <t>Nb Chevrons 8 X 10 (1)</t>
  </si>
  <si>
    <t>Nb Chevrons 5 X 8 (1)</t>
  </si>
  <si>
    <t>Nb Planches 10 Cm (1)</t>
  </si>
  <si>
    <r>
      <t>Nb Planches</t>
    </r>
    <r>
      <rPr>
        <sz val="11"/>
        <rFont val="Calibri"/>
        <family val="2"/>
        <scheme val="minor"/>
      </rPr>
      <t xml:space="preserve"> 12,5 Cm (1)</t>
    </r>
  </si>
  <si>
    <t>Nb Planches 15 Cm (1)</t>
  </si>
  <si>
    <t>Nb Chevrons 8 X 10 (2)</t>
  </si>
  <si>
    <t>Nb Chevrons 5 X 8 (2)</t>
  </si>
  <si>
    <t>Nb Planches 10 Cm (2)</t>
  </si>
  <si>
    <r>
      <t>Nb Planches</t>
    </r>
    <r>
      <rPr>
        <sz val="11"/>
        <rFont val="Calibri"/>
        <family val="2"/>
        <scheme val="minor"/>
      </rPr>
      <t xml:space="preserve"> 12,5 Cm (2)</t>
    </r>
  </si>
  <si>
    <t>Nb Planches 15 Cm (2)</t>
  </si>
  <si>
    <t>Nb Chevrons 8 X 10 (3)</t>
  </si>
  <si>
    <t>Nb Chevrons 5 X 8 (3)</t>
  </si>
  <si>
    <t>Nb Planches 10 Cm (3)</t>
  </si>
  <si>
    <r>
      <t>Nb Planche</t>
    </r>
    <r>
      <rPr>
        <sz val="11"/>
        <rFont val="Calibri"/>
        <family val="2"/>
        <scheme val="minor"/>
      </rPr>
      <t>s 12,5 Cm (3)</t>
    </r>
  </si>
  <si>
    <t>Nb Planches 15 Cm (3)</t>
  </si>
  <si>
    <t>Nb Chevrons 8 X 10 (4)</t>
  </si>
  <si>
    <t>Nb Chevrons 5 X 8 (4)</t>
  </si>
  <si>
    <t>Nb Planches 10 Cm (4)</t>
  </si>
  <si>
    <t>Nb Planches 12,5 Cm (4)</t>
  </si>
  <si>
    <t>Nb Planches 15 Cm (4)</t>
  </si>
  <si>
    <t>Nb Contre Plaqué (1)</t>
  </si>
  <si>
    <t>Nb Contre Plaqué (2)</t>
  </si>
  <si>
    <t>Nb Contre Plaqué (3)</t>
  </si>
  <si>
    <t>Nb Contre Plaqué (4)</t>
  </si>
  <si>
    <t>Chevrons 8 X 10 (1)</t>
  </si>
  <si>
    <t>Chevrons 5 X 8 (1)</t>
  </si>
  <si>
    <t>Planches 10 Cm (1)</t>
  </si>
  <si>
    <t>Planches 12,5 Cm (1)</t>
  </si>
  <si>
    <t>Planches 15 Cm (1)</t>
  </si>
  <si>
    <t>Contre Plaqué (1)</t>
  </si>
  <si>
    <t>Chevrons 8 X 10 (2)</t>
  </si>
  <si>
    <t>Chevrons 8 X 10 (3)</t>
  </si>
  <si>
    <t>Chevrons 8 X 10 (4)</t>
  </si>
  <si>
    <t>Chevrons 5 X 8 (2)</t>
  </si>
  <si>
    <t>Chevrons 5 X 8 (3)</t>
  </si>
  <si>
    <t>Chevrons 5 X 8 (4)</t>
  </si>
  <si>
    <t>Planches 10 Cm (2)</t>
  </si>
  <si>
    <t>Planches 10 Cm (3)</t>
  </si>
  <si>
    <t>Planches 10 Cm (4)</t>
  </si>
  <si>
    <t>Planches 12,5 Cm (2)</t>
  </si>
  <si>
    <t>Planches 12,5 Cm (3)</t>
  </si>
  <si>
    <t>Planches 12,5 Cm (4)</t>
  </si>
  <si>
    <t>Planches 15 Cm (2)</t>
  </si>
  <si>
    <t>Planches 15 Cm (3)</t>
  </si>
  <si>
    <t>Planches 15 Cm (4)</t>
  </si>
  <si>
    <t>Contre Plaqué (2)</t>
  </si>
  <si>
    <t>Contre Plaqué (3)</t>
  </si>
  <si>
    <t>Contre Plaqué (4)</t>
  </si>
  <si>
    <t>FEUILLE DE DEBIT</t>
  </si>
  <si>
    <t>Chevrons Haut Bis</t>
  </si>
  <si>
    <t>Chassis :</t>
  </si>
  <si>
    <t>Chaises bas :</t>
  </si>
  <si>
    <t>Chaises haut :</t>
  </si>
  <si>
    <t>Bois Supplémentaires :</t>
  </si>
  <si>
    <t>Chaises :</t>
  </si>
  <si>
    <t>Volume et poids :</t>
  </si>
  <si>
    <t>Maind'œuvre :</t>
  </si>
  <si>
    <t>Poids</t>
  </si>
  <si>
    <t>( ML / Botte )</t>
  </si>
  <si>
    <t>( Kg / ML )</t>
  </si>
  <si>
    <t>( / ML )</t>
  </si>
  <si>
    <t>Tarif Horraire</t>
  </si>
  <si>
    <t>( M3 / Botte )</t>
  </si>
  <si>
    <t>( Kg / Botte )</t>
  </si>
  <si>
    <t>/ Botte</t>
  </si>
  <si>
    <t>COLIS N° :</t>
  </si>
  <si>
    <t>JOB N° :</t>
  </si>
  <si>
    <t>CALCULS ESTIMATIONS BOXE JZ 04 &amp; JZ 06</t>
  </si>
  <si>
    <t>Sous-Vide :</t>
  </si>
  <si>
    <t>Chassis + Bois Suplémentaire</t>
  </si>
  <si>
    <t>Plancher :</t>
  </si>
  <si>
    <t>Panneaux + Sous-Vide</t>
  </si>
  <si>
    <t>Panneaux :</t>
  </si>
  <si>
    <t>Housse Sous-Vide :</t>
  </si>
  <si>
    <t>Dimensions Total</t>
  </si>
  <si>
    <t>Cm     X</t>
  </si>
  <si>
    <t>Feuille(s) de Fond</t>
  </si>
  <si>
    <t>Feuille(s) de</t>
  </si>
  <si>
    <t>Feuille(s) de Toit + P. Côtés</t>
  </si>
  <si>
    <t>Feuilles G. Côtés</t>
  </si>
  <si>
    <t>Poids Net =</t>
  </si>
  <si>
    <t>Nb. Heures =</t>
  </si>
  <si>
    <t>Planches de 10 Cm</t>
  </si>
  <si>
    <t>Planches de 12,5 Cm</t>
  </si>
  <si>
    <t>Planches de 15 Cm</t>
  </si>
  <si>
    <t>Planchers :</t>
  </si>
  <si>
    <t>JZ 02</t>
  </si>
  <si>
    <t>Longueur :</t>
  </si>
  <si>
    <t>Largeur :</t>
  </si>
  <si>
    <t>Grands Côtés :</t>
  </si>
  <si>
    <t>Petits Côtés :</t>
  </si>
  <si>
    <t>Planches G. Côtés</t>
  </si>
  <si>
    <t>Planches P. Côtés</t>
  </si>
  <si>
    <t>Nb Colis :</t>
  </si>
  <si>
    <t>Burners</t>
  </si>
  <si>
    <t>MBUP00001</t>
  </si>
  <si>
    <t>Chevrons 8 X 10 Cm</t>
  </si>
  <si>
    <t>Chevrons 5 X 8 Cm</t>
  </si>
  <si>
    <t>Planches X 10 Cm</t>
  </si>
  <si>
    <r>
      <t>( M</t>
    </r>
    <r>
      <rPr>
        <vertAlign val="superscript"/>
        <sz val="11"/>
        <color rgb="FF0070C0"/>
        <rFont val="Calibri"/>
        <family val="2"/>
        <scheme val="minor"/>
      </rPr>
      <t>2</t>
    </r>
    <r>
      <rPr>
        <sz val="11"/>
        <color rgb="FF0070C0"/>
        <rFont val="Calibri"/>
        <family val="2"/>
        <scheme val="minor"/>
      </rPr>
      <t xml:space="preserve"> / Botte )</t>
    </r>
  </si>
  <si>
    <r>
      <t>( / M</t>
    </r>
    <r>
      <rPr>
        <vertAlign val="superscript"/>
        <sz val="11"/>
        <color rgb="FF0070C0"/>
        <rFont val="Calibri"/>
        <family val="2"/>
        <scheme val="minor"/>
      </rPr>
      <t xml:space="preserve">2 </t>
    </r>
    <r>
      <rPr>
        <sz val="11"/>
        <color rgb="FF0070C0"/>
        <rFont val="Calibri"/>
        <family val="2"/>
        <scheme val="minor"/>
      </rPr>
      <t>)</t>
    </r>
  </si>
  <si>
    <r>
      <t>( Kg / M</t>
    </r>
    <r>
      <rPr>
        <vertAlign val="superscript"/>
        <sz val="11"/>
        <color rgb="FF0070C0"/>
        <rFont val="Calibri"/>
        <family val="2"/>
        <scheme val="minor"/>
      </rPr>
      <t>2</t>
    </r>
    <r>
      <rPr>
        <sz val="11"/>
        <color rgb="FF0070C0"/>
        <rFont val="Calibri"/>
        <family val="2"/>
        <scheme val="minor"/>
      </rPr>
      <t xml:space="preserve"> )</t>
    </r>
  </si>
  <si>
    <r>
      <t>( / M</t>
    </r>
    <r>
      <rPr>
        <vertAlign val="superscript"/>
        <sz val="11"/>
        <color rgb="FF0070C0"/>
        <rFont val="Calibri"/>
        <family val="2"/>
        <scheme val="minor"/>
      </rPr>
      <t>3</t>
    </r>
    <r>
      <rPr>
        <sz val="11"/>
        <color rgb="FF0070C0"/>
        <rFont val="Calibri"/>
        <family val="2"/>
        <scheme val="minor"/>
      </rPr>
      <t xml:space="preserve"> )</t>
    </r>
  </si>
  <si>
    <t>Sous-Vide</t>
  </si>
  <si>
    <t>Hauteur :</t>
  </si>
  <si>
    <t>Prix Total Materiaux :</t>
  </si>
  <si>
    <t>Prix Total :</t>
  </si>
  <si>
    <t>Prix Total Maind'œuvre :</t>
  </si>
  <si>
    <t>Chevrons Renfort</t>
  </si>
  <si>
    <t>Chevrons Talons</t>
  </si>
  <si>
    <t>Planches Travers G. Côtés</t>
  </si>
  <si>
    <t>Planches Travers P. Côtés</t>
  </si>
  <si>
    <t>Planches Toit</t>
  </si>
  <si>
    <t>JZ 88</t>
  </si>
  <si>
    <t>OU</t>
  </si>
  <si>
    <t>Nb de planches</t>
  </si>
  <si>
    <t>Largeur ( Cm )</t>
  </si>
  <si>
    <t>Longueur ( Cm )</t>
  </si>
  <si>
    <t>Panneaux</t>
  </si>
  <si>
    <t>Nb De Planches</t>
  </si>
  <si>
    <t>Cm Longueur</t>
  </si>
  <si>
    <t>Cm Hauteur</t>
  </si>
  <si>
    <t>Cm Largeur</t>
  </si>
  <si>
    <t>Ecart Chevrons Haut :</t>
  </si>
  <si>
    <t>Ecart Chevrons bas :</t>
  </si>
  <si>
    <t>Cm (ext. / Int.)</t>
  </si>
  <si>
    <t>JZ 04/06</t>
  </si>
  <si>
    <t>JZ 05/07</t>
  </si>
  <si>
    <t>CALCULS ESTIMATIONS BOXE JZ 05 &amp; JZ07</t>
  </si>
  <si>
    <t>TOTAUX M L &amp; PRIX JZ 02</t>
  </si>
  <si>
    <t>TOTAUX M L &amp; PRIX JZ 04 &amp; JZ 06</t>
  </si>
  <si>
    <t>COUTS ESTIMATION</t>
  </si>
  <si>
    <t>TOTAUX M L &amp; PRIX JZ 05 &amp; JZ 07</t>
  </si>
  <si>
    <t>POIDS &amp; PRIX MATERIAUX</t>
  </si>
  <si>
    <t>Clous 45 mm</t>
  </si>
  <si>
    <t>Clous 90 mm</t>
  </si>
  <si>
    <t>Clous 130 mm</t>
  </si>
  <si>
    <t>Clous 160 mm</t>
  </si>
  <si>
    <t>Gaine P.E.</t>
  </si>
  <si>
    <t>Sangles</t>
  </si>
  <si>
    <t>Osselets (Chapes)</t>
  </si>
  <si>
    <t>BOIS</t>
  </si>
  <si>
    <t>CLOUS</t>
  </si>
  <si>
    <t>( Clous / Boite )</t>
  </si>
  <si>
    <t xml:space="preserve"> </t>
  </si>
  <si>
    <t>( / Boite )</t>
  </si>
  <si>
    <t>( / Pièce )</t>
  </si>
  <si>
    <t>COVER</t>
  </si>
  <si>
    <t>( / Botte )</t>
  </si>
  <si>
    <t>( / Rouleau )</t>
  </si>
  <si>
    <t>SIDEX 100 Cm</t>
  </si>
  <si>
    <t>SIDEX 120 Cm</t>
  </si>
  <si>
    <t>SIDEX 150 Cm</t>
  </si>
  <si>
    <t>SIDEX 140 Cm</t>
  </si>
  <si>
    <t>DIVERS</t>
  </si>
  <si>
    <t>( ML / Rouleau )</t>
  </si>
  <si>
    <t>( Pcs / Boite )</t>
  </si>
  <si>
    <t>( Kg / Boite )</t>
  </si>
  <si>
    <t>( Kg / Pièce )</t>
  </si>
  <si>
    <t>( Kg / Rouleau )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</si>
</sst>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#,##0.00\ [$€-40C]"/>
  </numFmts>
  <fonts count="2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24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color rgb="FF0070C0"/>
      <name val="Calibri"/>
      <family val="2"/>
      <scheme val="minor"/>
    </font>
    <font>
      <vertAlign val="superscript"/>
      <sz val="11"/>
      <color rgb="FF0070C0"/>
      <name val="Calibri"/>
      <family val="2"/>
      <scheme val="minor"/>
    </font>
    <font>
      <sz val="12"/>
      <name val="Calibri"/>
      <family val="2"/>
      <scheme val="minor"/>
    </font>
    <font>
      <sz val="24"/>
      <color rgb="FF00B05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AC090"/>
        <bgColor indexed="64"/>
      </patternFill>
    </fill>
  </fills>
  <borders count="66">
    <border>
      <left/>
      <right/>
      <top/>
      <bottom/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/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/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436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right" vertical="center"/>
    </xf>
    <xf numFmtId="0" fontId="0" fillId="0" borderId="3" xfId="0" applyBorder="1" applyAlignment="1">
      <alignment vertical="center"/>
    </xf>
    <xf numFmtId="0" fontId="0" fillId="0" borderId="4" xfId="0" applyBorder="1"/>
    <xf numFmtId="0" fontId="1" fillId="0" borderId="5" xfId="0" applyFont="1" applyBorder="1" applyAlignment="1">
      <alignment horizontal="right" vertical="center"/>
    </xf>
    <xf numFmtId="0" fontId="1" fillId="0" borderId="5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Fill="1"/>
    <xf numFmtId="0" fontId="0" fillId="0" borderId="0" xfId="0" applyFill="1" applyAlignment="1">
      <alignment horizontal="right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6" fillId="0" borderId="0" xfId="0" applyFont="1" applyFill="1" applyAlignment="1">
      <alignment horizontal="left" vertical="center"/>
    </xf>
    <xf numFmtId="0" fontId="6" fillId="0" borderId="0" xfId="0" applyFont="1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0" fillId="0" borderId="0" xfId="0" applyFill="1" applyBorder="1" applyAlignment="1">
      <alignment horizontal="right" vertical="center"/>
    </xf>
    <xf numFmtId="0" fontId="5" fillId="0" borderId="0" xfId="0" applyFont="1" applyFill="1" applyAlignment="1">
      <alignment horizontal="lef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right" vertical="center"/>
    </xf>
    <xf numFmtId="0" fontId="0" fillId="0" borderId="21" xfId="0" applyFill="1" applyBorder="1" applyAlignment="1">
      <alignment vertical="center"/>
    </xf>
    <xf numFmtId="0" fontId="0" fillId="0" borderId="21" xfId="0" applyFill="1" applyBorder="1" applyAlignment="1">
      <alignment horizontal="left" vertical="center"/>
    </xf>
    <xf numFmtId="0" fontId="0" fillId="0" borderId="21" xfId="0" applyBorder="1"/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164" fontId="0" fillId="0" borderId="0" xfId="0" applyNumberFormat="1" applyFill="1" applyBorder="1" applyAlignment="1">
      <alignment horizontal="right" vertical="center"/>
    </xf>
    <xf numFmtId="0" fontId="5" fillId="0" borderId="0" xfId="0" applyFont="1" applyAlignment="1">
      <alignment horizontal="left"/>
    </xf>
    <xf numFmtId="0" fontId="8" fillId="0" borderId="0" xfId="0" applyFont="1"/>
    <xf numFmtId="164" fontId="0" fillId="0" borderId="0" xfId="0" applyNumberFormat="1" applyFill="1" applyBorder="1" applyAlignment="1">
      <alignment vertical="center"/>
    </xf>
    <xf numFmtId="0" fontId="0" fillId="0" borderId="20" xfId="0" applyFill="1" applyBorder="1" applyAlignment="1">
      <alignment horizontal="center" vertical="center"/>
    </xf>
    <xf numFmtId="0" fontId="0" fillId="0" borderId="20" xfId="0" applyBorder="1"/>
    <xf numFmtId="0" fontId="0" fillId="0" borderId="20" xfId="0" applyFill="1" applyBorder="1" applyAlignment="1">
      <alignment horizontal="left" vertical="center"/>
    </xf>
    <xf numFmtId="164" fontId="0" fillId="0" borderId="29" xfId="0" applyNumberFormat="1" applyFill="1" applyBorder="1" applyAlignment="1">
      <alignment horizontal="right" vertical="center"/>
    </xf>
    <xf numFmtId="164" fontId="0" fillId="0" borderId="11" xfId="0" applyNumberFormat="1" applyFill="1" applyBorder="1" applyAlignment="1">
      <alignment horizontal="right" vertical="center"/>
    </xf>
    <xf numFmtId="4" fontId="0" fillId="0" borderId="29" xfId="0" applyNumberFormat="1" applyFill="1" applyBorder="1" applyAlignment="1">
      <alignment horizontal="center" vertical="center"/>
    </xf>
    <xf numFmtId="2" fontId="0" fillId="0" borderId="29" xfId="0" applyNumberFormat="1" applyFill="1" applyBorder="1" applyAlignment="1">
      <alignment horizontal="center" vertical="center"/>
    </xf>
    <xf numFmtId="4" fontId="0" fillId="0" borderId="11" xfId="0" applyNumberFormat="1" applyFill="1" applyBorder="1" applyAlignment="1">
      <alignment horizontal="center" vertical="center"/>
    </xf>
    <xf numFmtId="2" fontId="0" fillId="0" borderId="11" xfId="0" applyNumberFormat="1" applyFill="1" applyBorder="1" applyAlignment="1">
      <alignment horizontal="center" vertical="center"/>
    </xf>
    <xf numFmtId="4" fontId="0" fillId="0" borderId="28" xfId="0" applyNumberFormat="1" applyFill="1" applyBorder="1" applyAlignment="1">
      <alignment horizontal="center" vertical="center"/>
    </xf>
    <xf numFmtId="2" fontId="0" fillId="0" borderId="28" xfId="0" applyNumberFormat="1" applyFill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165" fontId="0" fillId="0" borderId="11" xfId="0" applyNumberFormat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2" fontId="0" fillId="0" borderId="17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right" vertical="center"/>
    </xf>
    <xf numFmtId="2" fontId="0" fillId="0" borderId="30" xfId="0" applyNumberFormat="1" applyFill="1" applyBorder="1" applyAlignment="1">
      <alignment horizontal="center" vertical="center"/>
    </xf>
    <xf numFmtId="2" fontId="0" fillId="0" borderId="31" xfId="0" applyNumberFormat="1" applyFill="1" applyBorder="1" applyAlignment="1">
      <alignment horizontal="center" vertical="center"/>
    </xf>
    <xf numFmtId="2" fontId="0" fillId="0" borderId="31" xfId="0" applyNumberFormat="1" applyBorder="1" applyAlignment="1">
      <alignment horizontal="center" vertical="center"/>
    </xf>
    <xf numFmtId="2" fontId="0" fillId="0" borderId="34" xfId="0" applyNumberForma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64" fontId="0" fillId="0" borderId="36" xfId="0" applyNumberFormat="1" applyFill="1" applyBorder="1" applyAlignment="1">
      <alignment horizontal="right" vertical="center"/>
    </xf>
    <xf numFmtId="164" fontId="0" fillId="0" borderId="18" xfId="0" applyNumberFormat="1" applyFill="1" applyBorder="1" applyAlignment="1">
      <alignment horizontal="right" vertical="center"/>
    </xf>
    <xf numFmtId="164" fontId="0" fillId="0" borderId="16" xfId="0" applyNumberFormat="1" applyFill="1" applyBorder="1" applyAlignment="1">
      <alignment horizontal="right" vertical="center"/>
    </xf>
    <xf numFmtId="0" fontId="0" fillId="0" borderId="0" xfId="0" applyBorder="1"/>
    <xf numFmtId="0" fontId="0" fillId="0" borderId="0" xfId="0" applyFill="1" applyBorder="1" applyAlignment="1">
      <alignment horizontal="left" vertical="center"/>
    </xf>
    <xf numFmtId="2" fontId="0" fillId="0" borderId="0" xfId="0" applyNumberForma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/>
    </xf>
    <xf numFmtId="2" fontId="0" fillId="0" borderId="33" xfId="0" applyNumberFormat="1" applyBorder="1" applyAlignment="1">
      <alignment horizontal="center" vertical="center"/>
    </xf>
    <xf numFmtId="165" fontId="7" fillId="0" borderId="16" xfId="0" applyNumberFormat="1" applyFont="1" applyBorder="1" applyAlignment="1">
      <alignment horizontal="right" vertical="center"/>
    </xf>
    <xf numFmtId="165" fontId="7" fillId="0" borderId="18" xfId="0" applyNumberFormat="1" applyFont="1" applyBorder="1" applyAlignment="1">
      <alignment horizontal="right" vertical="center"/>
    </xf>
    <xf numFmtId="4" fontId="0" fillId="0" borderId="0" xfId="0" applyNumberFormat="1"/>
    <xf numFmtId="0" fontId="1" fillId="0" borderId="0" xfId="0" applyFont="1" applyFill="1"/>
    <xf numFmtId="0" fontId="4" fillId="0" borderId="0" xfId="0" applyFont="1" applyAlignment="1"/>
    <xf numFmtId="0" fontId="0" fillId="0" borderId="0" xfId="0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right" vertical="center" wrapText="1"/>
    </xf>
    <xf numFmtId="0" fontId="5" fillId="0" borderId="0" xfId="0" applyFont="1" applyFill="1" applyBorder="1" applyAlignment="1">
      <alignment horizontal="right" vertical="center"/>
    </xf>
    <xf numFmtId="0" fontId="5" fillId="0" borderId="0" xfId="0" applyFont="1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Border="1" applyAlignment="1">
      <alignment vertical="center"/>
    </xf>
    <xf numFmtId="0" fontId="1" fillId="4" borderId="22" xfId="0" applyFont="1" applyFill="1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left" vertical="center"/>
    </xf>
    <xf numFmtId="0" fontId="7" fillId="0" borderId="0" xfId="0" applyFont="1" applyAlignment="1">
      <alignment horizontal="center" vertical="center"/>
    </xf>
    <xf numFmtId="164" fontId="5" fillId="0" borderId="0" xfId="0" applyNumberFormat="1" applyFont="1" applyFill="1" applyBorder="1" applyAlignment="1">
      <alignment horizontal="left" vertical="center"/>
    </xf>
    <xf numFmtId="0" fontId="9" fillId="0" borderId="0" xfId="0" applyFont="1" applyFill="1" applyAlignment="1">
      <alignment vertical="center"/>
    </xf>
    <xf numFmtId="2" fontId="7" fillId="0" borderId="0" xfId="0" applyNumberFormat="1" applyFont="1" applyFill="1" applyAlignment="1">
      <alignment horizontal="left" vertical="center"/>
    </xf>
    <xf numFmtId="0" fontId="7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10" fillId="0" borderId="0" xfId="0" applyFont="1" applyFill="1" applyAlignment="1">
      <alignment horizontal="left" vertical="center"/>
    </xf>
    <xf numFmtId="0" fontId="10" fillId="0" borderId="0" xfId="0" applyFont="1" applyFill="1" applyAlignment="1">
      <alignment vertical="center"/>
    </xf>
    <xf numFmtId="0" fontId="10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right" vertical="center"/>
    </xf>
    <xf numFmtId="0" fontId="11" fillId="0" borderId="0" xfId="0" applyFont="1" applyFill="1" applyAlignment="1">
      <alignment vertical="center"/>
    </xf>
    <xf numFmtId="0" fontId="10" fillId="0" borderId="0" xfId="0" applyFont="1"/>
    <xf numFmtId="0" fontId="11" fillId="0" borderId="0" xfId="0" applyFont="1" applyFill="1" applyAlignment="1">
      <alignment horizontal="left" vertical="center"/>
    </xf>
    <xf numFmtId="4" fontId="1" fillId="6" borderId="22" xfId="0" applyNumberFormat="1" applyFont="1" applyFill="1" applyBorder="1" applyAlignment="1">
      <alignment horizontal="center" vertical="center"/>
    </xf>
    <xf numFmtId="2" fontId="1" fillId="6" borderId="22" xfId="0" applyNumberFormat="1" applyFont="1" applyFill="1" applyBorder="1" applyAlignment="1">
      <alignment horizontal="center" vertical="center"/>
    </xf>
    <xf numFmtId="164" fontId="1" fillId="3" borderId="22" xfId="0" applyNumberFormat="1" applyFont="1" applyFill="1" applyBorder="1" applyAlignment="1">
      <alignment horizontal="right" vertical="center"/>
    </xf>
    <xf numFmtId="2" fontId="1" fillId="6" borderId="22" xfId="0" applyNumberFormat="1" applyFont="1" applyFill="1" applyBorder="1" applyAlignment="1">
      <alignment horizontal="right" vertical="center"/>
    </xf>
    <xf numFmtId="0" fontId="0" fillId="0" borderId="21" xfId="0" applyBorder="1" applyAlignment="1">
      <alignment vertical="center"/>
    </xf>
    <xf numFmtId="0" fontId="0" fillId="0" borderId="20" xfId="0" applyBorder="1" applyAlignment="1">
      <alignment vertical="center"/>
    </xf>
    <xf numFmtId="0" fontId="5" fillId="0" borderId="0" xfId="0" applyFont="1" applyAlignment="1">
      <alignment horizontal="left" vertical="center"/>
    </xf>
    <xf numFmtId="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7" fillId="0" borderId="0" xfId="0" applyFont="1" applyFill="1" applyAlignment="1">
      <alignment horizontal="right" vertical="center"/>
    </xf>
    <xf numFmtId="0" fontId="4" fillId="0" borderId="0" xfId="0" applyFont="1" applyBorder="1" applyAlignment="1">
      <alignment vertical="center"/>
    </xf>
    <xf numFmtId="4" fontId="0" fillId="0" borderId="0" xfId="0" applyNumberFormat="1" applyFill="1" applyBorder="1" applyAlignment="1">
      <alignment horizontal="center" vertical="center"/>
    </xf>
    <xf numFmtId="4" fontId="1" fillId="0" borderId="0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Alignment="1">
      <alignment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Alignment="1">
      <alignment vertical="center"/>
    </xf>
    <xf numFmtId="0" fontId="12" fillId="0" borderId="0" xfId="0" applyFont="1" applyAlignment="1">
      <alignment vertical="center"/>
    </xf>
    <xf numFmtId="0" fontId="5" fillId="0" borderId="0" xfId="0" applyFont="1"/>
    <xf numFmtId="0" fontId="14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vertical="center"/>
    </xf>
    <xf numFmtId="0" fontId="7" fillId="0" borderId="0" xfId="0" applyFont="1"/>
    <xf numFmtId="0" fontId="15" fillId="0" borderId="0" xfId="0" applyFont="1" applyFill="1" applyAlignment="1">
      <alignment vertical="center"/>
    </xf>
    <xf numFmtId="0" fontId="13" fillId="0" borderId="0" xfId="0" applyFont="1" applyFill="1" applyAlignment="1">
      <alignment vertical="center"/>
    </xf>
    <xf numFmtId="0" fontId="17" fillId="0" borderId="0" xfId="0" applyFont="1" applyAlignment="1">
      <alignment vertical="center"/>
    </xf>
    <xf numFmtId="0" fontId="18" fillId="0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0" fillId="0" borderId="0" xfId="0" applyFont="1" applyFill="1" applyAlignment="1">
      <alignment horizontal="left" vertical="center"/>
    </xf>
    <xf numFmtId="2" fontId="1" fillId="0" borderId="22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right" vertical="center"/>
    </xf>
    <xf numFmtId="2" fontId="1" fillId="0" borderId="0" xfId="0" applyNumberFormat="1" applyFont="1" applyFill="1" applyBorder="1" applyAlignment="1">
      <alignment horizontal="right" vertical="center"/>
    </xf>
    <xf numFmtId="165" fontId="0" fillId="0" borderId="0" xfId="0" applyNumberFormat="1" applyFill="1" applyBorder="1" applyAlignment="1">
      <alignment horizontal="right" vertical="center"/>
    </xf>
    <xf numFmtId="2" fontId="0" fillId="0" borderId="0" xfId="0" applyNumberFormat="1" applyFill="1" applyBorder="1" applyAlignment="1">
      <alignment horizontal="right" vertical="center"/>
    </xf>
    <xf numFmtId="164" fontId="10" fillId="0" borderId="0" xfId="0" applyNumberFormat="1" applyFont="1" applyFill="1" applyBorder="1" applyAlignment="1">
      <alignment vertical="center"/>
    </xf>
    <xf numFmtId="164" fontId="1" fillId="0" borderId="0" xfId="0" applyNumberFormat="1" applyFont="1" applyFill="1" applyBorder="1" applyAlignment="1">
      <alignment vertical="center"/>
    </xf>
    <xf numFmtId="0" fontId="1" fillId="0" borderId="1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12" xfId="0" applyBorder="1"/>
    <xf numFmtId="0" fontId="1" fillId="6" borderId="22" xfId="0" applyFont="1" applyFill="1" applyBorder="1" applyAlignment="1">
      <alignment horizontal="center" vertical="center"/>
    </xf>
    <xf numFmtId="165" fontId="1" fillId="3" borderId="22" xfId="0" applyNumberFormat="1" applyFont="1" applyFill="1" applyBorder="1" applyAlignment="1">
      <alignment horizontal="right" vertical="center"/>
    </xf>
    <xf numFmtId="164" fontId="1" fillId="3" borderId="22" xfId="0" applyNumberFormat="1" applyFont="1" applyFill="1" applyBorder="1" applyAlignment="1">
      <alignment vertical="center"/>
    </xf>
    <xf numFmtId="164" fontId="1" fillId="7" borderId="22" xfId="0" applyNumberFormat="1" applyFont="1" applyFill="1" applyBorder="1" applyAlignment="1">
      <alignment vertical="center"/>
    </xf>
    <xf numFmtId="164" fontId="20" fillId="5" borderId="22" xfId="0" applyNumberFormat="1" applyFont="1" applyFill="1" applyBorder="1" applyAlignment="1">
      <alignment vertical="center"/>
    </xf>
    <xf numFmtId="0" fontId="1" fillId="2" borderId="22" xfId="0" applyFont="1" applyFill="1" applyBorder="1" applyAlignment="1">
      <alignment horizontal="center" vertical="center"/>
    </xf>
    <xf numFmtId="2" fontId="1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21" fillId="0" borderId="24" xfId="0" applyFont="1" applyBorder="1" applyAlignment="1">
      <alignment horizontal="center" vertical="center"/>
    </xf>
    <xf numFmtId="0" fontId="21" fillId="0" borderId="25" xfId="0" applyFont="1" applyBorder="1" applyAlignment="1">
      <alignment horizontal="center" vertical="center"/>
    </xf>
    <xf numFmtId="0" fontId="21" fillId="0" borderId="28" xfId="0" applyFont="1" applyFill="1" applyBorder="1" applyAlignment="1">
      <alignment horizontal="center" vertical="center"/>
    </xf>
    <xf numFmtId="0" fontId="21" fillId="0" borderId="34" xfId="0" applyFont="1" applyFill="1" applyBorder="1" applyAlignment="1">
      <alignment horizontal="center" vertical="center"/>
    </xf>
    <xf numFmtId="0" fontId="21" fillId="0" borderId="40" xfId="0" applyFont="1" applyBorder="1" applyAlignment="1">
      <alignment horizontal="center" vertical="center"/>
    </xf>
    <xf numFmtId="0" fontId="21" fillId="0" borderId="35" xfId="0" applyFont="1" applyBorder="1" applyAlignment="1">
      <alignment horizontal="center" vertical="center"/>
    </xf>
    <xf numFmtId="0" fontId="21" fillId="0" borderId="21" xfId="0" applyFont="1" applyFill="1" applyBorder="1" applyAlignment="1">
      <alignment horizontal="center" vertical="center"/>
    </xf>
    <xf numFmtId="0" fontId="21" fillId="0" borderId="26" xfId="0" applyFont="1" applyFill="1" applyBorder="1" applyAlignment="1">
      <alignment horizontal="center" vertical="center"/>
    </xf>
    <xf numFmtId="0" fontId="21" fillId="0" borderId="20" xfId="0" applyFont="1" applyFill="1" applyBorder="1" applyAlignment="1">
      <alignment horizontal="center" vertical="center"/>
    </xf>
    <xf numFmtId="0" fontId="21" fillId="0" borderId="27" xfId="0" applyFont="1" applyFill="1" applyBorder="1" applyAlignment="1">
      <alignment horizontal="center" vertical="center"/>
    </xf>
    <xf numFmtId="165" fontId="0" fillId="0" borderId="29" xfId="0" applyNumberFormat="1" applyBorder="1" applyAlignment="1">
      <alignment horizontal="right" vertical="center"/>
    </xf>
    <xf numFmtId="165" fontId="0" fillId="0" borderId="28" xfId="0" applyNumberFormat="1" applyBorder="1" applyAlignment="1">
      <alignment horizontal="right" vertical="center"/>
    </xf>
    <xf numFmtId="0" fontId="0" fillId="6" borderId="22" xfId="0" applyFill="1" applyBorder="1" applyAlignment="1">
      <alignment vertical="center"/>
    </xf>
    <xf numFmtId="0" fontId="0" fillId="8" borderId="22" xfId="0" applyFill="1" applyBorder="1" applyAlignment="1">
      <alignment vertical="center"/>
    </xf>
    <xf numFmtId="164" fontId="1" fillId="7" borderId="22" xfId="0" applyNumberFormat="1" applyFont="1" applyFill="1" applyBorder="1" applyAlignment="1">
      <alignment horizontal="right" vertical="center"/>
    </xf>
    <xf numFmtId="0" fontId="0" fillId="0" borderId="10" xfId="0" applyFill="1" applyBorder="1" applyAlignment="1">
      <alignment horizontal="left" vertical="center"/>
    </xf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Fill="1" applyAlignment="1">
      <alignment horizontal="right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1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7" fillId="0" borderId="0" xfId="0" applyFont="1" applyFill="1" applyAlignment="1">
      <alignment horizontal="right" vertical="center"/>
    </xf>
    <xf numFmtId="0" fontId="1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 vertical="center"/>
    </xf>
    <xf numFmtId="164" fontId="0" fillId="0" borderId="0" xfId="0" applyNumberForma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7" fillId="0" borderId="8" xfId="0" applyFont="1" applyFill="1" applyBorder="1" applyAlignment="1">
      <alignment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8" xfId="0" applyBorder="1" applyAlignment="1">
      <alignment vertical="center"/>
    </xf>
    <xf numFmtId="0" fontId="7" fillId="0" borderId="8" xfId="0" applyFont="1" applyFill="1" applyBorder="1" applyAlignment="1">
      <alignment horizontal="right" vertical="center"/>
    </xf>
    <xf numFmtId="2" fontId="1" fillId="0" borderId="8" xfId="0" applyNumberFormat="1" applyFont="1" applyFill="1" applyBorder="1" applyAlignment="1">
      <alignment horizontal="center" vertical="center"/>
    </xf>
    <xf numFmtId="2" fontId="7" fillId="0" borderId="8" xfId="0" applyNumberFormat="1" applyFont="1" applyFill="1" applyBorder="1" applyAlignment="1">
      <alignment horizontal="left" vertical="center"/>
    </xf>
    <xf numFmtId="0" fontId="7" fillId="0" borderId="8" xfId="0" applyFont="1" applyFill="1" applyBorder="1" applyAlignment="1">
      <alignment horizontal="center" vertical="center"/>
    </xf>
    <xf numFmtId="2" fontId="7" fillId="0" borderId="8" xfId="0" applyNumberFormat="1" applyFont="1" applyFill="1" applyBorder="1" applyAlignment="1">
      <alignment horizontal="center" vertical="center"/>
    </xf>
    <xf numFmtId="0" fontId="0" fillId="0" borderId="18" xfId="0" applyFill="1" applyBorder="1" applyAlignment="1">
      <alignment vertical="center"/>
    </xf>
    <xf numFmtId="0" fontId="0" fillId="0" borderId="18" xfId="0" applyBorder="1"/>
    <xf numFmtId="0" fontId="7" fillId="0" borderId="15" xfId="0" applyFont="1" applyFill="1" applyBorder="1" applyAlignment="1">
      <alignment vertical="center"/>
    </xf>
    <xf numFmtId="0" fontId="1" fillId="0" borderId="15" xfId="0" applyFont="1" applyFill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0" fillId="0" borderId="15" xfId="0" applyBorder="1" applyAlignment="1">
      <alignment vertical="center"/>
    </xf>
    <xf numFmtId="0" fontId="7" fillId="0" borderId="20" xfId="0" applyFont="1" applyFill="1" applyBorder="1" applyAlignment="1">
      <alignment horizontal="left" vertical="center"/>
    </xf>
    <xf numFmtId="0" fontId="0" fillId="0" borderId="18" xfId="0" applyBorder="1" applyAlignment="1">
      <alignment horizontal="right"/>
    </xf>
    <xf numFmtId="0" fontId="7" fillId="0" borderId="10" xfId="0" applyFon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6" xfId="0" applyBorder="1" applyAlignment="1">
      <alignment vertical="center"/>
    </xf>
    <xf numFmtId="0" fontId="7" fillId="0" borderId="15" xfId="0" applyFont="1" applyFill="1" applyBorder="1" applyAlignment="1">
      <alignment horizontal="right" vertical="center"/>
    </xf>
    <xf numFmtId="0" fontId="7" fillId="0" borderId="15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left" vertical="center"/>
    </xf>
    <xf numFmtId="0" fontId="0" fillId="0" borderId="16" xfId="0" applyFill="1" applyBorder="1" applyAlignment="1">
      <alignment vertical="center"/>
    </xf>
    <xf numFmtId="0" fontId="0" fillId="0" borderId="16" xfId="0" applyBorder="1"/>
    <xf numFmtId="0" fontId="1" fillId="0" borderId="20" xfId="0" applyNumberFormat="1" applyFont="1" applyFill="1" applyBorder="1" applyAlignment="1">
      <alignment horizontal="center" vertical="center"/>
    </xf>
    <xf numFmtId="0" fontId="1" fillId="0" borderId="47" xfId="0" applyNumberFormat="1" applyFont="1" applyFill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/>
    </xf>
    <xf numFmtId="0" fontId="1" fillId="0" borderId="20" xfId="0" applyFont="1" applyFill="1" applyBorder="1" applyAlignment="1">
      <alignment horizontal="center" vertical="center"/>
    </xf>
    <xf numFmtId="0" fontId="1" fillId="0" borderId="49" xfId="0" applyFont="1" applyFill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0" fillId="0" borderId="0" xfId="0" applyFill="1" applyAlignment="1">
      <alignment horizontal="center" vertical="center"/>
    </xf>
    <xf numFmtId="0" fontId="1" fillId="2" borderId="22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/>
    </xf>
    <xf numFmtId="0" fontId="1" fillId="0" borderId="49" xfId="0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15" fillId="0" borderId="0" xfId="0" applyNumberFormat="1" applyFont="1" applyFill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0" fillId="0" borderId="0" xfId="0" applyNumberFormat="1" applyAlignment="1">
      <alignment vertical="center"/>
    </xf>
    <xf numFmtId="0" fontId="1" fillId="4" borderId="45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Fill="1" applyAlignment="1">
      <alignment horizontal="right" vertical="center"/>
    </xf>
    <xf numFmtId="0" fontId="0" fillId="0" borderId="0" xfId="0" applyFill="1" applyBorder="1" applyAlignment="1">
      <alignment horizontal="right" vertical="center"/>
    </xf>
    <xf numFmtId="0" fontId="0" fillId="0" borderId="0" xfId="0" applyFill="1" applyAlignment="1">
      <alignment horizontal="center" vertical="center"/>
    </xf>
    <xf numFmtId="0" fontId="1" fillId="0" borderId="26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20" xfId="0" applyFont="1" applyFill="1" applyBorder="1" applyAlignment="1">
      <alignment vertical="center"/>
    </xf>
    <xf numFmtId="0" fontId="16" fillId="0" borderId="0" xfId="0" applyFont="1" applyAlignment="1">
      <alignment vertical="center"/>
    </xf>
    <xf numFmtId="0" fontId="5" fillId="0" borderId="0" xfId="0" applyFont="1" applyFill="1" applyBorder="1" applyAlignment="1">
      <alignment vertical="center"/>
    </xf>
    <xf numFmtId="0" fontId="0" fillId="0" borderId="37" xfId="0" applyBorder="1" applyAlignment="1">
      <alignment horizontal="center" vertical="center"/>
    </xf>
    <xf numFmtId="0" fontId="21" fillId="0" borderId="28" xfId="0" applyFont="1" applyBorder="1" applyAlignment="1">
      <alignment horizontal="center" vertical="center"/>
    </xf>
    <xf numFmtId="0" fontId="21" fillId="0" borderId="51" xfId="0" applyFont="1" applyBorder="1" applyAlignment="1">
      <alignment horizontal="center" vertical="center"/>
    </xf>
    <xf numFmtId="0" fontId="21" fillId="0" borderId="39" xfId="0" applyFont="1" applyBorder="1" applyAlignment="1">
      <alignment horizontal="center" vertical="center"/>
    </xf>
    <xf numFmtId="0" fontId="21" fillId="0" borderId="34" xfId="0" applyFont="1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52" xfId="0" applyBorder="1"/>
    <xf numFmtId="0" fontId="0" fillId="0" borderId="53" xfId="0" applyBorder="1"/>
    <xf numFmtId="0" fontId="0" fillId="0" borderId="53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4" fontId="7" fillId="0" borderId="55" xfId="0" applyNumberFormat="1" applyFont="1" applyFill="1" applyBorder="1" applyAlignment="1">
      <alignment horizontal="center" vertical="center"/>
    </xf>
    <xf numFmtId="4" fontId="7" fillId="0" borderId="10" xfId="0" applyNumberFormat="1" applyFont="1" applyFill="1" applyBorder="1" applyAlignment="1">
      <alignment horizontal="center" vertical="center"/>
    </xf>
    <xf numFmtId="2" fontId="7" fillId="0" borderId="10" xfId="0" applyNumberFormat="1" applyFont="1" applyBorder="1" applyAlignment="1">
      <alignment horizontal="center" vertical="center"/>
    </xf>
    <xf numFmtId="2" fontId="7" fillId="0" borderId="19" xfId="0" applyNumberFormat="1" applyFont="1" applyBorder="1" applyAlignment="1">
      <alignment horizontal="center" vertical="center"/>
    </xf>
    <xf numFmtId="0" fontId="21" fillId="0" borderId="54" xfId="0" applyFont="1" applyFill="1" applyBorder="1" applyAlignment="1">
      <alignment horizontal="center" vertical="center"/>
    </xf>
    <xf numFmtId="4" fontId="7" fillId="0" borderId="54" xfId="0" applyNumberFormat="1" applyFont="1" applyFill="1" applyBorder="1" applyAlignment="1">
      <alignment horizontal="center" vertical="center"/>
    </xf>
    <xf numFmtId="0" fontId="21" fillId="0" borderId="54" xfId="0" applyFont="1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59" xfId="0" applyBorder="1"/>
    <xf numFmtId="0" fontId="21" fillId="0" borderId="60" xfId="0" applyFont="1" applyFill="1" applyBorder="1" applyAlignment="1">
      <alignment horizontal="right" vertical="center"/>
    </xf>
    <xf numFmtId="0" fontId="21" fillId="0" borderId="61" xfId="0" applyFont="1" applyFill="1" applyBorder="1" applyAlignment="1">
      <alignment horizontal="right" vertical="center"/>
    </xf>
    <xf numFmtId="0" fontId="21" fillId="0" borderId="62" xfId="0" applyFont="1" applyFill="1" applyBorder="1" applyAlignment="1">
      <alignment horizontal="right" vertical="center"/>
    </xf>
    <xf numFmtId="0" fontId="21" fillId="0" borderId="63" xfId="0" applyFont="1" applyFill="1" applyBorder="1" applyAlignment="1">
      <alignment horizontal="right" vertical="center"/>
    </xf>
    <xf numFmtId="0" fontId="21" fillId="0" borderId="60" xfId="0" applyFont="1" applyBorder="1" applyAlignment="1">
      <alignment horizontal="right" vertical="center"/>
    </xf>
    <xf numFmtId="0" fontId="21" fillId="0" borderId="61" xfId="0" applyFont="1" applyBorder="1" applyAlignment="1">
      <alignment horizontal="right" vertical="center"/>
    </xf>
    <xf numFmtId="0" fontId="21" fillId="0" borderId="64" xfId="0" applyFont="1" applyBorder="1" applyAlignment="1">
      <alignment horizontal="right" vertical="center"/>
    </xf>
    <xf numFmtId="0" fontId="21" fillId="0" borderId="65" xfId="0" applyFont="1" applyBorder="1" applyAlignment="1">
      <alignment horizontal="right" vertical="center"/>
    </xf>
    <xf numFmtId="0" fontId="21" fillId="0" borderId="50" xfId="0" applyFont="1" applyBorder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3" xfId="0" applyFont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4" fillId="0" borderId="0" xfId="0" applyFont="1" applyFill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5" fillId="0" borderId="0" xfId="0" applyFont="1" applyFill="1" applyAlignment="1">
      <alignment horizontal="center" vertical="center"/>
    </xf>
    <xf numFmtId="0" fontId="23" fillId="0" borderId="0" xfId="0" applyFont="1" applyFill="1" applyAlignment="1">
      <alignment horizontal="left" vertical="center"/>
    </xf>
    <xf numFmtId="0" fontId="14" fillId="0" borderId="0" xfId="0" applyFont="1" applyFill="1" applyAlignment="1">
      <alignment horizontal="right" vertical="center"/>
    </xf>
    <xf numFmtId="0" fontId="0" fillId="0" borderId="0" xfId="0" applyAlignment="1">
      <alignment horizontal="right"/>
    </xf>
    <xf numFmtId="0" fontId="5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1" fillId="0" borderId="47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0" fillId="0" borderId="0" xfId="0" applyFill="1" applyAlignment="1">
      <alignment horizontal="right" vertical="center"/>
    </xf>
    <xf numFmtId="0" fontId="0" fillId="0" borderId="0" xfId="0" applyFill="1" applyBorder="1" applyAlignment="1">
      <alignment horizontal="right" vertical="center"/>
    </xf>
    <xf numFmtId="0" fontId="7" fillId="0" borderId="16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2" fontId="7" fillId="0" borderId="20" xfId="0" applyNumberFormat="1" applyFont="1" applyBorder="1" applyAlignment="1">
      <alignment horizontal="center" vertical="center"/>
    </xf>
    <xf numFmtId="2" fontId="7" fillId="0" borderId="21" xfId="0" applyNumberFormat="1" applyFont="1" applyBorder="1" applyAlignment="1">
      <alignment horizontal="center" vertical="center"/>
    </xf>
    <xf numFmtId="0" fontId="7" fillId="0" borderId="47" xfId="0" applyFont="1" applyBorder="1" applyAlignment="1">
      <alignment horizontal="center" vertical="center"/>
    </xf>
    <xf numFmtId="0" fontId="7" fillId="0" borderId="48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1" fillId="0" borderId="49" xfId="0" applyNumberFormat="1" applyFont="1" applyBorder="1" applyAlignment="1">
      <alignment horizontal="center" vertical="center"/>
    </xf>
    <xf numFmtId="0" fontId="1" fillId="0" borderId="46" xfId="0" applyNumberFormat="1" applyFont="1" applyBorder="1" applyAlignment="1">
      <alignment horizontal="center" vertical="center"/>
    </xf>
    <xf numFmtId="0" fontId="1" fillId="0" borderId="49" xfId="0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/>
    </xf>
    <xf numFmtId="0" fontId="1" fillId="0" borderId="48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3" fillId="0" borderId="0" xfId="0" applyFont="1" applyAlignment="1">
      <alignment horizontal="left" vertical="center"/>
    </xf>
    <xf numFmtId="0" fontId="23" fillId="0" borderId="0" xfId="0" applyFont="1" applyAlignment="1">
      <alignment horizontal="right" vertical="center"/>
    </xf>
    <xf numFmtId="0" fontId="15" fillId="0" borderId="0" xfId="0" applyFont="1" applyAlignment="1">
      <alignment horizontal="center" vertical="center"/>
    </xf>
    <xf numFmtId="0" fontId="23" fillId="0" borderId="0" xfId="0" applyFont="1" applyFill="1" applyAlignment="1">
      <alignment horizontal="right" vertical="center"/>
    </xf>
    <xf numFmtId="0" fontId="7" fillId="0" borderId="20" xfId="0" applyFont="1" applyFill="1" applyBorder="1" applyAlignment="1">
      <alignment horizontal="right" vertical="center"/>
    </xf>
    <xf numFmtId="0" fontId="7" fillId="0" borderId="0" xfId="0" applyFont="1" applyFill="1" applyBorder="1" applyAlignment="1">
      <alignment horizontal="right" vertical="center"/>
    </xf>
    <xf numFmtId="0" fontId="7" fillId="0" borderId="13" xfId="0" applyFont="1" applyFill="1" applyBorder="1" applyAlignment="1">
      <alignment horizontal="right" vertical="center"/>
    </xf>
    <xf numFmtId="0" fontId="7" fillId="0" borderId="12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7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wrapText="1"/>
    </xf>
    <xf numFmtId="0" fontId="1" fillId="0" borderId="12" xfId="0" applyFont="1" applyFill="1" applyBorder="1" applyAlignment="1">
      <alignment horizontal="center" wrapText="1"/>
    </xf>
    <xf numFmtId="2" fontId="7" fillId="0" borderId="15" xfId="0" applyNumberFormat="1" applyFont="1" applyFill="1" applyBorder="1" applyAlignment="1">
      <alignment horizontal="left" vertical="center"/>
    </xf>
    <xf numFmtId="2" fontId="7" fillId="0" borderId="10" xfId="0" applyNumberFormat="1" applyFont="1" applyFill="1" applyBorder="1" applyAlignment="1">
      <alignment horizontal="left" vertical="center"/>
    </xf>
    <xf numFmtId="0" fontId="7" fillId="0" borderId="15" xfId="0" applyFont="1" applyFill="1" applyBorder="1" applyAlignment="1">
      <alignment horizontal="left" vertical="center"/>
    </xf>
    <xf numFmtId="0" fontId="7" fillId="0" borderId="10" xfId="0" applyFont="1" applyFill="1" applyBorder="1" applyAlignment="1">
      <alignment horizontal="left" vertical="center"/>
    </xf>
    <xf numFmtId="0" fontId="0" fillId="0" borderId="1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42" xfId="0" applyFont="1" applyFill="1" applyBorder="1" applyAlignment="1">
      <alignment horizontal="center" vertical="center"/>
    </xf>
    <xf numFmtId="0" fontId="1" fillId="0" borderId="43" xfId="0" applyFont="1" applyFill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46" xfId="0" applyFont="1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0" borderId="20" xfId="0" applyBorder="1" applyAlignment="1">
      <alignment horizontal="right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1" fillId="0" borderId="8" xfId="0" applyNumberFormat="1" applyFont="1" applyBorder="1" applyAlignment="1" applyProtection="1">
      <alignment horizontal="center" vertical="center"/>
    </xf>
    <xf numFmtId="0" fontId="1" fillId="0" borderId="0" xfId="0" applyNumberFormat="1" applyFont="1" applyBorder="1" applyAlignment="1" applyProtection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4" fillId="0" borderId="0" xfId="0" applyFont="1" applyFill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7" fillId="0" borderId="18" xfId="0" applyFont="1" applyFill="1" applyBorder="1" applyAlignment="1">
      <alignment horizontal="right" vertical="center"/>
    </xf>
    <xf numFmtId="0" fontId="7" fillId="0" borderId="8" xfId="0" applyFont="1" applyFill="1" applyBorder="1" applyAlignment="1">
      <alignment horizontal="right" vertical="center"/>
    </xf>
    <xf numFmtId="0" fontId="0" fillId="0" borderId="13" xfId="0" applyBorder="1" applyAlignment="1">
      <alignment horizontal="right" vertical="center"/>
    </xf>
    <xf numFmtId="0" fontId="0" fillId="0" borderId="12" xfId="0" applyBorder="1" applyAlignment="1">
      <alignment horizontal="right" vertical="center"/>
    </xf>
    <xf numFmtId="0" fontId="7" fillId="0" borderId="16" xfId="0" applyFont="1" applyFill="1" applyBorder="1" applyAlignment="1">
      <alignment horizontal="right" vertical="center"/>
    </xf>
    <xf numFmtId="0" fontId="7" fillId="0" borderId="15" xfId="0" applyFont="1" applyFill="1" applyBorder="1" applyAlignment="1">
      <alignment horizontal="right" vertical="center"/>
    </xf>
    <xf numFmtId="0" fontId="24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ill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0" fillId="0" borderId="51" xfId="0" applyBorder="1" applyAlignment="1">
      <alignment horizontal="center"/>
    </xf>
    <xf numFmtId="0" fontId="0" fillId="0" borderId="39" xfId="0" applyBorder="1" applyAlignment="1">
      <alignment horizontal="center"/>
    </xf>
    <xf numFmtId="0" fontId="21" fillId="0" borderId="35" xfId="0" applyFont="1" applyBorder="1" applyAlignment="1">
      <alignment horizontal="center" vertical="center"/>
    </xf>
    <xf numFmtId="0" fontId="21" fillId="0" borderId="37" xfId="0" applyFont="1" applyBorder="1" applyAlignment="1">
      <alignment horizontal="center" vertical="center"/>
    </xf>
    <xf numFmtId="0" fontId="21" fillId="0" borderId="32" xfId="0" applyFont="1" applyFill="1" applyBorder="1" applyAlignment="1">
      <alignment horizontal="center" vertical="center"/>
    </xf>
    <xf numFmtId="0" fontId="21" fillId="0" borderId="38" xfId="0" applyFont="1" applyFill="1" applyBorder="1" applyAlignment="1">
      <alignment horizontal="center" vertical="center"/>
    </xf>
    <xf numFmtId="164" fontId="0" fillId="0" borderId="32" xfId="0" applyNumberFormat="1" applyFill="1" applyBorder="1" applyAlignment="1">
      <alignment horizontal="center" vertical="center"/>
    </xf>
    <xf numFmtId="164" fontId="0" fillId="0" borderId="38" xfId="0" applyNumberFormat="1" applyFill="1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FF"/>
      <color rgb="FFFAC09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N33"/>
  <sheetViews>
    <sheetView zoomScaleNormal="100" workbookViewId="0">
      <selection activeCell="D11" sqref="D11"/>
    </sheetView>
  </sheetViews>
  <sheetFormatPr baseColWidth="10" defaultColWidth="11.44140625" defaultRowHeight="14.4"/>
  <cols>
    <col min="1" max="1" width="5.6640625" customWidth="1"/>
    <col min="2" max="2" width="2.6640625" customWidth="1"/>
    <col min="3" max="3" width="5.6640625" customWidth="1"/>
    <col min="4" max="9" width="8.6640625" customWidth="1"/>
    <col min="10" max="11" width="5.6640625" customWidth="1"/>
    <col min="12" max="12" width="4.33203125" customWidth="1"/>
    <col min="13" max="13" width="6.6640625" customWidth="1"/>
    <col min="14" max="14" width="42.88671875" customWidth="1"/>
  </cols>
  <sheetData>
    <row r="1" spans="1:14">
      <c r="A1" s="310" t="s">
        <v>25</v>
      </c>
      <c r="B1" s="310"/>
      <c r="C1" s="310"/>
      <c r="D1" s="310"/>
      <c r="E1" s="310"/>
      <c r="F1" s="310"/>
      <c r="G1" s="310"/>
      <c r="H1" s="310"/>
      <c r="I1" s="310"/>
      <c r="J1" s="310"/>
      <c r="K1" s="310"/>
      <c r="L1" s="310"/>
      <c r="M1" s="310"/>
      <c r="N1" s="310"/>
    </row>
    <row r="2" spans="1:14">
      <c r="A2" s="310"/>
      <c r="B2" s="310"/>
      <c r="C2" s="310"/>
      <c r="D2" s="310"/>
      <c r="E2" s="310"/>
      <c r="F2" s="310"/>
      <c r="G2" s="310"/>
      <c r="H2" s="310"/>
      <c r="I2" s="310"/>
      <c r="J2" s="310"/>
      <c r="K2" s="310"/>
      <c r="L2" s="310"/>
      <c r="M2" s="310"/>
      <c r="N2" s="310"/>
    </row>
    <row r="3" spans="1:14">
      <c r="A3" s="311" t="s">
        <v>24</v>
      </c>
      <c r="B3" s="313" t="s">
        <v>181</v>
      </c>
      <c r="C3" s="313"/>
      <c r="D3" s="313"/>
      <c r="E3" s="311" t="s">
        <v>179</v>
      </c>
      <c r="F3" s="313">
        <v>1</v>
      </c>
    </row>
    <row r="4" spans="1:14">
      <c r="A4" s="312"/>
      <c r="B4" s="314"/>
      <c r="C4" s="314"/>
      <c r="D4" s="314"/>
      <c r="E4" s="311"/>
      <c r="F4" s="313"/>
    </row>
    <row r="5" spans="1:14">
      <c r="A5" s="163"/>
      <c r="B5" s="163"/>
      <c r="C5" s="163"/>
      <c r="D5" s="163"/>
      <c r="E5" s="163"/>
    </row>
    <row r="6" spans="1:14">
      <c r="A6" s="315" t="s">
        <v>23</v>
      </c>
      <c r="B6" s="316"/>
      <c r="C6" s="16" t="s">
        <v>22</v>
      </c>
      <c r="D6" s="17" t="s">
        <v>21</v>
      </c>
      <c r="E6" s="17" t="s">
        <v>20</v>
      </c>
      <c r="F6" s="17" t="s">
        <v>19</v>
      </c>
      <c r="G6" s="17" t="s">
        <v>18</v>
      </c>
      <c r="H6" s="17" t="s">
        <v>17</v>
      </c>
      <c r="I6" s="18" t="s">
        <v>16</v>
      </c>
      <c r="J6" s="317" t="s">
        <v>15</v>
      </c>
      <c r="K6" s="317" t="s">
        <v>26</v>
      </c>
      <c r="L6" s="317"/>
      <c r="M6" s="317" t="s">
        <v>27</v>
      </c>
      <c r="N6" s="317" t="s">
        <v>28</v>
      </c>
    </row>
    <row r="7" spans="1:14" ht="16.2">
      <c r="A7" s="319" t="s">
        <v>13</v>
      </c>
      <c r="B7" s="320"/>
      <c r="C7" s="14" t="s">
        <v>12</v>
      </c>
      <c r="D7" s="13" t="s">
        <v>11</v>
      </c>
      <c r="E7" s="13" t="s">
        <v>11</v>
      </c>
      <c r="F7" s="13" t="s">
        <v>10</v>
      </c>
      <c r="G7" s="13" t="s">
        <v>10</v>
      </c>
      <c r="H7" s="13" t="s">
        <v>10</v>
      </c>
      <c r="I7" s="15" t="s">
        <v>9</v>
      </c>
      <c r="J7" s="318"/>
      <c r="K7" s="318"/>
      <c r="L7" s="318"/>
      <c r="M7" s="318"/>
      <c r="N7" s="318"/>
    </row>
    <row r="8" spans="1:14">
      <c r="A8" s="159">
        <v>88</v>
      </c>
      <c r="B8" s="11" t="s">
        <v>5</v>
      </c>
      <c r="C8" s="135" t="s">
        <v>4</v>
      </c>
      <c r="D8" s="160">
        <v>8888</v>
      </c>
      <c r="E8" s="135">
        <v>8888</v>
      </c>
      <c r="F8" s="160">
        <v>888</v>
      </c>
      <c r="G8" s="135">
        <v>888</v>
      </c>
      <c r="H8" s="160">
        <v>888</v>
      </c>
      <c r="I8" s="135">
        <v>8.8800000000000008</v>
      </c>
      <c r="J8" s="135">
        <v>8888</v>
      </c>
      <c r="K8" s="136">
        <v>8888</v>
      </c>
      <c r="L8" s="161" t="s">
        <v>29</v>
      </c>
      <c r="M8" s="162" t="s">
        <v>30</v>
      </c>
      <c r="N8" s="162" t="s">
        <v>180</v>
      </c>
    </row>
    <row r="9" spans="1:14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</row>
    <row r="10" spans="1:14">
      <c r="A10" s="118"/>
      <c r="B10" s="118"/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</row>
    <row r="11" spans="1:14">
      <c r="A11" s="118"/>
      <c r="B11" s="118"/>
      <c r="C11" s="118"/>
      <c r="D11" s="118"/>
      <c r="E11" s="118"/>
      <c r="F11" s="118"/>
      <c r="G11" s="118"/>
      <c r="H11" s="118"/>
      <c r="I11" s="118"/>
      <c r="J11" s="118"/>
      <c r="K11" s="118"/>
      <c r="L11" s="118"/>
      <c r="M11" s="118"/>
      <c r="N11" s="118"/>
    </row>
    <row r="12" spans="1:14">
      <c r="A12" s="118"/>
      <c r="B12" s="118"/>
      <c r="C12" s="118"/>
      <c r="D12" s="118"/>
      <c r="E12" s="118"/>
      <c r="F12" s="118"/>
      <c r="G12" s="118"/>
      <c r="H12" s="118"/>
      <c r="I12" s="118"/>
      <c r="J12" s="118"/>
      <c r="K12" s="118"/>
      <c r="L12" s="118"/>
      <c r="M12" s="118"/>
      <c r="N12" s="118"/>
    </row>
    <row r="13" spans="1:14">
      <c r="A13" s="118"/>
      <c r="B13" s="118"/>
      <c r="C13" s="118"/>
      <c r="D13" s="118"/>
      <c r="E13" s="118"/>
      <c r="F13" s="118"/>
      <c r="G13" s="118"/>
      <c r="H13" s="118"/>
      <c r="I13" s="118"/>
      <c r="J13" s="118"/>
      <c r="K13" s="118"/>
      <c r="L13" s="118"/>
      <c r="M13" s="118"/>
      <c r="N13" s="118"/>
    </row>
    <row r="14" spans="1:14">
      <c r="A14" s="71"/>
      <c r="B14" s="71"/>
      <c r="C14" s="71"/>
      <c r="D14" s="71"/>
      <c r="E14" s="71"/>
      <c r="F14" s="71"/>
      <c r="G14" s="71"/>
      <c r="H14" s="71"/>
      <c r="I14" s="71"/>
      <c r="J14" s="71"/>
      <c r="K14" s="71"/>
      <c r="L14" s="71"/>
      <c r="M14" s="71"/>
      <c r="N14" s="71"/>
    </row>
    <row r="15" spans="1:14">
      <c r="A15" s="71"/>
      <c r="B15" s="71"/>
      <c r="C15" s="71"/>
      <c r="D15" s="71"/>
      <c r="E15" s="71"/>
      <c r="F15" s="71"/>
      <c r="G15" s="71"/>
      <c r="H15" s="71"/>
      <c r="I15" s="71"/>
      <c r="J15" s="71"/>
      <c r="K15" s="71"/>
      <c r="L15" s="71"/>
      <c r="M15" s="71"/>
      <c r="N15" s="71"/>
    </row>
    <row r="16" spans="1:14">
      <c r="A16" s="71"/>
      <c r="B16" s="71"/>
      <c r="C16" s="71"/>
      <c r="D16" s="71"/>
      <c r="E16" s="71"/>
      <c r="F16" s="71"/>
      <c r="G16" s="71"/>
      <c r="H16" s="71"/>
      <c r="I16" s="71"/>
      <c r="J16" s="71"/>
      <c r="K16" s="71"/>
      <c r="L16" s="71"/>
      <c r="M16" s="71"/>
      <c r="N16" s="71"/>
    </row>
    <row r="17" spans="1:14">
      <c r="A17" s="118"/>
      <c r="B17" s="118"/>
      <c r="C17" s="118"/>
      <c r="D17" s="118"/>
      <c r="E17" s="118"/>
      <c r="F17" s="118"/>
      <c r="G17" s="118"/>
      <c r="H17" s="118"/>
      <c r="I17" s="118"/>
      <c r="J17" s="118"/>
      <c r="K17" s="118"/>
      <c r="L17" s="118"/>
      <c r="M17" s="118"/>
      <c r="N17" s="118"/>
    </row>
    <row r="18" spans="1:14">
      <c r="A18" s="118"/>
      <c r="B18" s="118"/>
      <c r="C18" s="118"/>
      <c r="D18" s="118"/>
      <c r="E18" s="118"/>
      <c r="F18" s="118"/>
      <c r="G18" s="118"/>
      <c r="H18" s="118"/>
      <c r="I18" s="118"/>
      <c r="J18" s="118"/>
      <c r="K18" s="118"/>
      <c r="L18" s="118"/>
      <c r="M18" s="118"/>
      <c r="N18" s="118"/>
    </row>
    <row r="19" spans="1:14">
      <c r="A19" s="118"/>
      <c r="B19" s="118"/>
      <c r="C19" s="118"/>
      <c r="D19" s="118"/>
      <c r="E19" s="118"/>
      <c r="F19" s="118"/>
      <c r="G19" s="118"/>
      <c r="H19" s="118"/>
      <c r="I19" s="118"/>
      <c r="J19" s="118"/>
      <c r="K19" s="118"/>
      <c r="L19" s="118"/>
      <c r="M19" s="118"/>
      <c r="N19" s="118"/>
    </row>
    <row r="20" spans="1:14">
      <c r="A20" s="118"/>
      <c r="B20" s="118"/>
      <c r="C20" s="118"/>
      <c r="D20" s="118"/>
      <c r="E20" s="118"/>
      <c r="F20" s="118"/>
      <c r="G20" s="118"/>
      <c r="H20" s="118"/>
      <c r="I20" s="118"/>
      <c r="J20" s="118"/>
      <c r="K20" s="118"/>
      <c r="L20" s="118"/>
      <c r="M20" s="118"/>
      <c r="N20" s="118"/>
    </row>
    <row r="21" spans="1:14">
      <c r="A21" s="118"/>
      <c r="B21" s="118"/>
      <c r="C21" s="118"/>
      <c r="D21" s="118"/>
      <c r="E21" s="118"/>
      <c r="F21" s="118"/>
      <c r="G21" s="118"/>
      <c r="H21" s="118"/>
      <c r="I21" s="118"/>
      <c r="J21" s="118"/>
      <c r="K21" s="118"/>
      <c r="L21" s="118"/>
      <c r="M21" s="118"/>
      <c r="N21" s="118"/>
    </row>
    <row r="22" spans="1:14">
      <c r="A22" s="118"/>
      <c r="B22" s="118"/>
      <c r="C22" s="118"/>
      <c r="D22" s="118"/>
      <c r="E22" s="118"/>
      <c r="F22" s="118"/>
      <c r="G22" s="118"/>
      <c r="H22" s="118"/>
      <c r="I22" s="118"/>
      <c r="J22" s="118"/>
      <c r="K22" s="118"/>
      <c r="L22" s="118"/>
      <c r="M22" s="118"/>
      <c r="N22" s="118"/>
    </row>
    <row r="23" spans="1:14">
      <c r="A23" s="118"/>
      <c r="B23" s="118"/>
      <c r="C23" s="118"/>
      <c r="D23" s="118"/>
      <c r="E23" s="118"/>
      <c r="F23" s="118"/>
      <c r="G23" s="118"/>
      <c r="H23" s="118"/>
      <c r="I23" s="118"/>
      <c r="J23" s="118"/>
      <c r="K23" s="118"/>
      <c r="L23" s="118"/>
      <c r="M23" s="118"/>
      <c r="N23" s="118"/>
    </row>
    <row r="24" spans="1:14">
      <c r="A24" s="118"/>
      <c r="B24" s="118"/>
      <c r="C24" s="118"/>
      <c r="D24" s="118"/>
      <c r="E24" s="118"/>
      <c r="F24" s="118"/>
      <c r="G24" s="118"/>
      <c r="H24" s="118"/>
      <c r="I24" s="118"/>
      <c r="J24" s="118"/>
      <c r="K24" s="118"/>
      <c r="L24" s="118"/>
      <c r="M24" s="118"/>
      <c r="N24" s="118"/>
    </row>
    <row r="25" spans="1:14">
      <c r="A25" s="118"/>
      <c r="B25" s="118"/>
      <c r="C25" s="118"/>
      <c r="D25" s="118"/>
      <c r="E25" s="118"/>
      <c r="F25" s="118"/>
      <c r="G25" s="118"/>
      <c r="H25" s="118"/>
      <c r="I25" s="118"/>
      <c r="J25" s="118"/>
      <c r="K25" s="118"/>
      <c r="L25" s="118"/>
      <c r="M25" s="118"/>
      <c r="N25" s="118"/>
    </row>
    <row r="26" spans="1:14">
      <c r="A26" s="118"/>
      <c r="B26" s="118"/>
      <c r="C26" s="118"/>
      <c r="D26" s="118"/>
      <c r="E26" s="118"/>
      <c r="F26" s="118"/>
      <c r="G26" s="118"/>
      <c r="H26" s="118"/>
      <c r="I26" s="118"/>
      <c r="J26" s="118"/>
      <c r="K26" s="118"/>
      <c r="L26" s="118"/>
      <c r="M26" s="118"/>
      <c r="N26" s="118"/>
    </row>
    <row r="27" spans="1:14">
      <c r="A27" s="118"/>
      <c r="B27" s="118"/>
      <c r="C27" s="118"/>
      <c r="D27" s="118"/>
      <c r="E27" s="118"/>
      <c r="F27" s="118"/>
      <c r="G27" s="118"/>
      <c r="H27" s="118"/>
      <c r="I27" s="118"/>
      <c r="J27" s="118"/>
      <c r="K27" s="118"/>
      <c r="L27" s="118"/>
      <c r="M27" s="118"/>
      <c r="N27" s="118"/>
    </row>
    <row r="28" spans="1:14">
      <c r="A28" s="118"/>
      <c r="B28" s="118"/>
      <c r="C28" s="118"/>
      <c r="D28" s="118"/>
      <c r="E28" s="118"/>
      <c r="F28" s="118"/>
      <c r="G28" s="118"/>
      <c r="H28" s="118"/>
      <c r="I28" s="118"/>
      <c r="J28" s="118"/>
      <c r="K28" s="118"/>
      <c r="L28" s="118"/>
      <c r="M28" s="118"/>
      <c r="N28" s="118"/>
    </row>
    <row r="29" spans="1:14">
      <c r="A29" s="118"/>
      <c r="B29" s="118"/>
      <c r="C29" s="118"/>
      <c r="D29" s="118"/>
      <c r="E29" s="118"/>
      <c r="F29" s="118"/>
      <c r="G29" s="118"/>
      <c r="H29" s="118"/>
      <c r="I29" s="118"/>
      <c r="J29" s="118"/>
      <c r="K29" s="118"/>
      <c r="L29" s="118"/>
      <c r="M29" s="118"/>
      <c r="N29" s="118"/>
    </row>
    <row r="30" spans="1:14">
      <c r="A30" s="118"/>
      <c r="B30" s="118"/>
      <c r="C30" s="118"/>
      <c r="D30" s="118"/>
      <c r="E30" s="118"/>
      <c r="F30" s="118"/>
      <c r="G30" s="118"/>
      <c r="H30" s="118"/>
      <c r="I30" s="118"/>
      <c r="J30" s="118"/>
      <c r="K30" s="118"/>
      <c r="L30" s="118"/>
      <c r="M30" s="118"/>
      <c r="N30" s="118"/>
    </row>
    <row r="31" spans="1:14">
      <c r="A31" s="118"/>
      <c r="B31" s="118"/>
      <c r="C31" s="118"/>
      <c r="D31" s="118"/>
      <c r="E31" s="118"/>
      <c r="F31" s="118"/>
      <c r="G31" s="118"/>
      <c r="H31" s="118"/>
      <c r="I31" s="118"/>
      <c r="J31" s="118"/>
      <c r="K31" s="118"/>
      <c r="L31" s="118"/>
      <c r="M31" s="118"/>
      <c r="N31" s="118"/>
    </row>
    <row r="32" spans="1:14">
      <c r="A32" s="118"/>
      <c r="B32" s="118"/>
      <c r="C32" s="118"/>
      <c r="D32" s="118"/>
      <c r="E32" s="118"/>
      <c r="F32" s="118"/>
      <c r="G32" s="118"/>
      <c r="H32" s="118"/>
      <c r="I32" s="118"/>
      <c r="J32" s="118"/>
      <c r="K32" s="118"/>
      <c r="L32" s="118"/>
      <c r="M32" s="118"/>
      <c r="N32" s="118"/>
    </row>
    <row r="33" spans="1:14">
      <c r="A33" s="118"/>
      <c r="B33" s="118"/>
      <c r="C33" s="118"/>
      <c r="D33" s="118"/>
      <c r="E33" s="118"/>
      <c r="F33" s="118"/>
      <c r="G33" s="118"/>
      <c r="H33" s="118"/>
      <c r="I33" s="118"/>
      <c r="J33" s="118"/>
      <c r="K33" s="118"/>
      <c r="L33" s="118"/>
      <c r="M33" s="118"/>
      <c r="N33" s="118"/>
    </row>
  </sheetData>
  <mergeCells count="11">
    <mergeCell ref="A1:N2"/>
    <mergeCell ref="A3:A4"/>
    <mergeCell ref="B3:D4"/>
    <mergeCell ref="A6:B6"/>
    <mergeCell ref="J6:J7"/>
    <mergeCell ref="K6:L7"/>
    <mergeCell ref="M6:M7"/>
    <mergeCell ref="N6:N7"/>
    <mergeCell ref="A7:B7"/>
    <mergeCell ref="E3:E4"/>
    <mergeCell ref="F3:F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rgb="FFFF0000"/>
  </sheetPr>
  <dimension ref="A1:N12"/>
  <sheetViews>
    <sheetView zoomScaleNormal="100" workbookViewId="0">
      <selection activeCell="F15" sqref="F15"/>
    </sheetView>
  </sheetViews>
  <sheetFormatPr baseColWidth="10" defaultColWidth="11.44140625" defaultRowHeight="14.4"/>
  <cols>
    <col min="1" max="2" width="5.6640625" customWidth="1"/>
    <col min="3" max="13" width="10.6640625" customWidth="1"/>
  </cols>
  <sheetData>
    <row r="1" spans="1:14" ht="14.4" customHeight="1">
      <c r="A1" s="310" t="s">
        <v>217</v>
      </c>
      <c r="B1" s="310"/>
      <c r="C1" s="310"/>
      <c r="D1" s="310"/>
      <c r="E1" s="310"/>
      <c r="F1" s="310"/>
      <c r="G1" s="310"/>
      <c r="H1" s="310"/>
      <c r="I1" s="310"/>
      <c r="J1" s="310"/>
      <c r="K1" s="310"/>
      <c r="L1" s="310"/>
      <c r="M1" s="310"/>
      <c r="N1" s="20"/>
    </row>
    <row r="2" spans="1:14" ht="14.4" customHeight="1">
      <c r="A2" s="310"/>
      <c r="B2" s="310"/>
      <c r="C2" s="310"/>
      <c r="D2" s="310"/>
      <c r="E2" s="310"/>
      <c r="F2" s="310"/>
      <c r="G2" s="310"/>
      <c r="H2" s="310"/>
      <c r="I2" s="310"/>
      <c r="J2" s="310"/>
      <c r="K2" s="310"/>
      <c r="L2" s="310"/>
      <c r="M2" s="310"/>
      <c r="N2" s="20"/>
    </row>
    <row r="3" spans="1:14">
      <c r="A3" s="311" t="s">
        <v>24</v>
      </c>
      <c r="B3" s="313" t="s">
        <v>181</v>
      </c>
      <c r="C3" s="313"/>
      <c r="D3" s="311" t="s">
        <v>179</v>
      </c>
      <c r="E3" s="313">
        <v>1</v>
      </c>
    </row>
    <row r="4" spans="1:14">
      <c r="A4" s="312"/>
      <c r="B4" s="314"/>
      <c r="C4" s="314"/>
      <c r="D4" s="311"/>
      <c r="E4" s="313"/>
    </row>
    <row r="5" spans="1:14">
      <c r="A5" s="163"/>
      <c r="B5" s="163"/>
      <c r="C5" s="163"/>
      <c r="D5" s="163"/>
      <c r="E5" s="163"/>
      <c r="N5" s="10"/>
    </row>
    <row r="6" spans="1:14">
      <c r="A6" s="315" t="s">
        <v>23</v>
      </c>
      <c r="B6" s="316"/>
      <c r="C6" s="16" t="s">
        <v>22</v>
      </c>
      <c r="D6" s="17" t="s">
        <v>21</v>
      </c>
      <c r="E6" s="17" t="s">
        <v>20</v>
      </c>
      <c r="F6" s="17" t="s">
        <v>19</v>
      </c>
      <c r="G6" s="17" t="s">
        <v>18</v>
      </c>
      <c r="H6" s="17" t="s">
        <v>17</v>
      </c>
      <c r="I6" s="16" t="s">
        <v>16</v>
      </c>
      <c r="J6" s="317" t="s">
        <v>15</v>
      </c>
      <c r="K6" s="323" t="s">
        <v>14</v>
      </c>
      <c r="L6" s="324"/>
      <c r="M6" s="325"/>
      <c r="N6" s="10"/>
    </row>
    <row r="7" spans="1:14" ht="16.2">
      <c r="A7" s="319" t="s">
        <v>13</v>
      </c>
      <c r="B7" s="320"/>
      <c r="C7" s="14" t="s">
        <v>12</v>
      </c>
      <c r="D7" s="13" t="s">
        <v>11</v>
      </c>
      <c r="E7" s="13" t="s">
        <v>11</v>
      </c>
      <c r="F7" s="13" t="s">
        <v>10</v>
      </c>
      <c r="G7" s="13" t="s">
        <v>10</v>
      </c>
      <c r="H7" s="13" t="s">
        <v>10</v>
      </c>
      <c r="I7" s="14" t="s">
        <v>9</v>
      </c>
      <c r="J7" s="318"/>
      <c r="K7" s="14" t="s">
        <v>8</v>
      </c>
      <c r="L7" s="14" t="s">
        <v>7</v>
      </c>
      <c r="M7" s="14" t="s">
        <v>6</v>
      </c>
      <c r="N7" s="10"/>
    </row>
    <row r="8" spans="1:14">
      <c r="A8" s="159">
        <v>88</v>
      </c>
      <c r="B8" s="11" t="s">
        <v>5</v>
      </c>
      <c r="C8" s="135" t="s">
        <v>199</v>
      </c>
      <c r="D8" s="160">
        <v>8888</v>
      </c>
      <c r="E8" s="135">
        <v>8888</v>
      </c>
      <c r="F8" s="160">
        <v>888</v>
      </c>
      <c r="G8" s="135">
        <v>888</v>
      </c>
      <c r="H8" s="160">
        <v>888</v>
      </c>
      <c r="I8" s="135">
        <v>8.8800000000000008</v>
      </c>
      <c r="J8" s="135">
        <v>8888</v>
      </c>
      <c r="K8" s="135" t="s">
        <v>3</v>
      </c>
      <c r="L8" s="161">
        <v>88888.88</v>
      </c>
      <c r="M8" s="162">
        <v>88888.88</v>
      </c>
    </row>
    <row r="9" spans="1:14">
      <c r="A9" s="9"/>
      <c r="B9" s="9"/>
      <c r="C9" s="9"/>
      <c r="D9" s="9"/>
      <c r="E9" s="9"/>
      <c r="F9" s="9"/>
      <c r="G9" s="9"/>
      <c r="H9" s="9"/>
      <c r="I9" s="9"/>
      <c r="J9" s="9"/>
      <c r="K9" s="8"/>
      <c r="L9" s="8"/>
      <c r="M9" s="8"/>
    </row>
    <row r="10" spans="1:14">
      <c r="H10" s="7"/>
      <c r="I10" s="6"/>
      <c r="J10" s="5" t="s">
        <v>2</v>
      </c>
      <c r="K10" s="1"/>
      <c r="L10" s="4"/>
      <c r="M10" s="4"/>
    </row>
    <row r="11" spans="1:14">
      <c r="J11" s="321" t="s">
        <v>1</v>
      </c>
      <c r="K11" s="322"/>
      <c r="L11" s="1"/>
      <c r="M11" s="4"/>
    </row>
    <row r="12" spans="1:14">
      <c r="K12" s="3"/>
      <c r="L12" s="2" t="s">
        <v>0</v>
      </c>
      <c r="M12" s="1"/>
    </row>
  </sheetData>
  <mergeCells count="10">
    <mergeCell ref="A1:M2"/>
    <mergeCell ref="A3:A4"/>
    <mergeCell ref="B3:C4"/>
    <mergeCell ref="J11:K11"/>
    <mergeCell ref="A7:B7"/>
    <mergeCell ref="K6:M6"/>
    <mergeCell ref="A6:B6"/>
    <mergeCell ref="J6:J7"/>
    <mergeCell ref="D3:D4"/>
    <mergeCell ref="E3:E4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AZ65"/>
  <sheetViews>
    <sheetView zoomScale="85" zoomScaleNormal="85" workbookViewId="0">
      <selection activeCell="N8" sqref="N8"/>
    </sheetView>
  </sheetViews>
  <sheetFormatPr baseColWidth="10" defaultColWidth="11.44140625" defaultRowHeight="14.4"/>
  <cols>
    <col min="1" max="1" width="8.6640625" customWidth="1"/>
    <col min="2" max="2" width="23.6640625" customWidth="1"/>
    <col min="3" max="3" width="7.6640625" customWidth="1"/>
    <col min="4" max="4" width="4.33203125" customWidth="1"/>
    <col min="5" max="7" width="8.6640625" customWidth="1"/>
    <col min="8" max="8" width="23.6640625" customWidth="1"/>
    <col min="9" max="11" width="7.6640625" customWidth="1"/>
    <col min="12" max="12" width="6.6640625" customWidth="1"/>
    <col min="13" max="13" width="7.6640625" customWidth="1"/>
    <col min="14" max="14" width="3.6640625" customWidth="1"/>
    <col min="16" max="39" width="11.44140625" customWidth="1"/>
    <col min="40" max="40" width="11.6640625" customWidth="1"/>
  </cols>
  <sheetData>
    <row r="1" spans="1:52" ht="14.4" customHeight="1">
      <c r="A1" s="334" t="s">
        <v>31</v>
      </c>
      <c r="B1" s="334"/>
      <c r="C1" s="334"/>
      <c r="D1" s="334"/>
      <c r="E1" s="334"/>
      <c r="F1" s="334"/>
      <c r="G1" s="334"/>
      <c r="H1" s="334"/>
      <c r="I1" s="334"/>
      <c r="J1" s="334"/>
      <c r="K1" s="334"/>
      <c r="L1" s="334"/>
      <c r="M1" s="334"/>
      <c r="N1" s="334"/>
      <c r="AF1" s="122"/>
      <c r="AG1" s="122"/>
      <c r="AH1" s="122"/>
      <c r="AI1" s="122"/>
      <c r="AJ1" s="122"/>
      <c r="AK1" s="122"/>
      <c r="AL1" s="122"/>
      <c r="AM1" s="122"/>
      <c r="AZ1" s="80"/>
    </row>
    <row r="2" spans="1:52" ht="14.4" customHeight="1">
      <c r="A2" s="334"/>
      <c r="B2" s="334"/>
      <c r="C2" s="334"/>
      <c r="D2" s="334"/>
      <c r="E2" s="334"/>
      <c r="F2" s="334"/>
      <c r="G2" s="334"/>
      <c r="H2" s="334"/>
      <c r="I2" s="334"/>
      <c r="J2" s="334"/>
      <c r="K2" s="334"/>
      <c r="L2" s="334"/>
      <c r="M2" s="334"/>
      <c r="N2" s="334"/>
      <c r="AF2" s="122"/>
      <c r="AG2" s="122"/>
      <c r="AH2" s="122"/>
      <c r="AI2" s="122"/>
      <c r="AJ2" s="122"/>
      <c r="AK2" s="122"/>
      <c r="AL2" s="122"/>
      <c r="AM2" s="122"/>
      <c r="AZ2" s="80"/>
    </row>
    <row r="3" spans="1:52">
      <c r="A3" s="31" t="s">
        <v>136</v>
      </c>
      <c r="B3" s="22"/>
      <c r="C3" s="23"/>
      <c r="F3" s="45"/>
      <c r="G3" s="31" t="s">
        <v>47</v>
      </c>
    </row>
    <row r="4" spans="1:52">
      <c r="A4" s="23"/>
      <c r="F4" s="46"/>
      <c r="G4" s="23"/>
    </row>
    <row r="5" spans="1:52">
      <c r="B5" s="22" t="s">
        <v>32</v>
      </c>
      <c r="C5" s="169">
        <v>240</v>
      </c>
      <c r="D5" s="27" t="s">
        <v>33</v>
      </c>
      <c r="E5" s="27"/>
      <c r="F5" s="47"/>
      <c r="G5" s="23"/>
      <c r="H5" s="22" t="s">
        <v>86</v>
      </c>
      <c r="I5" s="169">
        <v>0</v>
      </c>
      <c r="J5" s="23" t="s">
        <v>48</v>
      </c>
      <c r="K5" s="169">
        <v>0</v>
      </c>
      <c r="L5" s="21" t="s">
        <v>33</v>
      </c>
      <c r="M5" s="21"/>
      <c r="N5" s="23"/>
    </row>
    <row r="6" spans="1:52">
      <c r="A6" s="23"/>
      <c r="B6" s="22" t="s">
        <v>35</v>
      </c>
      <c r="C6" s="169">
        <v>600</v>
      </c>
      <c r="D6" s="27" t="s">
        <v>33</v>
      </c>
      <c r="E6" s="27"/>
      <c r="F6" s="47"/>
      <c r="G6" s="23"/>
      <c r="H6" s="22" t="s">
        <v>91</v>
      </c>
      <c r="I6" s="169">
        <v>0</v>
      </c>
      <c r="J6" s="23" t="s">
        <v>48</v>
      </c>
      <c r="K6" s="169">
        <v>0</v>
      </c>
      <c r="L6" s="21" t="s">
        <v>33</v>
      </c>
    </row>
    <row r="7" spans="1:52">
      <c r="A7" s="23"/>
      <c r="B7" s="22" t="s">
        <v>59</v>
      </c>
      <c r="C7" s="169">
        <v>200</v>
      </c>
      <c r="D7" s="27" t="s">
        <v>33</v>
      </c>
      <c r="E7" s="27"/>
      <c r="F7" s="47"/>
      <c r="G7" s="23"/>
      <c r="H7" s="22" t="s">
        <v>96</v>
      </c>
      <c r="I7" s="169">
        <v>0</v>
      </c>
      <c r="J7" s="23" t="s">
        <v>48</v>
      </c>
      <c r="K7" s="169">
        <v>0</v>
      </c>
      <c r="L7" s="21" t="s">
        <v>33</v>
      </c>
    </row>
    <row r="8" spans="1:52">
      <c r="A8" s="23"/>
      <c r="B8" s="22" t="s">
        <v>39</v>
      </c>
      <c r="C8" s="247">
        <v>200</v>
      </c>
      <c r="D8" s="27" t="s">
        <v>33</v>
      </c>
      <c r="E8" s="27"/>
      <c r="F8" s="47"/>
      <c r="H8" s="22" t="s">
        <v>101</v>
      </c>
      <c r="I8" s="169">
        <v>0</v>
      </c>
      <c r="J8" s="23" t="s">
        <v>48</v>
      </c>
      <c r="K8" s="169">
        <v>0</v>
      </c>
      <c r="L8" s="21" t="s">
        <v>33</v>
      </c>
    </row>
    <row r="9" spans="1:52">
      <c r="A9" s="23"/>
      <c r="F9" s="47"/>
      <c r="H9" s="22" t="s">
        <v>87</v>
      </c>
      <c r="I9" s="169">
        <v>0</v>
      </c>
      <c r="J9" s="23" t="s">
        <v>48</v>
      </c>
      <c r="K9" s="169">
        <v>0</v>
      </c>
      <c r="L9" s="21" t="s">
        <v>33</v>
      </c>
      <c r="M9" s="21"/>
      <c r="N9" s="24"/>
    </row>
    <row r="10" spans="1:52">
      <c r="A10" s="31" t="s">
        <v>140</v>
      </c>
      <c r="F10" s="45"/>
      <c r="H10" s="22" t="s">
        <v>92</v>
      </c>
      <c r="I10" s="169">
        <v>0</v>
      </c>
      <c r="J10" s="23" t="s">
        <v>48</v>
      </c>
      <c r="K10" s="169">
        <v>0</v>
      </c>
      <c r="L10" s="21" t="s">
        <v>33</v>
      </c>
    </row>
    <row r="11" spans="1:52">
      <c r="A11" s="26"/>
      <c r="F11" s="47"/>
      <c r="H11" s="22" t="s">
        <v>97</v>
      </c>
      <c r="I11" s="169">
        <v>0</v>
      </c>
      <c r="J11" s="23" t="s">
        <v>48</v>
      </c>
      <c r="K11" s="169">
        <v>0</v>
      </c>
      <c r="L11" s="21" t="s">
        <v>33</v>
      </c>
    </row>
    <row r="12" spans="1:52" ht="14.4" customHeight="1">
      <c r="A12" s="23"/>
      <c r="B12" s="22" t="s">
        <v>42</v>
      </c>
      <c r="C12" s="169">
        <v>0</v>
      </c>
      <c r="D12" s="27"/>
      <c r="E12" s="27"/>
      <c r="F12" s="47"/>
      <c r="H12" s="22" t="s">
        <v>102</v>
      </c>
      <c r="I12" s="169">
        <v>0</v>
      </c>
      <c r="J12" s="23" t="s">
        <v>48</v>
      </c>
      <c r="K12" s="169">
        <v>0</v>
      </c>
      <c r="L12" s="21" t="s">
        <v>33</v>
      </c>
    </row>
    <row r="13" spans="1:52" ht="15" customHeight="1">
      <c r="A13" s="23"/>
      <c r="B13" s="22" t="s">
        <v>43</v>
      </c>
      <c r="C13" s="169">
        <v>0</v>
      </c>
      <c r="D13" s="21"/>
      <c r="E13" s="21"/>
      <c r="F13" s="47"/>
      <c r="H13" s="22" t="s">
        <v>88</v>
      </c>
      <c r="I13" s="169">
        <v>0</v>
      </c>
      <c r="J13" s="23" t="s">
        <v>48</v>
      </c>
      <c r="K13" s="169">
        <v>0</v>
      </c>
      <c r="L13" s="21" t="s">
        <v>33</v>
      </c>
      <c r="M13" s="21"/>
      <c r="N13" s="24"/>
    </row>
    <row r="14" spans="1:52" ht="14.4" customHeight="1">
      <c r="B14" s="22" t="s">
        <v>85</v>
      </c>
      <c r="C14" s="169">
        <v>0</v>
      </c>
      <c r="D14" s="27" t="s">
        <v>33</v>
      </c>
      <c r="E14" s="27"/>
      <c r="F14" s="46"/>
      <c r="H14" s="22" t="s">
        <v>93</v>
      </c>
      <c r="I14" s="169">
        <v>0</v>
      </c>
      <c r="J14" s="23" t="s">
        <v>48</v>
      </c>
      <c r="K14" s="169">
        <v>0</v>
      </c>
      <c r="L14" s="21" t="s">
        <v>33</v>
      </c>
      <c r="AG14" s="59"/>
      <c r="AH14" s="59"/>
      <c r="AI14" s="59"/>
      <c r="AJ14" s="59"/>
      <c r="AP14" s="58"/>
      <c r="AQ14" s="78"/>
    </row>
    <row r="15" spans="1:52">
      <c r="B15" s="22" t="s">
        <v>84</v>
      </c>
      <c r="C15" s="169">
        <v>0</v>
      </c>
      <c r="D15" s="27" t="s">
        <v>33</v>
      </c>
      <c r="E15" s="27"/>
      <c r="F15" s="46"/>
      <c r="H15" s="22" t="s">
        <v>98</v>
      </c>
      <c r="I15" s="169">
        <v>0</v>
      </c>
      <c r="J15" s="23" t="s">
        <v>48</v>
      </c>
      <c r="K15" s="169">
        <v>0</v>
      </c>
      <c r="L15" s="21" t="s">
        <v>33</v>
      </c>
    </row>
    <row r="16" spans="1:52">
      <c r="F16" s="46"/>
      <c r="H16" s="22" t="s">
        <v>103</v>
      </c>
      <c r="I16" s="169">
        <v>0</v>
      </c>
      <c r="J16" s="23" t="s">
        <v>48</v>
      </c>
      <c r="K16" s="169">
        <v>0</v>
      </c>
      <c r="L16" s="21" t="s">
        <v>33</v>
      </c>
    </row>
    <row r="17" spans="1:43">
      <c r="A17" s="42" t="s">
        <v>141</v>
      </c>
      <c r="F17" s="46"/>
      <c r="H17" s="22" t="s">
        <v>89</v>
      </c>
      <c r="I17" s="169">
        <v>0</v>
      </c>
      <c r="J17" s="23" t="s">
        <v>48</v>
      </c>
      <c r="K17" s="169">
        <v>0</v>
      </c>
      <c r="L17" s="21" t="s">
        <v>33</v>
      </c>
    </row>
    <row r="18" spans="1:43">
      <c r="F18" s="46"/>
      <c r="H18" s="22" t="s">
        <v>94</v>
      </c>
      <c r="I18" s="169">
        <v>0</v>
      </c>
      <c r="J18" s="23" t="s">
        <v>48</v>
      </c>
      <c r="K18" s="169">
        <v>0</v>
      </c>
      <c r="L18" s="21" t="s">
        <v>33</v>
      </c>
      <c r="AP18" s="21"/>
      <c r="AQ18" s="21"/>
    </row>
    <row r="19" spans="1:43">
      <c r="B19" s="22" t="s">
        <v>40</v>
      </c>
      <c r="C19" s="170">
        <v>0</v>
      </c>
      <c r="D19" s="21" t="s">
        <v>41</v>
      </c>
      <c r="E19" s="21"/>
      <c r="F19" s="46"/>
      <c r="H19" s="22" t="s">
        <v>99</v>
      </c>
      <c r="I19" s="169">
        <v>0</v>
      </c>
      <c r="J19" s="23" t="s">
        <v>48</v>
      </c>
      <c r="K19" s="169">
        <v>0</v>
      </c>
      <c r="L19" s="21" t="s">
        <v>33</v>
      </c>
    </row>
    <row r="20" spans="1:43">
      <c r="E20" s="21"/>
      <c r="F20" s="46"/>
      <c r="G20" s="21"/>
      <c r="H20" s="35" t="s">
        <v>104</v>
      </c>
      <c r="I20" s="169">
        <v>0</v>
      </c>
      <c r="J20" s="23" t="s">
        <v>48</v>
      </c>
      <c r="K20" s="169">
        <v>0</v>
      </c>
      <c r="L20" s="21" t="s">
        <v>33</v>
      </c>
    </row>
    <row r="21" spans="1:43">
      <c r="A21" s="42" t="s">
        <v>142</v>
      </c>
      <c r="E21" s="27"/>
      <c r="F21" s="46"/>
      <c r="G21" s="21"/>
      <c r="H21" s="35" t="s">
        <v>90</v>
      </c>
      <c r="I21" s="169">
        <v>0</v>
      </c>
      <c r="J21" s="23" t="s">
        <v>48</v>
      </c>
      <c r="K21" s="169">
        <v>0</v>
      </c>
      <c r="L21" s="21" t="s">
        <v>33</v>
      </c>
      <c r="N21" s="23"/>
    </row>
    <row r="22" spans="1:43">
      <c r="E22" s="27"/>
      <c r="F22" s="46"/>
      <c r="H22" s="35" t="s">
        <v>95</v>
      </c>
      <c r="I22" s="169">
        <v>0</v>
      </c>
      <c r="J22" s="23" t="s">
        <v>48</v>
      </c>
      <c r="K22" s="169">
        <v>0</v>
      </c>
      <c r="L22" s="21" t="s">
        <v>33</v>
      </c>
      <c r="M22" s="21"/>
      <c r="N22" s="21"/>
      <c r="AN22" s="23"/>
    </row>
    <row r="23" spans="1:43">
      <c r="B23" s="22" t="s">
        <v>45</v>
      </c>
      <c r="C23" s="169">
        <v>0</v>
      </c>
      <c r="D23" s="27" t="s">
        <v>46</v>
      </c>
      <c r="F23" s="46"/>
      <c r="H23" s="35" t="s">
        <v>100</v>
      </c>
      <c r="I23" s="169">
        <v>0</v>
      </c>
      <c r="J23" s="23" t="s">
        <v>48</v>
      </c>
      <c r="K23" s="169">
        <v>0</v>
      </c>
      <c r="L23" s="21" t="s">
        <v>33</v>
      </c>
      <c r="M23" s="21"/>
      <c r="N23" s="21"/>
      <c r="AN23" s="23"/>
    </row>
    <row r="24" spans="1:43">
      <c r="F24" s="46"/>
      <c r="H24" s="35" t="s">
        <v>105</v>
      </c>
      <c r="I24" s="169">
        <v>0</v>
      </c>
      <c r="J24" s="23" t="s">
        <v>48</v>
      </c>
      <c r="K24" s="169">
        <v>0</v>
      </c>
      <c r="L24" s="21" t="s">
        <v>33</v>
      </c>
      <c r="AN24" s="21"/>
    </row>
    <row r="25" spans="1:43">
      <c r="F25" s="46"/>
      <c r="H25" s="22" t="s">
        <v>106</v>
      </c>
      <c r="I25" s="169">
        <v>0</v>
      </c>
      <c r="J25" s="23" t="s">
        <v>48</v>
      </c>
      <c r="K25" s="171">
        <v>0</v>
      </c>
      <c r="L25" s="21" t="s">
        <v>50</v>
      </c>
      <c r="M25" s="169">
        <v>0</v>
      </c>
      <c r="N25" s="24" t="s">
        <v>33</v>
      </c>
      <c r="AF25" s="72"/>
      <c r="AG25" s="71"/>
      <c r="AH25" s="71"/>
      <c r="AI25" s="71"/>
      <c r="AJ25" s="73"/>
    </row>
    <row r="26" spans="1:43">
      <c r="E26" s="27"/>
      <c r="F26" s="46"/>
      <c r="H26" s="22" t="s">
        <v>107</v>
      </c>
      <c r="I26" s="169">
        <v>0</v>
      </c>
      <c r="J26" s="23" t="s">
        <v>48</v>
      </c>
      <c r="K26" s="171">
        <v>0</v>
      </c>
      <c r="L26" s="21" t="s">
        <v>50</v>
      </c>
      <c r="M26" s="169">
        <v>0</v>
      </c>
      <c r="N26" s="24" t="s">
        <v>33</v>
      </c>
    </row>
    <row r="27" spans="1:43">
      <c r="F27" s="46"/>
      <c r="H27" s="22" t="s">
        <v>108</v>
      </c>
      <c r="I27" s="169">
        <v>0</v>
      </c>
      <c r="J27" s="23" t="s">
        <v>48</v>
      </c>
      <c r="K27" s="171">
        <v>0</v>
      </c>
      <c r="L27" s="21" t="s">
        <v>50</v>
      </c>
      <c r="M27" s="169">
        <v>0</v>
      </c>
      <c r="N27" s="24" t="s">
        <v>33</v>
      </c>
    </row>
    <row r="28" spans="1:43">
      <c r="F28" s="46"/>
      <c r="H28" s="22" t="s">
        <v>109</v>
      </c>
      <c r="I28" s="169">
        <v>0</v>
      </c>
      <c r="J28" s="23" t="s">
        <v>48</v>
      </c>
      <c r="K28" s="171">
        <v>0</v>
      </c>
      <c r="L28" s="21" t="s">
        <v>50</v>
      </c>
      <c r="M28" s="169">
        <v>0</v>
      </c>
      <c r="N28" s="24" t="s">
        <v>33</v>
      </c>
    </row>
    <row r="29" spans="1:43">
      <c r="B29" s="28"/>
      <c r="C29" s="28"/>
      <c r="J29" s="21"/>
      <c r="K29" s="21"/>
      <c r="L29" s="21"/>
      <c r="M29" s="21"/>
      <c r="N29" s="21"/>
      <c r="AF29" s="34"/>
      <c r="AG29" s="34"/>
      <c r="AH29" s="23"/>
      <c r="AI29" s="23"/>
      <c r="AJ29" s="23"/>
      <c r="AK29" s="23"/>
      <c r="AL29" s="23"/>
      <c r="AM29" s="23"/>
      <c r="AN29" s="23"/>
      <c r="AO29" s="21"/>
      <c r="AP29" s="21"/>
      <c r="AQ29" s="21"/>
    </row>
    <row r="30" spans="1:43">
      <c r="D30" s="44"/>
      <c r="E30" s="79"/>
      <c r="J30" s="23"/>
      <c r="K30" s="23"/>
      <c r="L30" s="23"/>
      <c r="M30" s="23"/>
      <c r="N30" s="23"/>
    </row>
    <row r="31" spans="1:43">
      <c r="D31" s="44"/>
      <c r="J31" s="21"/>
      <c r="K31" s="21"/>
      <c r="L31" s="21"/>
      <c r="M31" s="21"/>
      <c r="N31" s="21"/>
    </row>
    <row r="32" spans="1:43">
      <c r="D32" s="44"/>
      <c r="J32" s="21"/>
      <c r="K32" s="21"/>
      <c r="L32" s="21"/>
      <c r="M32" s="21"/>
      <c r="N32" s="21"/>
    </row>
    <row r="33" spans="2:30">
      <c r="B33" s="28"/>
      <c r="C33" s="28"/>
      <c r="Z33" s="21"/>
      <c r="AA33" s="21"/>
      <c r="AB33" s="21"/>
      <c r="AC33" s="21"/>
      <c r="AD33" s="21"/>
    </row>
    <row r="34" spans="2:30">
      <c r="Z34" s="24"/>
      <c r="AA34" s="21"/>
      <c r="AB34" s="21"/>
      <c r="AC34" s="21"/>
      <c r="AD34" s="21"/>
    </row>
    <row r="35" spans="2:30">
      <c r="Z35" s="24"/>
      <c r="AA35" s="21"/>
      <c r="AB35" s="21"/>
      <c r="AC35" s="21"/>
      <c r="AD35" s="21"/>
    </row>
    <row r="36" spans="2:30">
      <c r="Z36" s="24"/>
      <c r="AA36" s="21"/>
      <c r="AB36" s="21"/>
      <c r="AC36" s="21"/>
      <c r="AD36" s="21"/>
    </row>
    <row r="37" spans="2:30">
      <c r="Z37" s="24"/>
      <c r="AA37" s="21"/>
      <c r="AB37" s="21"/>
      <c r="AC37" s="21"/>
      <c r="AD37" s="21"/>
    </row>
    <row r="38" spans="2:30">
      <c r="Z38" s="24"/>
      <c r="AA38" s="21"/>
      <c r="AB38" s="21"/>
      <c r="AC38" s="21"/>
      <c r="AD38" s="21"/>
    </row>
    <row r="39" spans="2:30">
      <c r="Z39" s="24"/>
      <c r="AA39" s="21"/>
      <c r="AB39" s="21"/>
      <c r="AC39" s="21"/>
      <c r="AD39" s="21"/>
    </row>
    <row r="40" spans="2:30">
      <c r="Z40" s="24"/>
      <c r="AA40" s="21"/>
      <c r="AB40" s="21"/>
      <c r="AC40" s="21"/>
      <c r="AD40" s="21"/>
    </row>
    <row r="41" spans="2:30">
      <c r="Z41" s="24"/>
      <c r="AA41" s="21"/>
      <c r="AB41" s="21"/>
      <c r="AC41" s="21"/>
      <c r="AD41" s="21"/>
    </row>
    <row r="42" spans="2:30">
      <c r="Z42" s="24"/>
      <c r="AA42" s="21"/>
      <c r="AB42" s="21"/>
      <c r="AC42" s="21"/>
      <c r="AD42" s="21"/>
    </row>
    <row r="43" spans="2:30">
      <c r="Z43" s="24"/>
      <c r="AA43" s="21"/>
      <c r="AB43" s="21"/>
      <c r="AC43" s="21"/>
      <c r="AD43" s="21"/>
    </row>
    <row r="44" spans="2:30">
      <c r="Z44" s="24"/>
      <c r="AA44" s="21"/>
      <c r="AB44" s="21"/>
      <c r="AC44" s="21"/>
      <c r="AD44" s="21"/>
    </row>
    <row r="45" spans="2:30">
      <c r="J45" s="21"/>
      <c r="K45" s="21"/>
      <c r="L45" s="21"/>
      <c r="M45" s="21"/>
      <c r="N45" s="21"/>
      <c r="O45" s="21"/>
      <c r="Z45" s="24"/>
      <c r="AA45" s="21"/>
      <c r="AB45" s="21"/>
      <c r="AC45" s="21"/>
      <c r="AD45" s="21"/>
    </row>
    <row r="46" spans="2:30">
      <c r="J46" s="21"/>
      <c r="K46" s="21"/>
      <c r="L46" s="21"/>
      <c r="M46" s="21"/>
      <c r="N46" s="21"/>
      <c r="O46" s="21"/>
      <c r="Z46" s="24"/>
      <c r="AA46" s="21"/>
      <c r="AB46" s="21"/>
      <c r="AC46" s="21"/>
      <c r="AD46" s="21"/>
    </row>
    <row r="47" spans="2:30">
      <c r="J47" s="21"/>
      <c r="K47" s="21"/>
      <c r="L47" s="21"/>
      <c r="M47" s="21"/>
      <c r="N47" s="21"/>
      <c r="O47" s="21"/>
      <c r="Z47" s="24"/>
      <c r="AA47" s="21"/>
      <c r="AB47" s="21"/>
      <c r="AC47" s="21"/>
      <c r="AD47" s="21"/>
    </row>
    <row r="48" spans="2:30">
      <c r="J48" s="21"/>
      <c r="K48" s="21"/>
      <c r="L48" s="21"/>
      <c r="M48" s="21"/>
      <c r="N48" s="21"/>
      <c r="O48" s="21"/>
      <c r="Z48" s="24"/>
      <c r="AA48" s="21"/>
      <c r="AB48" s="21"/>
      <c r="AC48" s="21"/>
      <c r="AD48" s="21"/>
    </row>
    <row r="49" spans="10:30">
      <c r="J49" s="21"/>
      <c r="K49" s="21"/>
      <c r="L49" s="21"/>
      <c r="M49" s="21"/>
      <c r="N49" s="21"/>
      <c r="O49" s="21"/>
      <c r="Z49" s="24"/>
      <c r="AA49" s="21"/>
      <c r="AB49" s="21"/>
      <c r="AC49" s="21"/>
      <c r="AD49" s="21"/>
    </row>
    <row r="50" spans="10:30">
      <c r="J50" s="21"/>
      <c r="K50" s="21"/>
      <c r="L50" s="21"/>
      <c r="M50" s="21"/>
      <c r="N50" s="21"/>
      <c r="O50" s="21"/>
      <c r="Z50" s="24"/>
      <c r="AA50" s="21"/>
      <c r="AB50" s="21"/>
      <c r="AC50" s="21"/>
      <c r="AD50" s="21"/>
    </row>
    <row r="51" spans="10:30">
      <c r="J51" s="21"/>
      <c r="K51" s="21"/>
      <c r="L51" s="21"/>
      <c r="M51" s="21"/>
      <c r="N51" s="21"/>
      <c r="O51" s="21"/>
      <c r="Z51" s="24"/>
      <c r="AA51" s="21"/>
      <c r="AB51" s="21"/>
      <c r="AC51" s="21"/>
      <c r="AD51" s="21"/>
    </row>
    <row r="52" spans="10:30">
      <c r="J52" s="21"/>
      <c r="K52" s="21"/>
      <c r="L52" s="21"/>
      <c r="M52" s="21"/>
      <c r="N52" s="21"/>
      <c r="O52" s="21"/>
      <c r="Z52" s="21"/>
      <c r="AA52" s="21"/>
      <c r="AB52" s="21"/>
      <c r="AC52" s="21"/>
      <c r="AD52" s="21"/>
    </row>
    <row r="53" spans="10:30">
      <c r="J53" s="21"/>
      <c r="K53" s="21"/>
      <c r="L53" s="21"/>
      <c r="M53" s="21"/>
      <c r="N53" s="21"/>
      <c r="O53" s="21"/>
      <c r="Z53" s="21"/>
      <c r="AA53" s="21"/>
      <c r="AB53" s="21"/>
      <c r="AC53" s="21"/>
      <c r="AD53" s="21"/>
    </row>
    <row r="54" spans="10:30">
      <c r="O54" s="21"/>
      <c r="Z54" s="21"/>
      <c r="AA54" s="21"/>
      <c r="AB54" s="21"/>
      <c r="AC54" s="21"/>
      <c r="AD54" s="21"/>
    </row>
    <row r="55" spans="10:30">
      <c r="O55" s="23"/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</row>
    <row r="56" spans="10:30">
      <c r="O56" s="39"/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</row>
    <row r="57" spans="10:30">
      <c r="O57" s="39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</row>
    <row r="58" spans="10:30">
      <c r="O58" s="39"/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</row>
    <row r="59" spans="10:30">
      <c r="O59" s="39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</row>
    <row r="60" spans="10:30">
      <c r="O60" s="40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</row>
    <row r="61" spans="10:30"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</row>
    <row r="62" spans="10:30">
      <c r="O62" s="23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</row>
    <row r="63" spans="10:30">
      <c r="O63" s="39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</row>
    <row r="64" spans="10:30"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</row>
    <row r="65" spans="15:15">
      <c r="O65" s="21"/>
    </row>
  </sheetData>
  <mergeCells count="1">
    <mergeCell ref="A1:N2"/>
  </mergeCells>
  <pageMargins left="0.25" right="0.25" top="0.75" bottom="0.75" header="0.3" footer="0.3"/>
  <pageSetup paperSize="9"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>
    <tabColor rgb="FFFFFF00"/>
  </sheetPr>
  <dimension ref="A1:T34"/>
  <sheetViews>
    <sheetView zoomScale="85" zoomScaleNormal="85" workbookViewId="0">
      <selection activeCell="G16" sqref="G16"/>
    </sheetView>
  </sheetViews>
  <sheetFormatPr baseColWidth="10" defaultRowHeight="14.4"/>
  <cols>
    <col min="1" max="1" width="8.33203125" customWidth="1"/>
    <col min="2" max="2" width="14.5546875" customWidth="1"/>
    <col min="3" max="3" width="8.77734375" style="144" customWidth="1"/>
    <col min="4" max="4" width="3.77734375" customWidth="1"/>
    <col min="5" max="5" width="8.77734375" style="144" customWidth="1"/>
    <col min="6" max="6" width="6.77734375" customWidth="1"/>
    <col min="7" max="7" width="8.5546875" customWidth="1"/>
    <col min="8" max="8" width="6.88671875" customWidth="1"/>
    <col min="9" max="9" width="11.6640625" customWidth="1"/>
    <col min="11" max="11" width="8.77734375" customWidth="1"/>
    <col min="12" max="12" width="3.77734375" customWidth="1"/>
    <col min="13" max="13" width="8.77734375" customWidth="1"/>
    <col min="14" max="15" width="3.77734375" customWidth="1"/>
    <col min="16" max="16" width="8.77734375" customWidth="1"/>
    <col min="17" max="17" width="3.77734375" customWidth="1"/>
  </cols>
  <sheetData>
    <row r="1" spans="1:20" ht="31.2" customHeight="1">
      <c r="A1" s="334" t="s">
        <v>134</v>
      </c>
      <c r="B1" s="334"/>
      <c r="C1" s="334"/>
      <c r="D1" s="334"/>
      <c r="E1" s="334" t="s">
        <v>152</v>
      </c>
      <c r="F1" s="334"/>
      <c r="G1" s="334"/>
      <c r="H1" s="335" t="s">
        <v>181</v>
      </c>
      <c r="I1" s="335"/>
      <c r="J1" s="335"/>
      <c r="K1" s="334" t="s">
        <v>151</v>
      </c>
      <c r="L1" s="334"/>
      <c r="M1" s="334"/>
      <c r="N1" s="335">
        <v>1</v>
      </c>
      <c r="O1" s="335"/>
      <c r="P1" s="335"/>
      <c r="Q1" s="335"/>
    </row>
    <row r="2" spans="1:20" ht="14.4" customHeight="1">
      <c r="A2" s="333" t="s">
        <v>155</v>
      </c>
      <c r="B2" s="333"/>
      <c r="C2" s="333"/>
      <c r="D2" s="333"/>
      <c r="E2" s="333"/>
      <c r="F2" s="333"/>
      <c r="G2" s="333"/>
      <c r="H2" s="333"/>
      <c r="I2" s="333"/>
      <c r="J2" s="333"/>
      <c r="K2" s="333"/>
      <c r="L2" s="333"/>
      <c r="M2" s="333"/>
      <c r="N2" s="333"/>
      <c r="O2" s="333"/>
      <c r="P2" s="333"/>
      <c r="Q2" s="333"/>
    </row>
    <row r="3" spans="1:20" ht="14.4" customHeight="1">
      <c r="I3" s="143"/>
      <c r="J3" s="143"/>
      <c r="K3" s="145"/>
      <c r="L3" s="143"/>
      <c r="M3" s="143"/>
      <c r="N3" s="141"/>
      <c r="O3" s="141"/>
      <c r="P3" s="141"/>
      <c r="Q3" s="141"/>
    </row>
    <row r="4" spans="1:20" ht="14.4" customHeight="1">
      <c r="A4" s="329" t="s">
        <v>172</v>
      </c>
      <c r="B4" s="331" t="s">
        <v>173</v>
      </c>
      <c r="C4" s="329">
        <f>IF('Calc JZ02'!C6&lt;'Calc JZ02'!C5,'Calc JZ02'!C5,'Calc JZ02'!C6)</f>
        <v>600</v>
      </c>
      <c r="D4" s="326" t="s">
        <v>33</v>
      </c>
      <c r="E4" s="331" t="s">
        <v>174</v>
      </c>
      <c r="F4" s="331"/>
      <c r="G4" s="329">
        <f>IF('Calc JZ02'!C6&gt;'Calc JZ02'!C5,'Calc JZ02'!C5,'Calc JZ02'!C6)</f>
        <v>240</v>
      </c>
      <c r="H4" s="330" t="s">
        <v>33</v>
      </c>
      <c r="I4" s="331"/>
      <c r="J4" s="331"/>
      <c r="L4" s="326"/>
      <c r="M4" s="326"/>
      <c r="N4" s="326"/>
      <c r="O4" s="141"/>
      <c r="P4" s="141"/>
      <c r="Q4" s="141"/>
    </row>
    <row r="5" spans="1:20" ht="14.4" customHeight="1">
      <c r="A5" s="329"/>
      <c r="B5" s="331"/>
      <c r="C5" s="329"/>
      <c r="D5" s="326"/>
      <c r="E5" s="331"/>
      <c r="F5" s="331"/>
      <c r="G5" s="329"/>
      <c r="H5" s="330"/>
      <c r="I5" s="332"/>
      <c r="J5" s="332"/>
      <c r="L5" s="327"/>
      <c r="M5" s="327"/>
      <c r="N5" s="327"/>
    </row>
    <row r="6" spans="1:20" ht="14.4" customHeight="1">
      <c r="A6" s="311" t="s">
        <v>210</v>
      </c>
      <c r="B6" s="311"/>
      <c r="C6" s="255">
        <f>((Debit_LongChevronsHaut_Chassis_JZ02+Debit_LongChevronsHautBis_Chassis_JZ02)-8)/(Debit_NbChevronsBas_Chassis_JZ02-1)</f>
        <v>98.666666666666671</v>
      </c>
      <c r="D6" s="328" t="s">
        <v>211</v>
      </c>
      <c r="E6" s="328"/>
      <c r="G6" s="19"/>
      <c r="H6" s="328" t="s">
        <v>209</v>
      </c>
      <c r="I6" s="328"/>
      <c r="J6" s="256">
        <f>(Debit_LongChevronsBas_Chassis_JZ02-10)/(Debit_NbChevronsHaut_Chassis_JZ02-1)</f>
        <v>57.5</v>
      </c>
      <c r="K6" s="328" t="s">
        <v>211</v>
      </c>
      <c r="L6" s="328"/>
    </row>
    <row r="7" spans="1:20">
      <c r="A7" s="31" t="s">
        <v>136</v>
      </c>
      <c r="D7" s="24"/>
      <c r="E7" s="132"/>
      <c r="F7" s="24"/>
      <c r="G7" s="36"/>
      <c r="H7" s="273" t="s">
        <v>139</v>
      </c>
      <c r="I7" s="29"/>
      <c r="J7" s="43"/>
      <c r="L7" s="33"/>
      <c r="M7" s="24"/>
      <c r="N7" s="24"/>
      <c r="O7" s="24"/>
      <c r="P7" s="24"/>
      <c r="Q7" s="24"/>
    </row>
    <row r="8" spans="1:20">
      <c r="A8" s="28"/>
      <c r="B8" s="22" t="s">
        <v>34</v>
      </c>
      <c r="C8" s="34">
        <f>IF(Long_ChevronsBas_Chassis_JZ02=0,0,IF(Long_ChevronsHaut_Chassis_JZ02&lt;260,3,((ROUNDUP((Long_ChevronsHaut_Chassis_JZ02/100),0))+1)))</f>
        <v>7</v>
      </c>
      <c r="D8" s="33" t="s">
        <v>58</v>
      </c>
      <c r="E8" s="34">
        <f>IF(Debit_NbChevronsBas_Chassis_JZ02=0,0,Long_ChevronsBas_Chassis_JZ02)</f>
        <v>240</v>
      </c>
      <c r="F8" s="27" t="s">
        <v>33</v>
      </c>
      <c r="G8" s="36"/>
      <c r="H8" s="24"/>
      <c r="I8" s="24"/>
      <c r="J8" s="22" t="s">
        <v>110</v>
      </c>
      <c r="K8" s="34">
        <f>Nb_Chevrons8X10_Sup1_JZ02</f>
        <v>0</v>
      </c>
      <c r="L8" s="33" t="s">
        <v>58</v>
      </c>
      <c r="M8" s="34">
        <f>Long_Chevrons8X10_Sup1_JZ02</f>
        <v>0</v>
      </c>
      <c r="N8" s="27" t="s">
        <v>33</v>
      </c>
      <c r="O8" s="23"/>
      <c r="P8" s="23"/>
      <c r="Q8" s="23"/>
    </row>
    <row r="9" spans="1:20">
      <c r="A9" s="41"/>
      <c r="B9" s="22" t="s">
        <v>38</v>
      </c>
      <c r="C9" s="34">
        <f>IF(Long_ChevronsHaut_Chassis_JZ02=0,0,IF(Long_ChevronsBas_Chassis_JZ02&lt;180,3,((ROUNDUP((Long_ChevronsBas_Chassis_JZ02/70),0))+1)))</f>
        <v>5</v>
      </c>
      <c r="D9" s="33" t="s">
        <v>58</v>
      </c>
      <c r="E9" s="248">
        <f>Long_ChevronsHaut_Chassis_JZ02-Debit_LongChevronsHautBis_Chassis_JZ02</f>
        <v>399</v>
      </c>
      <c r="F9" s="27" t="s">
        <v>33</v>
      </c>
      <c r="G9" s="37"/>
      <c r="H9" s="27"/>
      <c r="I9" s="24"/>
      <c r="J9" s="22" t="s">
        <v>116</v>
      </c>
      <c r="K9" s="129">
        <f>Nb_Chevrons8X10_Sup2_JZ02</f>
        <v>0</v>
      </c>
      <c r="L9" s="33" t="s">
        <v>58</v>
      </c>
      <c r="M9" s="129">
        <f>Long_Chevrons8X10_Sup2_JZ02</f>
        <v>0</v>
      </c>
      <c r="N9" s="27" t="s">
        <v>33</v>
      </c>
      <c r="O9" s="33"/>
      <c r="P9" s="33"/>
      <c r="Q9" s="33"/>
    </row>
    <row r="10" spans="1:20">
      <c r="A10" s="41"/>
      <c r="B10" s="22" t="s">
        <v>135</v>
      </c>
      <c r="C10" s="34">
        <f>IF(Long_ChevronsHaut_Chassis_JZ02&gt;500,Debit_NbChevronsHaut_Chassis_JZ02,0)</f>
        <v>5</v>
      </c>
      <c r="D10" s="33" t="s">
        <v>58</v>
      </c>
      <c r="E10" s="34">
        <f>IF((Long_ChevronsHaut_Chassis_JZ02&lt;=500),((ROUNDUP((Long_ChevronsHaut_Chassis_JZ02/500),0))*Long_ChevronsHaut_Chassis_JZ02),(ROUNDDOWN((2*((Long_ChevronsHaut_Chassis_JZ02-8)/(Debit_NbChevronsBas_Chassis_JZ02-1)))+4,0)))</f>
        <v>201</v>
      </c>
      <c r="F10" s="27" t="s">
        <v>33</v>
      </c>
      <c r="G10" s="37"/>
      <c r="H10" s="27"/>
      <c r="I10" s="23"/>
      <c r="J10" s="22" t="s">
        <v>117</v>
      </c>
      <c r="K10" s="129">
        <f>Nb_Chevrons8X10_Sup3_JZ02</f>
        <v>0</v>
      </c>
      <c r="L10" s="33" t="s">
        <v>58</v>
      </c>
      <c r="M10" s="129">
        <f>Long_Chevrons8X10_Sup3_JZ02</f>
        <v>0</v>
      </c>
      <c r="N10" s="27" t="s">
        <v>33</v>
      </c>
      <c r="O10" s="33"/>
      <c r="P10" s="33"/>
      <c r="Q10" s="33"/>
    </row>
    <row r="11" spans="1:20">
      <c r="B11" s="245" t="s">
        <v>194</v>
      </c>
      <c r="C11" s="244">
        <f>IF(Debit_NbChevronsHautBis_Chassis_JZ02=0,0,Debit_NbChevronsHautBis_Chassis_JZ02)</f>
        <v>5</v>
      </c>
      <c r="D11" s="94" t="s">
        <v>58</v>
      </c>
      <c r="E11" s="252">
        <f>IF(Debit_NbChevronsHautRenfort_Chassis_JZ02=0,0,(Debit_LongChevronsHautBis_Chassis_JZ02+5))</f>
        <v>206</v>
      </c>
      <c r="F11" s="27" t="s">
        <v>33</v>
      </c>
      <c r="G11" s="37"/>
      <c r="H11" s="27"/>
      <c r="J11" s="22" t="s">
        <v>118</v>
      </c>
      <c r="K11" s="129">
        <f>Nb_Chevrons8X10_Sup4_JZ02</f>
        <v>0</v>
      </c>
      <c r="L11" s="33" t="s">
        <v>58</v>
      </c>
      <c r="M11" s="129">
        <f>Long_Chevrons8X10_Sup4_JZ02</f>
        <v>0</v>
      </c>
      <c r="N11" s="27" t="s">
        <v>33</v>
      </c>
      <c r="O11" s="33"/>
      <c r="P11" s="33"/>
      <c r="Q11" s="33"/>
    </row>
    <row r="12" spans="1:20">
      <c r="A12" s="140" t="s">
        <v>171</v>
      </c>
      <c r="G12" s="37"/>
      <c r="H12" s="27"/>
      <c r="I12" s="24"/>
      <c r="J12" s="22" t="s">
        <v>111</v>
      </c>
      <c r="K12" s="34">
        <f>Nb_Chevrons5X8_Sup1_JZ02</f>
        <v>0</v>
      </c>
      <c r="L12" s="33" t="s">
        <v>58</v>
      </c>
      <c r="M12" s="34">
        <f>Long_Chevrons5X8_Sup1_JZ02</f>
        <v>0</v>
      </c>
      <c r="N12" s="27" t="s">
        <v>33</v>
      </c>
      <c r="O12" s="23"/>
      <c r="P12" s="23"/>
      <c r="Q12" s="23"/>
    </row>
    <row r="13" spans="1:20">
      <c r="B13" s="243" t="s">
        <v>205</v>
      </c>
      <c r="C13" s="342" t="s">
        <v>202</v>
      </c>
      <c r="D13" s="343"/>
      <c r="E13" s="344" t="s">
        <v>203</v>
      </c>
      <c r="F13" s="343"/>
      <c r="G13" s="86"/>
      <c r="H13" s="27"/>
      <c r="I13" s="24"/>
      <c r="J13" s="22" t="s">
        <v>119</v>
      </c>
      <c r="K13" s="129">
        <f>Nb_Chevrons5X8_Sup2_JZ02</f>
        <v>0</v>
      </c>
      <c r="L13" s="33" t="s">
        <v>58</v>
      </c>
      <c r="M13" s="129">
        <f>Long_Chevrons5X8_Sup2_JZ02</f>
        <v>0</v>
      </c>
      <c r="N13" s="27" t="s">
        <v>33</v>
      </c>
      <c r="O13" s="33"/>
      <c r="P13" s="33"/>
      <c r="Q13" s="33"/>
    </row>
    <row r="14" spans="1:20">
      <c r="A14" s="19"/>
      <c r="B14" s="236">
        <f>IF(Long_Plancher_Chassis_JZ02=0,0,(ROUNDDOWN((Long_ChevronsHaut_Chassis_JZ02/10),0)))</f>
        <v>60</v>
      </c>
      <c r="C14" s="345">
        <v>10</v>
      </c>
      <c r="D14" s="346"/>
      <c r="E14" s="357">
        <f>IF(Long_Plancher_Chassis_JZ02=0,0,Long_Plancher_Chassis_JZ02)</f>
        <v>200</v>
      </c>
      <c r="F14" s="358"/>
      <c r="G14" s="198"/>
      <c r="I14" s="24"/>
      <c r="J14" s="22" t="s">
        <v>120</v>
      </c>
      <c r="K14" s="129">
        <f>Nb_Chevrons5X8_Sup3_JZ02</f>
        <v>0</v>
      </c>
      <c r="L14" s="33" t="s">
        <v>58</v>
      </c>
      <c r="M14" s="129">
        <f>Long_Chevrons5X8_Sup3_JZ02</f>
        <v>0</v>
      </c>
      <c r="N14" s="27" t="s">
        <v>33</v>
      </c>
      <c r="O14" s="33"/>
      <c r="P14" s="33"/>
      <c r="Q14" s="33"/>
      <c r="S14" s="117"/>
      <c r="T14" s="117"/>
    </row>
    <row r="15" spans="1:20" ht="15" thickBot="1">
      <c r="A15" s="341" t="s">
        <v>200</v>
      </c>
      <c r="B15" s="251">
        <f>IF(Long_Plancher_Chassis_JZ02=0,0,(ROUNDUP((Long_ChevronsHaut_Chassis_JZ02/10),0))-(ROUNDDOWN((Long_ChevronsHaut_Chassis_JZ02/10),0)))</f>
        <v>0</v>
      </c>
      <c r="C15" s="351">
        <f>IF(Debit_NbPlanchesX10_Reste_Plancher_JZ02=0,0,IF(Debit_LongChevronsHaut_Chassis_JZ02&gt;(Debit_NbPlanchesX10_Plancher_JZ02*Debit_LargPlanchesX10_Plancher_JZ02),Debit_LongChevronsHaut_Chassis_JZ02-(Debit_NbPlanchesX10_Plancher_JZ02*Debit_LargPlanchesX10_Plancher_JZ02)))</f>
        <v>0</v>
      </c>
      <c r="D15" s="352"/>
      <c r="E15" s="353"/>
      <c r="F15" s="354"/>
      <c r="G15" s="38"/>
      <c r="I15" s="24"/>
      <c r="J15" s="22" t="s">
        <v>121</v>
      </c>
      <c r="K15" s="34">
        <f>Nb_Chevrons5X8_Sup4_JZ02</f>
        <v>0</v>
      </c>
      <c r="L15" s="33" t="s">
        <v>58</v>
      </c>
      <c r="M15" s="34">
        <f>Long_Chevrons5X8_Sup4_JZ02</f>
        <v>0</v>
      </c>
      <c r="N15" s="27" t="s">
        <v>33</v>
      </c>
      <c r="O15" s="23"/>
      <c r="P15" s="23"/>
      <c r="Q15" s="23"/>
    </row>
    <row r="16" spans="1:20" ht="15" thickTop="1">
      <c r="A16" s="341"/>
      <c r="B16" s="237">
        <f>IF(Long_Plancher_Chassis_JZ02=0,0,(ROUNDDOWN((Long_ChevronsHaut_Chassis_JZ02/12.5),0)))</f>
        <v>48</v>
      </c>
      <c r="C16" s="347">
        <v>12.5</v>
      </c>
      <c r="D16" s="348"/>
      <c r="E16" s="359">
        <f>IF(Long_Plancher_Chassis_JZ02=0,0,Long_Plancher_Chassis_JZ02)</f>
        <v>200</v>
      </c>
      <c r="F16" s="360"/>
      <c r="G16" s="38"/>
      <c r="H16" s="27"/>
      <c r="J16" s="22" t="s">
        <v>112</v>
      </c>
      <c r="K16" s="34">
        <f>Nb_PlanchesX10_Sup1_JZ02</f>
        <v>0</v>
      </c>
      <c r="L16" s="33" t="s">
        <v>58</v>
      </c>
      <c r="M16" s="34">
        <f>Long_PlanchesX10_Sup1_JZ02</f>
        <v>0</v>
      </c>
      <c r="N16" s="27" t="s">
        <v>33</v>
      </c>
      <c r="O16" s="23"/>
      <c r="P16" s="23"/>
      <c r="Q16" s="23"/>
      <c r="S16" s="117"/>
    </row>
    <row r="17" spans="1:17" ht="15" thickBot="1">
      <c r="A17" s="340" t="s">
        <v>200</v>
      </c>
      <c r="B17" s="240">
        <f>IF(Long_Plancher_Chassis_JZ02=0,0,(ROUNDUP((Long_ChevronsHaut_Chassis_JZ02/12.5),0))-(ROUNDDOWN((Long_ChevronsHaut_Chassis_JZ02/12.5),0)))</f>
        <v>0</v>
      </c>
      <c r="C17" s="353">
        <f>IF(Debit_NbPlanchesX12_5_Reste_Plancher_JZ02=0,0,IF(Debit_LongChevronsHaut_Chassis_JZ02&gt;(Debit_NbPlanchesX12_5_Plancher_JZ02*Debit_LargPlanchesX12_5_Plancher_JZ02),Debit_LongChevronsHaut_Chassis_JZ02-(Debit_NbPlanchesX12_5_Plancher_JZ02*Debit_LargPlanchesX12_5_Plancher_JZ02)))</f>
        <v>0</v>
      </c>
      <c r="D17" s="354"/>
      <c r="E17" s="353"/>
      <c r="F17" s="354"/>
      <c r="G17" s="38"/>
      <c r="H17" s="27"/>
      <c r="J17" s="22" t="s">
        <v>122</v>
      </c>
      <c r="K17" s="129">
        <f>Nb_PlanchesX10_Sup2_JZ02</f>
        <v>0</v>
      </c>
      <c r="L17" s="33" t="s">
        <v>58</v>
      </c>
      <c r="M17" s="129">
        <f>Long_PlanchesX10_Sup2_JZ02</f>
        <v>0</v>
      </c>
      <c r="N17" s="27" t="s">
        <v>33</v>
      </c>
      <c r="O17" s="33"/>
      <c r="P17" s="33"/>
      <c r="Q17" s="33"/>
    </row>
    <row r="18" spans="1:17" ht="15" thickTop="1">
      <c r="A18" s="340"/>
      <c r="B18" s="238">
        <f>IF(Long_Plancher_Chassis_JZ02=0,0,(ROUNDDOWN((Long_ChevronsHaut_Chassis_JZ02/15),0)))</f>
        <v>40</v>
      </c>
      <c r="C18" s="349">
        <v>15</v>
      </c>
      <c r="D18" s="350"/>
      <c r="E18" s="336">
        <f>IF(Long_Plancher_Chassis_JZ02=0,0,Long_Plancher_Chassis_JZ02)</f>
        <v>200</v>
      </c>
      <c r="F18" s="337"/>
      <c r="G18" s="37"/>
      <c r="H18" s="27"/>
      <c r="J18" s="22" t="s">
        <v>123</v>
      </c>
      <c r="K18" s="34">
        <f>Nb_PlanchesX10_Sup3_JZ02</f>
        <v>0</v>
      </c>
      <c r="L18" s="33" t="s">
        <v>58</v>
      </c>
      <c r="M18" s="34">
        <f>Long_PlanchesX10_Sup3_JZ02</f>
        <v>0</v>
      </c>
      <c r="N18" s="27" t="s">
        <v>33</v>
      </c>
      <c r="O18" s="23"/>
      <c r="P18" s="23"/>
      <c r="Q18" s="23"/>
    </row>
    <row r="19" spans="1:17">
      <c r="A19" s="24"/>
      <c r="B19" s="242">
        <f>IF(Long_Plancher_Chassis_JZ02=0,0,(ROUNDUP((Long_ChevronsHaut_Chassis_JZ02/15),0))-(ROUNDDOWN((Long_ChevronsHaut_Chassis_JZ02/15),0)))</f>
        <v>0</v>
      </c>
      <c r="C19" s="355">
        <f>IF(B19=0,0,IF(Debit_LongChevronsHaut_Chassis_JZ02&gt;(Debit_NbPlanchesX15_Plancher_JZ02*Debit_LargPlanchesX15_Plancher_JZ02),Debit_LongChevronsHaut_Chassis_JZ02-(Debit_NbPlanchesX15_Plancher_JZ02*Debit_LargPlanchesX15_Plancher_JZ02)))</f>
        <v>0</v>
      </c>
      <c r="D19" s="356"/>
      <c r="E19" s="338"/>
      <c r="F19" s="339"/>
      <c r="G19" s="37"/>
      <c r="H19" s="27"/>
      <c r="J19" s="22" t="s">
        <v>124</v>
      </c>
      <c r="K19" s="34">
        <f>Nb_PlanchesX10_Sup4_JZ02</f>
        <v>0</v>
      </c>
      <c r="L19" s="33" t="s">
        <v>58</v>
      </c>
      <c r="M19" s="34">
        <f>Long_PlanchesX10_Sup4_JZ02</f>
        <v>0</v>
      </c>
      <c r="N19" s="27" t="s">
        <v>33</v>
      </c>
      <c r="O19" s="23"/>
      <c r="P19" s="23"/>
      <c r="Q19" s="23"/>
    </row>
    <row r="20" spans="1:17">
      <c r="A20" s="31" t="s">
        <v>137</v>
      </c>
      <c r="D20" s="33"/>
      <c r="E20" s="132"/>
      <c r="F20" s="27"/>
      <c r="G20" s="37"/>
      <c r="H20" s="27"/>
      <c r="I20" s="24"/>
      <c r="J20" s="22" t="s">
        <v>113</v>
      </c>
      <c r="K20" s="34">
        <f>Nb_PlanchesX12_5_Sup1_JZ02</f>
        <v>0</v>
      </c>
      <c r="L20" s="33" t="s">
        <v>58</v>
      </c>
      <c r="M20" s="34">
        <f>Long_PlanchesX12_5_Sup1_JZ02</f>
        <v>0</v>
      </c>
      <c r="N20" s="27" t="s">
        <v>33</v>
      </c>
      <c r="O20" s="23"/>
      <c r="P20" s="23"/>
      <c r="Q20" s="23"/>
    </row>
    <row r="21" spans="1:17">
      <c r="A21" s="24"/>
      <c r="B21" s="22" t="s">
        <v>34</v>
      </c>
      <c r="C21" s="34">
        <f>IF(Nb_ChaisesBas_JZ02=0,0,Nb_ChaisesBas_JZ02)</f>
        <v>0</v>
      </c>
      <c r="D21" s="33" t="s">
        <v>58</v>
      </c>
      <c r="E21" s="34">
        <f>IF((Nb_ChaisesBas_JZ02&gt;0),Long_ChevronsBas_Chassis_JZ02,0)</f>
        <v>0</v>
      </c>
      <c r="F21" s="27" t="s">
        <v>33</v>
      </c>
      <c r="G21" s="38"/>
      <c r="I21" s="24"/>
      <c r="J21" s="22" t="s">
        <v>125</v>
      </c>
      <c r="K21" s="34">
        <f>Nb_PlanchesX12_5_Sup2_JZ02</f>
        <v>0</v>
      </c>
      <c r="L21" s="33" t="s">
        <v>58</v>
      </c>
      <c r="M21" s="34">
        <f>Long_PlanchesX12_5_Sup2_JZ02</f>
        <v>0</v>
      </c>
      <c r="N21" s="27" t="s">
        <v>33</v>
      </c>
      <c r="O21" s="23"/>
      <c r="P21" s="23"/>
      <c r="Q21" s="23"/>
    </row>
    <row r="22" spans="1:17">
      <c r="A22" s="23"/>
      <c r="B22" s="22" t="s">
        <v>38</v>
      </c>
      <c r="C22" s="34">
        <f>IF(Nb_ChaisesBas_JZ02=0,0,Nb_ChaisesBas_JZ02)</f>
        <v>0</v>
      </c>
      <c r="D22" s="33" t="s">
        <v>58</v>
      </c>
      <c r="E22" s="34">
        <f>IF(Nb_ChaisesBas_JZ02&lt;=0,0,Long_ChevronsBas_Chassis_JZ02-8)</f>
        <v>0</v>
      </c>
      <c r="F22" s="27" t="s">
        <v>33</v>
      </c>
      <c r="G22" s="37"/>
      <c r="H22" s="27"/>
      <c r="I22" s="24"/>
      <c r="J22" s="22" t="s">
        <v>126</v>
      </c>
      <c r="K22" s="34">
        <f>Nb_PlanchesX12_5_Sup3_JZ02</f>
        <v>0</v>
      </c>
      <c r="L22" s="33" t="s">
        <v>58</v>
      </c>
      <c r="M22" s="34">
        <f>Long_PlanchesX12_5_Sup3_JZ02</f>
        <v>0</v>
      </c>
      <c r="N22" s="27" t="s">
        <v>33</v>
      </c>
      <c r="O22" s="23"/>
      <c r="P22" s="23"/>
      <c r="Q22" s="23"/>
    </row>
    <row r="23" spans="1:17">
      <c r="A23" s="23"/>
      <c r="B23" s="22" t="s">
        <v>49</v>
      </c>
      <c r="C23" s="34">
        <f>IF(Haut_ChaisesBas_JZ02=0,0,IF(Debit_LongChevronsBas_ChaisesBas_JZ02&lt;150,3,(ROUNDUP((Debit_LongChevronsBas_ChaisesBas_JZ02/50),0))))</f>
        <v>0</v>
      </c>
      <c r="D23" s="33" t="s">
        <v>58</v>
      </c>
      <c r="E23" s="34">
        <f>IF((Haut_ChaisesBas_JZ02&gt;=20),(Haut_ChaisesBas_JZ02-20),0)</f>
        <v>0</v>
      </c>
      <c r="F23" s="27" t="s">
        <v>33</v>
      </c>
      <c r="G23" s="37"/>
      <c r="H23" s="27"/>
      <c r="I23" s="24"/>
      <c r="J23" s="22" t="s">
        <v>127</v>
      </c>
      <c r="K23" s="34">
        <f>Nb_PlanchesX12_5_Sup4_JZ02</f>
        <v>0</v>
      </c>
      <c r="L23" s="33" t="s">
        <v>58</v>
      </c>
      <c r="M23" s="34">
        <f>Long_PlanchesX12_5_Sup4_JZ02</f>
        <v>0</v>
      </c>
      <c r="N23" s="27" t="s">
        <v>33</v>
      </c>
      <c r="O23" s="23"/>
      <c r="P23" s="23"/>
      <c r="Q23" s="23"/>
    </row>
    <row r="24" spans="1:17">
      <c r="A24" s="31" t="s">
        <v>138</v>
      </c>
      <c r="G24" s="37"/>
      <c r="H24" s="27"/>
      <c r="I24" s="24"/>
      <c r="J24" s="22" t="s">
        <v>114</v>
      </c>
      <c r="K24" s="34">
        <f>Nb_PlanchesX15_Sup1_JZ02</f>
        <v>0</v>
      </c>
      <c r="L24" s="33" t="s">
        <v>58</v>
      </c>
      <c r="M24" s="34">
        <f>Long_PlanchesX15_Sup1_JZ02</f>
        <v>0</v>
      </c>
      <c r="N24" s="27" t="s">
        <v>33</v>
      </c>
      <c r="O24" s="23"/>
      <c r="P24" s="23"/>
      <c r="Q24" s="23"/>
    </row>
    <row r="25" spans="1:17">
      <c r="A25" s="23"/>
      <c r="B25" s="22" t="s">
        <v>34</v>
      </c>
      <c r="C25" s="34">
        <f>IF(Nb_ChaisesHaut_JZ02=0,0,Nb_ChaisesHaut_JZ02)</f>
        <v>0</v>
      </c>
      <c r="D25" s="33" t="s">
        <v>58</v>
      </c>
      <c r="E25" s="34">
        <f>IF((Nb_ChaisesHaut_JZ02&gt;0),(Long_ChevronsBas_Chassis_JZ02-8),0)</f>
        <v>0</v>
      </c>
      <c r="F25" s="27" t="s">
        <v>33</v>
      </c>
      <c r="G25" s="37"/>
      <c r="H25" s="27"/>
      <c r="I25" s="24"/>
      <c r="J25" s="22" t="s">
        <v>128</v>
      </c>
      <c r="K25" s="34">
        <f>Nb_PlanchesX15_Sup2_JZ02</f>
        <v>0</v>
      </c>
      <c r="L25" s="33" t="s">
        <v>58</v>
      </c>
      <c r="M25" s="34">
        <f>Long_PlanchesX15_Sup2_JZ02</f>
        <v>0</v>
      </c>
      <c r="N25" s="27" t="s">
        <v>33</v>
      </c>
      <c r="O25" s="23"/>
      <c r="P25" s="23"/>
      <c r="Q25" s="23"/>
    </row>
    <row r="26" spans="1:17">
      <c r="B26" s="22" t="s">
        <v>38</v>
      </c>
      <c r="C26" s="34">
        <f>IF(Nb_ChaisesHaut_JZ02=0,0,Nb_ChaisesHaut_JZ02)</f>
        <v>0</v>
      </c>
      <c r="D26" s="33" t="s">
        <v>58</v>
      </c>
      <c r="E26" s="34">
        <f>IF((Nb_ChaisesHaut_JZ02&gt;0),(Long_ChevronsBas_Chassis_JZ02-8),0)</f>
        <v>0</v>
      </c>
      <c r="F26" s="27" t="s">
        <v>33</v>
      </c>
      <c r="G26" s="37"/>
      <c r="H26" s="27"/>
      <c r="J26" s="22" t="s">
        <v>129</v>
      </c>
      <c r="K26" s="34">
        <f>Nb_PlanchesX15_Sup3_JZ02</f>
        <v>0</v>
      </c>
      <c r="L26" s="33" t="s">
        <v>58</v>
      </c>
      <c r="M26" s="34">
        <f>Long_PlanchesX15_Sup3_JZ02</f>
        <v>0</v>
      </c>
      <c r="N26" s="27" t="s">
        <v>33</v>
      </c>
      <c r="O26" s="23"/>
      <c r="P26" s="23"/>
      <c r="Q26" s="23"/>
    </row>
    <row r="27" spans="1:17">
      <c r="B27" s="22" t="s">
        <v>49</v>
      </c>
      <c r="C27" s="92">
        <f>IF(Nb_ChaisesHaut_JZ02=0,0,IF(Debit_LongChevronsHaut_ChaisesHaut_JZ02&lt;150,3,(ROUNDUP((Debit_LongChevronsHaut_ChaisesHaut_JZ02/50),0))))</f>
        <v>0</v>
      </c>
      <c r="D27" s="33" t="s">
        <v>58</v>
      </c>
      <c r="E27" s="34">
        <f>IF(Haut_ChaisesHaut_JZ02&lt;=20,0,IF((Haut_ChaisesHaut_JZ02&gt;=20),(Haut_ChaisesHaut_JZ02-20),0))</f>
        <v>0</v>
      </c>
      <c r="F27" s="27" t="s">
        <v>33</v>
      </c>
      <c r="G27" s="38"/>
      <c r="I27" s="24"/>
      <c r="J27" s="22" t="s">
        <v>130</v>
      </c>
      <c r="K27" s="34">
        <f>Nb_PlanchesX15_Sup4_JZ02</f>
        <v>0</v>
      </c>
      <c r="L27" s="33" t="s">
        <v>58</v>
      </c>
      <c r="M27" s="34">
        <f>Long_PlanchesX15_Sup4_JZ02</f>
        <v>0</v>
      </c>
      <c r="N27" s="27" t="s">
        <v>33</v>
      </c>
      <c r="O27" s="23"/>
      <c r="P27" s="23"/>
      <c r="Q27" s="23"/>
    </row>
    <row r="28" spans="1:17">
      <c r="G28" s="38"/>
      <c r="J28" s="22" t="s">
        <v>115</v>
      </c>
      <c r="K28" s="34">
        <f>Nb_ContrePlaque_Sup1_JZ02</f>
        <v>0</v>
      </c>
      <c r="L28" s="33" t="s">
        <v>58</v>
      </c>
      <c r="M28" s="34">
        <f>Long_ContrePlaque_Sup1_JZ02</f>
        <v>0</v>
      </c>
      <c r="N28" s="27" t="s">
        <v>33</v>
      </c>
      <c r="O28" s="23" t="s">
        <v>58</v>
      </c>
      <c r="P28" s="34">
        <f>Larg_ContrePlaque_Sup1_JZ02</f>
        <v>0</v>
      </c>
      <c r="Q28" s="27" t="s">
        <v>33</v>
      </c>
    </row>
    <row r="29" spans="1:17">
      <c r="G29" s="38"/>
      <c r="J29" s="22" t="s">
        <v>131</v>
      </c>
      <c r="K29" s="34">
        <f>Nb_ContrePlaque_Sup2_JZ02</f>
        <v>0</v>
      </c>
      <c r="L29" s="33" t="s">
        <v>58</v>
      </c>
      <c r="M29" s="34">
        <f>Long_ContrePlaque_Sup2_JZ02</f>
        <v>0</v>
      </c>
      <c r="N29" s="27" t="s">
        <v>33</v>
      </c>
      <c r="O29" s="23" t="s">
        <v>58</v>
      </c>
      <c r="P29" s="34">
        <f>Larg_ContrePlaque_Sup2_JZ02</f>
        <v>0</v>
      </c>
      <c r="Q29" s="27" t="s">
        <v>33</v>
      </c>
    </row>
    <row r="30" spans="1:17">
      <c r="G30" s="38"/>
      <c r="J30" s="22" t="s">
        <v>132</v>
      </c>
      <c r="K30" s="129">
        <f>Nb_ContrePlaque_Sup3_JZ02</f>
        <v>0</v>
      </c>
      <c r="L30" s="33" t="s">
        <v>58</v>
      </c>
      <c r="M30" s="129">
        <f>Long_ContrePlaque_Sup3_JZ02</f>
        <v>0</v>
      </c>
      <c r="N30" s="27" t="s">
        <v>33</v>
      </c>
      <c r="O30" s="23" t="s">
        <v>58</v>
      </c>
      <c r="P30" s="129">
        <f>Larg_ContrePlaque_Sup3_JZ02</f>
        <v>0</v>
      </c>
      <c r="Q30" s="27" t="s">
        <v>33</v>
      </c>
    </row>
    <row r="31" spans="1:17">
      <c r="G31" s="38"/>
      <c r="J31" s="22" t="s">
        <v>133</v>
      </c>
      <c r="K31" s="34">
        <f>Nb_ContrePlaque_Sup4_JZ02</f>
        <v>0</v>
      </c>
      <c r="L31" s="33" t="s">
        <v>58</v>
      </c>
      <c r="M31" s="34">
        <f>Long_ContrePlaque_Sup4_JZ02</f>
        <v>0</v>
      </c>
      <c r="N31" s="27" t="s">
        <v>33</v>
      </c>
      <c r="O31" s="23" t="s">
        <v>58</v>
      </c>
      <c r="P31" s="34">
        <f>Larg_ContrePlaque_Sup4_JZ02</f>
        <v>0</v>
      </c>
      <c r="Q31" s="27" t="s">
        <v>33</v>
      </c>
    </row>
    <row r="32" spans="1:17">
      <c r="G32" s="38"/>
    </row>
    <row r="33" spans="12:16">
      <c r="L33" s="21"/>
      <c r="M33" s="21"/>
      <c r="N33" s="21"/>
      <c r="O33" s="21"/>
      <c r="P33" s="21"/>
    </row>
    <row r="34" spans="12:16">
      <c r="L34" s="21"/>
      <c r="M34" s="21"/>
      <c r="N34" s="21"/>
      <c r="O34" s="21"/>
      <c r="P34" s="21"/>
    </row>
  </sheetData>
  <mergeCells count="34">
    <mergeCell ref="E18:F19"/>
    <mergeCell ref="A17:A18"/>
    <mergeCell ref="A15:A16"/>
    <mergeCell ref="C13:D13"/>
    <mergeCell ref="E13:F13"/>
    <mergeCell ref="C14:D14"/>
    <mergeCell ref="C16:D16"/>
    <mergeCell ref="C18:D18"/>
    <mergeCell ref="C15:D15"/>
    <mergeCell ref="C17:D17"/>
    <mergeCell ref="C19:D19"/>
    <mergeCell ref="E14:F15"/>
    <mergeCell ref="E16:F17"/>
    <mergeCell ref="A2:Q2"/>
    <mergeCell ref="E1:G1"/>
    <mergeCell ref="H1:J1"/>
    <mergeCell ref="K1:M1"/>
    <mergeCell ref="N1:Q1"/>
    <mergeCell ref="A1:D1"/>
    <mergeCell ref="L4:N4"/>
    <mergeCell ref="L5:N5"/>
    <mergeCell ref="A6:B6"/>
    <mergeCell ref="D6:E6"/>
    <mergeCell ref="K6:L6"/>
    <mergeCell ref="G4:G5"/>
    <mergeCell ref="H4:H5"/>
    <mergeCell ref="A4:A5"/>
    <mergeCell ref="B4:B5"/>
    <mergeCell ref="C4:C5"/>
    <mergeCell ref="D4:D5"/>
    <mergeCell ref="E4:F5"/>
    <mergeCell ref="I4:J4"/>
    <mergeCell ref="I5:J5"/>
    <mergeCell ref="H6:I6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rgb="FFFFFF00"/>
  </sheetPr>
  <dimension ref="A1:M16"/>
  <sheetViews>
    <sheetView zoomScaleNormal="100" workbookViewId="0">
      <selection activeCell="B22" sqref="B22"/>
    </sheetView>
  </sheetViews>
  <sheetFormatPr baseColWidth="10" defaultRowHeight="14.4"/>
  <sheetData>
    <row r="1" spans="1:13" ht="14.4" customHeight="1">
      <c r="A1" s="361" t="s">
        <v>215</v>
      </c>
      <c r="B1" s="361"/>
      <c r="C1" s="361"/>
      <c r="D1" s="361"/>
      <c r="E1" s="361"/>
      <c r="F1" s="361"/>
      <c r="G1" s="361"/>
      <c r="H1" s="361"/>
      <c r="I1" s="361"/>
      <c r="J1" s="361"/>
      <c r="K1" s="361"/>
      <c r="L1" s="100"/>
      <c r="M1" s="100"/>
    </row>
    <row r="2" spans="1:13" ht="14.4" customHeight="1">
      <c r="A2" s="361"/>
      <c r="B2" s="361"/>
      <c r="C2" s="361"/>
      <c r="D2" s="361"/>
      <c r="E2" s="361"/>
      <c r="F2" s="361"/>
      <c r="G2" s="361"/>
      <c r="H2" s="361"/>
      <c r="I2" s="361"/>
      <c r="J2" s="361"/>
      <c r="K2" s="361"/>
      <c r="L2" s="100"/>
      <c r="M2" s="100"/>
    </row>
    <row r="4" spans="1:13">
      <c r="A4" s="19"/>
      <c r="B4" s="19"/>
      <c r="C4" s="19"/>
      <c r="D4" s="19"/>
      <c r="E4" s="19"/>
      <c r="F4" s="19"/>
      <c r="G4" s="19"/>
      <c r="H4" s="19"/>
      <c r="I4" s="19"/>
      <c r="J4" s="19"/>
    </row>
    <row r="5" spans="1:13">
      <c r="A5" s="19"/>
      <c r="B5" s="19"/>
      <c r="C5" s="19"/>
      <c r="D5" s="19"/>
      <c r="E5" s="19"/>
      <c r="F5" s="19"/>
      <c r="G5" s="19"/>
      <c r="H5" s="19"/>
      <c r="I5" s="19"/>
      <c r="J5" s="19"/>
    </row>
    <row r="6" spans="1:13">
      <c r="A6" s="19"/>
      <c r="B6" s="19"/>
      <c r="C6" s="23"/>
      <c r="D6" s="23" t="s">
        <v>51</v>
      </c>
      <c r="E6" s="23" t="s">
        <v>143</v>
      </c>
      <c r="F6" s="23" t="s">
        <v>14</v>
      </c>
      <c r="G6" s="19"/>
      <c r="H6" s="19"/>
      <c r="I6" s="19"/>
      <c r="J6" s="19"/>
    </row>
    <row r="7" spans="1:13">
      <c r="A7" s="19"/>
      <c r="B7" s="19"/>
      <c r="C7" s="22" t="s">
        <v>53</v>
      </c>
      <c r="D7" s="108">
        <f>((Debit_NbChevronsBas_Chassis_JZ02*Debit_LongChevronsBas_Chassis_JZ02)+(Debit_NbChevronsHaut_Chassis_JZ02*Debit_LongChevronsHaut_Chassis_JZ02)+(Debit_NbChevronsBas_ChaisesBas_JZ02*Debit_LongChevronsBas_ChaisesBas_JZ02)+(Debit_NbChevronsHaut_ChaisesBas_JZ02*Debit_LongChevronsHaut_ChaisesBas_JZ02)+(Debit_NbChevronsHauteur_ChaiseBas_JZ02*Debit_LongChevronsHauteur_ChaisesBas_JZ02)+(Debit_NbChevronsBas_ChaisesHaut_JZ02*Debit_LongChevronsBas_ChaisesHaut_JZ02)+(Debit_NbChevronsHaut_ChaisesHaut_JZ02*Debit_LongChevronsHaut_ChaisesHaut_JZ02)+(Debit_NbChevronsHauteur_ChaiseHaut_JZ02*Debit_LongChevronsHauteur_ChaisesHaut_JZ02)+(Debit_NbChevrons8X10_Sup1_JZ02*Debit_LongChevrons8X10_Sup1_JZ02)+(Debit_NbChevrons8X10_Sup2_JZ02*Debit_LongChevrons8X10_Sup2_JZ02)+(Debit_NbChevrons8X10_Sup3_JZ02*Debit_LongChevrons8X10_Sup3_JZ02)+(Debit_NbChevrons8X10_Sup4_JZ02*Debit_LongChevrons8X10_Sup4_JZ02))/100</f>
        <v>36.75</v>
      </c>
      <c r="E7" s="108">
        <f>TotalML_Chevrons8X10*Poids_Chevrons8X10_KgXML</f>
        <v>124.03125</v>
      </c>
      <c r="F7" s="110">
        <f>TotalML_Chevrons8X10*Prix_Chevrons8X10_EurXML</f>
        <v>64.680000000000007</v>
      </c>
      <c r="G7" s="19"/>
      <c r="H7" s="22" t="s">
        <v>147</v>
      </c>
      <c r="I7" s="186">
        <v>59</v>
      </c>
      <c r="J7" s="27" t="s">
        <v>56</v>
      </c>
    </row>
    <row r="8" spans="1:13" ht="16.2">
      <c r="A8" s="19"/>
      <c r="B8" s="19"/>
      <c r="C8" s="22" t="s">
        <v>54</v>
      </c>
      <c r="D8" s="109">
        <f>((Debit_NbChevrons5X8_Sup1_JZ02*Debit_LongChevrons5X8_Sup1_JZ02)+(Debit_NbChevrons5X8_Sup2_JZ02*Debit_LongChevrons5X8_Sup2_JZ02)+(Debit_NbChevrons5X8_Sup3_JZ02*Debit_LongChevrons5X8_Sup3_JZ02)+(Debit_NbChevrons5X8_Sup4_JZ02*Debit_LongChevrons5X8_Sup4_JZ02))/100</f>
        <v>0</v>
      </c>
      <c r="E8" s="109">
        <f>TotalML_Chevrons5X8*Poids_Chevrons5X8_KgXML</f>
        <v>0</v>
      </c>
      <c r="F8" s="110">
        <f>(TotalML_Chevrons5X8*Prix_Chevrons5X8_XML)</f>
        <v>0</v>
      </c>
      <c r="G8" s="19"/>
      <c r="H8" s="22" t="s">
        <v>36</v>
      </c>
      <c r="I8" s="152">
        <f>(Long_ChevronsBas_Chassis_JZ02*Long_ChevronsHaut_Chassis_JZ02*Hauteur_Chassis_JZ02)/1000000</f>
        <v>28.8</v>
      </c>
      <c r="J8" s="24" t="s">
        <v>37</v>
      </c>
    </row>
    <row r="9" spans="1:13">
      <c r="A9" s="19"/>
      <c r="B9" s="19"/>
      <c r="C9" s="22" t="s">
        <v>83</v>
      </c>
      <c r="D9" s="108">
        <f>((Debit_NbPlanchesX10_Plancher_JZ02*Debit_LongPlanchesX10_Plancher_JZ02)+(Debit_NbPlanchesX10_Sup1_JZ02*Debit_LongPlanchesX10_Sup1_JZ02)+(Debit_NbPlanchesX10_Sup2_JZ02*Debit_LongPlanchesX10_Sup2_JZ02)+(Debit_NbPlanchesX10_Sup3_JZ02*Debit_LongPlanchesX10_Sup3_JZ02)+(Debit_NbPlanchesX10_Sup4_JZ02*Debit_LongPlanchesX10_Sup4_JZ02))/100</f>
        <v>120</v>
      </c>
      <c r="E9" s="108">
        <f>TotalML_PlanchesX10*Poids_PlanchesX10_KgXML</f>
        <v>138.6</v>
      </c>
      <c r="F9" s="110">
        <f>TotalML_PlanchesX10*Prix_PlanchesX10_XML</f>
        <v>50.4</v>
      </c>
      <c r="G9" s="19"/>
      <c r="H9" s="22" t="s">
        <v>40</v>
      </c>
      <c r="I9" s="111">
        <v>600</v>
      </c>
      <c r="J9" s="24" t="s">
        <v>41</v>
      </c>
    </row>
    <row r="10" spans="1:13">
      <c r="A10" s="19"/>
      <c r="B10" s="19"/>
      <c r="C10" s="119" t="s">
        <v>82</v>
      </c>
      <c r="D10" s="108">
        <f>((Debit_NbPlanchesX12_5_Plancher_JZ02*Debit_LongPlanchesX12_5_Plancher_JZ02)+(Debit_NbPlanchesX12_5_Sup1_JZ02*Debit_LongPlanchesX12_5_Sup1_JZ02)+(Debit_NbPlanchesX12_5_Sup2_JZ02*Debit_LongPlanchesX12_5_Sup2_JZ02)+(Debit_NbPlanchesX12_5_Sup3_JZ02*Debit_LongPlanchesX12_5_Sup3_JZ02)+(Debit_NbPlanchesX12_5_Sup4_JZ02*Debit_LongPlanchesX12_5_Sup4_JZ02))/100</f>
        <v>96</v>
      </c>
      <c r="E10" s="108">
        <f>TotalML_PlanchesX12_5*Poids_PlanchesX12_5_KgXML</f>
        <v>150</v>
      </c>
      <c r="F10" s="110">
        <f>TotalML_PlanchesX12_5*Prix_PlanchesX12_5_EurXML</f>
        <v>50.400000000000006</v>
      </c>
      <c r="G10" s="19"/>
      <c r="H10" s="22" t="s">
        <v>80</v>
      </c>
      <c r="I10" s="111">
        <f>(TotalML_Chevrons8X10*Poids_Chevrons8X10_KgXML)+(TotalML_Chevrons5X8*Poids_Chevrons5X8_KgXML)+(TotalML_PlanchesX10*Poids_PlanchesX10_KgXML)+(TotalML_PlanchesX12_5*Poids_PlanchesX12_5_KgXML)+(TotalML_PlanchesX15*Poids_PlanchesX15_KgXML)+(TotalM2_ContrePlaque*Poids_ContrePlaque_KgXML)</f>
        <v>546.91696428571436</v>
      </c>
      <c r="J10" s="27" t="s">
        <v>41</v>
      </c>
    </row>
    <row r="11" spans="1:13">
      <c r="A11" s="19"/>
      <c r="B11" s="19"/>
      <c r="C11" s="30" t="s">
        <v>81</v>
      </c>
      <c r="D11" s="164">
        <f>((Debit_NbPlanchesX15_Plancher_JZ02*Debit_LongPlanchesX15_Plancher_JZ02)+(Debit_NbPlanchesX15_Sup1_JZ02*Debit_LongPlanchesX15_Sup1_JZ02)+(Debit_NbPlanchesX15_Sup2_JZ02*Debit_LongPlanchesX15_Sup2_JZ02)+(Debit_NbPlanchesX15_Sup3_JZ02*Debit_LongPlanchesX15_Sup3_JZ02)+(Debit_NbPlanchesX15_Sup4_JZ02*Debit_LongPlanchesX15_Sup4_JZ02))/100</f>
        <v>80</v>
      </c>
      <c r="E11" s="109">
        <f>TotalML_PlanchesX15*Poids_PlanchesX15_KgXML</f>
        <v>134.28571428571428</v>
      </c>
      <c r="F11" s="165">
        <f>TotalML_PlanchesX15*Prix_PlanchesX15_EurXML</f>
        <v>50.4</v>
      </c>
      <c r="G11" s="19"/>
      <c r="H11" s="22" t="s">
        <v>44</v>
      </c>
      <c r="I11" s="111">
        <f>PoidsNet_JZ02_Calc+PoidsSkid</f>
        <v>546.91696428571436</v>
      </c>
      <c r="J11" s="27" t="s">
        <v>41</v>
      </c>
    </row>
    <row r="12" spans="1:13">
      <c r="A12" s="19"/>
      <c r="B12" s="19"/>
      <c r="C12" s="19"/>
      <c r="D12" s="19"/>
      <c r="E12" s="19"/>
      <c r="F12" s="19"/>
      <c r="G12" s="19"/>
      <c r="H12" s="30" t="s">
        <v>191</v>
      </c>
      <c r="I12" s="166">
        <f>SUM(PrixTotal_Chevrons8X10:PrixTotal_PlanchesX15,PrixTotal_ContrePlaque:PrixTotal_SousVide)</f>
        <v>215.88000000000002</v>
      </c>
      <c r="J12" s="23"/>
    </row>
    <row r="13" spans="1:13" ht="16.2">
      <c r="A13" s="19"/>
      <c r="B13" s="19"/>
      <c r="C13" s="22"/>
      <c r="D13" s="23" t="s">
        <v>55</v>
      </c>
      <c r="E13" s="23" t="s">
        <v>143</v>
      </c>
      <c r="F13" s="23" t="s">
        <v>14</v>
      </c>
      <c r="G13" s="19"/>
      <c r="H13" s="30" t="s">
        <v>193</v>
      </c>
      <c r="I13" s="167">
        <f>Nb_Heure_JZ02*Tarif_Horraire</f>
        <v>0</v>
      </c>
      <c r="J13" s="23"/>
    </row>
    <row r="14" spans="1:13">
      <c r="A14" s="19"/>
      <c r="B14" s="19"/>
      <c r="C14" s="22" t="s">
        <v>52</v>
      </c>
      <c r="D14" s="108">
        <f>((Debit_NbContrePlaque_Sup1_JZ02*(Debit_LongContrePlaque_Sup1_JZ02*Debit_LargContrePlaque_Sup1_JZ02))+(Debit_NbContrePlaque_Sup2_JZ02*(Debit_LongContrePlaque_Sup2_JZ02*Debit_LargContrePlaque_Sup2_JZ02))+(Debit_NbContrePlaque_Sup3_JZ02*(Debit_LongContrePlaque_Sup3_JZ02*Debit_LargContrePlaque_Sup3_JZ02))+(Debit_NbContrePlaque_Sup4_JZ02*(Debit_LongContrePlaque_Sup4_JZ02*Debit_LargContrePlaque_Sup4_JZ02)))/10000</f>
        <v>0</v>
      </c>
      <c r="E14" s="108">
        <f>TotalM2_ContrePlaque*Poids_ContrePlaque_KgXML</f>
        <v>0</v>
      </c>
      <c r="F14" s="110">
        <f>TotalM2_ContrePlaque*Prix_ContrePlaque_XM2</f>
        <v>0</v>
      </c>
      <c r="G14" s="19"/>
      <c r="H14" s="30" t="s">
        <v>192</v>
      </c>
      <c r="I14" s="168">
        <f>PrixTotal_Materiaux+PrixTotal_MaindOeuvre</f>
        <v>215.88000000000002</v>
      </c>
      <c r="J14" s="19"/>
    </row>
    <row r="15" spans="1:13">
      <c r="A15" s="19"/>
      <c r="B15" s="19"/>
      <c r="C15" s="120" t="s">
        <v>189</v>
      </c>
      <c r="D15" s="184"/>
      <c r="E15" s="184"/>
      <c r="F15" s="185"/>
      <c r="G15" s="19"/>
      <c r="H15" s="19"/>
      <c r="I15" s="19"/>
      <c r="J15" s="19"/>
    </row>
    <row r="16" spans="1:13">
      <c r="A16" s="19"/>
      <c r="B16" s="19"/>
      <c r="C16" s="19"/>
      <c r="D16" s="19"/>
      <c r="E16" s="19"/>
      <c r="F16" s="19"/>
      <c r="G16" s="19"/>
      <c r="H16" s="19"/>
      <c r="I16" s="19"/>
      <c r="J16" s="19"/>
    </row>
  </sheetData>
  <mergeCells count="1">
    <mergeCell ref="A1:K2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rgb="FF00B050"/>
  </sheetPr>
  <dimension ref="A1:BL53"/>
  <sheetViews>
    <sheetView zoomScale="85" zoomScaleNormal="85" workbookViewId="0">
      <selection activeCell="R14" sqref="R14"/>
    </sheetView>
  </sheetViews>
  <sheetFormatPr baseColWidth="10" defaultColWidth="11.44140625" defaultRowHeight="14.4"/>
  <cols>
    <col min="1" max="1" width="8.6640625" customWidth="1"/>
    <col min="2" max="2" width="12.21875" customWidth="1"/>
    <col min="3" max="3" width="8.6640625" customWidth="1"/>
    <col min="4" max="4" width="7.6640625" customWidth="1"/>
    <col min="5" max="7" width="8.6640625" customWidth="1"/>
    <col min="8" max="8" width="4.33203125" customWidth="1"/>
    <col min="9" max="9" width="8.6640625" customWidth="1"/>
    <col min="10" max="10" width="23.6640625" customWidth="1"/>
    <col min="11" max="13" width="7.6640625" customWidth="1"/>
    <col min="14" max="14" width="6.6640625" customWidth="1"/>
    <col min="15" max="15" width="7.6640625" customWidth="1"/>
    <col min="16" max="16" width="3.6640625" customWidth="1"/>
    <col min="17" max="24" width="11.44140625" customWidth="1"/>
    <col min="26" max="35" width="11.44140625" customWidth="1"/>
    <col min="57" max="64" width="11.44140625" customWidth="1"/>
  </cols>
  <sheetData>
    <row r="1" spans="1:64" ht="14.4" customHeight="1">
      <c r="A1" s="334" t="s">
        <v>153</v>
      </c>
      <c r="B1" s="334"/>
      <c r="C1" s="334"/>
      <c r="D1" s="334"/>
      <c r="E1" s="334"/>
      <c r="F1" s="334"/>
      <c r="G1" s="334"/>
      <c r="H1" s="334"/>
      <c r="I1" s="334"/>
      <c r="J1" s="334"/>
      <c r="K1" s="334"/>
      <c r="L1" s="334"/>
      <c r="M1" s="334"/>
      <c r="N1" s="334"/>
      <c r="O1" s="334"/>
      <c r="P1" s="334"/>
      <c r="AS1" s="138"/>
      <c r="AT1" s="138"/>
      <c r="AU1" s="138"/>
      <c r="AV1" s="138"/>
      <c r="AW1" s="138"/>
      <c r="AX1" s="138"/>
      <c r="AY1" s="138"/>
      <c r="AZ1" s="138"/>
      <c r="BA1" s="138"/>
      <c r="BB1" s="138"/>
      <c r="BC1" s="138"/>
      <c r="BD1" s="138"/>
      <c r="BE1" s="122"/>
      <c r="BF1" s="122"/>
      <c r="BG1" s="122"/>
      <c r="BH1" s="122"/>
      <c r="BI1" s="122"/>
      <c r="BJ1" s="122"/>
      <c r="BK1" s="122"/>
      <c r="BL1" s="122"/>
    </row>
    <row r="2" spans="1:64" ht="14.4" customHeight="1">
      <c r="A2" s="334"/>
      <c r="B2" s="334"/>
      <c r="C2" s="334"/>
      <c r="D2" s="334"/>
      <c r="E2" s="334"/>
      <c r="F2" s="334"/>
      <c r="G2" s="334"/>
      <c r="H2" s="334"/>
      <c r="I2" s="334"/>
      <c r="J2" s="334"/>
      <c r="K2" s="334"/>
      <c r="L2" s="334"/>
      <c r="M2" s="334"/>
      <c r="N2" s="334"/>
      <c r="O2" s="334"/>
      <c r="P2" s="334"/>
      <c r="AS2" s="138"/>
      <c r="AT2" s="138"/>
      <c r="AU2" s="138"/>
      <c r="AV2" s="138"/>
      <c r="AW2" s="138"/>
      <c r="AX2" s="138"/>
      <c r="AY2" s="138"/>
      <c r="AZ2" s="138"/>
      <c r="BA2" s="138"/>
      <c r="BB2" s="138"/>
      <c r="BC2" s="138"/>
      <c r="BD2" s="138"/>
      <c r="BE2" s="122"/>
      <c r="BF2" s="122"/>
      <c r="BG2" s="122"/>
      <c r="BH2" s="122"/>
      <c r="BI2" s="122"/>
      <c r="BJ2" s="122"/>
      <c r="BK2" s="122"/>
      <c r="BL2" s="122"/>
    </row>
    <row r="3" spans="1:64" ht="14.4" customHeight="1">
      <c r="A3" s="85" t="s">
        <v>136</v>
      </c>
      <c r="B3" s="85"/>
      <c r="C3" s="30"/>
      <c r="D3" s="28"/>
      <c r="E3" s="88"/>
      <c r="F3" s="19"/>
      <c r="G3" s="28"/>
      <c r="H3" s="86"/>
      <c r="I3" s="85" t="s">
        <v>47</v>
      </c>
      <c r="J3" s="19"/>
      <c r="K3" s="19"/>
      <c r="L3" s="19"/>
      <c r="M3" s="19"/>
      <c r="N3" s="19"/>
      <c r="O3" s="19"/>
      <c r="P3" s="19"/>
      <c r="AS3" s="138"/>
      <c r="AT3" s="138"/>
      <c r="AU3" s="138"/>
      <c r="AV3" s="138"/>
      <c r="AW3" s="138"/>
      <c r="AX3" s="138"/>
      <c r="AY3" s="138"/>
      <c r="AZ3" s="138"/>
      <c r="BA3" s="138"/>
      <c r="BB3" s="138"/>
      <c r="BC3" s="138"/>
      <c r="BD3" s="138"/>
      <c r="BE3" s="122"/>
      <c r="BF3" s="122"/>
      <c r="BG3" s="122"/>
      <c r="BH3" s="122"/>
      <c r="BI3" s="122"/>
      <c r="BJ3" s="122"/>
      <c r="BK3" s="122"/>
      <c r="BL3" s="122"/>
    </row>
    <row r="4" spans="1:64">
      <c r="A4" s="28"/>
      <c r="B4" s="28"/>
      <c r="C4" s="88"/>
      <c r="D4" s="88"/>
      <c r="E4" s="88"/>
      <c r="F4" s="19"/>
      <c r="G4" s="88"/>
      <c r="H4" s="112"/>
      <c r="I4" s="28"/>
      <c r="J4" s="19"/>
      <c r="K4" s="19"/>
      <c r="L4" s="19"/>
      <c r="M4" s="19"/>
      <c r="N4" s="19"/>
      <c r="O4" s="19"/>
      <c r="P4" s="19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88"/>
      <c r="BF4" s="118"/>
      <c r="BG4" s="118"/>
      <c r="BH4" s="118"/>
      <c r="BI4" s="118"/>
      <c r="BJ4" s="118"/>
      <c r="BK4" s="118"/>
      <c r="BL4" s="118"/>
    </row>
    <row r="5" spans="1:64">
      <c r="A5" s="88"/>
      <c r="B5" s="88"/>
      <c r="C5" s="30" t="s">
        <v>32</v>
      </c>
      <c r="D5" s="169">
        <v>100</v>
      </c>
      <c r="E5" s="72" t="s">
        <v>33</v>
      </c>
      <c r="F5" s="27"/>
      <c r="G5" s="72"/>
      <c r="H5" s="37"/>
      <c r="I5" s="28"/>
      <c r="J5" s="22" t="s">
        <v>86</v>
      </c>
      <c r="K5" s="169">
        <v>0</v>
      </c>
      <c r="L5" s="246" t="s">
        <v>48</v>
      </c>
      <c r="M5" s="169">
        <v>0</v>
      </c>
      <c r="N5" s="24" t="s">
        <v>33</v>
      </c>
      <c r="O5" s="24"/>
      <c r="P5" s="23"/>
      <c r="AS5" s="24"/>
      <c r="AT5" s="23"/>
      <c r="AU5" s="23"/>
      <c r="AV5" s="23"/>
      <c r="AW5" s="23"/>
      <c r="AX5" s="24"/>
      <c r="AY5" s="24"/>
      <c r="AZ5" s="24"/>
      <c r="BA5" s="24"/>
      <c r="BB5" s="24"/>
      <c r="BC5" s="24"/>
      <c r="BD5" s="24"/>
      <c r="BE5" s="88"/>
      <c r="BF5" s="28"/>
      <c r="BG5" s="28"/>
      <c r="BH5" s="28"/>
      <c r="BI5" s="28"/>
      <c r="BJ5" s="28"/>
      <c r="BK5" s="28"/>
      <c r="BL5" s="28"/>
    </row>
    <row r="6" spans="1:64">
      <c r="A6" s="28"/>
      <c r="B6" s="28"/>
      <c r="C6" s="30" t="s">
        <v>35</v>
      </c>
      <c r="D6" s="169">
        <v>100</v>
      </c>
      <c r="E6" s="72" t="s">
        <v>33</v>
      </c>
      <c r="F6" s="27"/>
      <c r="G6" s="72"/>
      <c r="H6" s="37"/>
      <c r="I6" s="28"/>
      <c r="J6" s="22" t="s">
        <v>91</v>
      </c>
      <c r="K6" s="169">
        <v>0</v>
      </c>
      <c r="L6" s="23" t="s">
        <v>48</v>
      </c>
      <c r="M6" s="169">
        <v>0</v>
      </c>
      <c r="N6" s="24" t="s">
        <v>33</v>
      </c>
      <c r="O6" s="19"/>
      <c r="P6" s="19"/>
      <c r="AS6" s="24"/>
      <c r="AT6" s="22"/>
      <c r="AU6" s="123"/>
      <c r="AV6" s="124"/>
      <c r="AW6" s="41"/>
      <c r="AX6" s="81"/>
      <c r="AY6" s="30"/>
      <c r="AZ6" s="39"/>
      <c r="BA6" s="27"/>
      <c r="BB6" s="24"/>
      <c r="BC6" s="24"/>
      <c r="BD6" s="24"/>
      <c r="BE6" s="72"/>
      <c r="BF6" s="124"/>
      <c r="BG6" s="125"/>
      <c r="BH6" s="126"/>
      <c r="BI6" s="127"/>
      <c r="BJ6" s="127"/>
      <c r="BK6" s="124"/>
      <c r="BL6" s="125"/>
    </row>
    <row r="7" spans="1:64">
      <c r="A7" s="28"/>
      <c r="B7" s="28"/>
      <c r="C7" s="30" t="s">
        <v>59</v>
      </c>
      <c r="D7" s="169">
        <v>100</v>
      </c>
      <c r="E7" s="72" t="s">
        <v>33</v>
      </c>
      <c r="F7" s="27"/>
      <c r="G7" s="72"/>
      <c r="H7" s="37"/>
      <c r="I7" s="28"/>
      <c r="J7" s="22" t="s">
        <v>96</v>
      </c>
      <c r="K7" s="169">
        <v>0</v>
      </c>
      <c r="L7" s="23" t="s">
        <v>48</v>
      </c>
      <c r="M7" s="169">
        <v>0</v>
      </c>
      <c r="N7" s="24" t="s">
        <v>33</v>
      </c>
      <c r="O7" s="19"/>
      <c r="P7" s="19"/>
      <c r="AS7" s="24"/>
      <c r="AT7" s="22"/>
      <c r="AU7" s="73"/>
      <c r="AV7" s="125"/>
      <c r="AW7" s="153"/>
      <c r="AX7" s="81"/>
      <c r="AY7" s="81"/>
      <c r="AZ7" s="81"/>
      <c r="BA7" s="24"/>
      <c r="BB7" s="24"/>
      <c r="BC7" s="24"/>
      <c r="BD7" s="24"/>
      <c r="BE7" s="72"/>
      <c r="BF7" s="124"/>
      <c r="BG7" s="125"/>
      <c r="BH7" s="126"/>
      <c r="BI7" s="127"/>
      <c r="BJ7" s="127"/>
      <c r="BK7" s="124"/>
      <c r="BL7" s="125"/>
    </row>
    <row r="8" spans="1:64">
      <c r="A8" s="28"/>
      <c r="B8" s="28"/>
      <c r="C8" s="30" t="s">
        <v>39</v>
      </c>
      <c r="D8" s="89">
        <f>IF(Long_ChevronsBas_Chassis_JZ04=0,0,Long_ChevronsBas_Chassis_JZ04-7.5)</f>
        <v>92.5</v>
      </c>
      <c r="E8" s="72" t="s">
        <v>33</v>
      </c>
      <c r="F8" s="27"/>
      <c r="G8" s="72"/>
      <c r="H8" s="37"/>
      <c r="I8" s="88"/>
      <c r="J8" s="22" t="s">
        <v>101</v>
      </c>
      <c r="K8" s="169">
        <v>0</v>
      </c>
      <c r="L8" s="23" t="s">
        <v>48</v>
      </c>
      <c r="M8" s="169">
        <v>0</v>
      </c>
      <c r="N8" s="24" t="s">
        <v>33</v>
      </c>
      <c r="O8" s="19"/>
      <c r="P8" s="19"/>
      <c r="AS8" s="24"/>
      <c r="AT8" s="22"/>
      <c r="AU8" s="123"/>
      <c r="AV8" s="124"/>
      <c r="AW8" s="153"/>
      <c r="AX8" s="81"/>
      <c r="AY8" s="30"/>
      <c r="AZ8" s="154"/>
      <c r="BA8" s="24"/>
      <c r="BB8" s="24"/>
      <c r="BC8" s="24"/>
      <c r="BD8" s="24"/>
      <c r="BE8" s="72"/>
      <c r="BF8" s="124"/>
      <c r="BG8" s="125"/>
      <c r="BH8" s="126"/>
      <c r="BI8" s="127"/>
      <c r="BJ8" s="127"/>
      <c r="BK8" s="124"/>
      <c r="BL8" s="125"/>
    </row>
    <row r="9" spans="1:64">
      <c r="A9" s="28"/>
      <c r="B9" s="28"/>
      <c r="C9" s="88"/>
      <c r="D9" s="88"/>
      <c r="E9" s="88"/>
      <c r="F9" s="19"/>
      <c r="G9" s="72"/>
      <c r="H9" s="37"/>
      <c r="I9" s="88"/>
      <c r="J9" s="22" t="s">
        <v>87</v>
      </c>
      <c r="K9" s="169">
        <v>0</v>
      </c>
      <c r="L9" s="23" t="s">
        <v>48</v>
      </c>
      <c r="M9" s="169">
        <v>0</v>
      </c>
      <c r="N9" s="24" t="s">
        <v>33</v>
      </c>
      <c r="O9" s="24"/>
      <c r="P9" s="24"/>
      <c r="AS9" s="24"/>
      <c r="AT9" s="119"/>
      <c r="AU9" s="123"/>
      <c r="AV9" s="124"/>
      <c r="AW9" s="153"/>
      <c r="AX9" s="81"/>
      <c r="AY9" s="30"/>
      <c r="AZ9" s="154"/>
      <c r="BA9" s="24"/>
      <c r="BB9" s="24"/>
      <c r="BC9" s="24"/>
      <c r="BD9" s="24"/>
      <c r="BE9" s="74"/>
      <c r="BF9" s="128"/>
      <c r="BG9" s="128"/>
      <c r="BH9" s="126"/>
      <c r="BI9" s="126"/>
      <c r="BJ9" s="126"/>
      <c r="BK9" s="128"/>
      <c r="BL9" s="128"/>
    </row>
    <row r="10" spans="1:64">
      <c r="A10" s="85" t="s">
        <v>140</v>
      </c>
      <c r="B10" s="85"/>
      <c r="C10" s="88"/>
      <c r="D10" s="88"/>
      <c r="E10" s="88"/>
      <c r="F10" s="19"/>
      <c r="G10" s="28"/>
      <c r="H10" s="86"/>
      <c r="I10" s="88"/>
      <c r="J10" s="22" t="s">
        <v>92</v>
      </c>
      <c r="K10" s="169">
        <v>0</v>
      </c>
      <c r="L10" s="23" t="s">
        <v>48</v>
      </c>
      <c r="M10" s="169">
        <v>0</v>
      </c>
      <c r="N10" s="24" t="s">
        <v>33</v>
      </c>
      <c r="O10" s="19"/>
      <c r="P10" s="19"/>
      <c r="AS10" s="24"/>
      <c r="AT10" s="30"/>
      <c r="AU10" s="28"/>
      <c r="AV10" s="125"/>
      <c r="AW10" s="155"/>
      <c r="AX10" s="81"/>
      <c r="AY10" s="30"/>
      <c r="AZ10" s="156"/>
      <c r="BA10" s="27"/>
      <c r="BB10" s="24"/>
      <c r="BC10" s="24"/>
      <c r="BD10" s="24"/>
      <c r="BE10" s="74"/>
      <c r="BF10" s="128"/>
      <c r="BG10" s="128"/>
      <c r="BH10" s="126"/>
      <c r="BI10" s="126"/>
      <c r="BJ10" s="126"/>
      <c r="BK10" s="128"/>
      <c r="BL10" s="128"/>
    </row>
    <row r="11" spans="1:64">
      <c r="A11" s="82"/>
      <c r="B11" s="82"/>
      <c r="C11" s="88"/>
      <c r="D11" s="88"/>
      <c r="E11" s="88"/>
      <c r="F11" s="19"/>
      <c r="G11" s="72"/>
      <c r="H11" s="37"/>
      <c r="I11" s="88"/>
      <c r="J11" s="22" t="s">
        <v>97</v>
      </c>
      <c r="K11" s="169">
        <v>0</v>
      </c>
      <c r="L11" s="23" t="s">
        <v>48</v>
      </c>
      <c r="M11" s="169">
        <v>0</v>
      </c>
      <c r="N11" s="24" t="s">
        <v>33</v>
      </c>
      <c r="O11" s="19"/>
      <c r="P11" s="19"/>
      <c r="AS11" s="24"/>
      <c r="AT11" s="24"/>
      <c r="AU11" s="81"/>
      <c r="AV11" s="81"/>
      <c r="AW11" s="81"/>
      <c r="AX11" s="81"/>
      <c r="AY11" s="30"/>
      <c r="AZ11" s="154"/>
      <c r="BA11" s="27"/>
      <c r="BB11" s="24"/>
      <c r="BC11" s="24"/>
      <c r="BD11" s="24"/>
      <c r="BE11" s="88"/>
      <c r="BF11" s="118"/>
      <c r="BG11" s="118"/>
      <c r="BH11" s="118"/>
      <c r="BI11" s="88"/>
      <c r="BJ11" s="88"/>
      <c r="BK11" s="118"/>
      <c r="BL11" s="118"/>
    </row>
    <row r="12" spans="1:64">
      <c r="A12" s="28"/>
      <c r="B12" s="28"/>
      <c r="C12" s="30" t="s">
        <v>42</v>
      </c>
      <c r="D12" s="169">
        <v>0</v>
      </c>
      <c r="E12" s="72"/>
      <c r="F12" s="27"/>
      <c r="G12" s="72"/>
      <c r="H12" s="37"/>
      <c r="I12" s="88"/>
      <c r="J12" s="22" t="s">
        <v>102</v>
      </c>
      <c r="K12" s="169">
        <v>0</v>
      </c>
      <c r="L12" s="23" t="s">
        <v>48</v>
      </c>
      <c r="M12" s="169">
        <v>0</v>
      </c>
      <c r="N12" s="24" t="s">
        <v>33</v>
      </c>
      <c r="O12" s="19"/>
      <c r="P12" s="19"/>
      <c r="AS12" s="24"/>
      <c r="AT12" s="22"/>
      <c r="AU12" s="28"/>
      <c r="AV12" s="28"/>
      <c r="AW12" s="28"/>
      <c r="AX12" s="81"/>
      <c r="AY12" s="30"/>
      <c r="AZ12" s="44"/>
      <c r="BA12" s="23"/>
      <c r="BB12" s="24"/>
      <c r="BC12" s="24"/>
      <c r="BD12" s="24"/>
      <c r="BE12" s="88"/>
      <c r="BF12" s="28"/>
      <c r="BG12" s="28"/>
      <c r="BH12" s="28"/>
      <c r="BI12" s="81"/>
      <c r="BJ12" s="81"/>
      <c r="BK12" s="28"/>
      <c r="BL12" s="28"/>
    </row>
    <row r="13" spans="1:64" ht="14.4" customHeight="1">
      <c r="A13" s="28"/>
      <c r="B13" s="28"/>
      <c r="C13" s="30" t="s">
        <v>43</v>
      </c>
      <c r="D13" s="169">
        <v>0</v>
      </c>
      <c r="E13" s="81"/>
      <c r="F13" s="24"/>
      <c r="G13" s="72"/>
      <c r="H13" s="37"/>
      <c r="I13" s="88"/>
      <c r="J13" s="22" t="s">
        <v>88</v>
      </c>
      <c r="K13" s="169">
        <v>0</v>
      </c>
      <c r="L13" s="23" t="s">
        <v>48</v>
      </c>
      <c r="M13" s="169">
        <v>0</v>
      </c>
      <c r="N13" s="24" t="s">
        <v>33</v>
      </c>
      <c r="O13" s="24"/>
      <c r="P13" s="24"/>
      <c r="AS13" s="24"/>
      <c r="AT13" s="22"/>
      <c r="AU13" s="123"/>
      <c r="AV13" s="124"/>
      <c r="AW13" s="41"/>
      <c r="AX13" s="81"/>
      <c r="AY13" s="30"/>
      <c r="AZ13" s="44"/>
      <c r="BA13" s="23"/>
      <c r="BB13" s="24"/>
      <c r="BC13" s="24"/>
      <c r="BD13" s="24"/>
      <c r="BE13" s="72"/>
      <c r="BF13" s="124"/>
      <c r="BG13" s="125"/>
      <c r="BH13" s="126"/>
      <c r="BI13" s="158"/>
      <c r="BJ13" s="158"/>
      <c r="BK13" s="124"/>
      <c r="BL13" s="125"/>
    </row>
    <row r="14" spans="1:64">
      <c r="A14" s="88"/>
      <c r="B14" s="88"/>
      <c r="C14" s="30" t="s">
        <v>85</v>
      </c>
      <c r="D14" s="169">
        <v>0</v>
      </c>
      <c r="E14" s="72" t="s">
        <v>33</v>
      </c>
      <c r="F14" s="27"/>
      <c r="G14" s="88"/>
      <c r="H14" s="112"/>
      <c r="I14" s="88"/>
      <c r="J14" s="22" t="s">
        <v>93</v>
      </c>
      <c r="K14" s="169">
        <v>0</v>
      </c>
      <c r="L14" s="23" t="s">
        <v>48</v>
      </c>
      <c r="M14" s="169">
        <v>0</v>
      </c>
      <c r="N14" s="24" t="s">
        <v>33</v>
      </c>
      <c r="O14" s="19"/>
      <c r="P14" s="19"/>
      <c r="AS14" s="24"/>
      <c r="AT14" s="24"/>
      <c r="AU14" s="81"/>
      <c r="AV14" s="81"/>
      <c r="AW14" s="81"/>
      <c r="AX14" s="81"/>
      <c r="AY14" s="30"/>
      <c r="AZ14" s="157"/>
      <c r="BA14" s="24"/>
      <c r="BB14" s="24"/>
      <c r="BC14" s="24"/>
      <c r="BD14" s="24"/>
      <c r="BE14" s="19"/>
      <c r="BF14" s="19"/>
      <c r="BG14" s="19"/>
      <c r="BH14" s="19"/>
      <c r="BI14" s="19"/>
      <c r="BJ14" s="19"/>
      <c r="BK14" s="19"/>
      <c r="BL14" s="19"/>
    </row>
    <row r="15" spans="1:64">
      <c r="A15" s="88"/>
      <c r="B15" s="88"/>
      <c r="C15" s="30" t="s">
        <v>84</v>
      </c>
      <c r="D15" s="169">
        <v>0</v>
      </c>
      <c r="E15" s="72" t="s">
        <v>33</v>
      </c>
      <c r="F15" s="27"/>
      <c r="G15" s="88"/>
      <c r="H15" s="112"/>
      <c r="I15" s="88"/>
      <c r="J15" s="22" t="s">
        <v>98</v>
      </c>
      <c r="K15" s="169">
        <v>0</v>
      </c>
      <c r="L15" s="23" t="s">
        <v>48</v>
      </c>
      <c r="M15" s="169">
        <v>0</v>
      </c>
      <c r="N15" s="24" t="s">
        <v>33</v>
      </c>
      <c r="O15" s="19"/>
      <c r="P15" s="19"/>
      <c r="AS15" s="19"/>
      <c r="AT15" s="19"/>
      <c r="AU15" s="66"/>
      <c r="AV15" s="115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</row>
    <row r="16" spans="1:64">
      <c r="A16" s="19"/>
      <c r="B16" s="19"/>
      <c r="C16" s="19"/>
      <c r="D16" s="19"/>
      <c r="E16" s="19"/>
      <c r="F16" s="19"/>
      <c r="G16" s="88"/>
      <c r="H16" s="112"/>
      <c r="I16" s="88"/>
      <c r="J16" s="22" t="s">
        <v>103</v>
      </c>
      <c r="K16" s="169">
        <v>0</v>
      </c>
      <c r="L16" s="23" t="s">
        <v>48</v>
      </c>
      <c r="M16" s="169">
        <v>0</v>
      </c>
      <c r="N16" s="24" t="s">
        <v>33</v>
      </c>
      <c r="O16" s="19"/>
      <c r="P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</row>
    <row r="17" spans="1:64">
      <c r="A17" s="31" t="s">
        <v>61</v>
      </c>
      <c r="B17" s="25"/>
      <c r="C17" s="19"/>
      <c r="D17" s="19"/>
      <c r="E17" s="19"/>
      <c r="F17" s="19"/>
      <c r="G17" s="88"/>
      <c r="H17" s="112"/>
      <c r="I17" s="88"/>
      <c r="J17" s="22" t="s">
        <v>89</v>
      </c>
      <c r="K17" s="169">
        <v>0</v>
      </c>
      <c r="L17" s="23" t="s">
        <v>48</v>
      </c>
      <c r="M17" s="169">
        <v>0</v>
      </c>
      <c r="N17" s="24" t="s">
        <v>33</v>
      </c>
      <c r="O17" s="19"/>
      <c r="P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</row>
    <row r="18" spans="1:64">
      <c r="A18" s="19"/>
      <c r="B18" s="19"/>
      <c r="C18" s="19"/>
      <c r="D18" s="19"/>
      <c r="E18" s="19"/>
      <c r="F18" s="88"/>
      <c r="G18" s="88"/>
      <c r="H18" s="112"/>
      <c r="I18" s="88"/>
      <c r="J18" s="22" t="s">
        <v>94</v>
      </c>
      <c r="K18" s="169">
        <v>0</v>
      </c>
      <c r="L18" s="23" t="s">
        <v>48</v>
      </c>
      <c r="M18" s="169">
        <v>0</v>
      </c>
      <c r="N18" s="24" t="s">
        <v>33</v>
      </c>
      <c r="O18" s="19"/>
      <c r="P18" s="19"/>
    </row>
    <row r="19" spans="1:64">
      <c r="A19" s="19"/>
      <c r="B19" s="22" t="s">
        <v>62</v>
      </c>
      <c r="C19" s="22" t="s">
        <v>63</v>
      </c>
      <c r="D19" s="89">
        <f>IF(Long_ChevronsHaut_Chassis_JZ04=0,0,Long_ChevronsHaut_Chassis_JZ04)</f>
        <v>100</v>
      </c>
      <c r="E19" s="23" t="s">
        <v>58</v>
      </c>
      <c r="F19" s="30" t="s">
        <v>64</v>
      </c>
      <c r="G19" s="89">
        <f>IF(Hauteur_Chassis_JZ04=0,0,Hauteur_Chassis_JZ04-14)</f>
        <v>86</v>
      </c>
      <c r="H19" s="86"/>
      <c r="I19" s="88"/>
      <c r="J19" s="22" t="s">
        <v>99</v>
      </c>
      <c r="K19" s="169">
        <v>0</v>
      </c>
      <c r="L19" s="23" t="s">
        <v>48</v>
      </c>
      <c r="M19" s="169">
        <v>0</v>
      </c>
      <c r="N19" s="24" t="s">
        <v>33</v>
      </c>
      <c r="O19" s="19"/>
      <c r="P19" s="19"/>
    </row>
    <row r="20" spans="1:64">
      <c r="A20" s="19"/>
      <c r="B20" s="22" t="s">
        <v>65</v>
      </c>
      <c r="C20" s="22" t="s">
        <v>66</v>
      </c>
      <c r="D20" s="89">
        <f>IF(Long_ChevronsBas_Chassis_JZ04=0,0,Long_ChevronsBas_Chassis_JZ04-7)</f>
        <v>93</v>
      </c>
      <c r="E20" s="23" t="s">
        <v>58</v>
      </c>
      <c r="F20" s="30" t="s">
        <v>64</v>
      </c>
      <c r="G20" s="89">
        <f>IF(Hauteur_Chassis_JZ04=0,0,Hauteur_Chassis_JZ04-22)</f>
        <v>78</v>
      </c>
      <c r="H20" s="86"/>
      <c r="I20" s="81"/>
      <c r="J20" s="35" t="s">
        <v>104</v>
      </c>
      <c r="K20" s="169">
        <v>0</v>
      </c>
      <c r="L20" s="23" t="s">
        <v>48</v>
      </c>
      <c r="M20" s="169">
        <v>0</v>
      </c>
      <c r="N20" s="24" t="s">
        <v>33</v>
      </c>
      <c r="O20" s="19"/>
      <c r="P20" s="19"/>
    </row>
    <row r="21" spans="1:64">
      <c r="A21" s="19"/>
      <c r="B21" s="22" t="s">
        <v>67</v>
      </c>
      <c r="C21" s="22" t="s">
        <v>63</v>
      </c>
      <c r="D21" s="89">
        <f>IF(Long_ChevronsHaut_Chassis_JZ04=0,0,IF(Long_ChevronsHaut_Chassis_JZ04&gt;Long_ChevronsBas_Chassis_JZ04,Long_ChevronsHaut_Chassis_JZ04,Long_ChevronsBas_Chassis_JZ04))</f>
        <v>100</v>
      </c>
      <c r="E21" s="23" t="s">
        <v>58</v>
      </c>
      <c r="F21" s="30" t="s">
        <v>66</v>
      </c>
      <c r="G21" s="89">
        <f>IF(Long_ChevronsBas_Chassis_JZ04=0,0,IF(Long_ChevronsHaut_Chassis_JZ04&gt;Long_ChevronsBas_Chassis_JZ04,Long_ChevronsBas_Chassis_JZ04,Long_ChevronsHaut_Chassis_JZ04))</f>
        <v>100</v>
      </c>
      <c r="H21" s="86"/>
      <c r="I21" s="81"/>
      <c r="J21" s="35" t="s">
        <v>90</v>
      </c>
      <c r="K21" s="169">
        <v>0</v>
      </c>
      <c r="L21" s="23" t="s">
        <v>48</v>
      </c>
      <c r="M21" s="169">
        <v>0</v>
      </c>
      <c r="N21" s="24" t="s">
        <v>33</v>
      </c>
      <c r="O21" s="19"/>
      <c r="P21" s="23"/>
    </row>
    <row r="22" spans="1:64">
      <c r="A22" s="19"/>
      <c r="B22" s="19"/>
      <c r="C22" s="19"/>
      <c r="D22" s="19"/>
      <c r="E22" s="19"/>
      <c r="F22" s="88"/>
      <c r="G22" s="88"/>
      <c r="H22" s="36"/>
      <c r="I22" s="88"/>
      <c r="J22" s="35" t="s">
        <v>95</v>
      </c>
      <c r="K22" s="169">
        <v>0</v>
      </c>
      <c r="L22" s="23" t="s">
        <v>48</v>
      </c>
      <c r="M22" s="169">
        <v>0</v>
      </c>
      <c r="N22" s="24" t="s">
        <v>33</v>
      </c>
      <c r="O22" s="24"/>
      <c r="P22" s="24"/>
    </row>
    <row r="23" spans="1:64">
      <c r="A23" s="87" t="s">
        <v>154</v>
      </c>
      <c r="B23" s="19"/>
      <c r="C23" s="19"/>
      <c r="D23" s="19"/>
      <c r="E23" s="19"/>
      <c r="F23" s="88"/>
      <c r="G23" s="88"/>
      <c r="H23" s="36"/>
      <c r="I23" s="88"/>
      <c r="J23" s="35" t="s">
        <v>100</v>
      </c>
      <c r="K23" s="169">
        <v>0</v>
      </c>
      <c r="L23" s="23" t="s">
        <v>48</v>
      </c>
      <c r="M23" s="169">
        <v>0</v>
      </c>
      <c r="N23" s="24" t="s">
        <v>33</v>
      </c>
      <c r="O23" s="24"/>
      <c r="P23" s="24"/>
    </row>
    <row r="24" spans="1:64">
      <c r="A24" s="19"/>
      <c r="B24" s="22" t="s">
        <v>63</v>
      </c>
      <c r="C24" s="89">
        <f>IF(Long_ChevronsHaut_Chassis_JZ04=0,0,IF(Long_ChevronsHaut_Chassis_JZ04&gt;Long_ChevronsBas_Chassis_JZ04,Long_ChevronsHaut_Chassis_JZ04+20,Long_ChevronsBas_Chassis_JZ04+20))</f>
        <v>120</v>
      </c>
      <c r="D24" s="66" t="s">
        <v>66</v>
      </c>
      <c r="E24" s="89">
        <f>IF(Long_ChevronsBas_Chassis_JZ04=0,0,IF(Long_ChevronsBas_Chassis_JZ04&lt;Long_ChevronsHaut_Chassis_JZ04,Long_ChevronsBas_Chassis_JZ04+20,Long_ChevronsHaut_Chassis_JZ04+20))</f>
        <v>120</v>
      </c>
      <c r="F24" s="90" t="s">
        <v>64</v>
      </c>
      <c r="G24" s="89">
        <f>IF(Hauteur_Chassis_JZ04=0,0,(Hauteur_Chassis_JZ04-30))</f>
        <v>70</v>
      </c>
      <c r="H24" s="91"/>
      <c r="I24" s="88"/>
      <c r="J24" s="35" t="s">
        <v>105</v>
      </c>
      <c r="K24" s="169">
        <v>0</v>
      </c>
      <c r="L24" s="23" t="s">
        <v>48</v>
      </c>
      <c r="M24" s="169">
        <v>0</v>
      </c>
      <c r="N24" s="24" t="s">
        <v>33</v>
      </c>
      <c r="O24" s="19"/>
      <c r="P24" s="19"/>
    </row>
    <row r="25" spans="1:64">
      <c r="A25" s="19"/>
      <c r="B25" s="19"/>
      <c r="C25" s="19"/>
      <c r="D25" s="19"/>
      <c r="E25" s="19"/>
      <c r="F25" s="24"/>
      <c r="G25" s="88"/>
      <c r="H25" s="112"/>
      <c r="I25" s="88"/>
      <c r="J25" s="22" t="s">
        <v>106</v>
      </c>
      <c r="K25" s="169">
        <v>0</v>
      </c>
      <c r="L25" s="23" t="s">
        <v>48</v>
      </c>
      <c r="M25" s="169">
        <v>0</v>
      </c>
      <c r="N25" s="24" t="s">
        <v>50</v>
      </c>
      <c r="O25" s="169">
        <v>0</v>
      </c>
      <c r="P25" s="24" t="s">
        <v>33</v>
      </c>
    </row>
    <row r="26" spans="1:64">
      <c r="A26" s="114" t="s">
        <v>141</v>
      </c>
      <c r="B26" s="114"/>
      <c r="C26" s="19"/>
      <c r="D26" s="19"/>
      <c r="E26" s="19"/>
      <c r="F26" s="24"/>
      <c r="G26" s="88"/>
      <c r="H26" s="112"/>
      <c r="I26" s="88"/>
      <c r="J26" s="22" t="s">
        <v>107</v>
      </c>
      <c r="K26" s="169">
        <v>0</v>
      </c>
      <c r="L26" s="23" t="s">
        <v>48</v>
      </c>
      <c r="M26" s="169">
        <v>0</v>
      </c>
      <c r="N26" s="24" t="s">
        <v>50</v>
      </c>
      <c r="O26" s="169">
        <v>0</v>
      </c>
      <c r="P26" s="24" t="s">
        <v>33</v>
      </c>
    </row>
    <row r="27" spans="1:64">
      <c r="A27" s="19"/>
      <c r="B27" s="19"/>
      <c r="C27" s="19"/>
      <c r="D27" s="19"/>
      <c r="E27" s="19"/>
      <c r="F27" s="27"/>
      <c r="G27" s="88"/>
      <c r="H27" s="112"/>
      <c r="I27" s="88"/>
      <c r="J27" s="22" t="s">
        <v>108</v>
      </c>
      <c r="K27" s="169">
        <v>0</v>
      </c>
      <c r="L27" s="23" t="s">
        <v>48</v>
      </c>
      <c r="M27" s="169">
        <v>0</v>
      </c>
      <c r="N27" s="24" t="s">
        <v>50</v>
      </c>
      <c r="O27" s="169">
        <v>0</v>
      </c>
      <c r="P27" s="24" t="s">
        <v>33</v>
      </c>
    </row>
    <row r="28" spans="1:64">
      <c r="A28" s="19"/>
      <c r="B28" s="19"/>
      <c r="C28" s="22" t="s">
        <v>166</v>
      </c>
      <c r="D28" s="170">
        <v>0</v>
      </c>
      <c r="E28" s="24" t="s">
        <v>41</v>
      </c>
      <c r="F28" s="27"/>
      <c r="G28" s="88"/>
      <c r="H28" s="112"/>
      <c r="I28" s="88"/>
      <c r="J28" s="22" t="s">
        <v>109</v>
      </c>
      <c r="K28" s="169">
        <v>0</v>
      </c>
      <c r="L28" s="23" t="s">
        <v>48</v>
      </c>
      <c r="M28" s="169">
        <v>0</v>
      </c>
      <c r="N28" s="24" t="s">
        <v>50</v>
      </c>
      <c r="O28" s="169">
        <v>0</v>
      </c>
      <c r="P28" s="24" t="s">
        <v>33</v>
      </c>
    </row>
    <row r="29" spans="1:64">
      <c r="A29" s="19"/>
      <c r="B29" s="19"/>
      <c r="C29" s="19"/>
      <c r="D29" s="19"/>
      <c r="E29" s="19"/>
      <c r="F29" s="19"/>
      <c r="G29" s="88"/>
      <c r="H29" s="112"/>
      <c r="I29" s="88"/>
      <c r="J29" s="19"/>
      <c r="K29" s="19"/>
      <c r="L29" s="24"/>
      <c r="M29" s="24"/>
      <c r="N29" s="24"/>
      <c r="O29" s="24"/>
      <c r="P29" s="24"/>
    </row>
    <row r="30" spans="1:64">
      <c r="A30" s="114" t="s">
        <v>142</v>
      </c>
      <c r="B30" s="114"/>
      <c r="C30" s="19"/>
      <c r="D30" s="19"/>
      <c r="E30" s="19"/>
      <c r="F30" s="19"/>
      <c r="G30" s="88"/>
      <c r="H30" s="112"/>
      <c r="I30" s="88"/>
      <c r="J30" s="19"/>
      <c r="K30" s="19"/>
      <c r="L30" s="23"/>
      <c r="M30" s="23"/>
      <c r="N30" s="23"/>
      <c r="O30" s="23"/>
      <c r="P30" s="23"/>
    </row>
    <row r="31" spans="1:64">
      <c r="A31" s="19"/>
      <c r="B31" s="19"/>
      <c r="C31" s="19"/>
      <c r="D31" s="19"/>
      <c r="E31" s="19"/>
      <c r="F31" s="19"/>
      <c r="G31" s="88"/>
      <c r="H31" s="112"/>
      <c r="I31" s="88"/>
      <c r="J31" s="19"/>
      <c r="K31" s="19"/>
      <c r="L31" s="24"/>
      <c r="M31" s="24"/>
      <c r="N31" s="24"/>
      <c r="O31" s="24"/>
      <c r="P31" s="24"/>
    </row>
    <row r="32" spans="1:64">
      <c r="A32" s="19"/>
      <c r="B32" s="19"/>
      <c r="C32" s="22" t="s">
        <v>167</v>
      </c>
      <c r="D32" s="169">
        <v>0</v>
      </c>
      <c r="E32" s="27" t="s">
        <v>46</v>
      </c>
      <c r="F32" s="19"/>
      <c r="G32" s="19"/>
      <c r="H32" s="112"/>
      <c r="I32" s="19"/>
      <c r="J32" s="19"/>
      <c r="K32" s="19"/>
      <c r="L32" s="24"/>
      <c r="M32" s="24"/>
      <c r="N32" s="24"/>
      <c r="O32" s="24"/>
      <c r="P32" s="24"/>
    </row>
    <row r="34" spans="1:19">
      <c r="A34" s="30"/>
      <c r="B34" s="28"/>
      <c r="C34" s="72"/>
      <c r="D34" s="28"/>
      <c r="E34" s="72"/>
      <c r="F34" s="73"/>
      <c r="G34" s="81"/>
      <c r="H34" s="81"/>
      <c r="I34" s="81"/>
      <c r="J34" s="40"/>
      <c r="K34" s="83"/>
      <c r="L34" s="28"/>
      <c r="M34" s="28"/>
      <c r="N34" s="28"/>
      <c r="O34" s="28"/>
      <c r="P34" s="81"/>
      <c r="Q34" s="81"/>
      <c r="R34" s="40"/>
      <c r="S34" s="21"/>
    </row>
    <row r="35" spans="1:19">
      <c r="A35" s="30"/>
      <c r="B35" s="28"/>
      <c r="C35" s="72"/>
      <c r="D35" s="28"/>
      <c r="E35" s="72"/>
      <c r="F35" s="73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21"/>
    </row>
    <row r="36" spans="1:19">
      <c r="A36" s="81"/>
      <c r="B36" s="101"/>
      <c r="C36" s="101"/>
      <c r="D36" s="102"/>
      <c r="E36" s="102"/>
      <c r="F36" s="102"/>
      <c r="K36" s="84"/>
      <c r="L36" s="81"/>
      <c r="M36" s="81"/>
      <c r="N36" s="81"/>
      <c r="O36" s="81"/>
      <c r="P36" s="81"/>
      <c r="Q36" s="81"/>
      <c r="R36" s="81"/>
      <c r="S36" s="21"/>
    </row>
    <row r="37" spans="1:19">
      <c r="A37" s="81"/>
      <c r="B37" s="101"/>
      <c r="C37" s="101"/>
      <c r="D37" s="103"/>
      <c r="E37" s="104"/>
      <c r="F37" s="103"/>
      <c r="I37" s="105"/>
      <c r="J37" s="102"/>
      <c r="K37" s="81"/>
      <c r="L37" s="81"/>
      <c r="M37" s="81"/>
      <c r="N37" s="81"/>
      <c r="O37" s="81"/>
      <c r="P37" s="81"/>
      <c r="Q37" s="81"/>
      <c r="R37" s="81"/>
      <c r="S37" s="21"/>
    </row>
    <row r="38" spans="1:19">
      <c r="A38" s="81"/>
      <c r="B38" s="101"/>
      <c r="C38" s="101"/>
      <c r="D38" s="106"/>
      <c r="E38" s="106"/>
      <c r="F38" s="106"/>
      <c r="I38" s="104"/>
      <c r="J38" s="103"/>
      <c r="K38" s="81"/>
      <c r="L38" s="28"/>
      <c r="M38" s="28"/>
      <c r="N38" s="81"/>
      <c r="O38" s="81"/>
      <c r="P38" s="81"/>
      <c r="Q38" s="81"/>
      <c r="R38" s="81"/>
      <c r="S38" s="21"/>
    </row>
    <row r="39" spans="1:19">
      <c r="A39" s="81"/>
      <c r="B39" s="106"/>
      <c r="C39" s="106"/>
      <c r="D39" s="102"/>
      <c r="E39" s="102"/>
      <c r="F39" s="102"/>
      <c r="I39" s="104"/>
      <c r="J39" s="103"/>
      <c r="K39" s="81"/>
      <c r="L39" s="28"/>
      <c r="M39" s="28"/>
      <c r="N39" s="81"/>
      <c r="O39" s="81"/>
      <c r="P39" s="81"/>
      <c r="Q39" s="81"/>
      <c r="R39" s="81"/>
      <c r="S39" s="21"/>
    </row>
    <row r="40" spans="1:19">
      <c r="A40" s="81"/>
      <c r="B40" s="101"/>
      <c r="C40" s="101"/>
      <c r="D40" s="102"/>
      <c r="E40" s="102"/>
      <c r="F40" s="102"/>
      <c r="I40" s="102"/>
      <c r="J40" s="103"/>
      <c r="K40" s="81"/>
      <c r="L40" s="28"/>
      <c r="M40" s="28"/>
      <c r="N40" s="81"/>
      <c r="O40" s="81"/>
      <c r="P40" s="81"/>
      <c r="Q40" s="81"/>
      <c r="R40" s="81"/>
      <c r="S40" s="21"/>
    </row>
    <row r="41" spans="1:19">
      <c r="A41" s="81"/>
      <c r="B41" s="101"/>
      <c r="C41" s="101"/>
      <c r="D41" s="102"/>
      <c r="E41" s="102"/>
      <c r="F41" s="102"/>
      <c r="I41" s="105"/>
      <c r="J41" s="106"/>
      <c r="K41" s="81"/>
      <c r="L41" s="28"/>
      <c r="M41" s="28"/>
      <c r="N41" s="81"/>
      <c r="O41" s="81"/>
      <c r="P41" s="28"/>
      <c r="Q41" s="81"/>
      <c r="R41" s="81"/>
      <c r="S41" s="21"/>
    </row>
    <row r="42" spans="1:19">
      <c r="A42" s="24"/>
      <c r="B42" s="101"/>
      <c r="C42" s="101"/>
      <c r="D42" s="102"/>
      <c r="E42" s="102"/>
      <c r="F42" s="102"/>
      <c r="I42" s="102"/>
      <c r="J42" s="103"/>
      <c r="K42" s="24"/>
      <c r="L42" s="24"/>
      <c r="M42" s="24"/>
      <c r="N42" s="24"/>
      <c r="O42" s="24"/>
      <c r="P42" s="24"/>
      <c r="Q42" s="24"/>
      <c r="R42" s="24"/>
      <c r="S42" s="21"/>
    </row>
    <row r="43" spans="1:19">
      <c r="B43" s="102"/>
      <c r="C43" s="101"/>
      <c r="D43" s="102"/>
      <c r="E43" s="102"/>
      <c r="F43" s="102"/>
      <c r="I43" s="102"/>
      <c r="J43" s="103"/>
      <c r="K43" s="19"/>
      <c r="L43" s="19"/>
      <c r="M43" s="19"/>
      <c r="N43" s="19"/>
      <c r="O43" s="19"/>
      <c r="P43" s="19"/>
      <c r="Q43" s="19"/>
      <c r="R43" s="19"/>
    </row>
    <row r="44" spans="1:19">
      <c r="B44" s="101"/>
      <c r="C44" s="101"/>
      <c r="D44" s="102"/>
      <c r="E44" s="102"/>
      <c r="F44" s="102"/>
      <c r="I44" s="102"/>
      <c r="J44" s="103"/>
      <c r="K44" s="19"/>
      <c r="L44" s="19"/>
      <c r="M44" s="19"/>
      <c r="N44" s="19"/>
      <c r="O44" s="19"/>
      <c r="P44" s="19"/>
      <c r="Q44" s="19"/>
      <c r="R44" s="19"/>
    </row>
    <row r="45" spans="1:19">
      <c r="B45" s="101"/>
      <c r="C45" s="101"/>
      <c r="D45" s="102"/>
      <c r="E45" s="102"/>
      <c r="F45" s="102"/>
      <c r="I45" s="105"/>
      <c r="J45" s="102"/>
      <c r="K45" s="19"/>
      <c r="L45" s="19"/>
      <c r="M45" s="19"/>
      <c r="N45" s="19"/>
      <c r="O45" s="19"/>
      <c r="P45" s="19"/>
      <c r="Q45" s="19"/>
      <c r="R45" s="19"/>
    </row>
    <row r="46" spans="1:19">
      <c r="B46" s="101"/>
      <c r="C46" s="101"/>
      <c r="D46" s="102"/>
      <c r="E46" s="102"/>
      <c r="F46" s="102"/>
      <c r="I46" s="102"/>
      <c r="J46" s="103"/>
      <c r="K46" s="19"/>
      <c r="L46" s="19"/>
      <c r="M46" s="19"/>
      <c r="N46" s="19"/>
      <c r="O46" s="19"/>
      <c r="P46" s="19"/>
      <c r="Q46" s="19"/>
      <c r="R46" s="19"/>
    </row>
    <row r="47" spans="1:19">
      <c r="B47" s="106"/>
      <c r="C47" s="106"/>
      <c r="D47" s="106"/>
      <c r="E47" s="106"/>
      <c r="F47" s="106"/>
      <c r="I47" s="102"/>
      <c r="J47" s="103"/>
      <c r="K47" s="19"/>
      <c r="L47" s="19"/>
      <c r="M47" s="19"/>
      <c r="N47" s="19"/>
      <c r="O47" s="19"/>
      <c r="P47" s="19"/>
      <c r="Q47" s="19"/>
      <c r="R47" s="19"/>
    </row>
    <row r="48" spans="1:19">
      <c r="B48" s="103"/>
      <c r="C48" s="102"/>
      <c r="D48" s="102"/>
      <c r="E48" s="102"/>
      <c r="F48" s="102"/>
      <c r="I48" s="102"/>
      <c r="J48" s="103"/>
      <c r="K48" s="19"/>
      <c r="L48" s="19"/>
      <c r="M48" s="19"/>
      <c r="N48" s="19"/>
      <c r="O48" s="19"/>
      <c r="P48" s="19"/>
      <c r="Q48" s="19"/>
      <c r="R48" s="19"/>
    </row>
    <row r="49" spans="2:18">
      <c r="B49" s="103"/>
      <c r="C49" s="102"/>
      <c r="D49" s="102"/>
      <c r="E49" s="102"/>
      <c r="F49" s="102"/>
      <c r="I49" s="107"/>
      <c r="J49" s="106"/>
      <c r="K49" s="19"/>
      <c r="L49" s="19"/>
      <c r="M49" s="19"/>
      <c r="N49" s="19"/>
      <c r="O49" s="19"/>
      <c r="P49" s="19"/>
      <c r="Q49" s="19"/>
      <c r="R49" s="19"/>
    </row>
    <row r="50" spans="2:18">
      <c r="B50" s="103"/>
      <c r="C50" s="102"/>
      <c r="D50" s="102"/>
      <c r="E50" s="102"/>
      <c r="F50" s="102"/>
      <c r="I50" s="102"/>
      <c r="J50" s="103"/>
      <c r="K50" s="19"/>
      <c r="L50" s="19"/>
      <c r="M50" s="19"/>
      <c r="N50" s="19"/>
      <c r="O50" s="19"/>
      <c r="P50" s="19"/>
      <c r="Q50" s="19"/>
      <c r="R50" s="19"/>
    </row>
    <row r="51" spans="2:18">
      <c r="B51" s="103"/>
      <c r="C51" s="102"/>
      <c r="D51" s="102"/>
      <c r="E51" s="103"/>
      <c r="F51" s="102"/>
      <c r="I51" s="102"/>
      <c r="J51" s="103"/>
      <c r="K51" s="19"/>
      <c r="L51" s="19"/>
      <c r="M51" s="19"/>
      <c r="N51" s="19"/>
      <c r="O51" s="19"/>
      <c r="P51" s="19"/>
      <c r="Q51" s="19"/>
      <c r="R51" s="19"/>
    </row>
    <row r="52" spans="2:18">
      <c r="I52" s="102"/>
      <c r="J52" s="103"/>
      <c r="K52" s="19"/>
      <c r="L52" s="19"/>
      <c r="M52" s="19"/>
      <c r="N52" s="19"/>
      <c r="O52" s="19"/>
      <c r="P52" s="19"/>
      <c r="Q52" s="19"/>
      <c r="R52" s="19"/>
    </row>
    <row r="53" spans="2:18">
      <c r="I53" s="102"/>
      <c r="J53" s="103"/>
    </row>
  </sheetData>
  <mergeCells count="1">
    <mergeCell ref="A1:P2"/>
  </mergeCells>
  <pageMargins left="0.25" right="0.25" top="0.75" bottom="0.75" header="0.3" footer="0.3"/>
  <pageSetup paperSize="9" orientation="landscape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rgb="FF00B050"/>
  </sheetPr>
  <dimension ref="A1:AC35"/>
  <sheetViews>
    <sheetView topLeftCell="K1" zoomScale="85" zoomScaleNormal="85" workbookViewId="0">
      <selection activeCell="AC8" sqref="AC8"/>
    </sheetView>
  </sheetViews>
  <sheetFormatPr baseColWidth="10" defaultRowHeight="14.4"/>
  <cols>
    <col min="1" max="1" width="8.5546875" customWidth="1"/>
    <col min="2" max="2" width="14.5546875" customWidth="1"/>
    <col min="3" max="3" width="8.77734375" customWidth="1"/>
    <col min="4" max="4" width="3.77734375" customWidth="1"/>
    <col min="5" max="5" width="8.77734375" customWidth="1"/>
    <col min="6" max="6" width="6.77734375" customWidth="1"/>
    <col min="7" max="7" width="8.5546875" customWidth="1"/>
    <col min="8" max="8" width="7.44140625" customWidth="1"/>
    <col min="10" max="10" width="10.6640625" customWidth="1"/>
    <col min="11" max="11" width="8.77734375" customWidth="1"/>
    <col min="12" max="12" width="3.77734375" customWidth="1"/>
    <col min="13" max="13" width="8.77734375" customWidth="1"/>
    <col min="14" max="15" width="3.77734375" customWidth="1"/>
    <col min="16" max="16" width="8.77734375" customWidth="1"/>
    <col min="17" max="17" width="3.77734375" customWidth="1"/>
    <col min="18" max="18" width="13.77734375" customWidth="1"/>
    <col min="20" max="20" width="13.77734375" customWidth="1"/>
    <col min="21" max="21" width="8.77734375" style="32" customWidth="1"/>
    <col min="23" max="23" width="8.77734375" style="32" customWidth="1"/>
    <col min="25" max="25" width="8.77734375" style="32" customWidth="1"/>
    <col min="27" max="27" width="8.77734375" style="32" customWidth="1"/>
  </cols>
  <sheetData>
    <row r="1" spans="1:29" ht="31.2" customHeight="1">
      <c r="A1" s="334" t="s">
        <v>134</v>
      </c>
      <c r="B1" s="334"/>
      <c r="C1" s="334"/>
      <c r="D1" s="334"/>
      <c r="E1" s="334" t="s">
        <v>152</v>
      </c>
      <c r="F1" s="334"/>
      <c r="G1" s="334"/>
      <c r="H1" s="362" t="s">
        <v>181</v>
      </c>
      <c r="I1" s="362"/>
      <c r="J1" s="362"/>
      <c r="K1" s="334" t="s">
        <v>151</v>
      </c>
      <c r="L1" s="334"/>
      <c r="M1" s="334"/>
      <c r="N1" s="362">
        <v>1</v>
      </c>
      <c r="O1" s="362"/>
      <c r="P1" s="362"/>
      <c r="Q1" s="362"/>
      <c r="R1" s="361" t="s">
        <v>134</v>
      </c>
      <c r="S1" s="361"/>
      <c r="T1" s="361"/>
      <c r="U1" s="361" t="s">
        <v>152</v>
      </c>
      <c r="V1" s="361"/>
      <c r="W1" s="362" t="s">
        <v>181</v>
      </c>
      <c r="X1" s="362"/>
      <c r="Y1" s="362"/>
      <c r="Z1" s="361" t="s">
        <v>151</v>
      </c>
      <c r="AA1" s="361"/>
      <c r="AB1" s="271">
        <v>1</v>
      </c>
      <c r="AC1" s="274"/>
    </row>
    <row r="2" spans="1:29" ht="14.4" customHeight="1">
      <c r="A2" s="333" t="s">
        <v>155</v>
      </c>
      <c r="B2" s="333"/>
      <c r="C2" s="333"/>
      <c r="D2" s="333"/>
      <c r="E2" s="333"/>
      <c r="F2" s="333"/>
      <c r="G2" s="333"/>
      <c r="H2" s="333"/>
      <c r="I2" s="333"/>
      <c r="J2" s="333"/>
      <c r="K2" s="333"/>
      <c r="L2" s="333"/>
      <c r="M2" s="333"/>
      <c r="N2" s="333"/>
      <c r="O2" s="333"/>
      <c r="P2" s="333"/>
      <c r="Q2" s="333"/>
      <c r="R2" s="333" t="s">
        <v>157</v>
      </c>
      <c r="S2" s="333"/>
      <c r="T2" s="333"/>
      <c r="U2" s="333"/>
      <c r="V2" s="333"/>
      <c r="W2" s="333"/>
      <c r="X2" s="333"/>
      <c r="Y2" s="333"/>
      <c r="Z2" s="333"/>
      <c r="AA2" s="333"/>
      <c r="AB2" s="333"/>
      <c r="AC2" s="29"/>
    </row>
    <row r="3" spans="1:29" ht="14.4" customHeight="1">
      <c r="A3" s="138"/>
      <c r="B3" s="138"/>
      <c r="C3" s="138"/>
      <c r="D3" s="138"/>
      <c r="E3" s="138"/>
      <c r="F3" s="138"/>
      <c r="G3" s="138"/>
      <c r="H3" s="139"/>
      <c r="I3" s="139"/>
      <c r="J3" s="139"/>
      <c r="K3" s="138"/>
      <c r="L3" s="138"/>
      <c r="M3" s="138"/>
      <c r="N3" s="139"/>
      <c r="O3" s="139"/>
      <c r="P3" s="139"/>
      <c r="Q3" s="139"/>
      <c r="R3" s="100"/>
      <c r="S3" s="100"/>
      <c r="T3" s="100"/>
      <c r="U3" s="100"/>
      <c r="V3" s="100"/>
      <c r="W3" s="139"/>
      <c r="X3" s="139"/>
      <c r="Y3" s="139"/>
      <c r="Z3" s="100"/>
      <c r="AA3" s="100"/>
      <c r="AB3" s="139"/>
      <c r="AC3" s="139"/>
    </row>
    <row r="4" spans="1:29" ht="14.4" customHeight="1">
      <c r="A4" s="329" t="s">
        <v>212</v>
      </c>
      <c r="B4" s="331" t="s">
        <v>173</v>
      </c>
      <c r="C4" s="329">
        <f>IF('Calc JZ04 &amp; JZ06'!D6&lt;'Calc JZ04 &amp; JZ06'!D5,'Calc JZ04 &amp; JZ06'!D5,'Calc JZ04 &amp; JZ06'!D6)</f>
        <v>100</v>
      </c>
      <c r="D4" s="326" t="s">
        <v>33</v>
      </c>
      <c r="E4" s="366" t="s">
        <v>174</v>
      </c>
      <c r="F4" s="366"/>
      <c r="G4" s="329">
        <f>IF('Calc JZ04 &amp; JZ06'!D6&gt;'Calc JZ04 &amp; JZ06'!D5,'Calc JZ04 &amp; JZ06'!D5,'Calc JZ04 &amp; JZ06'!D6)</f>
        <v>100</v>
      </c>
      <c r="H4" s="363" t="s">
        <v>33</v>
      </c>
      <c r="I4" s="364" t="s">
        <v>190</v>
      </c>
      <c r="J4" s="365">
        <f>'Calc JZ04 &amp; JZ06'!D7</f>
        <v>100</v>
      </c>
      <c r="K4" s="330" t="s">
        <v>33</v>
      </c>
      <c r="L4" s="146"/>
      <c r="M4" s="146"/>
      <c r="N4" s="147"/>
      <c r="O4" s="147"/>
      <c r="P4" s="147"/>
      <c r="Q4" s="147"/>
      <c r="R4" s="116" t="s">
        <v>175</v>
      </c>
      <c r="S4" s="129">
        <f>Long_GrandsCotes_Panneaux_JZ04</f>
        <v>100</v>
      </c>
      <c r="T4" s="117" t="s">
        <v>58</v>
      </c>
      <c r="U4" s="129">
        <f>Haut_GrandsCotes_Panneaux_JZ04</f>
        <v>86</v>
      </c>
      <c r="V4" s="19" t="s">
        <v>33</v>
      </c>
      <c r="W4" s="150"/>
      <c r="X4" s="150"/>
      <c r="Y4" s="150"/>
      <c r="Z4" s="149"/>
      <c r="AA4" s="149"/>
      <c r="AB4" s="150"/>
      <c r="AC4" s="150"/>
    </row>
    <row r="5" spans="1:29" ht="14.4" customHeight="1">
      <c r="A5" s="329"/>
      <c r="B5" s="331"/>
      <c r="C5" s="329"/>
      <c r="D5" s="326"/>
      <c r="E5" s="366"/>
      <c r="F5" s="366"/>
      <c r="G5" s="329"/>
      <c r="H5" s="363"/>
      <c r="I5" s="364"/>
      <c r="J5" s="365"/>
      <c r="K5" s="330"/>
      <c r="L5" s="148"/>
      <c r="M5" s="148"/>
      <c r="N5" s="148"/>
      <c r="O5" s="148"/>
      <c r="P5" s="148"/>
      <c r="Q5" s="148"/>
      <c r="R5" s="116" t="s">
        <v>176</v>
      </c>
      <c r="S5" s="129">
        <f>Larg_PetitsCotes_Panneaux_JZ04</f>
        <v>93</v>
      </c>
      <c r="T5" s="142" t="s">
        <v>58</v>
      </c>
      <c r="U5" s="34">
        <f>Haut_PetitsCotes_Panneaux_JZ04</f>
        <v>78</v>
      </c>
      <c r="V5" s="151" t="s">
        <v>33</v>
      </c>
      <c r="W5" s="29"/>
      <c r="X5" s="29"/>
      <c r="Y5" s="29"/>
      <c r="Z5" s="29"/>
      <c r="AA5" s="29"/>
      <c r="AB5" s="29"/>
      <c r="AC5" s="29"/>
    </row>
    <row r="6" spans="1:29">
      <c r="A6" s="311" t="s">
        <v>210</v>
      </c>
      <c r="B6" s="311"/>
      <c r="C6" s="253">
        <f>((Debit_LongChevronsHaut_Chassis_JZ04+Debit_LongChevronsHautBis_Chassis_JZ04)-8)/(Debit_NbChevronsBas_Chassis_JZ04-1)</f>
        <v>46</v>
      </c>
      <c r="D6" s="328" t="s">
        <v>211</v>
      </c>
      <c r="E6" s="328"/>
      <c r="F6" s="19"/>
      <c r="G6" s="19"/>
      <c r="H6" s="311" t="s">
        <v>209</v>
      </c>
      <c r="I6" s="311"/>
      <c r="J6" s="253">
        <f>(Debit_LongChevronsBas_Chassis_JZ04-10)/(Debit_NbChevronsHaut_Chassis_JZ04-1)</f>
        <v>45</v>
      </c>
      <c r="K6" s="328" t="s">
        <v>211</v>
      </c>
      <c r="L6" s="328"/>
      <c r="M6" s="19"/>
      <c r="N6" s="19"/>
      <c r="O6" s="19"/>
      <c r="P6" s="19"/>
      <c r="Q6" s="24"/>
      <c r="R6" s="22" t="s">
        <v>67</v>
      </c>
      <c r="S6" s="129">
        <f>Long_Toit_Panneaux_JZ04</f>
        <v>100</v>
      </c>
      <c r="T6" s="117" t="s">
        <v>58</v>
      </c>
      <c r="U6" s="129">
        <f>Larg_Toit_Panneaux_JZ04</f>
        <v>100</v>
      </c>
      <c r="V6" s="19" t="s">
        <v>33</v>
      </c>
      <c r="AC6" s="24"/>
    </row>
    <row r="7" spans="1:29">
      <c r="A7" s="31" t="s">
        <v>136</v>
      </c>
      <c r="B7" s="19"/>
      <c r="C7" s="19"/>
      <c r="D7" s="24"/>
      <c r="E7" s="24"/>
      <c r="F7" s="24"/>
      <c r="G7" s="36"/>
      <c r="H7" s="29" t="s">
        <v>139</v>
      </c>
      <c r="J7" s="29"/>
      <c r="K7" s="19"/>
      <c r="L7" s="67"/>
      <c r="M7" s="27"/>
      <c r="N7" s="24"/>
      <c r="O7" s="24"/>
      <c r="P7" s="24"/>
      <c r="Q7" s="24"/>
      <c r="R7" s="24"/>
      <c r="AC7" s="24"/>
    </row>
    <row r="8" spans="1:29">
      <c r="B8" s="22" t="s">
        <v>34</v>
      </c>
      <c r="C8" s="34">
        <f>IF(Long_ChevronsBas_Chassis_JZ04=0,0,IF(Long_ChevronsHaut_Chassis_JZ04&lt;260,3,((ROUNDUP((Long_ChevronsHaut_Chassis_JZ04/100),0))+1)))</f>
        <v>3</v>
      </c>
      <c r="D8" s="67" t="s">
        <v>58</v>
      </c>
      <c r="E8" s="34">
        <f>IF(Debit_NbChevronsBas_Chassis_JZ04=0,0,Long_ChevronsBas_Chassis_JZ04)</f>
        <v>100</v>
      </c>
      <c r="F8" s="27" t="s">
        <v>33</v>
      </c>
      <c r="G8" s="36"/>
      <c r="H8" s="19"/>
      <c r="I8" s="24"/>
      <c r="J8" s="22" t="s">
        <v>110</v>
      </c>
      <c r="K8" s="34">
        <f>IF(Nb_Chevrons8X10_Sup1_JZ04=0,0,Nb_Chevrons8X10_Sup1_JZ04)</f>
        <v>0</v>
      </c>
      <c r="L8" s="67" t="s">
        <v>58</v>
      </c>
      <c r="M8" s="34">
        <f>Long_Chevrons8X10_Sup1_JZ04</f>
        <v>0</v>
      </c>
      <c r="N8" s="27" t="s">
        <v>33</v>
      </c>
      <c r="O8" s="23"/>
      <c r="P8" s="23"/>
      <c r="Q8" s="23"/>
      <c r="R8" s="24"/>
      <c r="AC8" s="23"/>
    </row>
    <row r="9" spans="1:29">
      <c r="A9" s="28"/>
      <c r="B9" s="22" t="s">
        <v>38</v>
      </c>
      <c r="C9" s="34">
        <f>IF(Long_ChevronsHaut_Chassis_JZ04=0,0,IF(Long_ChevronsBas_Chassis_JZ04&lt;180,3,((ROUNDUP((Long_ChevronsBas_Chassis_JZ04/70),0))+1)))</f>
        <v>3</v>
      </c>
      <c r="D9" s="67" t="s">
        <v>58</v>
      </c>
      <c r="E9" s="34">
        <f>IF((Long_ChevronsHaut_Chassis_JZ04&lt;=500),((ROUNDUP((Long_ChevronsHaut_Chassis_JZ04/500),0))*Long_ChevronsHaut_Chassis_JZ04),(ROUNDDOWN((2*((Long_ChevronsHaut_Chassis_JZ04-8)/(Debit_NbChevronsBas_Chassis_JZ04-1)))+4,0)))</f>
        <v>100</v>
      </c>
      <c r="F9" s="27" t="s">
        <v>33</v>
      </c>
      <c r="G9" s="37"/>
      <c r="H9" s="19"/>
      <c r="I9" s="27"/>
      <c r="J9" s="22" t="s">
        <v>116</v>
      </c>
      <c r="K9" s="129">
        <f>Nb_Chevrons8X10_Sup2_JZ04</f>
        <v>0</v>
      </c>
      <c r="L9" s="67" t="s">
        <v>58</v>
      </c>
      <c r="M9" s="129">
        <f>Long_Chevrons8X10_Sup2_JZ04</f>
        <v>0</v>
      </c>
      <c r="N9" s="27" t="s">
        <v>33</v>
      </c>
      <c r="O9" s="67"/>
      <c r="P9" s="67"/>
      <c r="Q9" s="67"/>
      <c r="R9" s="23"/>
      <c r="S9" s="96" t="s">
        <v>158</v>
      </c>
      <c r="T9" s="19"/>
      <c r="U9" s="117"/>
      <c r="V9" s="19"/>
      <c r="W9" s="117"/>
      <c r="X9" s="19"/>
      <c r="Y9" s="117"/>
      <c r="Z9" s="19"/>
      <c r="AA9" s="118"/>
      <c r="AB9" s="24"/>
      <c r="AC9" s="67"/>
    </row>
    <row r="10" spans="1:29">
      <c r="A10" s="41"/>
      <c r="B10" s="22" t="s">
        <v>135</v>
      </c>
      <c r="C10" s="34">
        <f>IF(Long_ChevronsHaut_Chassis_JZ04&gt;500,Debit_NbChevronsHaut_Chassis_JZ04,0)</f>
        <v>0</v>
      </c>
      <c r="D10" s="67" t="s">
        <v>58</v>
      </c>
      <c r="E10" s="34">
        <f>Long_ChevronsHaut_Chassis_JZ04-Debit_LongChevronsHaut_Chassis_JZ04</f>
        <v>0</v>
      </c>
      <c r="F10" s="27" t="s">
        <v>33</v>
      </c>
      <c r="G10" s="37"/>
      <c r="H10" s="19"/>
      <c r="I10" s="27"/>
      <c r="J10" s="22" t="s">
        <v>117</v>
      </c>
      <c r="K10" s="129">
        <f>Nb_Chevrons8X10_Sup3_JZ04</f>
        <v>0</v>
      </c>
      <c r="L10" s="67" t="s">
        <v>58</v>
      </c>
      <c r="M10" s="129">
        <f>Long_Chevrons8X10_Sup3_JZ04</f>
        <v>0</v>
      </c>
      <c r="N10" s="27" t="s">
        <v>33</v>
      </c>
      <c r="O10" s="67"/>
      <c r="P10" s="67"/>
      <c r="Q10" s="67"/>
      <c r="R10" s="117"/>
      <c r="S10" s="210"/>
      <c r="T10" s="211" t="s">
        <v>68</v>
      </c>
      <c r="U10" s="207">
        <f>IF('Calc JZ04 &amp; JZ06'!G19&lt;=122,((ROUNDUP(('Calc JZ04 &amp; JZ06'!D19/244),0)))*2,((ROUNDUP(('Calc JZ04 &amp; JZ06'!D19/122),0)))*2)</f>
        <v>2</v>
      </c>
      <c r="V10" s="9" t="s">
        <v>58</v>
      </c>
      <c r="W10" s="212">
        <f>IF(U10=0,"0",IF(('Calc JZ04 &amp; JZ06'!G19&lt;=122),('Calc JZ04 &amp; JZ06'!D19/(ROUNDUP(('Calc JZ04 &amp; JZ06'!D19/244),0))),('Calc JZ04 &amp; JZ06'!D19/(ROUNDUP(('Calc JZ04 &amp; JZ06'!D19/122),0)))))</f>
        <v>100</v>
      </c>
      <c r="X10" s="215" t="s">
        <v>206</v>
      </c>
      <c r="Y10" s="214" t="s">
        <v>58</v>
      </c>
      <c r="Z10" s="212">
        <f>IF(U10=0,"0",IF(('Calc JZ04 &amp; JZ06'!G19&lt;=122),((ROUNDUP(('Calc JZ04 &amp; JZ06'!G19/244),0))*'Calc JZ04 &amp; JZ06'!G19),('Calc JZ04 &amp; JZ06'!G19/(ROUNDUP(('Calc JZ04 &amp; JZ06'!G19/244),0)))))</f>
        <v>86</v>
      </c>
      <c r="AA10" s="378" t="s">
        <v>207</v>
      </c>
      <c r="AB10" s="379"/>
      <c r="AC10" s="67"/>
    </row>
    <row r="11" spans="1:29">
      <c r="A11" s="41"/>
      <c r="B11" s="22" t="s">
        <v>194</v>
      </c>
      <c r="C11" s="203">
        <f>IF(Debit_NbChevronsHautBis_Chassis_JZ04=0,0,Debit_NbChevronsHautBis_Chassis_JZ04)</f>
        <v>0</v>
      </c>
      <c r="D11" s="94" t="s">
        <v>58</v>
      </c>
      <c r="E11" s="252">
        <f>IF((Debit_LongChevronsHaut_Chassis_JZ04+Debit_LongChevronsHautBis_Chassis_JZ04)&lt;500,0,((((Debit_LongChevronsHaut_Chassis_JZ04+Debit_LongChevronsHautBis_Chassis_JZ04)-8)/(Debit_NbChevronsBas_Chassis_JZ04-1)*2)+8))</f>
        <v>0</v>
      </c>
      <c r="F11" s="27" t="s">
        <v>33</v>
      </c>
      <c r="G11" s="37"/>
      <c r="H11" s="19"/>
      <c r="I11" s="27"/>
      <c r="J11" s="22" t="s">
        <v>118</v>
      </c>
      <c r="K11" s="129">
        <f>Nb_Chevrons8X10_Sup4_JZ04</f>
        <v>0</v>
      </c>
      <c r="L11" s="67" t="s">
        <v>58</v>
      </c>
      <c r="M11" s="129">
        <f>Long_Chevrons8X10_Sup4_JZ04</f>
        <v>0</v>
      </c>
      <c r="N11" s="27" t="s">
        <v>33</v>
      </c>
      <c r="O11" s="67"/>
      <c r="P11" s="67"/>
      <c r="Q11" s="67"/>
      <c r="R11" s="117"/>
      <c r="S11" s="230"/>
      <c r="T11" s="231" t="s">
        <v>71</v>
      </c>
      <c r="U11" s="219">
        <f>IF('Calc JZ04 &amp; JZ06'!D19&lt;500,((ROUNDUP(('Calc JZ04 &amp; JZ06'!D19/500),0))*4),((ROUNDUP(('Calc JZ04 &amp; JZ06'!D19/500),0))*4))</f>
        <v>4</v>
      </c>
      <c r="V11" s="196" t="s">
        <v>58</v>
      </c>
      <c r="W11" s="219">
        <f>IF(('Calc JZ04 &amp; JZ06'!D19&lt;=500),((ROUNDUP(('Calc JZ04 &amp; JZ06'!D19/500),0))*'Calc JZ04 &amp; JZ06'!D19),('Calc JZ04 &amp; JZ06'!D19/(ROUNDUP(('Calc JZ04 &amp; JZ06'!D19/500),0))))</f>
        <v>100</v>
      </c>
      <c r="X11" s="232" t="s">
        <v>33</v>
      </c>
      <c r="Y11" s="219"/>
      <c r="Z11" s="233"/>
      <c r="AA11" s="219"/>
      <c r="AB11" s="229"/>
      <c r="AC11" s="67"/>
    </row>
    <row r="12" spans="1:29">
      <c r="B12" s="121" t="s">
        <v>195</v>
      </c>
      <c r="C12" s="34">
        <f>IF(Debit_NbChevronsBas_Chassis_JZ04=0,0,2)</f>
        <v>2</v>
      </c>
      <c r="D12" s="94" t="s">
        <v>58</v>
      </c>
      <c r="E12" s="34">
        <f>IF(Debit_NbChevronsBas_Chassis_JZ04=0,0,Debit_LongChevronsBas_Chassis_JZ04-7)</f>
        <v>93</v>
      </c>
      <c r="F12" s="93" t="s">
        <v>33</v>
      </c>
      <c r="G12" s="37"/>
      <c r="H12" s="19"/>
      <c r="I12" s="27"/>
      <c r="J12" s="22" t="s">
        <v>111</v>
      </c>
      <c r="K12" s="34">
        <f>Nb_Chevrons5X8_Sup1_JZ04</f>
        <v>0</v>
      </c>
      <c r="L12" s="67" t="s">
        <v>58</v>
      </c>
      <c r="M12" s="34">
        <f>Long_Chevrons5X8_Sup1_JZ04</f>
        <v>0</v>
      </c>
      <c r="N12" s="27" t="s">
        <v>33</v>
      </c>
      <c r="O12" s="23"/>
      <c r="P12" s="23"/>
      <c r="Q12" s="23"/>
      <c r="R12" s="117"/>
      <c r="S12" s="367" t="s">
        <v>72</v>
      </c>
      <c r="T12" s="368"/>
      <c r="U12" s="371">
        <f>IF('Calc JZ04 &amp; JZ06'!G19=0,"0",((U10/2)+1)*2)</f>
        <v>4</v>
      </c>
      <c r="V12" s="373" t="s">
        <v>58</v>
      </c>
      <c r="W12" s="319" t="s">
        <v>168</v>
      </c>
      <c r="X12" s="320"/>
      <c r="Y12" s="319" t="s">
        <v>169</v>
      </c>
      <c r="Z12" s="320"/>
      <c r="AA12" s="319" t="s">
        <v>170</v>
      </c>
      <c r="AB12" s="320"/>
      <c r="AC12" s="23"/>
    </row>
    <row r="13" spans="1:29">
      <c r="A13" s="19"/>
      <c r="B13" s="35" t="s">
        <v>60</v>
      </c>
      <c r="C13" s="34">
        <f>IF(Debit_NbChevronsBas_Chassis_JZ04=0,0,IF(Debit_LongChevronsHaut_Chassis_JZ04&lt;260,3,((ROUNDUP((Debit_LongChevronsHaut_Chassis_JZ04/100),0))+1)))</f>
        <v>3</v>
      </c>
      <c r="D13" s="94" t="s">
        <v>58</v>
      </c>
      <c r="E13" s="34">
        <f>IF(Debit_NbChevronsBas_Chassis_JZ04=0,0,Debit_LongChevronsBas_Chassis_JZ04-7)</f>
        <v>93</v>
      </c>
      <c r="F13" s="93" t="s">
        <v>33</v>
      </c>
      <c r="G13" s="37"/>
      <c r="H13" s="19"/>
      <c r="I13" s="27"/>
      <c r="J13" s="22" t="s">
        <v>119</v>
      </c>
      <c r="K13" s="129">
        <f>Nb_Chevrons5X8_Sup2_JZ04</f>
        <v>0</v>
      </c>
      <c r="L13" s="67" t="s">
        <v>58</v>
      </c>
      <c r="M13" s="129">
        <f>Long_Chevrons5X8_Sup2_JZ04</f>
        <v>0</v>
      </c>
      <c r="N13" s="27" t="s">
        <v>33</v>
      </c>
      <c r="O13" s="67"/>
      <c r="P13" s="67"/>
      <c r="Q13" s="67"/>
      <c r="R13" s="23"/>
      <c r="S13" s="369"/>
      <c r="T13" s="370"/>
      <c r="U13" s="372"/>
      <c r="V13" s="374"/>
      <c r="W13" s="134">
        <f>IF(Debit_Affichage_Haut_GrandsCotes_Panneaux_JZ04&lt;20,0,Debit_Affichage_Haut_GrandsCotes_Panneaux_JZ04-20)</f>
        <v>66</v>
      </c>
      <c r="X13" s="228" t="s">
        <v>33</v>
      </c>
      <c r="Y13" s="134">
        <f>IF(Debit_Affichage_Haut_GrandsCotes_Panneaux_JZ04&lt;25,0,Debit_Affichage_Haut_GrandsCotes_Panneaux_JZ04-25)</f>
        <v>61</v>
      </c>
      <c r="Z13" s="228" t="s">
        <v>33</v>
      </c>
      <c r="AA13" s="134">
        <f>IF(Debit_Affichage_Haut_GrandsCotes_Panneaux_JZ04&lt;30,0,Debit_Affichage_Haut_GrandsCotes_Panneaux_JZ04-30)</f>
        <v>56</v>
      </c>
      <c r="AB13" s="197" t="s">
        <v>33</v>
      </c>
      <c r="AC13" s="67"/>
    </row>
    <row r="14" spans="1:29">
      <c r="A14" s="95" t="s">
        <v>156</v>
      </c>
      <c r="G14" s="112"/>
      <c r="H14" s="19"/>
      <c r="I14" s="19"/>
      <c r="J14" s="22" t="s">
        <v>120</v>
      </c>
      <c r="K14" s="129">
        <f>Nb_Chevrons5X8_Sup3_JZ04</f>
        <v>0</v>
      </c>
      <c r="L14" s="67" t="s">
        <v>58</v>
      </c>
      <c r="M14" s="129">
        <f>Long_Chevrons5X8_Sup3_JZ04</f>
        <v>0</v>
      </c>
      <c r="N14" s="27" t="s">
        <v>33</v>
      </c>
      <c r="O14" s="67"/>
      <c r="P14" s="67"/>
      <c r="Q14" s="67"/>
      <c r="R14" s="117"/>
      <c r="S14" s="216"/>
      <c r="T14" s="211" t="s">
        <v>73</v>
      </c>
      <c r="U14" s="207">
        <f>IF('Calc JZ04 &amp; JZ06'!G20&gt;122,((ROUNDUP(('Calc JZ04 &amp; JZ06'!D20/122),0)))*2,((ROUNDUP(('Calc JZ04 &amp; JZ06'!G20/244),0)))*2)</f>
        <v>2</v>
      </c>
      <c r="V14" s="9" t="s">
        <v>58</v>
      </c>
      <c r="W14" s="212">
        <f>IF(U14=0,"0",IF(('Calc JZ04 &amp; JZ06'!G20&lt;=122),('Calc JZ04 &amp; JZ06'!D20/(ROUNDUP(('Calc JZ04 &amp; JZ06'!D20/244),0))),('Calc JZ04 &amp; JZ06'!D20/(ROUNDUP(('Calc JZ04 &amp; JZ06'!D20/122),0)))))</f>
        <v>93</v>
      </c>
      <c r="X14" s="213" t="s">
        <v>208</v>
      </c>
      <c r="Y14" s="214" t="s">
        <v>58</v>
      </c>
      <c r="Z14" s="212">
        <f>IF(U14=0,"0",IF(('Calc JZ04 &amp; JZ06'!G19&lt;=122),((ROUNDUP(('Calc JZ04 &amp; JZ06'!G20/244),0))*'Calc JZ04 &amp; JZ06'!G20),('Calc JZ04 &amp; JZ06'!G20/(ROUNDUP(('Calc JZ04 &amp; JZ06'!G20/244),0)))))</f>
        <v>78</v>
      </c>
      <c r="AA14" s="380" t="s">
        <v>207</v>
      </c>
      <c r="AB14" s="381"/>
      <c r="AC14" s="67"/>
    </row>
    <row r="15" spans="1:29">
      <c r="B15" s="235" t="s">
        <v>205</v>
      </c>
      <c r="C15" s="382" t="s">
        <v>202</v>
      </c>
      <c r="D15" s="383"/>
      <c r="E15" s="384" t="s">
        <v>203</v>
      </c>
      <c r="F15" s="383"/>
      <c r="G15" s="112"/>
      <c r="H15" s="19"/>
      <c r="I15" s="19"/>
      <c r="J15" s="22" t="s">
        <v>121</v>
      </c>
      <c r="K15" s="34">
        <f>Nb_Chevrons5X8_Sup4_JZ04</f>
        <v>0</v>
      </c>
      <c r="L15" s="67" t="s">
        <v>58</v>
      </c>
      <c r="M15" s="34">
        <f>Long_Chevrons5X8_Sup4_JZ04</f>
        <v>0</v>
      </c>
      <c r="N15" s="27" t="s">
        <v>33</v>
      </c>
      <c r="O15" s="23"/>
      <c r="P15" s="23"/>
      <c r="Q15" s="23"/>
      <c r="R15" s="117"/>
      <c r="S15" s="234"/>
      <c r="T15" s="231" t="s">
        <v>75</v>
      </c>
      <c r="U15" s="219">
        <f>IF('Calc JZ04 &amp; JZ06'!D20&lt;500,((ROUNDUP(('Calc JZ04 &amp; JZ06'!D20/500),0))*4),((ROUNDUP(('Calc JZ04 &amp; JZ06'!D20/500),0))*4))</f>
        <v>4</v>
      </c>
      <c r="V15" s="196" t="s">
        <v>58</v>
      </c>
      <c r="W15" s="219">
        <f>IF(('Calc JZ04 &amp; JZ06'!D20&lt;=500),((ROUNDUP(('Calc JZ04 &amp; JZ06'!D20/500),0))*'Calc JZ04 &amp; JZ06'!D20),('Calc JZ04 &amp; JZ06'!D20/(ROUNDUP(('Calc JZ04 &amp; JZ06'!D20/500),0))))</f>
        <v>93</v>
      </c>
      <c r="X15" s="232" t="s">
        <v>33</v>
      </c>
      <c r="Y15" s="232"/>
      <c r="Z15" s="233"/>
      <c r="AA15" s="219"/>
      <c r="AB15" s="197"/>
      <c r="AC15" s="23"/>
    </row>
    <row r="16" spans="1:29">
      <c r="A16" s="19"/>
      <c r="B16" s="239">
        <f>IF(Long_ChevronsHaut_Chassis_JZ04=0,0,IF(((Debit_LongChevronsHaut_Chassis_JZ04+Debit_LongChevronsHautBis_Chassis_JZ04)-23)=0,0,(ROUNDDOWN((((Debit_LongChevronsHaut_Chassis_JZ04+Debit_LongChevronsHautBis_Chassis_JZ04)-23)/10),0))))</f>
        <v>7</v>
      </c>
      <c r="C16" s="390">
        <v>10</v>
      </c>
      <c r="D16" s="391"/>
      <c r="E16" s="385">
        <f>IF(Long_Plancher_Chassis_JZ04=0,0,Long_Plancher_Chassis_JZ04)</f>
        <v>92.5</v>
      </c>
      <c r="F16" s="358"/>
      <c r="G16" s="86"/>
      <c r="H16" s="19"/>
      <c r="I16" s="27"/>
      <c r="J16" s="22" t="s">
        <v>112</v>
      </c>
      <c r="K16" s="34">
        <f>Nb_PlanchesX10_Sup1_JZ04</f>
        <v>0</v>
      </c>
      <c r="L16" s="67" t="s">
        <v>58</v>
      </c>
      <c r="M16" s="34">
        <f>Long_PlanchesX10_Sup1_JZ04</f>
        <v>0</v>
      </c>
      <c r="N16" s="27" t="s">
        <v>33</v>
      </c>
      <c r="O16" s="23"/>
      <c r="P16" s="23"/>
      <c r="Q16" s="23"/>
      <c r="R16" s="23"/>
      <c r="S16" s="367" t="s">
        <v>76</v>
      </c>
      <c r="T16" s="368"/>
      <c r="U16" s="371">
        <f>IF('Calc JZ04 &amp; JZ06'!G20=0,"0",((U14/2)+1)*2)</f>
        <v>4</v>
      </c>
      <c r="V16" s="373" t="s">
        <v>58</v>
      </c>
      <c r="W16" s="319" t="s">
        <v>168</v>
      </c>
      <c r="X16" s="320"/>
      <c r="Y16" s="319" t="s">
        <v>169</v>
      </c>
      <c r="Z16" s="320"/>
      <c r="AA16" s="319" t="s">
        <v>170</v>
      </c>
      <c r="AB16" s="320"/>
      <c r="AC16" s="23"/>
    </row>
    <row r="17" spans="1:29" ht="15" thickBot="1">
      <c r="A17" s="311" t="s">
        <v>200</v>
      </c>
      <c r="B17" s="249">
        <f>IF(Long_ChevronsHaut_Chassis_JZ04=0,0,IF((Debit_LongChevronsHaut_Chassis_JZ04-23)=0,0,(ROUNDUP(((Debit_LongChevronsHaut_Chassis_JZ04-23)/10),0))-(ROUNDDOWN(((Debit_LongChevronsHaut_Chassis_JZ04-23)/10),0))))</f>
        <v>1</v>
      </c>
      <c r="C17" s="392">
        <f>IF(Debit_NbPlanchesX10_Reste_Plancher_JZ04=0,0,IF(((Debit_LongChevronsHaut_Chassis_JZ04+Debit_LongChevronsHautBis_Chassis_JZ04)-23)&gt;(Debit_NbPlanchesX10_Plancher_JZ04*Debit_LargPlanchesX10_Plancher_JZ04),((Debit_LongChevronsHaut_Chassis_JZ04+Debit_LongChevronsHautBis_Chassis_JZ04)-23)-(Debit_NbPlanchesX10_Plancher_JZ04*Debit_LargPlanchesX10_Plancher_JZ04)))</f>
        <v>7</v>
      </c>
      <c r="D17" s="393"/>
      <c r="E17" s="386"/>
      <c r="F17" s="354"/>
      <c r="G17" s="198"/>
      <c r="H17" s="19"/>
      <c r="I17" s="27"/>
      <c r="J17" s="22" t="s">
        <v>122</v>
      </c>
      <c r="K17" s="129">
        <f>Nb_PlanchesX10_Sup2_JZ04</f>
        <v>0</v>
      </c>
      <c r="L17" s="67" t="s">
        <v>58</v>
      </c>
      <c r="M17" s="129">
        <f>Long_PlanchesX10_Sup2_JZ04</f>
        <v>0</v>
      </c>
      <c r="N17" s="27" t="s">
        <v>33</v>
      </c>
      <c r="O17" s="67"/>
      <c r="P17" s="67"/>
      <c r="Q17" s="67"/>
      <c r="R17" s="23"/>
      <c r="S17" s="369"/>
      <c r="T17" s="370"/>
      <c r="U17" s="372"/>
      <c r="V17" s="374"/>
      <c r="W17" s="134">
        <f>IF(Debit_Affichage_Haut_PetitsCotes_Panneaux_JZ04&lt;20,0,Debit_Affichage_Haut_PetitsCotes_Panneaux_JZ04-20)</f>
        <v>58</v>
      </c>
      <c r="X17" s="228" t="s">
        <v>33</v>
      </c>
      <c r="Y17" s="134">
        <f>IF(Debit_Affichage_Haut_PetitsCotes_Panneaux_JZ04&lt;25,0,Debit_Affichage_Haut_PetitsCotes_Panneaux_JZ04-25)</f>
        <v>53</v>
      </c>
      <c r="Z17" s="228" t="s">
        <v>33</v>
      </c>
      <c r="AA17" s="134">
        <f>IF(Debit_Affichage_Haut_PetitsCotes_Panneaux_JZ04&lt;30,0,Debit_Affichage_Haut_PetitsCotes_Panneaux_JZ04-30)</f>
        <v>48</v>
      </c>
      <c r="AB17" s="197" t="s">
        <v>33</v>
      </c>
      <c r="AC17" s="67"/>
    </row>
    <row r="18" spans="1:29" ht="15" thickTop="1">
      <c r="A18" s="311"/>
      <c r="B18" s="241">
        <f>IF(Long_ChevronsHaut_Chassis_JZ04=0,0,IF(((Debit_LongChevronsHaut_Chassis_JZ04+Debit_LongChevronsHautBis_Chassis_JZ04)-23)=0,0,(ROUNDDOWN((((Debit_LongChevronsHaut_Chassis_JZ04+Debit_LongChevronsHautBis_Chassis_JZ04)-23)/12.5),0))))</f>
        <v>6</v>
      </c>
      <c r="C18" s="394">
        <v>12.5</v>
      </c>
      <c r="D18" s="395"/>
      <c r="E18" s="387">
        <f>IF(Long_Plancher_Chassis_JZ04=0,0,Long_Plancher_Chassis_JZ04)</f>
        <v>92.5</v>
      </c>
      <c r="F18" s="360"/>
      <c r="G18" s="38"/>
      <c r="H18" s="19"/>
      <c r="I18" s="27"/>
      <c r="J18" s="22" t="s">
        <v>123</v>
      </c>
      <c r="K18" s="34">
        <f>Nb_PlanchesX10_Sup3_JZ04</f>
        <v>0</v>
      </c>
      <c r="L18" s="67" t="s">
        <v>58</v>
      </c>
      <c r="M18" s="34">
        <f>Long_PlanchesX10_Sup3_JZ04</f>
        <v>0</v>
      </c>
      <c r="N18" s="27" t="s">
        <v>33</v>
      </c>
      <c r="O18" s="23"/>
      <c r="P18" s="23"/>
      <c r="Q18" s="23"/>
      <c r="R18" s="117"/>
      <c r="S18" s="217"/>
      <c r="T18" s="211" t="s">
        <v>77</v>
      </c>
      <c r="U18" s="207">
        <f>IF('Calc JZ04 &amp; JZ06'!G21&lt;=122,((ROUNDUP(('Calc JZ04 &amp; JZ06'!D21/244),0))),((ROUNDUP(('Calc JZ04 &amp; JZ06'!D21/122),0))))</f>
        <v>1</v>
      </c>
      <c r="V18" s="9" t="s">
        <v>58</v>
      </c>
      <c r="W18" s="212">
        <f>IF(U18=0,"0",IF(('Calc JZ04 &amp; JZ06'!G21&lt;=122),'Calc JZ04 &amp; JZ06'!G21,('Calc JZ04 &amp; JZ06'!D21/(ROUNDUP(('Calc JZ04 &amp; JZ06'!D21/122),0)))))</f>
        <v>100</v>
      </c>
      <c r="X18" s="213" t="s">
        <v>206</v>
      </c>
      <c r="Y18" s="214" t="s">
        <v>58</v>
      </c>
      <c r="Z18" s="212">
        <f>IF(U18=0,"0",IF(('Calc JZ04 &amp; JZ06'!G21&lt;=122),('Calc JZ04 &amp; JZ06'!D21/(ROUNDUP(('Calc JZ04 &amp; JZ06'!D21/244),0))),('Calc JZ04 &amp; JZ06'!G21/(ROUNDUP(('Calc JZ04 &amp; JZ06'!G21/244),0)))))</f>
        <v>100</v>
      </c>
      <c r="AA18" s="380" t="s">
        <v>208</v>
      </c>
      <c r="AB18" s="381"/>
      <c r="AC18" s="23"/>
    </row>
    <row r="19" spans="1:29" ht="15" thickBot="1">
      <c r="A19" s="340" t="s">
        <v>200</v>
      </c>
      <c r="B19" s="240">
        <f>IF(Long_ChevronsHaut_Chassis_JZ04=0,0,IF((Debit_LongChevronsHaut_Chassis_JZ04-23)=0,0,(ROUNDUP(((Debit_LongChevronsHaut_Chassis_JZ04-23)/12.5),0))-(ROUNDDOWN(((Debit_LongChevronsHaut_Chassis_JZ04-23)/12.5),0))))</f>
        <v>1</v>
      </c>
      <c r="C19" s="353">
        <f>IF(Debit_NbPlanchesX12_5_Reste_Plancher_JZ04=0,0,IF(((Debit_LongChevronsHaut_Chassis_JZ04+Debit_LongChevronsHautBis_Chassis_JZ04)-23)&gt;(Debit_NbPlanchesX12_5_Plancher_JZ04*Debit_LargPlanchesX12_5_Plancher_JZ04),((Debit_LongChevronsHaut_Chassis_JZ04+Debit_LongChevronsHautBis_Chassis_JZ04)-23)-(Debit_NbPlanchesX12_5_Plancher_JZ04*Debit_LargPlanchesX12_5_Plancher_JZ04)))</f>
        <v>2</v>
      </c>
      <c r="D19" s="354"/>
      <c r="E19" s="386"/>
      <c r="F19" s="354"/>
      <c r="G19" s="38"/>
      <c r="H19" s="19"/>
      <c r="I19" s="27"/>
      <c r="J19" s="22" t="s">
        <v>124</v>
      </c>
      <c r="K19" s="34">
        <f>Nb_PlanchesX10_Sup4_JZ04</f>
        <v>0</v>
      </c>
      <c r="L19" s="67" t="s">
        <v>58</v>
      </c>
      <c r="M19" s="34">
        <f>Long_PlanchesX10_Sup4_JZ04</f>
        <v>0</v>
      </c>
      <c r="N19" s="27" t="s">
        <v>33</v>
      </c>
      <c r="O19" s="23"/>
      <c r="P19" s="23"/>
      <c r="Q19" s="23"/>
      <c r="R19" s="23"/>
      <c r="S19" s="235"/>
      <c r="T19" s="231" t="s">
        <v>78</v>
      </c>
      <c r="U19" s="219">
        <f>IF('Calc JZ04 &amp; JZ06'!D21&lt;500,((ROUNDUP(('Calc JZ04 &amp; JZ06'!D21/500),0))*2),((ROUNDUP(('Calc JZ04 &amp; JZ06'!D21/500),0))*2))</f>
        <v>2</v>
      </c>
      <c r="V19" s="196" t="s">
        <v>58</v>
      </c>
      <c r="W19" s="219">
        <f>IF(('Calc JZ04 &amp; JZ06'!D21&lt;=500),((ROUNDUP(('Calc JZ04 &amp; JZ06'!D21/500),0))*'Calc JZ04 &amp; JZ06'!D21),('Calc JZ04 &amp; JZ06'!D21/(ROUNDUP(('Calc JZ04 &amp; JZ06'!D21/500),0))))</f>
        <v>100</v>
      </c>
      <c r="X19" s="232" t="s">
        <v>33</v>
      </c>
      <c r="Y19" s="196"/>
      <c r="Z19" s="225"/>
      <c r="AA19" s="196"/>
      <c r="AB19" s="229"/>
      <c r="AC19" s="23"/>
    </row>
    <row r="20" spans="1:29" ht="15" thickTop="1">
      <c r="A20" s="340"/>
      <c r="B20" s="249">
        <f>IF(Long_ChevronsHaut_Chassis_JZ04=0,0,IF(((Debit_LongChevronsHaut_Chassis_JZ04+Debit_LongChevronsHautBis_Chassis_JZ04)-23)=0,0,(ROUNDDOWN((((Debit_LongChevronsHaut_Chassis_JZ04+Debit_LongChevronsHautBis_Chassis_JZ04)-23)/15),0))))</f>
        <v>5</v>
      </c>
      <c r="C20" s="394">
        <v>15</v>
      </c>
      <c r="D20" s="395"/>
      <c r="E20" s="388">
        <f>IF(Long_Plancher_Chassis_JZ04=0,0,Long_Plancher_Chassis_JZ04)</f>
        <v>92.5</v>
      </c>
      <c r="F20" s="337"/>
      <c r="G20" s="38"/>
      <c r="H20" s="19"/>
      <c r="I20" s="27"/>
      <c r="J20" s="22" t="s">
        <v>113</v>
      </c>
      <c r="K20" s="34">
        <f>Nb_PlanchesX12_5_Sup1_JZ04</f>
        <v>0</v>
      </c>
      <c r="L20" s="67" t="s">
        <v>58</v>
      </c>
      <c r="M20" s="34">
        <f>Long_PlanchesX12_5_Sup1_JZ04</f>
        <v>0</v>
      </c>
      <c r="N20" s="27" t="s">
        <v>33</v>
      </c>
      <c r="O20" s="23"/>
      <c r="P20" s="23"/>
      <c r="Q20" s="23"/>
      <c r="R20" s="23"/>
      <c r="S20" s="367" t="s">
        <v>79</v>
      </c>
      <c r="T20" s="368"/>
      <c r="U20" s="376">
        <f>IF('Calc JZ04 &amp; JZ06'!G21=0,"0",U18+1)</f>
        <v>2</v>
      </c>
      <c r="V20" s="373" t="s">
        <v>58</v>
      </c>
      <c r="W20" s="319" t="s">
        <v>168</v>
      </c>
      <c r="X20" s="320"/>
      <c r="Y20" s="319" t="s">
        <v>169</v>
      </c>
      <c r="Z20" s="320"/>
      <c r="AA20" s="319" t="s">
        <v>170</v>
      </c>
      <c r="AB20" s="320"/>
      <c r="AC20" s="23"/>
    </row>
    <row r="21" spans="1:29">
      <c r="A21" s="24"/>
      <c r="B21" s="242">
        <f>IF(Long_ChevronsHaut_Chassis_JZ04=0,0,IF((Debit_LongChevronsHaut_Chassis_JZ04-23)=0,0,(ROUNDUP(((Debit_LongChevronsHaut_Chassis_JZ04-23)/15),0))-(ROUNDDOWN(((Debit_LongChevronsHaut_Chassis_JZ04-23)/15),0))))</f>
        <v>1</v>
      </c>
      <c r="C21" s="355">
        <f>IF(Debit_NbPlanchesX15_Reste_Plancher_JZ04=0,0,IF(((Debit_LongChevronsHaut_Chassis_JZ04+Debit_LongChevronsHautBis_Chassis_JZ04)-23)&gt;(Debit_NbPlanchesX15_Plancher_JZ04*Debit_LargPlanchesX15_Plancher_JZ04),((Debit_LongChevronsHaut_Chassis_JZ04+Debit_LongChevronsHautBis_Chassis_JZ04)-23)-(Debit_NbPlanchesX15_Plancher_JZ04*Debit_LargPlanchesX15_Plancher_JZ04)))</f>
        <v>2</v>
      </c>
      <c r="D21" s="356"/>
      <c r="E21" s="389"/>
      <c r="F21" s="339"/>
      <c r="G21" s="112"/>
      <c r="H21" s="19"/>
      <c r="I21" s="19"/>
      <c r="J21" s="22" t="s">
        <v>125</v>
      </c>
      <c r="K21" s="34">
        <f>Nb_PlanchesX12_5_Sup2_JZ04</f>
        <v>0</v>
      </c>
      <c r="L21" s="67" t="s">
        <v>58</v>
      </c>
      <c r="M21" s="34">
        <f>Long_PlanchesX12_5_Sup2_JZ04</f>
        <v>0</v>
      </c>
      <c r="N21" s="27" t="s">
        <v>33</v>
      </c>
      <c r="O21" s="23"/>
      <c r="P21" s="23"/>
      <c r="Q21" s="23"/>
      <c r="R21" s="23"/>
      <c r="S21" s="369"/>
      <c r="T21" s="370"/>
      <c r="U21" s="377"/>
      <c r="V21" s="374"/>
      <c r="W21" s="134">
        <f>IF(Debit_Affichage_Larg_Toit_Panneaux_JZ04&lt;20,0,Debit_Affichage_Larg_Toit_Panneaux_JZ04-20)</f>
        <v>80</v>
      </c>
      <c r="X21" s="228" t="s">
        <v>33</v>
      </c>
      <c r="Y21" s="136">
        <f>IF(Debit_Affichage_Larg_Toit_Panneaux_JZ04&lt;25,0,Debit_Affichage_Larg_Toit_Panneaux_JZ04-25)</f>
        <v>75</v>
      </c>
      <c r="Z21" s="197" t="s">
        <v>33</v>
      </c>
      <c r="AA21" s="136">
        <f>IF(Debit_Affichage_Larg_Toit_Panneaux_JZ04&lt;30,0,Debit_Affichage_Larg_Toit_Panneaux_JZ04-30)</f>
        <v>70</v>
      </c>
      <c r="AB21" s="197" t="s">
        <v>33</v>
      </c>
      <c r="AC21" s="23"/>
    </row>
    <row r="22" spans="1:29">
      <c r="A22" s="31" t="s">
        <v>137</v>
      </c>
      <c r="B22" s="19"/>
      <c r="C22" s="19"/>
      <c r="D22" s="19"/>
      <c r="E22" s="19"/>
      <c r="F22" s="19"/>
      <c r="G22" s="37"/>
      <c r="H22" s="19"/>
      <c r="I22" s="27"/>
      <c r="J22" s="22" t="s">
        <v>126</v>
      </c>
      <c r="K22" s="34">
        <f>Nb_PlanchesX12_5_Sup3_JZ04</f>
        <v>0</v>
      </c>
      <c r="L22" s="67" t="s">
        <v>58</v>
      </c>
      <c r="M22" s="34">
        <f>Long_PlanchesX12_5_Sup3_JZ04</f>
        <v>0</v>
      </c>
      <c r="N22" s="27" t="s">
        <v>33</v>
      </c>
      <c r="O22" s="23"/>
      <c r="P22" s="23"/>
      <c r="Q22" s="23"/>
      <c r="R22" s="23"/>
      <c r="W22" s="137"/>
      <c r="X22" s="71"/>
      <c r="Y22" s="137"/>
      <c r="Z22" s="71"/>
      <c r="AA22" s="205"/>
      <c r="AB22" s="71"/>
      <c r="AC22" s="23"/>
    </row>
    <row r="23" spans="1:29">
      <c r="B23" s="22" t="s">
        <v>34</v>
      </c>
      <c r="C23" s="34">
        <f>IF(Nb_ChaisesBas_JZ04=0,0,Nb_ChaisesBas_JZ04)</f>
        <v>0</v>
      </c>
      <c r="D23" s="67" t="s">
        <v>58</v>
      </c>
      <c r="E23" s="34">
        <f>IF((Nb_ChaisesBas_JZ04&gt;0),Debit_LongChevronsBas_Chassis_JZ04-9,0)</f>
        <v>0</v>
      </c>
      <c r="F23" s="27" t="s">
        <v>33</v>
      </c>
      <c r="G23" s="37"/>
      <c r="H23" s="19"/>
      <c r="I23" s="27"/>
      <c r="J23" s="22" t="s">
        <v>127</v>
      </c>
      <c r="K23" s="34">
        <f>Nb_PlanchesX12_5_Sup4_JZ04</f>
        <v>0</v>
      </c>
      <c r="L23" s="67" t="s">
        <v>58</v>
      </c>
      <c r="M23" s="34">
        <f>Long_PlanchesX12_5_Sup4_JZ04</f>
        <v>0</v>
      </c>
      <c r="N23" s="27" t="s">
        <v>33</v>
      </c>
      <c r="O23" s="23"/>
      <c r="P23" s="23"/>
      <c r="Q23" s="23"/>
      <c r="R23" s="23"/>
      <c r="AC23" s="23"/>
    </row>
    <row r="24" spans="1:29">
      <c r="A24" s="24"/>
      <c r="B24" s="22" t="s">
        <v>38</v>
      </c>
      <c r="C24" s="34">
        <f>IF(Nb_ChaisesBas_JZ04=0,0,Nb_ChaisesBas_JZ04)</f>
        <v>0</v>
      </c>
      <c r="D24" s="67" t="s">
        <v>58</v>
      </c>
      <c r="E24" s="34">
        <f>IF(Nb_ChaisesBas_JZ04&lt;=0,0,Debit_LongChevronsBas_Chassis_JZ04-15)</f>
        <v>0</v>
      </c>
      <c r="F24" s="27" t="s">
        <v>33</v>
      </c>
      <c r="G24" s="72"/>
      <c r="H24" s="113"/>
      <c r="I24" s="72"/>
      <c r="J24" s="22" t="s">
        <v>114</v>
      </c>
      <c r="K24" s="34">
        <f>Nb_PlanchesX15_Sup1_JZ04</f>
        <v>0</v>
      </c>
      <c r="L24" s="67" t="s">
        <v>58</v>
      </c>
      <c r="M24" s="34">
        <f>Long_PlanchesX15_Sup1_JZ04</f>
        <v>0</v>
      </c>
      <c r="N24" s="27" t="s">
        <v>33</v>
      </c>
      <c r="O24" s="23"/>
      <c r="P24" s="23"/>
      <c r="Q24" s="23"/>
      <c r="R24" s="23"/>
      <c r="S24" s="31" t="s">
        <v>159</v>
      </c>
      <c r="T24" s="116"/>
      <c r="U24" s="117"/>
      <c r="V24" s="19"/>
      <c r="W24" s="117"/>
      <c r="X24" s="19"/>
      <c r="Y24" s="117"/>
      <c r="Z24" s="19"/>
      <c r="AA24" s="117"/>
      <c r="AB24" s="23"/>
      <c r="AC24" s="23"/>
    </row>
    <row r="25" spans="1:29">
      <c r="A25" s="19"/>
      <c r="B25" s="22" t="s">
        <v>49</v>
      </c>
      <c r="C25" s="34">
        <f>IF(Haut_ChaisesBas_JZ04=0,0,IF(Debit_LongChevronsBas_ChaisesBas_JZ04&lt;150,3,(ROUNDUP((Debit_LongChevronsBas_ChaisesBas_JZ04/50),0))))</f>
        <v>0</v>
      </c>
      <c r="D25" s="67" t="s">
        <v>58</v>
      </c>
      <c r="E25" s="34">
        <f>IF((Haut_ChaisesBas_JZ04&gt;=20),(Haut_ChaisesBas_JZ04-20),0)</f>
        <v>0</v>
      </c>
      <c r="F25" s="27" t="s">
        <v>33</v>
      </c>
      <c r="G25" s="112"/>
      <c r="H25" s="19"/>
      <c r="I25" s="19"/>
      <c r="J25" s="22" t="s">
        <v>128</v>
      </c>
      <c r="K25" s="34">
        <f>Nb_PlanchesX15_Sup2_JZ04</f>
        <v>0</v>
      </c>
      <c r="L25" s="67" t="s">
        <v>58</v>
      </c>
      <c r="M25" s="34">
        <f>Long_PlanchesX15_Sup2_JZ04</f>
        <v>0</v>
      </c>
      <c r="N25" s="27" t="s">
        <v>33</v>
      </c>
      <c r="O25" s="23"/>
      <c r="P25" s="23"/>
      <c r="Q25" s="23"/>
      <c r="R25" s="23"/>
      <c r="S25" s="23"/>
      <c r="T25" s="22"/>
      <c r="W25" s="375" t="s">
        <v>69</v>
      </c>
      <c r="X25" s="375"/>
      <c r="Y25" s="375" t="s">
        <v>74</v>
      </c>
      <c r="Z25" s="375"/>
      <c r="AA25" s="375" t="s">
        <v>70</v>
      </c>
      <c r="AB25" s="375"/>
      <c r="AC25" s="23"/>
    </row>
    <row r="26" spans="1:29">
      <c r="A26" s="31" t="s">
        <v>138</v>
      </c>
      <c r="G26" s="112"/>
      <c r="H26" s="19"/>
      <c r="I26" s="19"/>
      <c r="J26" s="22" t="s">
        <v>129</v>
      </c>
      <c r="K26" s="34">
        <f>Nb_PlanchesX15_Sup3_JZ04</f>
        <v>0</v>
      </c>
      <c r="L26" s="67" t="s">
        <v>58</v>
      </c>
      <c r="M26" s="34">
        <f>Long_PlanchesX15_Sup3_JZ04</f>
        <v>0</v>
      </c>
      <c r="N26" s="27" t="s">
        <v>33</v>
      </c>
      <c r="O26" s="23"/>
      <c r="P26" s="23"/>
      <c r="Q26" s="23"/>
      <c r="R26" s="23"/>
      <c r="U26" s="323" t="s">
        <v>160</v>
      </c>
      <c r="V26" s="325"/>
      <c r="W26" s="134">
        <f>IF(Long_SousVide_JZ04=0,0,Long_SousVide_JZ04)</f>
        <v>120</v>
      </c>
      <c r="X26" s="229" t="s">
        <v>33</v>
      </c>
      <c r="Y26" s="134">
        <f>IF(Larg_SousVide_JZ04=0,0,Larg_SousVide_JZ04)</f>
        <v>120</v>
      </c>
      <c r="Z26" s="229" t="s">
        <v>33</v>
      </c>
      <c r="AA26" s="134">
        <f>IF(Haut_SousVide_JZ04=0,0,Haut_SousVide_JZ04)</f>
        <v>70</v>
      </c>
      <c r="AB26" s="229" t="s">
        <v>33</v>
      </c>
      <c r="AC26" s="23"/>
    </row>
    <row r="27" spans="1:29">
      <c r="B27" s="22" t="s">
        <v>34</v>
      </c>
      <c r="C27" s="34">
        <f>IF(Nb_ChaisesHaut_JZ04=0,0,Nb_ChaisesHaut_JZ04)</f>
        <v>0</v>
      </c>
      <c r="D27" s="67" t="s">
        <v>58</v>
      </c>
      <c r="E27" s="34">
        <f>IF((Nb_ChaisesHaut_JZ04&gt;0),(Debit_LongChevronsBas_Chassis_JZ04-15),0)</f>
        <v>0</v>
      </c>
      <c r="F27" s="27" t="s">
        <v>33</v>
      </c>
      <c r="G27" s="112"/>
      <c r="H27" s="19"/>
      <c r="I27" s="19"/>
      <c r="J27" s="22" t="s">
        <v>130</v>
      </c>
      <c r="K27" s="34">
        <f>Nb_PlanchesX15_Sup4_JZ04</f>
        <v>0</v>
      </c>
      <c r="L27" s="67" t="s">
        <v>58</v>
      </c>
      <c r="M27" s="34">
        <f>Long_PlanchesX15_Sup4_JZ04</f>
        <v>0</v>
      </c>
      <c r="N27" s="27" t="s">
        <v>33</v>
      </c>
      <c r="O27" s="23"/>
      <c r="P27" s="23"/>
      <c r="Q27" s="23"/>
      <c r="R27" s="23"/>
      <c r="S27" s="23"/>
      <c r="T27" s="22"/>
      <c r="U27" s="23"/>
      <c r="V27" s="23"/>
      <c r="W27" s="23"/>
      <c r="X27" s="23"/>
      <c r="Y27" s="23"/>
      <c r="Z27" s="23"/>
      <c r="AA27" s="23"/>
      <c r="AB27" s="23"/>
      <c r="AC27" s="23"/>
    </row>
    <row r="28" spans="1:29">
      <c r="B28" s="22" t="s">
        <v>38</v>
      </c>
      <c r="C28" s="34">
        <f>IF(Nb_ChaisesHaut_JZ04=0,0,Nb_ChaisesHaut_JZ04)</f>
        <v>0</v>
      </c>
      <c r="D28" s="67" t="s">
        <v>58</v>
      </c>
      <c r="E28" s="34">
        <f>IF((Nb_ChaisesHaut_JZ04&gt;0),(Debit_LongChevronsBas_Chassis_JZ04-15),0)</f>
        <v>0</v>
      </c>
      <c r="F28" s="27" t="s">
        <v>33</v>
      </c>
      <c r="G28" s="112"/>
      <c r="H28" s="19"/>
      <c r="I28" s="19"/>
      <c r="J28" s="22" t="s">
        <v>115</v>
      </c>
      <c r="K28" s="34">
        <f>Nb_ContrePlaque_Sup1_JZ04</f>
        <v>0</v>
      </c>
      <c r="L28" s="67" t="s">
        <v>58</v>
      </c>
      <c r="M28" s="34">
        <f>Long_ContrePlaque_Sup1_JZ04</f>
        <v>0</v>
      </c>
      <c r="N28" s="27" t="s">
        <v>33</v>
      </c>
      <c r="O28" s="23" t="s">
        <v>58</v>
      </c>
      <c r="P28" s="34">
        <f>Larg_ContrePlaque_Sup1_JZ04</f>
        <v>0</v>
      </c>
      <c r="Q28" s="27" t="s">
        <v>33</v>
      </c>
      <c r="R28" s="23"/>
      <c r="S28" s="23"/>
      <c r="T28" s="22"/>
      <c r="U28" s="23"/>
      <c r="V28" s="23"/>
      <c r="W28" s="23"/>
      <c r="X28" s="23"/>
      <c r="Y28" s="23"/>
      <c r="Z28" s="23"/>
      <c r="AA28" s="23"/>
      <c r="AB28" s="23"/>
      <c r="AC28" s="27"/>
    </row>
    <row r="29" spans="1:29">
      <c r="B29" s="22" t="s">
        <v>49</v>
      </c>
      <c r="C29" s="92">
        <f>IF(Nb_ChaisesHaut_JZ04=0,0,IF(Debit_LongChevronsHaut_ChaisesHaut_JZ04&lt;150,3,(ROUNDUP((Debit_LongChevronsHaut_ChaisesHaut_JZ04/50),0))))</f>
        <v>0</v>
      </c>
      <c r="D29" s="67" t="s">
        <v>58</v>
      </c>
      <c r="E29" s="34">
        <f>IF(Haut_ChaisesHaut_JZ04&lt;=20,0,IF((Haut_ChaisesHaut_JZ04&gt;=20),(Haut_ChaisesHaut_JZ04-20),0))</f>
        <v>0</v>
      </c>
      <c r="F29" s="27" t="s">
        <v>33</v>
      </c>
      <c r="G29" s="112"/>
      <c r="H29" s="19"/>
      <c r="I29" s="19"/>
      <c r="J29" s="22" t="s">
        <v>131</v>
      </c>
      <c r="K29" s="34">
        <f>Nb_ContrePlaque_Sup2_JZ04</f>
        <v>0</v>
      </c>
      <c r="L29" s="67" t="s">
        <v>58</v>
      </c>
      <c r="M29" s="34">
        <f>Long_ContrePlaque_Sup2_JZ04</f>
        <v>0</v>
      </c>
      <c r="N29" s="27" t="s">
        <v>33</v>
      </c>
      <c r="O29" s="23" t="s">
        <v>58</v>
      </c>
      <c r="P29" s="34">
        <f>Larg_ContrePlaque_Sup2_JZ04</f>
        <v>0</v>
      </c>
      <c r="Q29" s="27" t="s">
        <v>33</v>
      </c>
      <c r="R29" s="27"/>
      <c r="S29" s="27"/>
      <c r="T29" s="22" t="s">
        <v>162</v>
      </c>
      <c r="U29" s="34">
        <f>IF(Debit_Affichage_Larg_Total_SousVide_JZ06=0,0,IF(Debit_Affichage_Larg_Total_SousVide_JZ06&gt;150,2,1))</f>
        <v>1</v>
      </c>
      <c r="V29" s="23" t="s">
        <v>163</v>
      </c>
      <c r="W29" s="34">
        <f>Debit_Affichage_Long_Total_SousVide_JZ06</f>
        <v>120</v>
      </c>
      <c r="X29" s="27" t="s">
        <v>161</v>
      </c>
      <c r="Y29" s="34">
        <f>IF(Debit_Nb_FeuilleFond_SousVide_JZ06=0,0,Debit_Affichage_Larg_Total_SousVide_JZ06/Debit_Nb_FeuilleFond_SousVide_JZ06)</f>
        <v>120</v>
      </c>
      <c r="Z29" s="27" t="s">
        <v>33</v>
      </c>
      <c r="AA29" s="23"/>
      <c r="AB29" s="23"/>
      <c r="AC29" s="27"/>
    </row>
    <row r="30" spans="1:29">
      <c r="A30" s="23"/>
      <c r="G30" s="112"/>
      <c r="H30" s="19"/>
      <c r="I30" s="19"/>
      <c r="J30" s="22" t="s">
        <v>132</v>
      </c>
      <c r="K30" s="129">
        <f>Nb_ContrePlaque_Sup3_JZ04</f>
        <v>0</v>
      </c>
      <c r="L30" s="67" t="s">
        <v>58</v>
      </c>
      <c r="M30" s="129">
        <f>Long_ContrePlaque_Sup3_JZ04</f>
        <v>0</v>
      </c>
      <c r="N30" s="27" t="s">
        <v>33</v>
      </c>
      <c r="O30" s="23" t="s">
        <v>58</v>
      </c>
      <c r="P30" s="129">
        <f>Larg_ContrePlaque_Sup3_JZ04</f>
        <v>0</v>
      </c>
      <c r="Q30" s="27" t="s">
        <v>33</v>
      </c>
      <c r="R30" s="27"/>
      <c r="S30" s="27"/>
      <c r="T30" s="22" t="s">
        <v>164</v>
      </c>
      <c r="U30" s="34">
        <f>IF(Debit_Affichage_Larg_Total_SousVide_JZ06=0,0,IF(Debit_Affichage_Larg_Total_SousVide_JZ06&gt;150,2,1))</f>
        <v>1</v>
      </c>
      <c r="V30" s="23" t="s">
        <v>163</v>
      </c>
      <c r="W30" s="34">
        <f>Debit_Affichage_Long_Total_SousVide_JZ06+(2*Debit_Affichage_Haut_Total_SousVide_JZ06)</f>
        <v>260</v>
      </c>
      <c r="X30" s="27" t="s">
        <v>161</v>
      </c>
      <c r="Y30" s="34">
        <f>IF(Debit_Nb_FeuilleToitEtPetitsCotes_SousVide_JZ06=0,0,Debit_Affichage_Larg_Total_SousVide_JZ06/Debit_Nb_FeuilleFond_SousVide_JZ06)</f>
        <v>120</v>
      </c>
      <c r="Z30" s="27" t="s">
        <v>33</v>
      </c>
      <c r="AA30" s="23"/>
      <c r="AB30" s="27"/>
      <c r="AC30" s="27"/>
    </row>
    <row r="31" spans="1:29">
      <c r="A31" s="23"/>
      <c r="G31" s="112"/>
      <c r="H31" s="19"/>
      <c r="I31" s="19"/>
      <c r="J31" s="22" t="s">
        <v>133</v>
      </c>
      <c r="K31" s="34">
        <f>Nb_ContrePlaque_Sup4_JZ04</f>
        <v>0</v>
      </c>
      <c r="L31" s="67" t="s">
        <v>58</v>
      </c>
      <c r="M31" s="34">
        <f>Long_ContrePlaque_Sup4_JZ04</f>
        <v>0</v>
      </c>
      <c r="N31" s="27" t="s">
        <v>33</v>
      </c>
      <c r="O31" s="23" t="s">
        <v>58</v>
      </c>
      <c r="P31" s="34">
        <f>Larg_ContrePlaque_Sup4_JZ04</f>
        <v>0</v>
      </c>
      <c r="Q31" s="27" t="s">
        <v>33</v>
      </c>
      <c r="R31" s="27"/>
      <c r="S31" s="27"/>
      <c r="T31" s="22" t="s">
        <v>165</v>
      </c>
      <c r="U31" s="34">
        <f>IF(Debit_Affichage_Haut_Total_SousVide_JZ06=0,0,IF(Debit_Affichage_Haut_Total_SousVide_JZ06&gt;150,4,2))</f>
        <v>2</v>
      </c>
      <c r="V31" s="23" t="s">
        <v>163</v>
      </c>
      <c r="W31" s="34">
        <f>Debit_Affichage_Long_Total_SousVide_JZ06</f>
        <v>120</v>
      </c>
      <c r="X31" s="27" t="s">
        <v>161</v>
      </c>
      <c r="Y31" s="34">
        <f>IF(Debit_Nb_FeuilleGrandsCotes_SousVide_JZ06=0,0,Debit_Affichage_Haut_Total_SousVide_JZ06)</f>
        <v>70</v>
      </c>
      <c r="Z31" s="27" t="s">
        <v>33</v>
      </c>
      <c r="AA31" s="23"/>
      <c r="AB31" s="27"/>
      <c r="AC31" s="19"/>
    </row>
    <row r="32" spans="1:29">
      <c r="A32" s="23"/>
      <c r="G32" s="112"/>
      <c r="H32" s="19"/>
      <c r="I32" s="19"/>
      <c r="R32" s="27"/>
      <c r="S32" s="19"/>
      <c r="T32" s="19"/>
      <c r="U32" s="117"/>
      <c r="V32" s="19"/>
      <c r="W32" s="117"/>
      <c r="X32" s="19"/>
      <c r="Y32" s="117"/>
      <c r="Z32" s="19"/>
      <c r="AA32" s="117"/>
      <c r="AB32" s="19"/>
      <c r="AC32" s="19"/>
    </row>
    <row r="33" spans="1:29">
      <c r="G33" s="71"/>
      <c r="H33" s="71"/>
      <c r="S33" s="19"/>
      <c r="T33" s="19"/>
      <c r="U33" s="117"/>
      <c r="V33" s="19"/>
      <c r="W33" s="117"/>
      <c r="X33" s="19"/>
      <c r="Y33" s="117"/>
      <c r="Z33" s="19"/>
      <c r="AA33" s="117"/>
      <c r="AB33" s="19"/>
      <c r="AC33" s="19"/>
    </row>
    <row r="34" spans="1:29">
      <c r="A34" s="81"/>
      <c r="B34" s="40"/>
      <c r="C34" s="21"/>
      <c r="S34" s="19"/>
      <c r="T34" s="19"/>
      <c r="U34" s="117"/>
      <c r="V34" s="19"/>
      <c r="W34" s="117"/>
      <c r="X34" s="19"/>
      <c r="Y34" s="117"/>
      <c r="Z34" s="19"/>
      <c r="AA34" s="117"/>
      <c r="AB34" s="19"/>
      <c r="AC34" s="19"/>
    </row>
    <row r="35" spans="1:29">
      <c r="A35" s="81"/>
      <c r="B35" s="40"/>
      <c r="C35" s="21"/>
    </row>
  </sheetData>
  <mergeCells count="63">
    <mergeCell ref="C21:D21"/>
    <mergeCell ref="AA10:AB10"/>
    <mergeCell ref="AA14:AB14"/>
    <mergeCell ref="AA18:AB18"/>
    <mergeCell ref="A17:A18"/>
    <mergeCell ref="A19:A20"/>
    <mergeCell ref="C15:D15"/>
    <mergeCell ref="E15:F15"/>
    <mergeCell ref="E16:F17"/>
    <mergeCell ref="E18:F19"/>
    <mergeCell ref="E20:F21"/>
    <mergeCell ref="C16:D16"/>
    <mergeCell ref="C17:D17"/>
    <mergeCell ref="C18:D18"/>
    <mergeCell ref="C19:D19"/>
    <mergeCell ref="C20:D20"/>
    <mergeCell ref="AA20:AB20"/>
    <mergeCell ref="W25:X25"/>
    <mergeCell ref="Y25:Z25"/>
    <mergeCell ref="AA25:AB25"/>
    <mergeCell ref="U26:V26"/>
    <mergeCell ref="U20:U21"/>
    <mergeCell ref="V20:V21"/>
    <mergeCell ref="W20:X20"/>
    <mergeCell ref="Y20:Z20"/>
    <mergeCell ref="W12:X12"/>
    <mergeCell ref="Y12:Z12"/>
    <mergeCell ref="AA12:AB12"/>
    <mergeCell ref="W16:X16"/>
    <mergeCell ref="Y16:Z16"/>
    <mergeCell ref="AA16:AB16"/>
    <mergeCell ref="S12:T13"/>
    <mergeCell ref="S16:T17"/>
    <mergeCell ref="S20:T21"/>
    <mergeCell ref="U12:U13"/>
    <mergeCell ref="V12:V13"/>
    <mergeCell ref="U16:U17"/>
    <mergeCell ref="V16:V17"/>
    <mergeCell ref="Z1:AA1"/>
    <mergeCell ref="I4:I5"/>
    <mergeCell ref="J4:J5"/>
    <mergeCell ref="K4:K5"/>
    <mergeCell ref="R2:AB2"/>
    <mergeCell ref="R1:T1"/>
    <mergeCell ref="G4:G5"/>
    <mergeCell ref="H4:H5"/>
    <mergeCell ref="U1:V1"/>
    <mergeCell ref="W1:Y1"/>
    <mergeCell ref="A1:D1"/>
    <mergeCell ref="E1:G1"/>
    <mergeCell ref="H1:J1"/>
    <mergeCell ref="K1:M1"/>
    <mergeCell ref="N1:Q1"/>
    <mergeCell ref="A6:B6"/>
    <mergeCell ref="D6:E6"/>
    <mergeCell ref="H6:I6"/>
    <mergeCell ref="K6:L6"/>
    <mergeCell ref="A2:Q2"/>
    <mergeCell ref="A4:A5"/>
    <mergeCell ref="B4:B5"/>
    <mergeCell ref="C4:C5"/>
    <mergeCell ref="D4:D5"/>
    <mergeCell ref="E4:F5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1">
    <tabColor rgb="FF00B050"/>
  </sheetPr>
  <dimension ref="A1:M16"/>
  <sheetViews>
    <sheetView zoomScaleNormal="100" workbookViewId="0">
      <selection activeCell="B19" sqref="B19"/>
    </sheetView>
  </sheetViews>
  <sheetFormatPr baseColWidth="10" defaultRowHeight="14.4"/>
  <sheetData>
    <row r="1" spans="1:13" ht="14.4" customHeight="1">
      <c r="A1" s="361" t="s">
        <v>216</v>
      </c>
      <c r="B1" s="361"/>
      <c r="C1" s="361"/>
      <c r="D1" s="361"/>
      <c r="E1" s="361"/>
      <c r="F1" s="361"/>
      <c r="G1" s="361"/>
      <c r="H1" s="361"/>
      <c r="I1" s="361"/>
      <c r="J1" s="361"/>
      <c r="K1" s="361"/>
      <c r="L1" s="100"/>
      <c r="M1" s="100"/>
    </row>
    <row r="2" spans="1:13" ht="14.4" customHeight="1">
      <c r="A2" s="361"/>
      <c r="B2" s="361"/>
      <c r="C2" s="361"/>
      <c r="D2" s="361"/>
      <c r="E2" s="361"/>
      <c r="F2" s="361"/>
      <c r="G2" s="361"/>
      <c r="H2" s="361"/>
      <c r="I2" s="361"/>
      <c r="J2" s="361"/>
      <c r="K2" s="361"/>
      <c r="L2" s="100"/>
      <c r="M2" s="100"/>
    </row>
    <row r="4" spans="1:13">
      <c r="A4" s="19"/>
      <c r="B4" s="19"/>
      <c r="C4" s="19"/>
      <c r="D4" s="19"/>
      <c r="E4" s="19"/>
      <c r="F4" s="19"/>
      <c r="G4" s="19"/>
      <c r="H4" s="19"/>
      <c r="I4" s="19"/>
      <c r="J4" s="19"/>
    </row>
    <row r="5" spans="1:13">
      <c r="A5" s="19"/>
      <c r="B5" s="19"/>
      <c r="C5" s="19"/>
      <c r="D5" s="19"/>
      <c r="E5" s="19"/>
      <c r="F5" s="19"/>
      <c r="G5" s="19"/>
      <c r="H5" s="19"/>
      <c r="I5" s="19"/>
      <c r="J5" s="19"/>
    </row>
    <row r="6" spans="1:13">
      <c r="A6" s="19"/>
      <c r="B6" s="19"/>
      <c r="C6" s="267"/>
      <c r="D6" s="267" t="s">
        <v>51</v>
      </c>
      <c r="E6" s="267" t="s">
        <v>143</v>
      </c>
      <c r="F6" s="267" t="s">
        <v>14</v>
      </c>
      <c r="G6" s="19"/>
      <c r="H6" s="19"/>
      <c r="I6" s="19"/>
      <c r="J6" s="19"/>
    </row>
    <row r="7" spans="1:13">
      <c r="A7" s="19"/>
      <c r="B7" s="19"/>
      <c r="C7" s="265" t="s">
        <v>53</v>
      </c>
      <c r="D7" s="108">
        <f>((Debit_NbChevronsBas_Chassis_JZ02*Debit_LongChevronsBas_Chassis_JZ02)+(Debit_NbChevronsHaut_Chassis_JZ02*Debit_LongChevronsHaut_Chassis_JZ02)+(Debit_NbChevronsBas_ChaisesBas_JZ02*Debit_LongChevronsBas_ChaisesBas_JZ02)+(Debit_NbChevronsHaut_ChaisesBas_JZ02*Debit_LongChevronsHaut_ChaisesBas_JZ02)+(Debit_NbChevronsHauteur_ChaiseBas_JZ02*Debit_LongChevronsHauteur_ChaisesBas_JZ02)+(Debit_NbChevronsBas_ChaisesHaut_JZ02*Debit_LongChevronsBas_ChaisesHaut_JZ02)+(Debit_NbChevronsHaut_ChaisesHaut_JZ02*Debit_LongChevronsHaut_ChaisesHaut_JZ02)+(Debit_NbChevronsHauteur_ChaiseHaut_JZ02*Debit_LongChevronsHauteur_ChaisesHaut_JZ02)+(Debit_NbChevrons8X10_Sup1_JZ02*Debit_LongChevrons8X10_Sup1_JZ02)+(Debit_NbChevrons8X10_Sup2_JZ02*Debit_LongChevrons8X10_Sup2_JZ02)+(Debit_NbChevrons8X10_Sup3_JZ02*Debit_LongChevrons8X10_Sup3_JZ02)+(Debit_NbChevrons8X10_Sup4_JZ02*Debit_LongChevrons8X10_Sup4_JZ02))/100</f>
        <v>36.75</v>
      </c>
      <c r="E7" s="108">
        <f>TotalML_Chevrons8X10_JZ04_JZ06*Poids_Chevrons8X10_KgXML</f>
        <v>124.03125</v>
      </c>
      <c r="F7" s="110">
        <f>TotalML_Chevrons8X10_JZ04_JZ06*Prix_Chevrons8X10_EurXML</f>
        <v>64.680000000000007</v>
      </c>
      <c r="G7" s="19"/>
      <c r="H7" s="265" t="s">
        <v>147</v>
      </c>
      <c r="I7" s="186">
        <v>59</v>
      </c>
      <c r="J7" s="27" t="s">
        <v>56</v>
      </c>
    </row>
    <row r="8" spans="1:13" ht="16.2">
      <c r="A8" s="19"/>
      <c r="B8" s="19"/>
      <c r="C8" s="265" t="s">
        <v>54</v>
      </c>
      <c r="D8" s="109">
        <f>((Debit_NbChevrons5X8_Sup1_JZ02*Debit_LongChevrons5X8_Sup1_JZ02)+(Debit_NbChevrons5X8_Sup2_JZ02*Debit_LongChevrons5X8_Sup2_JZ02)+(Debit_NbChevrons5X8_Sup3_JZ02*Debit_LongChevrons5X8_Sup3_JZ02)+(Debit_NbChevrons5X8_Sup4_JZ02*Debit_LongChevrons5X8_Sup4_JZ02))/100</f>
        <v>0</v>
      </c>
      <c r="E8" s="109">
        <f>TotalML_Chevrons5X8_JZ04_JZ06*Poids_Chevrons5X8_KgXML</f>
        <v>0</v>
      </c>
      <c r="F8" s="110">
        <f>(TotalML_Chevrons5X8_JZ04_JZ06*Prix_Chevrons5X8_XML)</f>
        <v>0</v>
      </c>
      <c r="G8" s="19"/>
      <c r="H8" s="265" t="s">
        <v>36</v>
      </c>
      <c r="I8" s="152">
        <f>(Long_ChevronsBas_Chassis_JZ02*Long_ChevronsHaut_Chassis_JZ02*Hauteur_Chassis_JZ02)/1000000</f>
        <v>28.8</v>
      </c>
      <c r="J8" s="24" t="s">
        <v>37</v>
      </c>
    </row>
    <row r="9" spans="1:13">
      <c r="A9" s="19"/>
      <c r="B9" s="19"/>
      <c r="C9" s="265" t="s">
        <v>83</v>
      </c>
      <c r="D9" s="108">
        <f>((Debit_NbPlanchesX10_Plancher_JZ02*Debit_LongPlanchesX10_Plancher_JZ02)+(Debit_NbPlanchesX10_Sup1_JZ02*Debit_LongPlanchesX10_Sup1_JZ02)+(Debit_NbPlanchesX10_Sup2_JZ02*Debit_LongPlanchesX10_Sup2_JZ02)+(Debit_NbPlanchesX10_Sup3_JZ02*Debit_LongPlanchesX10_Sup3_JZ02)+(Debit_NbPlanchesX10_Sup4_JZ02*Debit_LongPlanchesX10_Sup4_JZ02))/100</f>
        <v>120</v>
      </c>
      <c r="E9" s="108">
        <f>TotalML_PlanchesX10_JZ04_JZ06*Poids_PlanchesX10_KgXML</f>
        <v>138.6</v>
      </c>
      <c r="F9" s="110">
        <f>TotalML_PlanchesX10_JZ04_JZ06*Prix_PlanchesX10_XML</f>
        <v>50.4</v>
      </c>
      <c r="G9" s="19"/>
      <c r="H9" s="265" t="s">
        <v>40</v>
      </c>
      <c r="I9" s="111">
        <v>600</v>
      </c>
      <c r="J9" s="24" t="s">
        <v>41</v>
      </c>
    </row>
    <row r="10" spans="1:13">
      <c r="A10" s="19"/>
      <c r="B10" s="19"/>
      <c r="C10" s="199" t="s">
        <v>82</v>
      </c>
      <c r="D10" s="108">
        <f>((Debit_NbPlanchesX12_5_Plancher_JZ02*Debit_LongPlanchesX12_5_Plancher_JZ02)+(Debit_NbPlanchesX12_5_Sup1_JZ02*Debit_LongPlanchesX12_5_Sup1_JZ02)+(Debit_NbPlanchesX12_5_Sup2_JZ02*Debit_LongPlanchesX12_5_Sup2_JZ02)+(Debit_NbPlanchesX12_5_Sup3_JZ02*Debit_LongPlanchesX12_5_Sup3_JZ02)+(Debit_NbPlanchesX12_5_Sup4_JZ02*Debit_LongPlanchesX12_5_Sup4_JZ02))/100</f>
        <v>96</v>
      </c>
      <c r="E10" s="108">
        <f>TotalML_PlanchesX12_5_JZ04_JZ06*Poids_PlanchesX12_5_KgXML</f>
        <v>150</v>
      </c>
      <c r="F10" s="110">
        <f>TotalML_PlanchesX12_5_JZ04_JZ06*Prix_PlanchesX12_5_EurXML</f>
        <v>50.400000000000006</v>
      </c>
      <c r="G10" s="19"/>
      <c r="H10" s="265" t="s">
        <v>80</v>
      </c>
      <c r="I10" s="111">
        <f>(TotalML_Chevrons8X10_JZ04_JZ06*Poids_Chevrons8X10_KgXML)+(TotalML_Chevrons5X8_JZ04_JZ06*Poids_Chevrons5X8_KgXML)+(TotalML_PlanchesX10_JZ04_JZ06*Poids_PlanchesX10_KgXML)+(TotalML_PlanchesX12_5_JZ04_JZ06*Poids_PlanchesX12_5_KgXML)+(TotalML_PlanchesX15_JZ04_JZ06*Poids_PlanchesX15_KgXML)+(TotalM2_ContrePlaque_JZ04_JZ06*Poids_ContrePlaque_KgXML)</f>
        <v>546.91696428571436</v>
      </c>
      <c r="J10" s="27" t="s">
        <v>41</v>
      </c>
    </row>
    <row r="11" spans="1:13">
      <c r="A11" s="19"/>
      <c r="B11" s="19"/>
      <c r="C11" s="266" t="s">
        <v>81</v>
      </c>
      <c r="D11" s="164">
        <f>((Debit_NbPlanchesX15_Plancher_JZ02*Debit_LongPlanchesX15_Plancher_JZ02)+(Debit_NbPlanchesX15_Sup1_JZ02*Debit_LongPlanchesX15_Sup1_JZ02)+(Debit_NbPlanchesX15_Sup2_JZ02*Debit_LongPlanchesX15_Sup2_JZ02)+(Debit_NbPlanchesX15_Sup3_JZ02*Debit_LongPlanchesX15_Sup3_JZ02)+(Debit_NbPlanchesX15_Sup4_JZ02*Debit_LongPlanchesX15_Sup4_JZ02))/100</f>
        <v>80</v>
      </c>
      <c r="E11" s="109">
        <f>TotalML_PlanchesX15_JZ04_JZ06*Poids_PlanchesX15_KgXML</f>
        <v>134.28571428571428</v>
      </c>
      <c r="F11" s="165">
        <f>TotalML_PlanchesX15_JZ04_JZ06*Prix_PlanchesX15_EurXML</f>
        <v>50.4</v>
      </c>
      <c r="G11" s="19"/>
      <c r="H11" s="265" t="s">
        <v>44</v>
      </c>
      <c r="I11" s="111">
        <f>PoidsNet_JZ02_Calc+PoidsSkid_JZ04_JZ06</f>
        <v>546.91696428571436</v>
      </c>
      <c r="J11" s="27" t="s">
        <v>41</v>
      </c>
    </row>
    <row r="12" spans="1:13">
      <c r="A12" s="19"/>
      <c r="B12" s="19"/>
      <c r="C12" s="19"/>
      <c r="D12" s="19"/>
      <c r="E12" s="19"/>
      <c r="F12" s="19"/>
      <c r="G12" s="19"/>
      <c r="H12" s="266" t="s">
        <v>191</v>
      </c>
      <c r="I12" s="166">
        <f>SUM(PrixTotal_Chevrons8X10_JZ04_JZ06:PrixTotal_PlanchesX15_JZ04_JZ06,PrixTotal_ContrePlaque_JZ04_JZ06:PrixTotal_SousVide_JZ04_JZ06)</f>
        <v>215.88000000000002</v>
      </c>
      <c r="J12" s="267"/>
    </row>
    <row r="13" spans="1:13" ht="16.2">
      <c r="A13" s="19"/>
      <c r="B13" s="19"/>
      <c r="C13" s="265"/>
      <c r="D13" s="267" t="s">
        <v>55</v>
      </c>
      <c r="E13" s="267" t="s">
        <v>143</v>
      </c>
      <c r="F13" s="267" t="s">
        <v>14</v>
      </c>
      <c r="G13" s="19"/>
      <c r="H13" s="266" t="s">
        <v>193</v>
      </c>
      <c r="I13" s="167">
        <f>Nb_Heure_JZ02*Tarif_Horraire_JZ04_JZ06</f>
        <v>0</v>
      </c>
      <c r="J13" s="267"/>
    </row>
    <row r="14" spans="1:13">
      <c r="A14" s="19"/>
      <c r="B14" s="19"/>
      <c r="C14" s="265" t="s">
        <v>52</v>
      </c>
      <c r="D14" s="108">
        <f>((Debit_NbContrePlaque_Sup1_JZ02*(Debit_LongContrePlaque_Sup1_JZ02*Debit_LargContrePlaque_Sup1_JZ02))+(Debit_NbContrePlaque_Sup2_JZ02*(Debit_LongContrePlaque_Sup2_JZ02*Debit_LargContrePlaque_Sup2_JZ02))+(Debit_NbContrePlaque_Sup3_JZ02*(Debit_LongContrePlaque_Sup3_JZ02*Debit_LargContrePlaque_Sup3_JZ02))+(Debit_NbContrePlaque_Sup4_JZ02*(Debit_LongContrePlaque_Sup4_JZ02*Debit_LargContrePlaque_Sup4_JZ02)))/10000</f>
        <v>0</v>
      </c>
      <c r="E14" s="108">
        <f>TotalM2_ContrePlaque_JZ04_JZ06*Poids_ContrePlaque_KgXML</f>
        <v>0</v>
      </c>
      <c r="F14" s="110">
        <f>TotalM2_ContrePlaque_JZ04_JZ06*Prix_ContrePlaque_XM2</f>
        <v>0</v>
      </c>
      <c r="G14" s="19"/>
      <c r="H14" s="266" t="s">
        <v>192</v>
      </c>
      <c r="I14" s="168">
        <f>PrixTotal_Materiaux_JZ04_JZ06+PrixTotal_MaindOeuvre_JZ04_JZ06</f>
        <v>215.88000000000002</v>
      </c>
      <c r="J14" s="19"/>
    </row>
    <row r="15" spans="1:13">
      <c r="A15" s="19"/>
      <c r="B15" s="19"/>
      <c r="C15" s="264" t="s">
        <v>189</v>
      </c>
      <c r="D15" s="184"/>
      <c r="E15" s="184"/>
      <c r="F15" s="185"/>
      <c r="G15" s="19"/>
      <c r="H15" s="19"/>
      <c r="I15" s="19"/>
      <c r="J15" s="19"/>
    </row>
    <row r="16" spans="1:13">
      <c r="A16" s="19"/>
      <c r="B16" s="19"/>
      <c r="C16" s="19"/>
      <c r="D16" s="19"/>
      <c r="E16" s="19"/>
      <c r="F16" s="19"/>
      <c r="G16" s="19"/>
      <c r="H16" s="19"/>
      <c r="I16" s="19"/>
      <c r="J16" s="19"/>
    </row>
  </sheetData>
  <mergeCells count="1">
    <mergeCell ref="A1:K2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0070C0"/>
  </sheetPr>
  <dimension ref="A1:BL53"/>
  <sheetViews>
    <sheetView tabSelected="1" zoomScale="85" zoomScaleNormal="85" workbookViewId="0">
      <selection activeCell="R11" sqref="R11"/>
    </sheetView>
  </sheetViews>
  <sheetFormatPr baseColWidth="10" defaultColWidth="11.44140625" defaultRowHeight="14.4"/>
  <cols>
    <col min="1" max="1" width="8.6640625" customWidth="1"/>
    <col min="2" max="2" width="12.21875" customWidth="1"/>
    <col min="3" max="3" width="8.6640625" customWidth="1"/>
    <col min="4" max="4" width="7.6640625" customWidth="1"/>
    <col min="5" max="7" width="8.6640625" customWidth="1"/>
    <col min="8" max="8" width="4.33203125" customWidth="1"/>
    <col min="9" max="9" width="8.6640625" customWidth="1"/>
    <col min="10" max="10" width="23.6640625" customWidth="1"/>
    <col min="11" max="13" width="7.6640625" customWidth="1"/>
    <col min="14" max="14" width="6.6640625" customWidth="1"/>
    <col min="15" max="15" width="7.6640625" customWidth="1"/>
    <col min="16" max="16" width="3.6640625" customWidth="1"/>
    <col min="17" max="24" width="11.44140625" customWidth="1"/>
    <col min="26" max="35" width="11.44140625" customWidth="1"/>
    <col min="57" max="64" width="11.44140625" customWidth="1"/>
  </cols>
  <sheetData>
    <row r="1" spans="1:64" ht="14.4" customHeight="1">
      <c r="A1" s="334" t="s">
        <v>214</v>
      </c>
      <c r="B1" s="334"/>
      <c r="C1" s="334"/>
      <c r="D1" s="334"/>
      <c r="E1" s="334"/>
      <c r="F1" s="334"/>
      <c r="G1" s="334"/>
      <c r="H1" s="334"/>
      <c r="I1" s="334"/>
      <c r="J1" s="334"/>
      <c r="K1" s="334"/>
      <c r="L1" s="334"/>
      <c r="M1" s="334"/>
      <c r="N1" s="334"/>
      <c r="O1" s="334"/>
      <c r="P1" s="334"/>
      <c r="AS1" s="138"/>
      <c r="AT1" s="138"/>
      <c r="AU1" s="138"/>
      <c r="AV1" s="138"/>
      <c r="AW1" s="138"/>
      <c r="AX1" s="138"/>
      <c r="AY1" s="138"/>
      <c r="AZ1" s="138"/>
      <c r="BA1" s="138"/>
      <c r="BB1" s="138"/>
      <c r="BC1" s="138"/>
      <c r="BD1" s="138"/>
      <c r="BE1" s="122"/>
      <c r="BF1" s="122"/>
      <c r="BG1" s="122"/>
      <c r="BH1" s="122"/>
      <c r="BI1" s="122"/>
      <c r="BJ1" s="122"/>
      <c r="BK1" s="122"/>
      <c r="BL1" s="122"/>
    </row>
    <row r="2" spans="1:64" ht="14.4" customHeight="1">
      <c r="A2" s="334"/>
      <c r="B2" s="334"/>
      <c r="C2" s="334"/>
      <c r="D2" s="334"/>
      <c r="E2" s="334"/>
      <c r="F2" s="334"/>
      <c r="G2" s="334"/>
      <c r="H2" s="334"/>
      <c r="I2" s="334"/>
      <c r="J2" s="334"/>
      <c r="K2" s="334"/>
      <c r="L2" s="334"/>
      <c r="M2" s="334"/>
      <c r="N2" s="334"/>
      <c r="O2" s="334"/>
      <c r="P2" s="334"/>
      <c r="AS2" s="138"/>
      <c r="AT2" s="138"/>
      <c r="AU2" s="138"/>
      <c r="AV2" s="138"/>
      <c r="AW2" s="138"/>
      <c r="AX2" s="138"/>
      <c r="AY2" s="138"/>
      <c r="AZ2" s="138"/>
      <c r="BA2" s="138"/>
      <c r="BB2" s="138"/>
      <c r="BC2" s="138"/>
      <c r="BD2" s="138"/>
      <c r="BE2" s="122"/>
      <c r="BF2" s="122"/>
      <c r="BG2" s="122"/>
      <c r="BH2" s="122"/>
      <c r="BI2" s="122"/>
      <c r="BJ2" s="122"/>
      <c r="BK2" s="122"/>
      <c r="BL2" s="122"/>
    </row>
    <row r="3" spans="1:64" ht="14.4" customHeight="1">
      <c r="A3" s="85" t="s">
        <v>136</v>
      </c>
      <c r="B3" s="85"/>
      <c r="C3" s="30"/>
      <c r="D3" s="28"/>
      <c r="E3" s="88"/>
      <c r="F3" s="19"/>
      <c r="G3" s="28"/>
      <c r="H3" s="86"/>
      <c r="I3" s="275" t="s">
        <v>47</v>
      </c>
      <c r="J3" s="275"/>
      <c r="K3" s="19"/>
      <c r="L3" s="19"/>
      <c r="M3" s="19"/>
      <c r="N3" s="19"/>
      <c r="O3" s="19"/>
      <c r="P3" s="19"/>
      <c r="AS3" s="138"/>
      <c r="AT3" s="138"/>
      <c r="AU3" s="138"/>
      <c r="AV3" s="138"/>
      <c r="AW3" s="138"/>
      <c r="AX3" s="138"/>
      <c r="AY3" s="138"/>
      <c r="AZ3" s="138"/>
      <c r="BA3" s="138"/>
      <c r="BB3" s="138"/>
      <c r="BC3" s="138"/>
      <c r="BD3" s="138"/>
      <c r="BE3" s="122"/>
      <c r="BF3" s="122"/>
      <c r="BG3" s="122"/>
      <c r="BH3" s="122"/>
      <c r="BI3" s="122"/>
      <c r="BJ3" s="122"/>
      <c r="BK3" s="122"/>
      <c r="BL3" s="122"/>
    </row>
    <row r="4" spans="1:64">
      <c r="A4" s="28"/>
      <c r="B4" s="28"/>
      <c r="C4" s="88"/>
      <c r="D4" s="88"/>
      <c r="E4" s="88"/>
      <c r="F4" s="19"/>
      <c r="G4" s="88"/>
      <c r="H4" s="112"/>
      <c r="I4" s="28"/>
      <c r="J4" s="19"/>
      <c r="K4" s="19"/>
      <c r="L4" s="19"/>
      <c r="M4" s="19"/>
      <c r="N4" s="19"/>
      <c r="O4" s="19"/>
      <c r="P4" s="19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88"/>
      <c r="BF4" s="118"/>
      <c r="BG4" s="118"/>
      <c r="BH4" s="118"/>
      <c r="BI4" s="118"/>
      <c r="BJ4" s="118"/>
      <c r="BK4" s="118"/>
      <c r="BL4" s="118"/>
    </row>
    <row r="5" spans="1:64">
      <c r="A5" s="88"/>
      <c r="B5" s="88"/>
      <c r="C5" s="30" t="s">
        <v>32</v>
      </c>
      <c r="D5" s="169">
        <v>248</v>
      </c>
      <c r="E5" s="72" t="s">
        <v>33</v>
      </c>
      <c r="F5" s="27"/>
      <c r="G5" s="72"/>
      <c r="H5" s="37"/>
      <c r="I5" s="28"/>
      <c r="J5" s="22" t="s">
        <v>86</v>
      </c>
      <c r="K5" s="169">
        <v>0</v>
      </c>
      <c r="L5" s="23" t="s">
        <v>48</v>
      </c>
      <c r="M5" s="169">
        <v>0</v>
      </c>
      <c r="N5" s="24" t="s">
        <v>33</v>
      </c>
      <c r="O5" s="24"/>
      <c r="P5" s="23"/>
      <c r="AS5" s="24"/>
      <c r="AT5" s="23"/>
      <c r="AU5" s="23"/>
      <c r="AV5" s="23"/>
      <c r="AW5" s="23"/>
      <c r="AX5" s="24"/>
      <c r="AY5" s="24"/>
      <c r="AZ5" s="24"/>
      <c r="BA5" s="24"/>
      <c r="BB5" s="24"/>
      <c r="BC5" s="24"/>
      <c r="BD5" s="24"/>
      <c r="BE5" s="88"/>
      <c r="BF5" s="28"/>
      <c r="BG5" s="28"/>
      <c r="BH5" s="28"/>
      <c r="BI5" s="28"/>
      <c r="BJ5" s="28"/>
      <c r="BK5" s="28"/>
      <c r="BL5" s="28"/>
    </row>
    <row r="6" spans="1:64">
      <c r="A6" s="28"/>
      <c r="B6" s="28"/>
      <c r="C6" s="30" t="s">
        <v>35</v>
      </c>
      <c r="D6" s="169">
        <v>185</v>
      </c>
      <c r="E6" s="72" t="s">
        <v>33</v>
      </c>
      <c r="F6" s="27"/>
      <c r="G6" s="72"/>
      <c r="H6" s="37"/>
      <c r="I6" s="28"/>
      <c r="J6" s="22" t="s">
        <v>91</v>
      </c>
      <c r="K6" s="169">
        <v>0</v>
      </c>
      <c r="L6" s="23" t="s">
        <v>48</v>
      </c>
      <c r="M6" s="169">
        <v>0</v>
      </c>
      <c r="N6" s="24" t="s">
        <v>33</v>
      </c>
      <c r="O6" s="19"/>
      <c r="P6" s="19"/>
      <c r="AS6" s="24"/>
      <c r="AT6" s="22"/>
      <c r="AU6" s="123"/>
      <c r="AV6" s="124"/>
      <c r="AW6" s="41"/>
      <c r="AX6" s="81"/>
      <c r="AY6" s="30"/>
      <c r="AZ6" s="202"/>
      <c r="BA6" s="27"/>
      <c r="BB6" s="24"/>
      <c r="BC6" s="24"/>
      <c r="BD6" s="24"/>
      <c r="BE6" s="72"/>
      <c r="BF6" s="124"/>
      <c r="BG6" s="125"/>
      <c r="BH6" s="126"/>
      <c r="BI6" s="127"/>
      <c r="BJ6" s="127"/>
      <c r="BK6" s="124"/>
      <c r="BL6" s="125"/>
    </row>
    <row r="7" spans="1:64">
      <c r="A7" s="28"/>
      <c r="B7" s="28"/>
      <c r="C7" s="30" t="s">
        <v>59</v>
      </c>
      <c r="D7" s="169">
        <v>175</v>
      </c>
      <c r="E7" s="72" t="s">
        <v>33</v>
      </c>
      <c r="F7" s="27"/>
      <c r="G7" s="72"/>
      <c r="H7" s="37"/>
      <c r="I7" s="28"/>
      <c r="J7" s="22" t="s">
        <v>96</v>
      </c>
      <c r="K7" s="169">
        <v>0</v>
      </c>
      <c r="L7" s="23" t="s">
        <v>48</v>
      </c>
      <c r="M7" s="169">
        <v>0</v>
      </c>
      <c r="N7" s="24" t="s">
        <v>33</v>
      </c>
      <c r="O7" s="19"/>
      <c r="P7" s="19"/>
      <c r="AS7" s="24"/>
      <c r="AT7" s="22"/>
      <c r="AU7" s="73"/>
      <c r="AV7" s="125"/>
      <c r="AW7" s="153"/>
      <c r="AX7" s="81"/>
      <c r="AY7" s="81"/>
      <c r="AZ7" s="81"/>
      <c r="BA7" s="24"/>
      <c r="BB7" s="24"/>
      <c r="BC7" s="24"/>
      <c r="BD7" s="24"/>
      <c r="BE7" s="72"/>
      <c r="BF7" s="124"/>
      <c r="BG7" s="125"/>
      <c r="BH7" s="126"/>
      <c r="BI7" s="127"/>
      <c r="BJ7" s="127"/>
      <c r="BK7" s="124"/>
      <c r="BL7" s="125"/>
    </row>
    <row r="8" spans="1:64">
      <c r="A8" s="28"/>
      <c r="B8" s="28"/>
      <c r="C8" s="30" t="s">
        <v>39</v>
      </c>
      <c r="D8" s="89">
        <f>Long_ChevronsBas_Chassis_JZ05-10</f>
        <v>238</v>
      </c>
      <c r="E8" s="72" t="s">
        <v>33</v>
      </c>
      <c r="F8" s="27"/>
      <c r="G8" s="72"/>
      <c r="H8" s="37"/>
      <c r="I8" s="88"/>
      <c r="J8" s="22" t="s">
        <v>101</v>
      </c>
      <c r="K8" s="169">
        <v>0</v>
      </c>
      <c r="L8" s="23" t="s">
        <v>48</v>
      </c>
      <c r="M8" s="169">
        <v>0</v>
      </c>
      <c r="N8" s="24" t="s">
        <v>33</v>
      </c>
      <c r="O8" s="19"/>
      <c r="P8" s="19"/>
      <c r="AS8" s="24"/>
      <c r="AT8" s="22"/>
      <c r="AU8" s="123"/>
      <c r="AV8" s="124"/>
      <c r="AW8" s="153"/>
      <c r="AX8" s="81"/>
      <c r="AY8" s="30"/>
      <c r="AZ8" s="154"/>
      <c r="BA8" s="24"/>
      <c r="BB8" s="24"/>
      <c r="BC8" s="24"/>
      <c r="BD8" s="24"/>
      <c r="BE8" s="72"/>
      <c r="BF8" s="124"/>
      <c r="BG8" s="125"/>
      <c r="BH8" s="126"/>
      <c r="BI8" s="127"/>
      <c r="BJ8" s="127"/>
      <c r="BK8" s="124"/>
      <c r="BL8" s="125"/>
    </row>
    <row r="9" spans="1:64">
      <c r="A9" s="28"/>
      <c r="B9" s="28"/>
      <c r="C9" s="88"/>
      <c r="D9" s="88"/>
      <c r="E9" s="88"/>
      <c r="F9" s="19"/>
      <c r="G9" s="72"/>
      <c r="H9" s="37"/>
      <c r="I9" s="88"/>
      <c r="J9" s="22" t="s">
        <v>87</v>
      </c>
      <c r="K9" s="169">
        <v>0</v>
      </c>
      <c r="L9" s="23" t="s">
        <v>48</v>
      </c>
      <c r="M9" s="169">
        <v>0</v>
      </c>
      <c r="N9" s="24" t="s">
        <v>33</v>
      </c>
      <c r="O9" s="24"/>
      <c r="P9" s="24"/>
      <c r="AS9" s="24"/>
      <c r="AT9" s="199"/>
      <c r="AU9" s="123"/>
      <c r="AV9" s="124"/>
      <c r="AW9" s="153"/>
      <c r="AX9" s="81"/>
      <c r="AY9" s="30"/>
      <c r="AZ9" s="154"/>
      <c r="BA9" s="24"/>
      <c r="BB9" s="24"/>
      <c r="BC9" s="24"/>
      <c r="BD9" s="24"/>
      <c r="BE9" s="74"/>
      <c r="BF9" s="128"/>
      <c r="BG9" s="128"/>
      <c r="BH9" s="126"/>
      <c r="BI9" s="126"/>
      <c r="BJ9" s="126"/>
      <c r="BK9" s="128"/>
      <c r="BL9" s="128"/>
    </row>
    <row r="10" spans="1:64">
      <c r="A10" s="85" t="s">
        <v>140</v>
      </c>
      <c r="B10" s="85"/>
      <c r="C10" s="88"/>
      <c r="D10" s="88"/>
      <c r="E10" s="88"/>
      <c r="F10" s="19"/>
      <c r="G10" s="28"/>
      <c r="H10" s="86"/>
      <c r="I10" s="88"/>
      <c r="J10" s="22" t="s">
        <v>92</v>
      </c>
      <c r="K10" s="169">
        <v>0</v>
      </c>
      <c r="L10" s="23" t="s">
        <v>48</v>
      </c>
      <c r="M10" s="169">
        <v>0</v>
      </c>
      <c r="N10" s="24" t="s">
        <v>33</v>
      </c>
      <c r="O10" s="19"/>
      <c r="P10" s="19"/>
      <c r="AS10" s="24"/>
      <c r="AT10" s="30"/>
      <c r="AU10" s="28"/>
      <c r="AV10" s="125"/>
      <c r="AW10" s="155"/>
      <c r="AX10" s="81"/>
      <c r="AY10" s="30"/>
      <c r="AZ10" s="156"/>
      <c r="BA10" s="27"/>
      <c r="BB10" s="24"/>
      <c r="BC10" s="24"/>
      <c r="BD10" s="24"/>
      <c r="BE10" s="74"/>
      <c r="BF10" s="128"/>
      <c r="BG10" s="128"/>
      <c r="BH10" s="126"/>
      <c r="BI10" s="126"/>
      <c r="BJ10" s="126"/>
      <c r="BK10" s="128"/>
      <c r="BL10" s="128"/>
    </row>
    <row r="11" spans="1:64">
      <c r="A11" s="82"/>
      <c r="B11" s="82"/>
      <c r="C11" s="88"/>
      <c r="D11" s="88"/>
      <c r="E11" s="88"/>
      <c r="F11" s="19"/>
      <c r="G11" s="72"/>
      <c r="H11" s="37"/>
      <c r="I11" s="88"/>
      <c r="J11" s="22" t="s">
        <v>97</v>
      </c>
      <c r="K11" s="169">
        <v>0</v>
      </c>
      <c r="L11" s="23" t="s">
        <v>48</v>
      </c>
      <c r="M11" s="169">
        <v>0</v>
      </c>
      <c r="N11" s="24" t="s">
        <v>33</v>
      </c>
      <c r="O11" s="19"/>
      <c r="P11" s="19"/>
      <c r="AS11" s="24"/>
      <c r="AT11" s="24"/>
      <c r="AU11" s="81"/>
      <c r="AV11" s="81"/>
      <c r="AW11" s="81"/>
      <c r="AX11" s="81"/>
      <c r="AY11" s="30"/>
      <c r="AZ11" s="154"/>
      <c r="BA11" s="27"/>
      <c r="BB11" s="24"/>
      <c r="BC11" s="24"/>
      <c r="BD11" s="24"/>
      <c r="BE11" s="88"/>
      <c r="BF11" s="118"/>
      <c r="BG11" s="118"/>
      <c r="BH11" s="118"/>
      <c r="BI11" s="88"/>
      <c r="BJ11" s="88"/>
      <c r="BK11" s="118"/>
      <c r="BL11" s="118"/>
    </row>
    <row r="12" spans="1:64">
      <c r="A12" s="28"/>
      <c r="B12" s="28"/>
      <c r="C12" s="30" t="s">
        <v>42</v>
      </c>
      <c r="D12" s="169">
        <v>4</v>
      </c>
      <c r="E12" s="72"/>
      <c r="F12" s="27"/>
      <c r="G12" s="72"/>
      <c r="H12" s="37"/>
      <c r="I12" s="88"/>
      <c r="J12" s="22" t="s">
        <v>102</v>
      </c>
      <c r="K12" s="169">
        <v>0</v>
      </c>
      <c r="L12" s="23" t="s">
        <v>48</v>
      </c>
      <c r="M12" s="169">
        <v>0</v>
      </c>
      <c r="N12" s="24" t="s">
        <v>33</v>
      </c>
      <c r="O12" s="19"/>
      <c r="P12" s="19"/>
      <c r="AS12" s="24"/>
      <c r="AT12" s="22"/>
      <c r="AU12" s="28"/>
      <c r="AV12" s="28"/>
      <c r="AW12" s="28"/>
      <c r="AX12" s="81"/>
      <c r="AY12" s="30"/>
      <c r="AZ12" s="44"/>
      <c r="BA12" s="23"/>
      <c r="BB12" s="24"/>
      <c r="BC12" s="24"/>
      <c r="BD12" s="24"/>
      <c r="BE12" s="88"/>
      <c r="BF12" s="28"/>
      <c r="BG12" s="28"/>
      <c r="BH12" s="28"/>
      <c r="BI12" s="81"/>
      <c r="BJ12" s="81"/>
      <c r="BK12" s="28"/>
      <c r="BL12" s="28"/>
    </row>
    <row r="13" spans="1:64" ht="14.4" customHeight="1">
      <c r="A13" s="28"/>
      <c r="B13" s="28"/>
      <c r="C13" s="30" t="s">
        <v>43</v>
      </c>
      <c r="D13" s="169">
        <v>4</v>
      </c>
      <c r="E13" s="81"/>
      <c r="F13" s="24"/>
      <c r="G13" s="72"/>
      <c r="H13" s="37"/>
      <c r="I13" s="88"/>
      <c r="J13" s="22" t="s">
        <v>88</v>
      </c>
      <c r="K13" s="169">
        <v>0</v>
      </c>
      <c r="L13" s="23" t="s">
        <v>48</v>
      </c>
      <c r="M13" s="169">
        <v>0</v>
      </c>
      <c r="N13" s="24" t="s">
        <v>33</v>
      </c>
      <c r="O13" s="24"/>
      <c r="P13" s="24"/>
      <c r="AS13" s="24"/>
      <c r="AT13" s="22"/>
      <c r="AU13" s="123"/>
      <c r="AV13" s="124"/>
      <c r="AW13" s="41"/>
      <c r="AX13" s="81"/>
      <c r="AY13" s="30"/>
      <c r="AZ13" s="44"/>
      <c r="BA13" s="23"/>
      <c r="BB13" s="24"/>
      <c r="BC13" s="24"/>
      <c r="BD13" s="24"/>
      <c r="BE13" s="72"/>
      <c r="BF13" s="124"/>
      <c r="BG13" s="125"/>
      <c r="BH13" s="126"/>
      <c r="BI13" s="158"/>
      <c r="BJ13" s="158"/>
      <c r="BK13" s="124"/>
      <c r="BL13" s="125"/>
    </row>
    <row r="14" spans="1:64">
      <c r="A14" s="88"/>
      <c r="B14" s="88"/>
      <c r="C14" s="30" t="s">
        <v>85</v>
      </c>
      <c r="D14" s="169">
        <v>40</v>
      </c>
      <c r="E14" s="72" t="s">
        <v>33</v>
      </c>
      <c r="F14" s="27"/>
      <c r="G14" s="88"/>
      <c r="H14" s="112"/>
      <c r="I14" s="88"/>
      <c r="J14" s="22" t="s">
        <v>93</v>
      </c>
      <c r="K14" s="169">
        <v>0</v>
      </c>
      <c r="L14" s="23" t="s">
        <v>48</v>
      </c>
      <c r="M14" s="169">
        <v>0</v>
      </c>
      <c r="N14" s="24" t="s">
        <v>33</v>
      </c>
      <c r="O14" s="19"/>
      <c r="P14" s="19"/>
      <c r="AS14" s="24"/>
      <c r="AT14" s="24"/>
      <c r="AU14" s="81"/>
      <c r="AV14" s="81"/>
      <c r="AW14" s="81"/>
      <c r="AX14" s="81"/>
      <c r="AY14" s="30"/>
      <c r="AZ14" s="157"/>
      <c r="BA14" s="24"/>
      <c r="BB14" s="24"/>
      <c r="BC14" s="24"/>
      <c r="BD14" s="24"/>
      <c r="BE14" s="19"/>
      <c r="BF14" s="19"/>
      <c r="BG14" s="19"/>
      <c r="BH14" s="19"/>
      <c r="BI14" s="19"/>
      <c r="BJ14" s="19"/>
      <c r="BK14" s="19"/>
      <c r="BL14" s="19"/>
    </row>
    <row r="15" spans="1:64">
      <c r="A15" s="88"/>
      <c r="B15" s="88"/>
      <c r="C15" s="30" t="s">
        <v>84</v>
      </c>
      <c r="D15" s="169">
        <v>40</v>
      </c>
      <c r="E15" s="72" t="s">
        <v>33</v>
      </c>
      <c r="F15" s="27"/>
      <c r="G15" s="88"/>
      <c r="H15" s="112"/>
      <c r="I15" s="88"/>
      <c r="J15" s="22" t="s">
        <v>98</v>
      </c>
      <c r="K15" s="169">
        <v>0</v>
      </c>
      <c r="L15" s="23" t="s">
        <v>48</v>
      </c>
      <c r="M15" s="169">
        <v>0</v>
      </c>
      <c r="N15" s="24" t="s">
        <v>33</v>
      </c>
      <c r="O15" s="19"/>
      <c r="P15" s="19"/>
      <c r="AS15" s="19"/>
      <c r="AT15" s="19"/>
      <c r="AU15" s="192"/>
      <c r="AV15" s="115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</row>
    <row r="16" spans="1:64">
      <c r="A16" s="19"/>
      <c r="B16" s="19"/>
      <c r="C16" s="19"/>
      <c r="D16" s="19"/>
      <c r="E16" s="19"/>
      <c r="F16" s="19"/>
      <c r="G16" s="88"/>
      <c r="H16" s="112"/>
      <c r="I16" s="88"/>
      <c r="J16" s="22" t="s">
        <v>103</v>
      </c>
      <c r="K16" s="169">
        <v>0</v>
      </c>
      <c r="L16" s="23" t="s">
        <v>48</v>
      </c>
      <c r="M16" s="169">
        <v>0</v>
      </c>
      <c r="N16" s="24" t="s">
        <v>33</v>
      </c>
      <c r="O16" s="19"/>
      <c r="P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</row>
    <row r="17" spans="1:64">
      <c r="A17" s="31" t="s">
        <v>61</v>
      </c>
      <c r="B17" s="25"/>
      <c r="C17" s="19"/>
      <c r="D17" s="19"/>
      <c r="E17" s="19"/>
      <c r="F17" s="19"/>
      <c r="G17" s="88"/>
      <c r="H17" s="112"/>
      <c r="I17" s="88"/>
      <c r="J17" s="22" t="s">
        <v>89</v>
      </c>
      <c r="K17" s="169">
        <v>0</v>
      </c>
      <c r="L17" s="23" t="s">
        <v>48</v>
      </c>
      <c r="M17" s="169">
        <v>0</v>
      </c>
      <c r="N17" s="24" t="s">
        <v>33</v>
      </c>
      <c r="O17" s="19"/>
      <c r="P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</row>
    <row r="18" spans="1:64">
      <c r="A18" s="19"/>
      <c r="B18" s="19"/>
      <c r="C18" s="19"/>
      <c r="D18" s="19"/>
      <c r="E18" s="19"/>
      <c r="F18" s="88"/>
      <c r="G18" s="88"/>
      <c r="H18" s="112"/>
      <c r="I18" s="88"/>
      <c r="J18" s="22" t="s">
        <v>94</v>
      </c>
      <c r="K18" s="169">
        <v>0</v>
      </c>
      <c r="L18" s="23" t="s">
        <v>48</v>
      </c>
      <c r="M18" s="169">
        <v>0</v>
      </c>
      <c r="N18" s="24" t="s">
        <v>33</v>
      </c>
      <c r="O18" s="19"/>
      <c r="P18" s="19"/>
    </row>
    <row r="19" spans="1:64">
      <c r="A19" s="19"/>
      <c r="B19" s="22" t="s">
        <v>62</v>
      </c>
      <c r="C19" s="22" t="s">
        <v>63</v>
      </c>
      <c r="D19" s="89">
        <f>IF(Long_ChevronsHaut_Chassis_JZ05=0,0,Long_ChevronsHaut_Chassis_JZ05)</f>
        <v>185</v>
      </c>
      <c r="E19" s="23" t="s">
        <v>58</v>
      </c>
      <c r="F19" s="30" t="s">
        <v>64</v>
      </c>
      <c r="G19" s="89">
        <f>IF(Hauteur_Chassis_JZ05=0,0,Hauteur_Chassis_JZ05-15)</f>
        <v>160</v>
      </c>
      <c r="H19" s="86"/>
      <c r="I19" s="88"/>
      <c r="J19" s="22" t="s">
        <v>99</v>
      </c>
      <c r="K19" s="169">
        <v>0</v>
      </c>
      <c r="L19" s="23" t="s">
        <v>48</v>
      </c>
      <c r="M19" s="169">
        <v>0</v>
      </c>
      <c r="N19" s="24" t="s">
        <v>33</v>
      </c>
      <c r="O19" s="19"/>
      <c r="P19" s="19"/>
    </row>
    <row r="20" spans="1:64">
      <c r="A20" s="19"/>
      <c r="B20" s="22" t="s">
        <v>65</v>
      </c>
      <c r="C20" s="22" t="s">
        <v>66</v>
      </c>
      <c r="D20" s="89">
        <f>IF(Long_ChevronsBas_Chassis_JZ05=0,0,Long_ChevronsBas_Chassis_JZ05-10)</f>
        <v>238</v>
      </c>
      <c r="E20" s="23" t="s">
        <v>58</v>
      </c>
      <c r="F20" s="30" t="s">
        <v>64</v>
      </c>
      <c r="G20" s="89">
        <f>IF(Hauteur_Chassis_JZ05=0,0,Hauteur_Chassis_JZ05-23)</f>
        <v>152</v>
      </c>
      <c r="H20" s="86"/>
      <c r="I20" s="81"/>
      <c r="J20" s="199" t="s">
        <v>104</v>
      </c>
      <c r="K20" s="169">
        <v>0</v>
      </c>
      <c r="L20" s="23" t="s">
        <v>48</v>
      </c>
      <c r="M20" s="169">
        <v>0</v>
      </c>
      <c r="N20" s="24" t="s">
        <v>33</v>
      </c>
      <c r="O20" s="19"/>
      <c r="P20" s="19"/>
    </row>
    <row r="21" spans="1:64">
      <c r="A21" s="19"/>
      <c r="B21" s="22" t="s">
        <v>67</v>
      </c>
      <c r="C21" s="22" t="s">
        <v>63</v>
      </c>
      <c r="D21" s="89">
        <f>IF(Long_ChevronsHaut_Chassis_JZ05=0,0,IF(Long_ChevronsHaut_Chassis_JZ05&gt;Long_ChevronsBas_Chassis_JZ05,Long_ChevronsHaut_Chassis_JZ05,Long_ChevronsBas_Chassis_JZ05))</f>
        <v>248</v>
      </c>
      <c r="E21" s="23" t="s">
        <v>58</v>
      </c>
      <c r="F21" s="30" t="s">
        <v>66</v>
      </c>
      <c r="G21" s="89">
        <f>IF(Long_ChevronsBas_Chassis_JZ05=0,0,IF(Long_ChevronsHaut_Chassis_JZ05&gt;Long_ChevronsBas_Chassis_JZ05,Long_ChevronsBas_Chassis_JZ05,Long_ChevronsHaut_Chassis_JZ05))</f>
        <v>185</v>
      </c>
      <c r="H21" s="86"/>
      <c r="I21" s="81"/>
      <c r="J21" s="199" t="s">
        <v>90</v>
      </c>
      <c r="K21" s="169">
        <v>0</v>
      </c>
      <c r="L21" s="23" t="s">
        <v>48</v>
      </c>
      <c r="M21" s="169">
        <v>0</v>
      </c>
      <c r="N21" s="24" t="s">
        <v>33</v>
      </c>
      <c r="O21" s="19"/>
      <c r="P21" s="23"/>
    </row>
    <row r="22" spans="1:64">
      <c r="A22" s="19"/>
      <c r="B22" s="19"/>
      <c r="C22" s="19"/>
      <c r="D22" s="19"/>
      <c r="E22" s="19"/>
      <c r="F22" s="88"/>
      <c r="G22" s="88"/>
      <c r="H22" s="36"/>
      <c r="I22" s="88"/>
      <c r="J22" s="199" t="s">
        <v>95</v>
      </c>
      <c r="K22" s="169">
        <v>0</v>
      </c>
      <c r="L22" s="23" t="s">
        <v>48</v>
      </c>
      <c r="M22" s="169">
        <v>0</v>
      </c>
      <c r="N22" s="24" t="s">
        <v>33</v>
      </c>
      <c r="O22" s="24"/>
      <c r="P22" s="24"/>
    </row>
    <row r="23" spans="1:64">
      <c r="A23" s="87" t="s">
        <v>154</v>
      </c>
      <c r="B23" s="19"/>
      <c r="C23" s="19"/>
      <c r="D23" s="19"/>
      <c r="E23" s="19"/>
      <c r="F23" s="88"/>
      <c r="G23" s="88"/>
      <c r="H23" s="36"/>
      <c r="I23" s="88"/>
      <c r="J23" s="199" t="s">
        <v>100</v>
      </c>
      <c r="K23" s="169">
        <v>0</v>
      </c>
      <c r="L23" s="23" t="s">
        <v>48</v>
      </c>
      <c r="M23" s="169">
        <v>0</v>
      </c>
      <c r="N23" s="24" t="s">
        <v>33</v>
      </c>
      <c r="O23" s="24"/>
      <c r="P23" s="24"/>
    </row>
    <row r="24" spans="1:64">
      <c r="A24" s="19"/>
      <c r="B24" s="22" t="s">
        <v>63</v>
      </c>
      <c r="C24" s="89">
        <f>IF(Long_ChevronsHaut_Chassis_JZ05=0,0,IF(Long_ChevronsHaut_Chassis_JZ05&gt;Long_ChevronsBas_Chassis_JZ05,Long_ChevronsHaut_Chassis_JZ05+20,Long_ChevronsBas_Chassis_JZ05+20))</f>
        <v>268</v>
      </c>
      <c r="D24" s="192" t="s">
        <v>66</v>
      </c>
      <c r="E24" s="89">
        <f>IF(Long_ChevronsBas_Chassis_JZ05=0,0,IF(Long_ChevronsBas_Chassis_JZ05&lt;Long_ChevronsHaut_Chassis_JZ05,Long_ChevronsBas_Chassis_JZ05+20,Long_ChevronsHaut_Chassis_JZ05+20))</f>
        <v>205</v>
      </c>
      <c r="F24" s="193" t="s">
        <v>64</v>
      </c>
      <c r="G24" s="89">
        <f>IF(Hauteur_Chassis_JZ05=0,0,(Hauteur_Chassis_JZ05-30))</f>
        <v>145</v>
      </c>
      <c r="H24" s="91"/>
      <c r="I24" s="88"/>
      <c r="J24" s="199" t="s">
        <v>105</v>
      </c>
      <c r="K24" s="169">
        <v>0</v>
      </c>
      <c r="L24" s="23" t="s">
        <v>48</v>
      </c>
      <c r="M24" s="169">
        <v>0</v>
      </c>
      <c r="N24" s="24" t="s">
        <v>33</v>
      </c>
      <c r="O24" s="19"/>
      <c r="P24" s="19"/>
    </row>
    <row r="25" spans="1:64">
      <c r="A25" s="19"/>
      <c r="B25" s="19"/>
      <c r="C25" s="19"/>
      <c r="D25" s="19"/>
      <c r="E25" s="19"/>
      <c r="F25" s="24"/>
      <c r="G25" s="88"/>
      <c r="H25" s="112"/>
      <c r="I25" s="88"/>
      <c r="J25" s="22" t="s">
        <v>106</v>
      </c>
      <c r="K25" s="169">
        <v>0</v>
      </c>
      <c r="L25" s="23" t="s">
        <v>48</v>
      </c>
      <c r="M25" s="171">
        <v>0</v>
      </c>
      <c r="N25" s="24" t="s">
        <v>50</v>
      </c>
      <c r="O25" s="169">
        <v>0</v>
      </c>
      <c r="P25" s="24" t="s">
        <v>33</v>
      </c>
    </row>
    <row r="26" spans="1:64">
      <c r="A26" s="114" t="s">
        <v>141</v>
      </c>
      <c r="B26" s="114"/>
      <c r="C26" s="19"/>
      <c r="D26" s="19"/>
      <c r="E26" s="19"/>
      <c r="F26" s="24"/>
      <c r="G26" s="88"/>
      <c r="H26" s="112"/>
      <c r="I26" s="88"/>
      <c r="J26" s="22" t="s">
        <v>107</v>
      </c>
      <c r="K26" s="169">
        <v>0</v>
      </c>
      <c r="L26" s="23" t="s">
        <v>48</v>
      </c>
      <c r="M26" s="171">
        <v>0</v>
      </c>
      <c r="N26" s="24" t="s">
        <v>50</v>
      </c>
      <c r="O26" s="169">
        <v>0</v>
      </c>
      <c r="P26" s="24" t="s">
        <v>33</v>
      </c>
    </row>
    <row r="27" spans="1:64">
      <c r="A27" s="19"/>
      <c r="B27" s="19"/>
      <c r="C27" s="19"/>
      <c r="D27" s="19"/>
      <c r="E27" s="19"/>
      <c r="F27" s="27"/>
      <c r="G27" s="88"/>
      <c r="H27" s="112"/>
      <c r="I27" s="88"/>
      <c r="J27" s="22" t="s">
        <v>108</v>
      </c>
      <c r="K27" s="169">
        <v>0</v>
      </c>
      <c r="L27" s="23" t="s">
        <v>48</v>
      </c>
      <c r="M27" s="171">
        <v>0</v>
      </c>
      <c r="N27" s="24" t="s">
        <v>50</v>
      </c>
      <c r="O27" s="169">
        <v>0</v>
      </c>
      <c r="P27" s="24" t="s">
        <v>33</v>
      </c>
    </row>
    <row r="28" spans="1:64">
      <c r="A28" s="19"/>
      <c r="B28" s="19"/>
      <c r="C28" s="22" t="s">
        <v>166</v>
      </c>
      <c r="D28" s="170">
        <v>600</v>
      </c>
      <c r="E28" s="24" t="s">
        <v>41</v>
      </c>
      <c r="F28" s="27"/>
      <c r="G28" s="88"/>
      <c r="H28" s="112"/>
      <c r="I28" s="88"/>
      <c r="J28" s="22" t="s">
        <v>109</v>
      </c>
      <c r="K28" s="169">
        <v>0</v>
      </c>
      <c r="L28" s="23" t="s">
        <v>48</v>
      </c>
      <c r="M28" s="171">
        <v>0</v>
      </c>
      <c r="N28" s="24" t="s">
        <v>50</v>
      </c>
      <c r="O28" s="169">
        <v>0</v>
      </c>
      <c r="P28" s="24" t="s">
        <v>33</v>
      </c>
    </row>
    <row r="29" spans="1:64">
      <c r="A29" s="19"/>
      <c r="B29" s="19"/>
      <c r="C29" s="19"/>
      <c r="D29" s="19"/>
      <c r="E29" s="19"/>
      <c r="F29" s="19"/>
      <c r="G29" s="88"/>
      <c r="H29" s="112"/>
      <c r="I29" s="88"/>
      <c r="J29" s="19"/>
      <c r="K29" s="19"/>
      <c r="L29" s="24"/>
      <c r="M29" s="24"/>
      <c r="N29" s="24"/>
      <c r="O29" s="24"/>
      <c r="P29" s="24"/>
    </row>
    <row r="30" spans="1:64">
      <c r="A30" s="114" t="s">
        <v>142</v>
      </c>
      <c r="B30" s="114"/>
      <c r="C30" s="19"/>
      <c r="D30" s="19"/>
      <c r="E30" s="19"/>
      <c r="F30" s="19"/>
      <c r="G30" s="88"/>
      <c r="H30" s="112"/>
      <c r="I30" s="88"/>
      <c r="J30" s="19"/>
      <c r="K30" s="19"/>
      <c r="L30" s="23"/>
      <c r="M30" s="23"/>
      <c r="N30" s="23"/>
      <c r="O30" s="23"/>
      <c r="P30" s="23"/>
    </row>
    <row r="31" spans="1:64">
      <c r="A31" s="19"/>
      <c r="B31" s="19"/>
      <c r="C31" s="19"/>
      <c r="D31" s="19"/>
      <c r="E31" s="19"/>
      <c r="F31" s="19"/>
      <c r="G31" s="88"/>
      <c r="H31" s="112"/>
      <c r="I31" s="88"/>
      <c r="J31" s="19"/>
      <c r="K31" s="19"/>
      <c r="L31" s="24"/>
      <c r="M31" s="24"/>
      <c r="N31" s="24"/>
      <c r="O31" s="24"/>
      <c r="P31" s="24"/>
    </row>
    <row r="32" spans="1:64">
      <c r="A32" s="19"/>
      <c r="B32" s="19"/>
      <c r="C32" s="22" t="s">
        <v>167</v>
      </c>
      <c r="D32" s="169">
        <v>0</v>
      </c>
      <c r="E32" s="27" t="s">
        <v>46</v>
      </c>
      <c r="F32" s="19"/>
      <c r="G32" s="19"/>
      <c r="H32" s="112"/>
      <c r="I32" s="19"/>
      <c r="J32" s="19"/>
      <c r="K32" s="19"/>
      <c r="L32" s="24"/>
      <c r="M32" s="24"/>
      <c r="N32" s="24"/>
      <c r="O32" s="24"/>
      <c r="P32" s="24"/>
    </row>
    <row r="34" spans="1:19">
      <c r="A34" s="30"/>
      <c r="B34" s="28"/>
      <c r="C34" s="72"/>
      <c r="D34" s="28"/>
      <c r="E34" s="72"/>
      <c r="F34" s="73"/>
      <c r="G34" s="81"/>
      <c r="H34" s="81"/>
      <c r="I34" s="81"/>
      <c r="J34" s="40"/>
      <c r="K34" s="83"/>
      <c r="L34" s="28"/>
      <c r="M34" s="28"/>
      <c r="N34" s="28"/>
      <c r="O34" s="28"/>
      <c r="P34" s="81"/>
      <c r="Q34" s="81"/>
      <c r="R34" s="40"/>
      <c r="S34" s="21"/>
    </row>
    <row r="35" spans="1:19">
      <c r="A35" s="30"/>
      <c r="B35" s="28"/>
      <c r="C35" s="72"/>
      <c r="D35" s="28"/>
      <c r="E35" s="72"/>
      <c r="F35" s="73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21"/>
    </row>
    <row r="36" spans="1:19">
      <c r="A36" s="81"/>
      <c r="B36" s="101"/>
      <c r="C36" s="101"/>
      <c r="D36" s="102"/>
      <c r="E36" s="102"/>
      <c r="F36" s="102"/>
      <c r="K36" s="84"/>
      <c r="L36" s="81"/>
      <c r="M36" s="81"/>
      <c r="N36" s="81"/>
      <c r="O36" s="81"/>
      <c r="P36" s="81"/>
      <c r="Q36" s="81"/>
      <c r="R36" s="81"/>
      <c r="S36" s="21"/>
    </row>
    <row r="37" spans="1:19">
      <c r="A37" s="81"/>
      <c r="B37" s="101"/>
      <c r="C37" s="101"/>
      <c r="D37" s="103"/>
      <c r="E37" s="104"/>
      <c r="F37" s="103"/>
      <c r="I37" s="105"/>
      <c r="J37" s="102"/>
      <c r="K37" s="81"/>
      <c r="L37" s="81"/>
      <c r="M37" s="81"/>
      <c r="N37" s="81"/>
      <c r="O37" s="81"/>
      <c r="P37" s="81"/>
      <c r="Q37" s="81"/>
      <c r="R37" s="81"/>
      <c r="S37" s="21"/>
    </row>
    <row r="38" spans="1:19">
      <c r="A38" s="81"/>
      <c r="B38" s="101"/>
      <c r="C38" s="101"/>
      <c r="D38" s="106"/>
      <c r="E38" s="106"/>
      <c r="F38" s="106"/>
      <c r="I38" s="104"/>
      <c r="J38" s="103"/>
      <c r="K38" s="81"/>
      <c r="L38" s="28"/>
      <c r="M38" s="28"/>
      <c r="N38" s="81"/>
      <c r="O38" s="81"/>
      <c r="P38" s="81"/>
      <c r="Q38" s="81"/>
      <c r="R38" s="81"/>
      <c r="S38" s="21"/>
    </row>
    <row r="39" spans="1:19">
      <c r="A39" s="81"/>
      <c r="B39" s="106"/>
      <c r="C39" s="106"/>
      <c r="D39" s="102"/>
      <c r="E39" s="102"/>
      <c r="F39" s="102"/>
      <c r="I39" s="104"/>
      <c r="J39" s="103"/>
      <c r="K39" s="81"/>
      <c r="L39" s="28"/>
      <c r="M39" s="28"/>
      <c r="N39" s="81"/>
      <c r="O39" s="81"/>
      <c r="P39" s="81"/>
      <c r="Q39" s="81"/>
      <c r="R39" s="81"/>
      <c r="S39" s="21"/>
    </row>
    <row r="40" spans="1:19">
      <c r="A40" s="81"/>
      <c r="B40" s="101"/>
      <c r="C40" s="101"/>
      <c r="D40" s="102"/>
      <c r="E40" s="102"/>
      <c r="F40" s="102"/>
      <c r="I40" s="102"/>
      <c r="J40" s="103"/>
      <c r="K40" s="81"/>
      <c r="L40" s="28"/>
      <c r="M40" s="28"/>
      <c r="N40" s="81"/>
      <c r="O40" s="81"/>
      <c r="P40" s="81"/>
      <c r="Q40" s="81"/>
      <c r="R40" s="81"/>
      <c r="S40" s="21"/>
    </row>
    <row r="41" spans="1:19">
      <c r="A41" s="81"/>
      <c r="B41" s="101"/>
      <c r="C41" s="101"/>
      <c r="D41" s="102"/>
      <c r="E41" s="102"/>
      <c r="F41" s="102"/>
      <c r="I41" s="105"/>
      <c r="J41" s="106"/>
      <c r="K41" s="81"/>
      <c r="L41" s="28"/>
      <c r="M41" s="28"/>
      <c r="N41" s="81"/>
      <c r="O41" s="81"/>
      <c r="P41" s="28"/>
      <c r="Q41" s="81"/>
      <c r="R41" s="81"/>
      <c r="S41" s="21"/>
    </row>
    <row r="42" spans="1:19">
      <c r="A42" s="24"/>
      <c r="B42" s="101"/>
      <c r="C42" s="101"/>
      <c r="D42" s="102"/>
      <c r="E42" s="102"/>
      <c r="F42" s="102"/>
      <c r="I42" s="102"/>
      <c r="J42" s="103"/>
      <c r="K42" s="24"/>
      <c r="L42" s="24"/>
      <c r="M42" s="24"/>
      <c r="N42" s="24"/>
      <c r="O42" s="24"/>
      <c r="P42" s="24"/>
      <c r="Q42" s="24"/>
      <c r="R42" s="24"/>
      <c r="S42" s="21"/>
    </row>
    <row r="43" spans="1:19">
      <c r="B43" s="102"/>
      <c r="C43" s="101"/>
      <c r="D43" s="102"/>
      <c r="E43" s="102"/>
      <c r="F43" s="102"/>
      <c r="I43" s="102"/>
      <c r="J43" s="103"/>
      <c r="K43" s="19"/>
      <c r="L43" s="19"/>
      <c r="M43" s="19"/>
      <c r="N43" s="19"/>
      <c r="O43" s="19"/>
      <c r="P43" s="19"/>
      <c r="Q43" s="19"/>
      <c r="R43" s="19"/>
    </row>
    <row r="44" spans="1:19">
      <c r="B44" s="101"/>
      <c r="C44" s="101"/>
      <c r="D44" s="102"/>
      <c r="E44" s="102"/>
      <c r="F44" s="102"/>
      <c r="I44" s="102"/>
      <c r="J44" s="103"/>
      <c r="K44" s="19"/>
      <c r="L44" s="19"/>
      <c r="M44" s="19"/>
      <c r="N44" s="19"/>
      <c r="O44" s="19"/>
      <c r="P44" s="19"/>
      <c r="Q44" s="19"/>
      <c r="R44" s="19"/>
    </row>
    <row r="45" spans="1:19">
      <c r="B45" s="101"/>
      <c r="C45" s="101"/>
      <c r="D45" s="102"/>
      <c r="E45" s="102"/>
      <c r="F45" s="102"/>
      <c r="I45" s="105"/>
      <c r="J45" s="102"/>
      <c r="K45" s="19"/>
      <c r="L45" s="19"/>
      <c r="M45" s="19"/>
      <c r="N45" s="19"/>
      <c r="O45" s="19"/>
      <c r="P45" s="19"/>
      <c r="Q45" s="19"/>
      <c r="R45" s="19"/>
    </row>
    <row r="46" spans="1:19">
      <c r="B46" s="101"/>
      <c r="C46" s="101"/>
      <c r="D46" s="102"/>
      <c r="E46" s="102"/>
      <c r="F46" s="102"/>
      <c r="I46" s="102"/>
      <c r="J46" s="103"/>
      <c r="K46" s="19"/>
      <c r="L46" s="19"/>
      <c r="M46" s="19"/>
      <c r="N46" s="19"/>
      <c r="O46" s="19"/>
      <c r="P46" s="19"/>
      <c r="Q46" s="19"/>
      <c r="R46" s="19"/>
    </row>
    <row r="47" spans="1:19">
      <c r="B47" s="106"/>
      <c r="C47" s="106"/>
      <c r="D47" s="106"/>
      <c r="E47" s="106"/>
      <c r="F47" s="106"/>
      <c r="I47" s="102"/>
      <c r="J47" s="103"/>
      <c r="K47" s="19"/>
      <c r="L47" s="19"/>
      <c r="M47" s="19"/>
      <c r="N47" s="19"/>
      <c r="O47" s="19"/>
      <c r="P47" s="19"/>
      <c r="Q47" s="19"/>
      <c r="R47" s="19"/>
    </row>
    <row r="48" spans="1:19">
      <c r="B48" s="103"/>
      <c r="C48" s="102"/>
      <c r="D48" s="102"/>
      <c r="E48" s="102"/>
      <c r="F48" s="102"/>
      <c r="I48" s="102"/>
      <c r="J48" s="103"/>
      <c r="K48" s="19"/>
      <c r="L48" s="19"/>
      <c r="M48" s="19"/>
      <c r="N48" s="19"/>
      <c r="O48" s="19"/>
      <c r="P48" s="19"/>
      <c r="Q48" s="19"/>
      <c r="R48" s="19"/>
    </row>
    <row r="49" spans="2:18">
      <c r="B49" s="103"/>
      <c r="C49" s="102"/>
      <c r="D49" s="102"/>
      <c r="E49" s="102"/>
      <c r="F49" s="102"/>
      <c r="I49" s="107"/>
      <c r="J49" s="106"/>
      <c r="K49" s="19"/>
      <c r="L49" s="19"/>
      <c r="M49" s="19"/>
      <c r="N49" s="19"/>
      <c r="O49" s="19"/>
      <c r="P49" s="19"/>
      <c r="Q49" s="19"/>
      <c r="R49" s="19"/>
    </row>
    <row r="50" spans="2:18">
      <c r="B50" s="103"/>
      <c r="C50" s="102"/>
      <c r="D50" s="102"/>
      <c r="E50" s="102"/>
      <c r="F50" s="102"/>
      <c r="I50" s="102"/>
      <c r="J50" s="103"/>
      <c r="K50" s="19"/>
      <c r="L50" s="19"/>
      <c r="M50" s="19"/>
      <c r="N50" s="19"/>
      <c r="O50" s="19"/>
      <c r="P50" s="19"/>
      <c r="Q50" s="19"/>
      <c r="R50" s="19"/>
    </row>
    <row r="51" spans="2:18">
      <c r="B51" s="103"/>
      <c r="C51" s="102"/>
      <c r="D51" s="102"/>
      <c r="E51" s="103"/>
      <c r="F51" s="102"/>
      <c r="I51" s="102"/>
      <c r="J51" s="103"/>
      <c r="K51" s="19"/>
      <c r="L51" s="19"/>
      <c r="M51" s="19"/>
      <c r="N51" s="19"/>
      <c r="O51" s="19"/>
      <c r="P51" s="19"/>
      <c r="Q51" s="19"/>
      <c r="R51" s="19"/>
    </row>
    <row r="52" spans="2:18">
      <c r="I52" s="102"/>
      <c r="J52" s="103"/>
      <c r="K52" s="19"/>
      <c r="L52" s="19"/>
      <c r="M52" s="19"/>
      <c r="N52" s="19"/>
      <c r="O52" s="19"/>
      <c r="P52" s="19"/>
      <c r="Q52" s="19"/>
      <c r="R52" s="19"/>
    </row>
    <row r="53" spans="2:18">
      <c r="I53" s="102"/>
      <c r="J53" s="103"/>
    </row>
  </sheetData>
  <mergeCells count="1">
    <mergeCell ref="A1:P2"/>
  </mergeCells>
  <pageMargins left="0.25" right="0.25" top="0.75" bottom="0.75" header="0.3" footer="0.3"/>
  <pageSetup paperSize="9" orientation="landscape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2">
    <tabColor rgb="FF0070C0"/>
  </sheetPr>
  <dimension ref="A1:AQ36"/>
  <sheetViews>
    <sheetView zoomScale="85" zoomScaleNormal="85" workbookViewId="0">
      <selection activeCell="I14" sqref="I14"/>
    </sheetView>
  </sheetViews>
  <sheetFormatPr baseColWidth="10" defaultRowHeight="14.4"/>
  <cols>
    <col min="1" max="1" width="8.5546875" customWidth="1"/>
    <col min="2" max="2" width="14.5546875" customWidth="1"/>
    <col min="3" max="3" width="8.77734375" customWidth="1"/>
    <col min="4" max="4" width="3.77734375" customWidth="1"/>
    <col min="5" max="5" width="8.77734375" customWidth="1"/>
    <col min="6" max="6" width="6.77734375" customWidth="1"/>
    <col min="7" max="7" width="8.5546875" customWidth="1"/>
    <col min="8" max="8" width="8.77734375" customWidth="1"/>
    <col min="9" max="9" width="11.88671875" customWidth="1"/>
    <col min="10" max="10" width="8.5546875" customWidth="1"/>
    <col min="11" max="11" width="8.77734375" customWidth="1"/>
    <col min="12" max="12" width="3.77734375" customWidth="1"/>
    <col min="13" max="13" width="8.77734375" customWidth="1"/>
    <col min="14" max="15" width="3.77734375" customWidth="1"/>
    <col min="16" max="16" width="8.77734375" customWidth="1"/>
    <col min="17" max="17" width="3.77734375" customWidth="1"/>
    <col min="18" max="18" width="13.77734375" customWidth="1"/>
    <col min="20" max="20" width="13.77734375" customWidth="1"/>
    <col min="21" max="21" width="3.5546875" customWidth="1"/>
    <col min="22" max="22" width="13.77734375" customWidth="1"/>
    <col min="23" max="23" width="14.6640625" customWidth="1"/>
    <col min="24" max="24" width="15.44140625" customWidth="1"/>
    <col min="25" max="25" width="5.5546875" customWidth="1"/>
    <col min="26" max="26" width="8.77734375" customWidth="1"/>
    <col min="28" max="28" width="8.77734375" customWidth="1"/>
    <col min="29" max="29" width="9.44140625" customWidth="1"/>
    <col min="34" max="34" width="6.109375" customWidth="1"/>
    <col min="40" max="40" width="9.33203125" customWidth="1"/>
  </cols>
  <sheetData>
    <row r="1" spans="1:43" ht="31.2">
      <c r="A1" s="334" t="s">
        <v>134</v>
      </c>
      <c r="B1" s="334"/>
      <c r="C1" s="334"/>
      <c r="D1" s="334"/>
      <c r="E1" s="334" t="s">
        <v>152</v>
      </c>
      <c r="F1" s="334"/>
      <c r="G1" s="334"/>
      <c r="H1" s="362" t="s">
        <v>181</v>
      </c>
      <c r="I1" s="362"/>
      <c r="J1" s="362"/>
      <c r="K1" s="334" t="s">
        <v>151</v>
      </c>
      <c r="L1" s="334"/>
      <c r="M1" s="334"/>
      <c r="N1" s="362">
        <v>1</v>
      </c>
      <c r="O1" s="362"/>
      <c r="P1" s="362"/>
      <c r="Q1" s="362"/>
      <c r="R1" s="361" t="s">
        <v>134</v>
      </c>
      <c r="S1" s="361"/>
      <c r="T1" s="361"/>
      <c r="U1" s="361" t="s">
        <v>152</v>
      </c>
      <c r="V1" s="361"/>
      <c r="W1" s="362" t="s">
        <v>181</v>
      </c>
      <c r="X1" s="362"/>
      <c r="Y1" s="362"/>
      <c r="Z1" s="361" t="s">
        <v>151</v>
      </c>
      <c r="AA1" s="361"/>
      <c r="AB1" s="412">
        <v>1</v>
      </c>
      <c r="AC1" s="412"/>
      <c r="AD1" s="420" t="s">
        <v>134</v>
      </c>
      <c r="AE1" s="420"/>
      <c r="AF1" s="420"/>
      <c r="AG1" s="420" t="s">
        <v>152</v>
      </c>
      <c r="AH1" s="420"/>
      <c r="AI1" s="419" t="s">
        <v>181</v>
      </c>
      <c r="AJ1" s="419"/>
      <c r="AK1" s="419"/>
      <c r="AL1" s="420" t="s">
        <v>151</v>
      </c>
      <c r="AM1" s="420"/>
      <c r="AN1" s="419">
        <v>1</v>
      </c>
      <c r="AO1" s="419"/>
    </row>
    <row r="2" spans="1:43">
      <c r="A2" s="333" t="s">
        <v>155</v>
      </c>
      <c r="B2" s="333"/>
      <c r="C2" s="333"/>
      <c r="D2" s="333"/>
      <c r="E2" s="333"/>
      <c r="F2" s="333"/>
      <c r="G2" s="333"/>
      <c r="H2" s="333"/>
      <c r="I2" s="333"/>
      <c r="J2" s="333"/>
      <c r="K2" s="333"/>
      <c r="L2" s="333"/>
      <c r="M2" s="333"/>
      <c r="N2" s="333"/>
      <c r="O2" s="333"/>
      <c r="P2" s="333"/>
      <c r="Q2" s="333"/>
      <c r="R2" s="333" t="s">
        <v>204</v>
      </c>
      <c r="S2" s="333"/>
      <c r="T2" s="333"/>
      <c r="U2" s="333"/>
      <c r="V2" s="333"/>
      <c r="W2" s="333"/>
      <c r="X2" s="333"/>
      <c r="Y2" s="333"/>
      <c r="Z2" s="333"/>
      <c r="AA2" s="333"/>
      <c r="AB2" s="333"/>
      <c r="AC2" s="333"/>
      <c r="AD2" s="421" t="s">
        <v>189</v>
      </c>
      <c r="AE2" s="421"/>
      <c r="AF2" s="421"/>
      <c r="AG2" s="421"/>
      <c r="AH2" s="421"/>
      <c r="AI2" s="421"/>
      <c r="AJ2" s="421"/>
      <c r="AK2" s="421"/>
      <c r="AL2" s="421"/>
      <c r="AM2" s="421"/>
      <c r="AN2" s="421"/>
      <c r="AO2" s="421"/>
    </row>
    <row r="3" spans="1:43" ht="14.4" customHeight="1">
      <c r="A3" s="138"/>
      <c r="B3" s="138"/>
      <c r="C3" s="138"/>
      <c r="D3" s="138"/>
      <c r="E3" s="138"/>
      <c r="F3" s="138"/>
      <c r="G3" s="138"/>
      <c r="H3" s="139"/>
      <c r="I3" s="139"/>
      <c r="J3" s="139"/>
      <c r="K3" s="138"/>
      <c r="L3" s="138"/>
      <c r="M3" s="138"/>
      <c r="N3" s="139"/>
      <c r="O3" s="139"/>
      <c r="P3" s="139"/>
      <c r="Q3" s="139"/>
      <c r="S3" s="188" t="s">
        <v>175</v>
      </c>
      <c r="T3" s="189">
        <f>Long_ChevronsHaut_Chassis_JZ05</f>
        <v>185</v>
      </c>
      <c r="U3" s="117" t="s">
        <v>58</v>
      </c>
      <c r="V3" s="189">
        <f>Hauteur_Chassis_JZ05-15</f>
        <v>160</v>
      </c>
      <c r="W3" s="19" t="s">
        <v>33</v>
      </c>
      <c r="AE3" s="100"/>
      <c r="AF3" s="100"/>
      <c r="AG3" s="100"/>
      <c r="AH3" s="100"/>
      <c r="AI3" s="100"/>
      <c r="AJ3" s="100"/>
      <c r="AK3" s="139"/>
      <c r="AL3" s="139"/>
      <c r="AM3" s="139"/>
      <c r="AN3" s="100"/>
      <c r="AO3" s="100"/>
      <c r="AP3" s="139"/>
      <c r="AQ3" s="139"/>
    </row>
    <row r="4" spans="1:43" ht="14.4" customHeight="1">
      <c r="A4" s="329" t="s">
        <v>213</v>
      </c>
      <c r="B4" s="331" t="s">
        <v>173</v>
      </c>
      <c r="C4" s="329">
        <f>IF('Calc JZ05 &amp; JZ07'!D6&lt;'Calc JZ05 &amp; JZ07'!D5,'Calc JZ05 &amp; JZ07'!D5,'Calc JZ05 &amp; JZ07'!D6)</f>
        <v>248</v>
      </c>
      <c r="D4" s="411" t="s">
        <v>33</v>
      </c>
      <c r="E4" s="366" t="s">
        <v>174</v>
      </c>
      <c r="F4" s="366"/>
      <c r="G4" s="329">
        <f>IF('Calc JZ05 &amp; JZ07'!D6&gt;'Calc JZ05 &amp; JZ07'!D5,'Calc JZ05 &amp; JZ07'!D5,'Calc JZ05 &amp; JZ07'!D6)</f>
        <v>185</v>
      </c>
      <c r="H4" s="363" t="s">
        <v>33</v>
      </c>
      <c r="I4" s="364" t="s">
        <v>190</v>
      </c>
      <c r="J4" s="365">
        <f>'Calc JZ05 &amp; JZ07'!D7</f>
        <v>175</v>
      </c>
      <c r="K4" s="330" t="s">
        <v>33</v>
      </c>
      <c r="L4" s="146"/>
      <c r="M4" s="146"/>
      <c r="N4" s="147"/>
      <c r="O4" s="147"/>
      <c r="P4" s="147"/>
      <c r="Q4" s="147"/>
      <c r="S4" s="188" t="s">
        <v>176</v>
      </c>
      <c r="T4" s="189">
        <f>Long_ChevronsBas_Chassis_JZ05-10</f>
        <v>238</v>
      </c>
      <c r="U4" s="142" t="s">
        <v>58</v>
      </c>
      <c r="V4" s="34">
        <f>Hauteur_Chassis_JZ05-23</f>
        <v>152</v>
      </c>
      <c r="W4" s="151" t="s">
        <v>33</v>
      </c>
      <c r="AE4" s="31" t="s">
        <v>159</v>
      </c>
      <c r="AF4" s="188"/>
      <c r="AG4" s="117"/>
      <c r="AH4" s="117"/>
      <c r="AI4" s="19"/>
      <c r="AJ4" s="117"/>
      <c r="AK4" s="19"/>
      <c r="AL4" s="117"/>
      <c r="AM4" s="19"/>
      <c r="AN4" s="117"/>
      <c r="AO4" s="23"/>
      <c r="AP4" s="150"/>
      <c r="AQ4" s="150"/>
    </row>
    <row r="5" spans="1:43" ht="14.4" customHeight="1">
      <c r="A5" s="329"/>
      <c r="B5" s="331"/>
      <c r="C5" s="329"/>
      <c r="D5" s="411"/>
      <c r="E5" s="366"/>
      <c r="F5" s="366"/>
      <c r="G5" s="329"/>
      <c r="H5" s="363"/>
      <c r="I5" s="364"/>
      <c r="J5" s="365"/>
      <c r="K5" s="330"/>
      <c r="L5" s="148"/>
      <c r="M5" s="148"/>
      <c r="N5" s="148"/>
      <c r="O5" s="148"/>
      <c r="P5" s="148"/>
      <c r="Q5" s="148"/>
      <c r="S5" s="22" t="s">
        <v>67</v>
      </c>
      <c r="T5" s="189">
        <f>IF('Calc JZ05 &amp; JZ07'!D6&lt;'Calc JZ05 &amp; JZ07'!D5,'Calc JZ05 &amp; JZ07'!D5,'Calc JZ05 &amp; JZ07'!D6)</f>
        <v>248</v>
      </c>
      <c r="U5" s="117" t="s">
        <v>58</v>
      </c>
      <c r="V5" s="189">
        <f>IF('Calc JZ05 &amp; JZ07'!D6&gt;'Calc JZ05 &amp; JZ07'!D5,'Calc JZ05 &amp; JZ07'!D5,'Calc JZ05 &amp; JZ07'!D6)</f>
        <v>185</v>
      </c>
      <c r="W5" s="19" t="s">
        <v>33</v>
      </c>
      <c r="X5" s="32"/>
      <c r="Z5" s="19"/>
      <c r="AE5" s="23"/>
      <c r="AF5" s="22"/>
      <c r="AG5" s="32"/>
      <c r="AH5" s="32"/>
      <c r="AJ5" s="375" t="s">
        <v>69</v>
      </c>
      <c r="AK5" s="375"/>
      <c r="AL5" s="375" t="s">
        <v>74</v>
      </c>
      <c r="AM5" s="375"/>
      <c r="AN5" s="375" t="s">
        <v>70</v>
      </c>
      <c r="AO5" s="375"/>
      <c r="AP5" s="29"/>
      <c r="AQ5" s="29"/>
    </row>
    <row r="6" spans="1:43">
      <c r="A6" s="311" t="s">
        <v>210</v>
      </c>
      <c r="B6" s="311"/>
      <c r="C6" s="253">
        <f>((Debit_LongChevronsHaut_Chassis_JZ05+Debit_LongChevronsHautBis_Chassis_JZ05)-8)/(Debit_NbChevronsBas_Chassis_JZ05-1)</f>
        <v>88.5</v>
      </c>
      <c r="D6" s="328" t="s">
        <v>211</v>
      </c>
      <c r="E6" s="328"/>
      <c r="F6" s="19"/>
      <c r="G6" s="19"/>
      <c r="H6" s="328" t="s">
        <v>209</v>
      </c>
      <c r="I6" s="328"/>
      <c r="J6" s="253">
        <f>(Debit_LongChevronsBas_Chassis_JZ05-10)/(Debit_NbChevronsHaut_Chassis_JZ05-1)</f>
        <v>59.5</v>
      </c>
      <c r="K6" s="328" t="s">
        <v>211</v>
      </c>
      <c r="L6" s="328"/>
      <c r="M6" s="19"/>
      <c r="N6" s="19"/>
      <c r="O6" s="19"/>
      <c r="P6" s="19"/>
      <c r="Q6" s="24"/>
      <c r="Z6" s="261"/>
      <c r="AG6" s="323" t="s">
        <v>160</v>
      </c>
      <c r="AH6" s="324"/>
      <c r="AI6" s="325"/>
      <c r="AJ6" s="134">
        <f>IF(Long_SousVide_JZ05=0,0,Long_SousVide_JZ05)</f>
        <v>268</v>
      </c>
      <c r="AK6" s="187" t="s">
        <v>33</v>
      </c>
      <c r="AL6" s="134">
        <f>IF(Larg_SousVide_JZ05=0,0,Larg_SousVide_JZ05)</f>
        <v>205</v>
      </c>
      <c r="AM6" s="187" t="s">
        <v>33</v>
      </c>
      <c r="AN6" s="134">
        <f>IF(Haut_SousVide_JZ05=0,0,Haut_SousVide_JZ05)</f>
        <v>145</v>
      </c>
      <c r="AO6" s="187" t="s">
        <v>33</v>
      </c>
      <c r="AQ6" s="24"/>
    </row>
    <row r="7" spans="1:43">
      <c r="A7" s="270" t="s">
        <v>136</v>
      </c>
      <c r="B7" s="19"/>
      <c r="C7" s="19"/>
      <c r="D7" s="24"/>
      <c r="E7" s="24"/>
      <c r="F7" s="24"/>
      <c r="G7" s="36"/>
      <c r="H7" s="29" t="s">
        <v>139</v>
      </c>
      <c r="J7" s="29"/>
      <c r="K7" s="19"/>
      <c r="L7" s="117"/>
      <c r="M7" s="24"/>
      <c r="N7" s="24"/>
      <c r="O7" s="24"/>
      <c r="P7" s="24"/>
      <c r="Q7" s="24"/>
      <c r="R7" s="24"/>
      <c r="S7" s="96" t="s">
        <v>158</v>
      </c>
      <c r="V7" s="32"/>
      <c r="X7" s="32"/>
      <c r="Z7" s="19"/>
      <c r="AB7" s="32"/>
      <c r="AD7" s="24"/>
      <c r="AE7" s="23"/>
      <c r="AF7" s="22"/>
      <c r="AG7" s="23"/>
      <c r="AH7" s="23"/>
      <c r="AI7" s="23"/>
      <c r="AJ7" s="23"/>
      <c r="AK7" s="23"/>
      <c r="AL7" s="23"/>
      <c r="AM7" s="23"/>
      <c r="AN7" s="23"/>
      <c r="AO7" s="23"/>
    </row>
    <row r="8" spans="1:43">
      <c r="B8" s="22" t="s">
        <v>34</v>
      </c>
      <c r="C8" s="34">
        <f>IF(Long_ChevronsBas_Chassis_JZ05=0,0,IF(Long_ChevronsHaut_Chassis_JZ05&lt;260,3,((ROUNDUP((Long_ChevronsHaut_Chassis_JZ05/100),0))+1)))</f>
        <v>3</v>
      </c>
      <c r="D8" s="117" t="s">
        <v>58</v>
      </c>
      <c r="E8" s="34">
        <f>IF(Long_ChevronsBas_Chassis_JZ05=0,0,Long_ChevronsBas_Chassis_JZ05)</f>
        <v>248</v>
      </c>
      <c r="F8" s="27" t="s">
        <v>33</v>
      </c>
      <c r="G8" s="36"/>
      <c r="H8" s="19"/>
      <c r="I8" s="24"/>
      <c r="J8" s="22" t="s">
        <v>110</v>
      </c>
      <c r="K8" s="34">
        <f>Nb_Chevrons8X10_Sup1_JZ05</f>
        <v>0</v>
      </c>
      <c r="L8" s="117" t="s">
        <v>58</v>
      </c>
      <c r="M8" s="34">
        <f>Long_Chevrons8X10_Sup1_JZ05</f>
        <v>0</v>
      </c>
      <c r="N8" s="27" t="s">
        <v>33</v>
      </c>
      <c r="O8" s="23"/>
      <c r="P8" s="23"/>
      <c r="Q8" s="23"/>
      <c r="R8" s="24"/>
      <c r="T8" s="19"/>
      <c r="U8" s="19"/>
      <c r="V8" s="12" t="s">
        <v>201</v>
      </c>
      <c r="W8" s="12" t="s">
        <v>202</v>
      </c>
      <c r="X8" s="12" t="s">
        <v>203</v>
      </c>
      <c r="AB8" s="32"/>
      <c r="AD8" s="23"/>
      <c r="AE8" s="27"/>
      <c r="AF8" s="22" t="s">
        <v>162</v>
      </c>
      <c r="AG8" s="34">
        <f>IF(Debit_Affichage_Larg_Total_SousVide_JZ05=0,0,IF(Debit_Affichage_Larg_Total_SousVide_JZ05&gt;150,2,1))</f>
        <v>2</v>
      </c>
      <c r="AH8" s="422" t="s">
        <v>163</v>
      </c>
      <c r="AI8" s="422"/>
      <c r="AJ8" s="34">
        <f>Debit_Affichage_Long_Total_SousVide_JZ05</f>
        <v>268</v>
      </c>
      <c r="AK8" s="27" t="s">
        <v>161</v>
      </c>
      <c r="AL8" s="34">
        <f>IF(Debit_Nb_FeuilleFond_SousVide_JZ05=0,0,Debit_Affichage_Larg_Total_SousVide_JZ05/Debit_Nb_FeuilleFond_SousVide_JZ05)</f>
        <v>102.5</v>
      </c>
      <c r="AM8" s="27" t="s">
        <v>33</v>
      </c>
      <c r="AN8" s="23"/>
      <c r="AO8" s="23"/>
    </row>
    <row r="9" spans="1:43">
      <c r="A9" s="28"/>
      <c r="B9" s="22" t="s">
        <v>38</v>
      </c>
      <c r="C9" s="34">
        <f>IF(Long_ChevronsHaut_Chassis_JZ05=0,0,IF(Long_ChevronsBas_Chassis_JZ05&lt;180,3,((ROUNDUP((Long_ChevronsBas_Chassis_JZ05/70),0))+1)))</f>
        <v>5</v>
      </c>
      <c r="D9" s="117" t="s">
        <v>58</v>
      </c>
      <c r="E9" s="34">
        <f>IF((Long_ChevronsHaut_Chassis_JZ05&lt;=500),((ROUNDUP((Long_ChevronsHaut_Chassis_JZ05/500),0))*Long_ChevronsHaut_Chassis_JZ05),(ROUNDDOWN((2*((Long_ChevronsHaut_Chassis_JZ05-8)/(Debit_NbChevronsBas_Chassis_JZ05-1)))+4,0)))</f>
        <v>185</v>
      </c>
      <c r="F9" s="27" t="s">
        <v>33</v>
      </c>
      <c r="G9" s="37"/>
      <c r="H9" s="19"/>
      <c r="I9" s="27"/>
      <c r="J9" s="22" t="s">
        <v>116</v>
      </c>
      <c r="K9" s="189">
        <f>Nb_Chevrons8X10_Sup2_JZ05</f>
        <v>0</v>
      </c>
      <c r="L9" s="117" t="s">
        <v>58</v>
      </c>
      <c r="M9" s="189">
        <f>Long_Chevrons8X10_Sup2_JZ05</f>
        <v>0</v>
      </c>
      <c r="N9" s="27" t="s">
        <v>33</v>
      </c>
      <c r="O9" s="117"/>
      <c r="P9" s="117"/>
      <c r="Q9" s="117"/>
      <c r="R9" s="23"/>
      <c r="S9" s="413" t="s">
        <v>177</v>
      </c>
      <c r="T9" s="414"/>
      <c r="U9" s="206"/>
      <c r="V9" s="222">
        <f>IF((Debit_Affichage_Long_GrandsCotes_Panneaux_JZ05/10-ROUNDDOWN(Debit_Affichage_Long_GrandsCotes_Panneaux_JZ05/10,0))*10&gt;0,ROUNDDOWN(Debit_Affichage_Long_GrandsCotes_Panneaux_JZ05/10,0),(ROUNDDOWN(Debit_Affichage_Long_GrandsCotes_Panneaux_JZ05/10,0))-1)</f>
        <v>18</v>
      </c>
      <c r="W9" s="194">
        <v>10</v>
      </c>
      <c r="X9" s="410">
        <f>Debit_Affichage_Haut_GrandsCotes_Panneaux_JZ05</f>
        <v>160</v>
      </c>
      <c r="Y9" s="113"/>
      <c r="AA9" s="19"/>
      <c r="AB9" s="118"/>
      <c r="AC9" s="24"/>
      <c r="AD9" s="117"/>
      <c r="AE9" s="27"/>
      <c r="AF9" s="22" t="s">
        <v>164</v>
      </c>
      <c r="AG9" s="34">
        <f>IF(Debit_Affichage_Larg_Total_SousVide_JZ05=0,0,IF(Debit_Affichage_Larg_Total_SousVide_JZ05&gt;150,2,1))</f>
        <v>2</v>
      </c>
      <c r="AH9" s="422" t="s">
        <v>163</v>
      </c>
      <c r="AI9" s="422"/>
      <c r="AJ9" s="34">
        <f>Debit_Affichage_Long_Total_SousVide_JZ05+(2*Debit_Affichage_Haut_Total_SousVide_JZ05)</f>
        <v>558</v>
      </c>
      <c r="AK9" s="27" t="s">
        <v>161</v>
      </c>
      <c r="AL9" s="34">
        <f>IF(Debit_Nb_FeuilleToitEtPetitsCotes_SousVide_JZ05=0,0,Debit_Affichage_Larg_Total_SousVide_JZ05/Debit_Nb_FeuilleFond_SousVide_JZ05)</f>
        <v>102.5</v>
      </c>
      <c r="AM9" s="27" t="s">
        <v>33</v>
      </c>
      <c r="AN9" s="23"/>
      <c r="AO9" s="27"/>
    </row>
    <row r="10" spans="1:43" ht="14.4" customHeight="1" thickBot="1">
      <c r="A10" s="41"/>
      <c r="B10" s="22" t="s">
        <v>135</v>
      </c>
      <c r="C10" s="34">
        <f>IF(Long_ChevronsHaut_Chassis_JZ05&gt;500,Debit_NbChevronsHaut_Chassis_JZ05,0)</f>
        <v>0</v>
      </c>
      <c r="D10" s="117" t="s">
        <v>58</v>
      </c>
      <c r="E10" s="34">
        <f>Long_ChevronsHaut_Chassis_JZ05-Debit_LongChevronsHaut_Chassis_JZ05</f>
        <v>0</v>
      </c>
      <c r="F10" s="27" t="s">
        <v>33</v>
      </c>
      <c r="G10" s="37"/>
      <c r="H10" s="19"/>
      <c r="I10" s="27"/>
      <c r="J10" s="22" t="s">
        <v>117</v>
      </c>
      <c r="K10" s="189">
        <f>Nb_Chevrons8X10_Sup3_JZ05</f>
        <v>0</v>
      </c>
      <c r="L10" s="117" t="s">
        <v>58</v>
      </c>
      <c r="M10" s="189">
        <f>Long_Chevrons8X10_Sup3_JZ05</f>
        <v>0</v>
      </c>
      <c r="N10" s="27" t="s">
        <v>33</v>
      </c>
      <c r="O10" s="117"/>
      <c r="P10" s="117"/>
      <c r="Q10" s="117"/>
      <c r="R10" s="117"/>
      <c r="S10" s="367"/>
      <c r="T10" s="368"/>
      <c r="U10" s="396" t="s">
        <v>200</v>
      </c>
      <c r="V10" s="224">
        <f>IF((Debit_Affichage_Long_GrandsCotes_Panneaux_JZ05/10-ROUNDDOWN(Debit_Affichage_Long_GrandsCotes_Panneaux_JZ05/10,0))*10&gt;0,1,0)</f>
        <v>1</v>
      </c>
      <c r="W10" s="224">
        <f>IF((Debit_Affichage_Long_GrandsCotes_Panneaux_JZ05/10-ROUNDDOWN(Debit_Affichage_Long_GrandsCotes_Panneaux_JZ05/10,0))*10&gt;0,(Debit_Affichage_Long_GrandsCotes_Panneaux_JZ05/10-ROUNDDOWN(Debit_Affichage_Long_GrandsCotes_Panneaux_JZ05/10,0))*10,0)</f>
        <v>5</v>
      </c>
      <c r="X10" s="314"/>
      <c r="Y10" s="113"/>
      <c r="AB10" s="130"/>
      <c r="AC10" s="24"/>
      <c r="AD10" s="117"/>
      <c r="AE10" s="27"/>
      <c r="AF10" s="22" t="s">
        <v>165</v>
      </c>
      <c r="AG10" s="34">
        <f>IF(Debit_Affichage_Haut_Total_SousVide_JZ05=0,0,IF(Debit_Affichage_Haut_Total_SousVide_JZ05&gt;150,4,2))</f>
        <v>2</v>
      </c>
      <c r="AH10" s="422" t="s">
        <v>163</v>
      </c>
      <c r="AI10" s="422"/>
      <c r="AJ10" s="34">
        <f>Debit_Affichage_Long_Total_SousVide_JZ05</f>
        <v>268</v>
      </c>
      <c r="AK10" s="27" t="s">
        <v>161</v>
      </c>
      <c r="AL10" s="34">
        <f>IF(Debit_Nb_FeuilleGrandsCotes_SousVide_JZ05=0,0,Debit_Affichage_Haut_Total_SousVide_JZ05)</f>
        <v>145</v>
      </c>
      <c r="AM10" s="27" t="s">
        <v>33</v>
      </c>
      <c r="AN10" s="23"/>
      <c r="AO10" s="27"/>
    </row>
    <row r="11" spans="1:43" ht="14.4" customHeight="1" thickTop="1">
      <c r="A11" s="41"/>
      <c r="B11" s="22" t="s">
        <v>194</v>
      </c>
      <c r="C11" s="254">
        <f>IF(Long_ChevronsHaut_Chassis_JZ05&gt;500,Debit_NbChevronsHaut_Chassis_JZ05,0)</f>
        <v>0</v>
      </c>
      <c r="D11" s="117" t="s">
        <v>58</v>
      </c>
      <c r="E11" s="263">
        <f>IF((Debit_LongChevronsHaut_Chassis_JZ05+Debit_LongChevronsHautBis_Chassis_JZ05)&lt;500,0,((((Debit_LongChevronsHaut_Chassis_JZ05+Debit_LongChevronsHautBis_Chassis_JZ05)-8)/(Debit_NbChevronsBas_Chassis_JZ05-1)*2)+8))</f>
        <v>0</v>
      </c>
      <c r="F11" s="27" t="s">
        <v>33</v>
      </c>
      <c r="G11" s="37"/>
      <c r="H11" s="19"/>
      <c r="I11" s="27"/>
      <c r="J11" s="22" t="s">
        <v>118</v>
      </c>
      <c r="K11" s="189">
        <f>Nb_Chevrons8X10_Sup4_JZ05</f>
        <v>0</v>
      </c>
      <c r="L11" s="117" t="s">
        <v>58</v>
      </c>
      <c r="M11" s="189">
        <f>Long_Chevrons8X10_Sup4_JZ05</f>
        <v>0</v>
      </c>
      <c r="N11" s="27" t="s">
        <v>33</v>
      </c>
      <c r="O11" s="117"/>
      <c r="P11" s="117"/>
      <c r="Q11" s="117"/>
      <c r="R11" s="117"/>
      <c r="S11" s="367"/>
      <c r="T11" s="368"/>
      <c r="U11" s="396"/>
      <c r="V11" s="223">
        <f>IF((Debit_Affichage_Long_GrandsCotes_Panneaux_JZ05/12.5-ROUNDDOWN(Debit_Affichage_Long_GrandsCotes_Panneaux_JZ05/12.5,0))*12.5&gt;0,ROUNDDOWN(Debit_Affichage_Long_GrandsCotes_Panneaux_JZ05/12.5,0),(ROUNDDOWN(Debit_Affichage_Long_GrandsCotes_Panneaux_JZ05/12.5,0))-1)</f>
        <v>14</v>
      </c>
      <c r="W11" s="221">
        <v>12.5</v>
      </c>
      <c r="X11" s="314"/>
      <c r="Y11" s="113"/>
      <c r="AB11" s="19"/>
      <c r="AC11" s="19"/>
      <c r="AD11" s="117"/>
      <c r="AF11" s="19"/>
      <c r="AM11" s="19"/>
      <c r="AN11" s="19"/>
    </row>
    <row r="12" spans="1:43" ht="15" thickBot="1">
      <c r="B12" s="190" t="s">
        <v>195</v>
      </c>
      <c r="C12" s="34">
        <f>IF(Debit_NbChevronsBas_Chassis_JZ05=0,0,2)</f>
        <v>2</v>
      </c>
      <c r="D12" s="94" t="s">
        <v>58</v>
      </c>
      <c r="E12" s="34">
        <f>IF(Debit_LongChevronsTalons_Chassis_JZ05=0,0,(Debit_LongChevronsBas_Chassis_JZ05)-10)</f>
        <v>238</v>
      </c>
      <c r="F12" s="93" t="s">
        <v>33</v>
      </c>
      <c r="G12" s="37"/>
      <c r="H12" s="19"/>
      <c r="I12" s="27"/>
      <c r="J12" s="22" t="s">
        <v>111</v>
      </c>
      <c r="K12" s="34">
        <f>Nb_Chevrons5X8_Sup1_JZ05</f>
        <v>0</v>
      </c>
      <c r="L12" s="117" t="s">
        <v>58</v>
      </c>
      <c r="M12" s="34">
        <f>Long_Chevrons5X8_Sup1_JZ05</f>
        <v>0</v>
      </c>
      <c r="N12" s="27" t="s">
        <v>33</v>
      </c>
      <c r="O12" s="23"/>
      <c r="P12" s="23"/>
      <c r="Q12" s="23"/>
      <c r="R12" s="117"/>
      <c r="S12" s="367"/>
      <c r="T12" s="368"/>
      <c r="U12" s="409" t="s">
        <v>200</v>
      </c>
      <c r="V12" s="257">
        <f>IF((Debit_Affichage_Long_GrandsCotes_Panneaux_JZ05/12.5-ROUNDDOWN(Debit_Affichage_Long_GrandsCotes_Panneaux_JZ05/12.5,0))*12.5&gt;0,1,0)</f>
        <v>1</v>
      </c>
      <c r="W12" s="257">
        <f>IF((Debit_Affichage_Long_GrandsCotes_Panneaux_JZ05/12.5-ROUNDDOWN(Debit_Affichage_Long_GrandsCotes_Panneaux_JZ05/12.5,0))*12.5&gt;0,(Debit_Affichage_Long_GrandsCotes_Panneaux_JZ05/12.5-ROUNDDOWN(Debit_Affichage_Long_GrandsCotes_Panneaux_JZ05/12.5,0))*12.5,0)</f>
        <v>10.000000000000009</v>
      </c>
      <c r="X12" s="314"/>
      <c r="Y12" s="113"/>
      <c r="Z12" s="19"/>
      <c r="AB12" s="19"/>
      <c r="AC12" s="19"/>
      <c r="AD12" s="23"/>
      <c r="AF12" s="19"/>
      <c r="AM12" s="19"/>
      <c r="AN12" s="19"/>
    </row>
    <row r="13" spans="1:43" ht="14.4" customHeight="1" thickTop="1">
      <c r="A13" s="19"/>
      <c r="B13" s="190" t="s">
        <v>60</v>
      </c>
      <c r="C13" s="34">
        <f>IF(Debit_NbChevronsBas_Chassis_JZ05=0,0,IF(Debit_LongChevronsHaut_Chassis_JZ05&lt;260,3,((ROUNDUP((Debit_LongChevronsHaut_Chassis_JZ05/100),0))+1)))</f>
        <v>3</v>
      </c>
      <c r="D13" s="94" t="s">
        <v>58</v>
      </c>
      <c r="E13" s="34">
        <f>IF(Debit_LongChevronsToit_Chassis_JZ05=0,0,Debit_LongChevronsBas_Chassis_JZ05-10)</f>
        <v>238</v>
      </c>
      <c r="F13" s="93" t="s">
        <v>33</v>
      </c>
      <c r="G13" s="37"/>
      <c r="H13" s="19"/>
      <c r="I13" s="27"/>
      <c r="J13" s="22" t="s">
        <v>119</v>
      </c>
      <c r="K13" s="189">
        <f>Nb_Chevrons5X8_Sup2_JZ05</f>
        <v>0</v>
      </c>
      <c r="L13" s="117" t="s">
        <v>58</v>
      </c>
      <c r="M13" s="189">
        <f>Long_Chevrons5X8_Sup2_JZ05</f>
        <v>0</v>
      </c>
      <c r="N13" s="27" t="s">
        <v>33</v>
      </c>
      <c r="O13" s="117"/>
      <c r="P13" s="117"/>
      <c r="Q13" s="117"/>
      <c r="R13" s="23"/>
      <c r="S13" s="367"/>
      <c r="T13" s="368"/>
      <c r="U13" s="409"/>
      <c r="V13" s="224">
        <f>IF((Debit_Affichage_Long_GrandsCotes_Panneaux_JZ05/15-ROUNDDOWN(Debit_Affichage_Long_GrandsCotes_Panneaux_JZ05/15,0))*15&gt;0,ROUNDDOWN(Debit_Affichage_Long_GrandsCotes_Panneaux_JZ05/15,0),(ROUNDDOWN(Debit_Affichage_Long_GrandsCotes_Panneaux_JZ05/15,0))-1)</f>
        <v>12</v>
      </c>
      <c r="W13" s="220">
        <v>15</v>
      </c>
      <c r="X13" s="314"/>
      <c r="Y13" s="113"/>
      <c r="Z13" s="19"/>
      <c r="AB13" s="19"/>
      <c r="AC13" s="19"/>
      <c r="AD13" s="117"/>
      <c r="AF13" s="19"/>
      <c r="AG13" s="19"/>
      <c r="AH13" s="19"/>
      <c r="AI13" s="19"/>
      <c r="AJ13" s="19"/>
      <c r="AK13" s="19"/>
      <c r="AL13" s="19"/>
      <c r="AM13" s="19"/>
      <c r="AN13" s="19"/>
    </row>
    <row r="14" spans="1:43" ht="14.4" customHeight="1">
      <c r="A14" s="95" t="s">
        <v>156</v>
      </c>
      <c r="G14" s="112"/>
      <c r="H14" s="19"/>
      <c r="I14" s="19"/>
      <c r="J14" s="22" t="s">
        <v>120</v>
      </c>
      <c r="K14" s="189">
        <f>Nb_Chevrons5X8_Sup3_JZ05</f>
        <v>0</v>
      </c>
      <c r="L14" s="117" t="s">
        <v>58</v>
      </c>
      <c r="M14" s="189">
        <f>Long_Chevrons5X8_Sup3_JZ05</f>
        <v>0</v>
      </c>
      <c r="N14" s="27" t="s">
        <v>33</v>
      </c>
      <c r="O14" s="117"/>
      <c r="P14" s="117"/>
      <c r="Q14" s="117"/>
      <c r="R14" s="117"/>
      <c r="S14" s="367"/>
      <c r="T14" s="368"/>
      <c r="U14" s="204"/>
      <c r="V14" s="224">
        <f>IF((Debit_Affichage_Long_GrandsCotes_Panneaux_JZ05/15-ROUNDDOWN(Debit_Affichage_Long_GrandsCotes_Panneaux_JZ05/15,0))*15&gt;0,1,0)</f>
        <v>1</v>
      </c>
      <c r="W14" s="224">
        <f>IF((Debit_Affichage_Long_GrandsCotes_Panneaux_JZ05/15-ROUNDDOWN(Debit_Affichage_Long_GrandsCotes_Panneaux_JZ05/15,0))*15&gt;0,(Debit_Affichage_Long_GrandsCotes_Panneaux_JZ05/15-ROUNDDOWN(Debit_Affichage_Long_GrandsCotes_Panneaux_JZ05/15,0))*15,0)</f>
        <v>5.0000000000000089</v>
      </c>
      <c r="X14" s="314"/>
      <c r="Y14" s="113"/>
      <c r="Z14" s="19"/>
      <c r="AB14" s="97"/>
      <c r="AC14" s="98"/>
      <c r="AD14" s="125"/>
      <c r="AF14" s="19"/>
      <c r="AG14" s="19"/>
      <c r="AH14" s="19"/>
      <c r="AI14" s="118"/>
      <c r="AJ14" s="118"/>
      <c r="AK14" s="130"/>
      <c r="AL14" s="88"/>
      <c r="AM14" s="200"/>
      <c r="AN14" s="99"/>
    </row>
    <row r="15" spans="1:43">
      <c r="B15" s="227" t="s">
        <v>205</v>
      </c>
      <c r="C15" s="400" t="s">
        <v>202</v>
      </c>
      <c r="D15" s="401"/>
      <c r="E15" s="402" t="s">
        <v>203</v>
      </c>
      <c r="F15" s="401"/>
      <c r="G15" s="112"/>
      <c r="H15" s="19"/>
      <c r="I15" s="19"/>
      <c r="J15" s="22" t="s">
        <v>121</v>
      </c>
      <c r="K15" s="34">
        <f>Nb_Chevrons5X8_Sup4_JZ05</f>
        <v>0</v>
      </c>
      <c r="L15" s="117" t="s">
        <v>58</v>
      </c>
      <c r="M15" s="34">
        <f>Long_Chevrons5X8_Sup4_JZ05</f>
        <v>0</v>
      </c>
      <c r="N15" s="27" t="s">
        <v>33</v>
      </c>
      <c r="O15" s="23"/>
      <c r="P15" s="23"/>
      <c r="Q15" s="23"/>
      <c r="R15" s="117"/>
      <c r="S15" s="417" t="s">
        <v>71</v>
      </c>
      <c r="T15" s="418"/>
      <c r="U15" s="218"/>
      <c r="V15" s="259">
        <v>4</v>
      </c>
      <c r="W15" s="12" t="s">
        <v>58</v>
      </c>
      <c r="X15" s="219">
        <f>Debit_Affichage_Long_GrandsCotes_Panneaux_JZ05</f>
        <v>185</v>
      </c>
      <c r="Y15" s="113"/>
      <c r="AB15" s="117"/>
      <c r="AD15" s="19"/>
      <c r="AF15" s="368"/>
      <c r="AG15" s="368"/>
      <c r="AH15" s="201"/>
      <c r="AI15" s="71"/>
      <c r="AJ15" s="71"/>
      <c r="AK15" s="71"/>
      <c r="AL15" s="118"/>
      <c r="AM15" s="71"/>
      <c r="AN15" s="88"/>
    </row>
    <row r="16" spans="1:43" ht="14.4" customHeight="1">
      <c r="A16" s="19"/>
      <c r="B16" s="239">
        <f>IF((Debit_LongChevronsHaut_Chassis_JZ05-26)=0,0,(ROUNDDOWN(((Debit_LongChevronsHaut_Chassis_JZ05-26)/10),0)))</f>
        <v>15</v>
      </c>
      <c r="C16" s="390">
        <v>10</v>
      </c>
      <c r="D16" s="391"/>
      <c r="E16" s="385">
        <f>IF(Long_Plancher_Chassis_JZ05=0,0,Long_Plancher_Chassis_JZ05)</f>
        <v>238</v>
      </c>
      <c r="F16" s="358"/>
      <c r="G16" s="86"/>
      <c r="H16" s="19"/>
      <c r="I16" s="27"/>
      <c r="J16" s="22" t="s">
        <v>112</v>
      </c>
      <c r="K16" s="34">
        <f>Nb_PlanchesX10_Sup1_JZ05</f>
        <v>0</v>
      </c>
      <c r="L16" s="117" t="s">
        <v>58</v>
      </c>
      <c r="M16" s="34">
        <f>Long_PlanchesX10_Sup1_JZ05</f>
        <v>0</v>
      </c>
      <c r="N16" s="27" t="s">
        <v>33</v>
      </c>
      <c r="O16" s="23"/>
      <c r="P16" s="23"/>
      <c r="Q16" s="23"/>
      <c r="R16" s="23"/>
      <c r="S16" s="415" t="s">
        <v>196</v>
      </c>
      <c r="T16" s="416"/>
      <c r="U16" s="208"/>
      <c r="V16" s="260">
        <v>4</v>
      </c>
      <c r="W16" s="195" t="s">
        <v>58</v>
      </c>
      <c r="X16" s="160">
        <f>(ROUNDUP(IF(AND((Debit_Affichage_Long_GrandsCotes_Panneaux_JZ05/2)&lt;&gt;"",Debit_Affichage_Haut_GrandsCotes_Panneaux_JZ05&lt;&gt;""),SQRT((Debit_Affichage_Long_GrandsCotes_Panneaux_JZ05/2)*(Debit_Affichage_Long_GrandsCotes_Panneaux_JZ05/2)+Debit_Affichage_Haut_GrandsCotes_Panneaux_JZ05*Debit_Affichage_Haut_GrandsCotes_Panneaux_JZ05),""),0))</f>
        <v>185</v>
      </c>
      <c r="Y16" s="226"/>
      <c r="AB16" s="88"/>
      <c r="AD16" s="23"/>
      <c r="AF16" s="24"/>
      <c r="AI16" s="71"/>
      <c r="AJ16" s="71"/>
      <c r="AK16" s="71"/>
      <c r="AL16" s="71"/>
      <c r="AM16" s="200"/>
      <c r="AN16" s="74"/>
    </row>
    <row r="17" spans="1:40" ht="14.4" customHeight="1" thickBot="1">
      <c r="A17" s="311" t="s">
        <v>200</v>
      </c>
      <c r="B17" s="249">
        <f>IF((Debit_LongChevronsHaut_Chassis_JZ05-26)=0,0,(ROUNDUP(((Debit_LongChevronsHaut_Chassis_JZ05-26)/10),0))-(ROUNDDOWN(((Debit_LongChevronsHaut_Chassis_JZ05-26)/10),0)))</f>
        <v>1</v>
      </c>
      <c r="C17" s="403">
        <f>IF(Debit_NbPlanchesX10_Reste_Plancher_JZ05=0,0,IF((Debit_LongChevronsHaut_Chassis_JZ05-26)&gt;(Debit_NbPlanchesX10_Plancher_JZ05*Debit_LargPlanchesX10_Plancher_JZ05),(Debit_LongChevronsHaut_Chassis_JZ05-26)-(Debit_NbPlanchesX10_Plancher_JZ05*Debit_LargPlanchesX10_Plancher_JZ05)))</f>
        <v>9</v>
      </c>
      <c r="D17" s="404"/>
      <c r="E17" s="386"/>
      <c r="F17" s="354"/>
      <c r="G17" s="198"/>
      <c r="H17" s="19"/>
      <c r="I17" s="27"/>
      <c r="J17" s="22" t="s">
        <v>122</v>
      </c>
      <c r="K17" s="189">
        <f>Nb_PlanchesX10_Sup2_JZ05</f>
        <v>0</v>
      </c>
      <c r="L17" s="117" t="s">
        <v>58</v>
      </c>
      <c r="M17" s="189">
        <f>Long_PlanchesX10_Sup2_JZ05</f>
        <v>0</v>
      </c>
      <c r="N17" s="27" t="s">
        <v>33</v>
      </c>
      <c r="O17" s="117"/>
      <c r="P17" s="117"/>
      <c r="Q17" s="117"/>
      <c r="R17" s="23"/>
      <c r="S17" s="397" t="s">
        <v>178</v>
      </c>
      <c r="T17" s="398"/>
      <c r="U17" s="206"/>
      <c r="V17" s="222">
        <f>IF((Debit_Affichage_Larg_PetitsCotes_Panneaux_JZ05/10-ROUNDDOWN(Debit_Affichage_Larg_PetitsCotes_Panneaux_JZ05/10,0))*10&gt;0,ROUNDDOWN(Debit_Affichage_Larg_PetitsCotes_Panneaux_JZ05/10,0),(ROUNDDOWN(Debit_Affichage_Larg_PetitsCotes_Panneaux_JZ05/10,0))-1)</f>
        <v>23</v>
      </c>
      <c r="W17" s="194">
        <v>10</v>
      </c>
      <c r="X17" s="410">
        <f>Debit_Affichage_Haut_PetitsCotes_Panneaux_JZ05</f>
        <v>152</v>
      </c>
      <c r="Y17" s="113"/>
      <c r="AB17" s="191"/>
      <c r="AD17" s="117"/>
      <c r="AF17" s="24"/>
      <c r="AI17" s="71"/>
      <c r="AJ17" s="71"/>
      <c r="AK17" s="71"/>
      <c r="AL17" s="71"/>
      <c r="AM17" s="131"/>
      <c r="AN17" s="125"/>
    </row>
    <row r="18" spans="1:40" ht="15.6" thickTop="1" thickBot="1">
      <c r="A18" s="311"/>
      <c r="B18" s="241">
        <f>IF((Debit_LongChevronsHaut_Chassis_JZ05-26)=0,0,(ROUNDDOWN(((Debit_LongChevronsHaut_Chassis_JZ05-26)/12.5),0)))</f>
        <v>12</v>
      </c>
      <c r="C18" s="405">
        <v>12.5</v>
      </c>
      <c r="D18" s="406"/>
      <c r="E18" s="387">
        <f>IF(Long_Plancher_Chassis_JZ05=0,0,Long_Plancher_Chassis_JZ05)</f>
        <v>238</v>
      </c>
      <c r="F18" s="360"/>
      <c r="G18" s="38"/>
      <c r="H18" s="19"/>
      <c r="I18" s="27"/>
      <c r="J18" s="22" t="s">
        <v>123</v>
      </c>
      <c r="K18" s="34">
        <f>Nb_PlanchesX10_Sup3_JZ05</f>
        <v>0</v>
      </c>
      <c r="L18" s="117" t="s">
        <v>58</v>
      </c>
      <c r="M18" s="34">
        <f>Long_PlanchesX10_Sup3_JZ05</f>
        <v>0</v>
      </c>
      <c r="N18" s="27" t="s">
        <v>33</v>
      </c>
      <c r="O18" s="23"/>
      <c r="P18" s="23"/>
      <c r="Q18" s="23"/>
      <c r="R18" s="117"/>
      <c r="S18" s="399"/>
      <c r="T18" s="312"/>
      <c r="U18" s="396" t="s">
        <v>200</v>
      </c>
      <c r="V18" s="224">
        <f>IF((Debit_Affichage_Larg_PetitsCotes_Panneaux_JZ05/10-ROUNDDOWN(Debit_Affichage_Larg_PetitsCotes_Panneaux_JZ05/10,0))*10&gt;0,1,0)</f>
        <v>1</v>
      </c>
      <c r="W18" s="224">
        <f>IF((Debit_Affichage_Larg_PetitsCotes_Panneaux_JZ05/10-ROUNDDOWN(Debit_Affichage_Larg_PetitsCotes_Panneaux_JZ05/10,0))*10&gt;0,(Debit_Affichage_Larg_PetitsCotes_Panneaux_JZ05/10-ROUNDDOWN(Debit_Affichage_Larg_PetitsCotes_Panneaux_JZ05/10,0))*10,0)</f>
        <v>8.0000000000000071</v>
      </c>
      <c r="X18" s="314"/>
      <c r="Y18" s="113"/>
      <c r="AB18" s="131"/>
      <c r="AD18" s="23"/>
      <c r="AF18" s="19"/>
      <c r="AG18" s="19"/>
      <c r="AH18" s="19"/>
      <c r="AI18" s="118"/>
      <c r="AJ18" s="118"/>
      <c r="AK18" s="130"/>
      <c r="AL18" s="118"/>
      <c r="AM18" s="118"/>
      <c r="AN18" s="118"/>
    </row>
    <row r="19" spans="1:40" ht="15.6" thickTop="1" thickBot="1">
      <c r="A19" s="340" t="s">
        <v>200</v>
      </c>
      <c r="B19" s="240">
        <f>IF((Debit_LongChevronsHaut_Chassis_JZ05-26)=0,0,(ROUNDUP(((Debit_LongChevronsHaut_Chassis_JZ05-26)/12.5),0))-(ROUNDDOWN(((Debit_LongChevronsHaut_Chassis_JZ05-26)/12.5),0)))</f>
        <v>1</v>
      </c>
      <c r="C19" s="353">
        <f>IF(Debit_NbPlanchesX12_5_Reste_Plancher_JZ05=0,0,IF((Debit_LongChevronsHaut_Chassis_JZ05-26)&gt;(Debit_NbPlanchesX12_5_Plancher_JZ05*Debit_LargPlanchesX12_5_Plancher_JZ05),(Debit_LongChevronsHaut_Chassis_JZ05-26)-(Debit_NbPlanchesX12_5_Plancher_JZ05*Debit_LargPlanchesX12_5_Plancher_JZ05)))</f>
        <v>9</v>
      </c>
      <c r="D19" s="354"/>
      <c r="E19" s="386"/>
      <c r="F19" s="354"/>
      <c r="G19" s="38"/>
      <c r="H19" s="19"/>
      <c r="I19" s="27"/>
      <c r="J19" s="22" t="s">
        <v>124</v>
      </c>
      <c r="K19" s="34">
        <f>Nb_PlanchesX10_Sup4_JZ05</f>
        <v>0</v>
      </c>
      <c r="L19" s="117" t="s">
        <v>58</v>
      </c>
      <c r="M19" s="34">
        <f>Long_PlanchesX10_Sup4_JZ05</f>
        <v>0</v>
      </c>
      <c r="N19" s="27" t="s">
        <v>33</v>
      </c>
      <c r="O19" s="23"/>
      <c r="P19" s="23"/>
      <c r="Q19" s="23"/>
      <c r="R19" s="23"/>
      <c r="S19" s="399"/>
      <c r="T19" s="312"/>
      <c r="U19" s="396"/>
      <c r="V19" s="223">
        <f>IF((Debit_Affichage_Larg_PetitsCotes_Panneaux_JZ05/12.5-ROUNDDOWN(Debit_Affichage_Larg_PetitsCotes_Panneaux_JZ05/12.5,0))*12.5&gt;0,ROUNDDOWN(Debit_Affichage_Larg_PetitsCotes_Panneaux_JZ05/12.5,0),(ROUNDDOWN(Debit_Affichage_Larg_PetitsCotes_Panneaux_JZ05/12.5,0))-1)</f>
        <v>19</v>
      </c>
      <c r="W19" s="221">
        <v>12.5</v>
      </c>
      <c r="X19" s="314"/>
      <c r="Y19" s="113"/>
      <c r="AB19" s="191"/>
      <c r="AD19" s="23"/>
      <c r="AL19" s="117"/>
      <c r="AN19" s="19"/>
    </row>
    <row r="20" spans="1:40" ht="15.6" thickTop="1" thickBot="1">
      <c r="A20" s="340"/>
      <c r="B20" s="249">
        <f>IF((Debit_LongChevronsHaut_Chassis_JZ05-26)=0,0,(ROUNDDOWN(((Debit_LongChevronsHaut_Chassis_JZ05-26)/15),0)))</f>
        <v>10</v>
      </c>
      <c r="C20" s="349">
        <v>15</v>
      </c>
      <c r="D20" s="350"/>
      <c r="E20" s="388">
        <f>IF(Long_Plancher_Chassis_JZ05=0,0,Long_Plancher_Chassis_JZ05)</f>
        <v>238</v>
      </c>
      <c r="F20" s="337"/>
      <c r="G20" s="38"/>
      <c r="H20" s="19"/>
      <c r="I20" s="27"/>
      <c r="J20" s="22" t="s">
        <v>113</v>
      </c>
      <c r="K20" s="34">
        <f>Nb_PlanchesX12_5_Sup1_JZ05</f>
        <v>0</v>
      </c>
      <c r="L20" s="117" t="s">
        <v>58</v>
      </c>
      <c r="M20" s="34">
        <f>Long_PlanchesX12_5_Sup1_JZ05</f>
        <v>0</v>
      </c>
      <c r="N20" s="27" t="s">
        <v>33</v>
      </c>
      <c r="O20" s="23"/>
      <c r="P20" s="23"/>
      <c r="Q20" s="23"/>
      <c r="R20" s="23"/>
      <c r="S20" s="399"/>
      <c r="T20" s="312"/>
      <c r="U20" s="409" t="s">
        <v>200</v>
      </c>
      <c r="V20" s="262">
        <f>IF(((Debit_Affichage_Larg_PetitsCotes_Panneaux_JZ05/Debit_LargPlanchesX12_5_PetitsCotes_JZ05)-(ROUNDDOWN(Debit_Affichage_Larg_PetitsCotes_Panneaux_JZ05/Debit_LargPlanchesX12_5_PetitsCotes_JZ05,0)))*Debit_LargPlanchesX12_5_PetitsCotes_JZ05=0,0,IF((Debit_Affichage_Larg_PetitsCotes_Panneaux_JZ05/Debit_LargPlanchesX12_5_PetitsCotes_JZ05)-(ROUNDDOWN(Debit_Affichage_Larg_PetitsCotes_Panneaux_JZ05/Debit_LargPlanchesX12_5_PetitsCotes_JZ05,0))*Debit_LargPlanchesX12_5_PetitsCotes_JZ05&gt;3.9,2,1))</f>
        <v>1</v>
      </c>
      <c r="W20" s="257">
        <f>IF((Debit_Affichage_Larg_PetitsCotes_Panneaux_JZ05/12.5-ROUNDDOWN(Debit_Affichage_Larg_PetitsCotes_Panneaux_JZ05/12.5,0))*12.5&gt;0,(Debit_Affichage_Larg_PetitsCotes_Panneaux_JZ05/12.5-ROUNDDOWN(Debit_Affichage_Larg_PetitsCotes_Panneaux_JZ05/12.5,0))*12.5,0)</f>
        <v>0.49999999999998934</v>
      </c>
      <c r="X20" s="314"/>
      <c r="Y20" s="113"/>
      <c r="AB20" s="118"/>
      <c r="AD20" s="23"/>
      <c r="AM20" s="131"/>
      <c r="AN20" s="125"/>
    </row>
    <row r="21" spans="1:40" ht="15" thickTop="1">
      <c r="A21" s="24"/>
      <c r="B21" s="250">
        <f>IF((Debit_LongChevronsHaut_Chassis_JZ05-26)=0,0,(ROUNDUP(((Debit_LongChevronsHaut_Chassis_JZ05-26)/15),0))-(ROUNDDOWN(((Debit_LongChevronsHaut_Chassis_JZ05-26)/15),0)))</f>
        <v>1</v>
      </c>
      <c r="C21" s="355">
        <f>IF(Debit_NbPlanchesX15_Reste_Plancher_JZ05=0,0,IF((Debit_LongChevronsHaut_Chassis_JZ05-26)&gt;(Debit_NbPlanchesX15_Plancher_JZ05*Debit_LargPlanchesX15_Plancher_JZ05),(Debit_LongChevronsHaut_Chassis_JZ05-26)-(Debit_NbPlanchesX15_Plancher_JZ05*Debit_LargPlanchesX15_Plancher_JZ05)))</f>
        <v>9</v>
      </c>
      <c r="D21" s="356"/>
      <c r="E21" s="389"/>
      <c r="F21" s="339"/>
      <c r="G21" s="112"/>
      <c r="H21" s="19"/>
      <c r="I21" s="19"/>
      <c r="J21" s="22" t="s">
        <v>125</v>
      </c>
      <c r="K21" s="34">
        <f>Nb_PlanchesX12_5_Sup2_JZ05</f>
        <v>0</v>
      </c>
      <c r="L21" s="117" t="s">
        <v>58</v>
      </c>
      <c r="M21" s="34">
        <f>Long_PlanchesX12_5_Sup2_JZ05</f>
        <v>0</v>
      </c>
      <c r="N21" s="27" t="s">
        <v>33</v>
      </c>
      <c r="O21" s="23"/>
      <c r="P21" s="23"/>
      <c r="Q21" s="23"/>
      <c r="R21" s="23"/>
      <c r="S21" s="399"/>
      <c r="T21" s="312"/>
      <c r="U21" s="409"/>
      <c r="V21" s="224">
        <f>IF((Debit_Affichage_Larg_PetitsCotes_Panneaux_JZ05/15-ROUNDDOWN(Debit_Affichage_Larg_PetitsCotes_Panneaux_JZ05/15,0))*15&gt;0,ROUNDDOWN(Debit_Affichage_Larg_PetitsCotes_Panneaux_JZ05/15,0),(ROUNDDOWN(Debit_Affichage_Larg_PetitsCotes_Panneaux_JZ05/15,0))-1)</f>
        <v>15</v>
      </c>
      <c r="W21" s="220">
        <v>15</v>
      </c>
      <c r="X21" s="314"/>
      <c r="Y21" s="113"/>
      <c r="AB21" s="191"/>
      <c r="AC21" s="118"/>
      <c r="AD21" s="23"/>
    </row>
    <row r="22" spans="1:40">
      <c r="A22" s="31" t="s">
        <v>137</v>
      </c>
      <c r="B22" s="19"/>
      <c r="C22" s="19"/>
      <c r="D22" s="19"/>
      <c r="E22" s="19"/>
      <c r="F22" s="19"/>
      <c r="G22" s="37"/>
      <c r="H22" s="19"/>
      <c r="I22" s="27"/>
      <c r="J22" s="22" t="s">
        <v>126</v>
      </c>
      <c r="K22" s="34">
        <f>Nb_PlanchesX12_5_Sup3_JZ05</f>
        <v>0</v>
      </c>
      <c r="L22" s="117" t="s">
        <v>58</v>
      </c>
      <c r="M22" s="34">
        <f>Long_PlanchesX12_5_Sup3_JZ05</f>
        <v>0</v>
      </c>
      <c r="N22" s="27" t="s">
        <v>33</v>
      </c>
      <c r="O22" s="23"/>
      <c r="P22" s="23"/>
      <c r="Q22" s="23"/>
      <c r="R22" s="23"/>
      <c r="S22" s="399"/>
      <c r="T22" s="312"/>
      <c r="U22" s="204"/>
      <c r="V22" s="268">
        <f>IF((Debit_Affichage_Larg_PetitsCotes_Panneaux_JZ05/15-ROUNDDOWN(Debit_Affichage_Larg_PetitsCotes_Panneaux_JZ05/15,0))*15&gt;0,1,0)</f>
        <v>1</v>
      </c>
      <c r="W22" s="224">
        <f>IF((Debit_Affichage_Larg_PetitsCotes_Panneaux_JZ05/15-ROUNDDOWN(Debit_Affichage_Larg_PetitsCotes_Panneaux_JZ05/15,0))*15&gt;0,(Debit_Affichage_Larg_PetitsCotes_Panneaux_JZ05/15-ROUNDDOWN(Debit_Affichage_Larg_PetitsCotes_Panneaux_JZ05/15,0))*15,0)</f>
        <v>13.000000000000007</v>
      </c>
      <c r="X22" s="314"/>
      <c r="Y22" s="113"/>
      <c r="AB22" s="131"/>
      <c r="AC22" s="28"/>
      <c r="AD22" s="23"/>
    </row>
    <row r="23" spans="1:40">
      <c r="B23" s="22" t="s">
        <v>34</v>
      </c>
      <c r="C23" s="34">
        <f>IF(Nb_ChaisesBas_JZ05=0,0,Nb_ChaisesBas_JZ05)</f>
        <v>4</v>
      </c>
      <c r="D23" s="117" t="s">
        <v>58</v>
      </c>
      <c r="E23" s="34">
        <f>IF((Nb_ChaisesBas_JZ05&gt;0),Long_ChevronsBas_Chassis_JZ05,0)</f>
        <v>248</v>
      </c>
      <c r="F23" s="27" t="s">
        <v>33</v>
      </c>
      <c r="G23" s="37"/>
      <c r="H23" s="19"/>
      <c r="I23" s="27"/>
      <c r="J23" s="22" t="s">
        <v>127</v>
      </c>
      <c r="K23" s="34">
        <f>Nb_PlanchesX12_5_Sup4_JZ05</f>
        <v>0</v>
      </c>
      <c r="L23" s="117" t="s">
        <v>58</v>
      </c>
      <c r="M23" s="34">
        <f>Long_PlanchesX12_5_Sup4_JZ05</f>
        <v>0</v>
      </c>
      <c r="N23" s="27" t="s">
        <v>33</v>
      </c>
      <c r="O23" s="23"/>
      <c r="P23" s="23"/>
      <c r="Q23" s="23"/>
      <c r="R23" s="23"/>
      <c r="S23" s="417" t="s">
        <v>75</v>
      </c>
      <c r="T23" s="418"/>
      <c r="U23" s="218"/>
      <c r="V23" s="259">
        <v>4</v>
      </c>
      <c r="W23" s="12" t="s">
        <v>58</v>
      </c>
      <c r="X23" s="219">
        <f>Debit_Affichage_Larg_PetitsCotes_Panneaux_JZ05</f>
        <v>238</v>
      </c>
      <c r="Y23" s="113"/>
      <c r="Z23" s="118"/>
      <c r="AA23" s="88"/>
      <c r="AB23" s="118"/>
      <c r="AC23" s="28"/>
      <c r="AD23" s="23"/>
    </row>
    <row r="24" spans="1:40">
      <c r="A24" s="24"/>
      <c r="B24" s="22" t="s">
        <v>38</v>
      </c>
      <c r="C24" s="34">
        <f>IF(Nb_ChaisesBas_JZ05=0,0,Nb_ChaisesBas_JZ05)</f>
        <v>4</v>
      </c>
      <c r="D24" s="117" t="s">
        <v>58</v>
      </c>
      <c r="E24" s="34">
        <f>IF(Nb_ChaisesBas_JZ05&lt;=0,0,Long_ChevronsBas_Chassis_JZ05-6)</f>
        <v>242</v>
      </c>
      <c r="F24" s="27" t="s">
        <v>33</v>
      </c>
      <c r="G24" s="72"/>
      <c r="H24" s="113"/>
      <c r="I24" s="72"/>
      <c r="J24" s="22" t="s">
        <v>114</v>
      </c>
      <c r="K24" s="34">
        <f>Nb_PlanchesX15_Sup1_JZ05</f>
        <v>0</v>
      </c>
      <c r="L24" s="117" t="s">
        <v>58</v>
      </c>
      <c r="M24" s="34">
        <f>Long_PlanchesX15_Sup1_JZ05</f>
        <v>0</v>
      </c>
      <c r="N24" s="27" t="s">
        <v>33</v>
      </c>
      <c r="O24" s="23"/>
      <c r="P24" s="23"/>
      <c r="Q24" s="23"/>
      <c r="R24" s="23"/>
      <c r="S24" s="369" t="s">
        <v>197</v>
      </c>
      <c r="T24" s="370"/>
      <c r="U24" s="163"/>
      <c r="V24" s="260">
        <v>4</v>
      </c>
      <c r="W24" s="195" t="s">
        <v>58</v>
      </c>
      <c r="X24" s="160">
        <f>(ROUNDUP(IF(AND((Debit_Affichage_Larg_PetitsCotes_Panneaux_JZ05/2)&lt;&gt;"",Debit_Affichage_Haut_PetitsCotes_Panneaux_JZ05&lt;&gt;""),SQRT((Debit_Affichage_Larg_PetitsCotes_Panneaux_JZ05/2)*(Debit_Affichage_Larg_PetitsCotes_Panneaux_JZ05/2)+Debit_Affichage_Haut_PetitsCotes_Panneaux_JZ05*Debit_Affichage_Haut_PetitsCotes_Panneaux_JZ05),""),0))</f>
        <v>194</v>
      </c>
      <c r="Y24" s="226"/>
      <c r="Z24" s="118"/>
      <c r="AA24" s="118"/>
      <c r="AB24" s="118"/>
      <c r="AC24" s="118"/>
      <c r="AD24" s="23"/>
    </row>
    <row r="25" spans="1:40">
      <c r="A25" s="19"/>
      <c r="B25" s="22" t="s">
        <v>49</v>
      </c>
      <c r="C25" s="34">
        <f>IF(Haut_ChaisesBas_JZ05=0,0,IF(Debit_LongChevronsBas_ChaisesBas_JZ05&lt;150,3*Debit_NbChevronsBas_ChaisesBas_JZ05,Debit_NbChevronsBas_ChaisesBas_JZ05*ROUNDUP((Debit_LongChevronsBas_ChaisesBas_JZ05/50),0)))</f>
        <v>20</v>
      </c>
      <c r="D25" s="117" t="s">
        <v>58</v>
      </c>
      <c r="E25" s="34">
        <f>IF((Haut_ChaisesBas_JZ05&gt;=20),(Haut_ChaisesBas_JZ05-20),0)</f>
        <v>20</v>
      </c>
      <c r="F25" s="27" t="s">
        <v>33</v>
      </c>
      <c r="G25" s="112"/>
      <c r="H25" s="19"/>
      <c r="I25" s="19"/>
      <c r="J25" s="22" t="s">
        <v>128</v>
      </c>
      <c r="K25" s="34">
        <f>Nb_PlanchesX15_Sup2_JZ05</f>
        <v>0</v>
      </c>
      <c r="L25" s="117" t="s">
        <v>58</v>
      </c>
      <c r="M25" s="34">
        <f>Long_PlanchesX15_Sup2_JZ05</f>
        <v>0</v>
      </c>
      <c r="N25" s="27" t="s">
        <v>33</v>
      </c>
      <c r="O25" s="23"/>
      <c r="P25" s="23"/>
      <c r="Q25" s="23"/>
      <c r="S25" s="397" t="s">
        <v>198</v>
      </c>
      <c r="T25" s="398"/>
      <c r="U25" s="209"/>
      <c r="V25" s="222">
        <f>IF((Debit_Affichage_Larg_Toit_Panneaux_JZ05/10-ROUNDDOWN(Debit_Affichage_Larg_Toit_Panneaux_JZ05/10,0))*10&gt;0,ROUNDDOWN(Debit_Affichage_Larg_Toit_Panneaux_JZ05/10,0),(ROUNDDOWN(Debit_Affichage_Larg_Toit_Panneaux_JZ05/10,0))-1)</f>
        <v>18</v>
      </c>
      <c r="W25" s="194">
        <v>10</v>
      </c>
      <c r="X25" s="407">
        <f>Debit_Affichage_Long_Toit_Panneaux_JZ05</f>
        <v>248</v>
      </c>
      <c r="Y25" s="113"/>
      <c r="AD25" s="23"/>
      <c r="AE25" s="23"/>
    </row>
    <row r="26" spans="1:40" ht="15" thickBot="1">
      <c r="A26" s="31" t="s">
        <v>138</v>
      </c>
      <c r="G26" s="112"/>
      <c r="H26" s="19"/>
      <c r="I26" s="19"/>
      <c r="J26" s="22" t="s">
        <v>129</v>
      </c>
      <c r="K26" s="34">
        <f>Nb_PlanchesX15_Sup3_JZ05</f>
        <v>0</v>
      </c>
      <c r="L26" s="117" t="s">
        <v>58</v>
      </c>
      <c r="M26" s="34">
        <f>Long_PlanchesX15_Sup3_JZ05</f>
        <v>0</v>
      </c>
      <c r="N26" s="27" t="s">
        <v>33</v>
      </c>
      <c r="O26" s="23"/>
      <c r="P26" s="23"/>
      <c r="Q26" s="23"/>
      <c r="S26" s="399"/>
      <c r="T26" s="312"/>
      <c r="U26" s="396" t="s">
        <v>200</v>
      </c>
      <c r="V26" s="224">
        <f>IF((Debit_Affichage_Larg_Toit_Panneaux_JZ05/10-ROUNDDOWN(Debit_Affichage_Larg_Toit_Panneaux_JZ05/10,0))*10&gt;0,1,0)</f>
        <v>1</v>
      </c>
      <c r="W26" s="224">
        <f>IF((Debit_Affichage_Larg_Toit_Panneaux_JZ05/10-ROUNDDOWN(Debit_Affichage_Larg_Toit_Panneaux_JZ05/10,0))*10&gt;0,(Debit_Affichage_Larg_Toit_Panneaux_JZ05/10-ROUNDDOWN(Debit_Affichage_Larg_Toit_Panneaux_JZ05/10,0))*10,0)</f>
        <v>5</v>
      </c>
      <c r="X26" s="408"/>
      <c r="Y26" s="113"/>
      <c r="AD26" s="23"/>
      <c r="AE26" s="23"/>
    </row>
    <row r="27" spans="1:40" ht="15" thickTop="1">
      <c r="B27" s="22" t="s">
        <v>34</v>
      </c>
      <c r="C27" s="34">
        <f>IF(Nb_ChaisesHaut_JZ05=0,0,Nb_ChaisesHaut_JZ05)</f>
        <v>4</v>
      </c>
      <c r="D27" s="117" t="s">
        <v>58</v>
      </c>
      <c r="E27" s="34">
        <f>IF((Nb_ChaisesHaut_JZ05&gt;0),(Long_ChevronsBas_Chassis_JZ05-6),0)</f>
        <v>242</v>
      </c>
      <c r="F27" s="27" t="s">
        <v>33</v>
      </c>
      <c r="G27" s="112"/>
      <c r="H27" s="19"/>
      <c r="I27" s="19"/>
      <c r="J27" s="22" t="s">
        <v>130</v>
      </c>
      <c r="K27" s="34">
        <f>Nb_PlanchesX15_Sup4_JZ05</f>
        <v>0</v>
      </c>
      <c r="L27" s="117" t="s">
        <v>58</v>
      </c>
      <c r="M27" s="34">
        <f>Long_PlanchesX15_Sup4_JZ05</f>
        <v>0</v>
      </c>
      <c r="N27" s="27" t="s">
        <v>33</v>
      </c>
      <c r="O27" s="23"/>
      <c r="P27" s="23"/>
      <c r="Q27" s="23"/>
      <c r="S27" s="399"/>
      <c r="T27" s="312"/>
      <c r="U27" s="396"/>
      <c r="V27" s="223">
        <f>IF((Debit_Affichage_Larg_Toit_Panneaux_JZ05/12.5-ROUNDDOWN(Debit_Affichage_Larg_Toit_Panneaux_JZ05/12.5,0))*12.5&gt;0,ROUNDDOWN(Debit_Affichage_Larg_Toit_Panneaux_JZ05/12.5,0),(ROUNDDOWN(Debit_Affichage_Larg_Toit_Panneaux_JZ05/12.5,0))-1)</f>
        <v>14</v>
      </c>
      <c r="W27" s="221">
        <v>12.5</v>
      </c>
      <c r="X27" s="408"/>
      <c r="Y27" s="113"/>
      <c r="AD27" s="23"/>
      <c r="AE27" s="23"/>
    </row>
    <row r="28" spans="1:40" ht="15" thickBot="1">
      <c r="B28" s="22" t="s">
        <v>38</v>
      </c>
      <c r="C28" s="34">
        <f>IF(Nb_ChaisesHaut_JZ05=0,0,Nb_ChaisesHaut_JZ05)</f>
        <v>4</v>
      </c>
      <c r="D28" s="117" t="s">
        <v>58</v>
      </c>
      <c r="E28" s="34">
        <f>IF((Nb_ChaisesHaut_JZ05&gt;0),(Long_ChevronsBas_Chassis_JZ05-6),0)</f>
        <v>242</v>
      </c>
      <c r="F28" s="27" t="s">
        <v>33</v>
      </c>
      <c r="G28" s="112"/>
      <c r="H28" s="19"/>
      <c r="I28" s="19"/>
      <c r="J28" s="22" t="s">
        <v>115</v>
      </c>
      <c r="K28" s="34">
        <f>Nb_ContrePlaque_Sup1_JZ05</f>
        <v>0</v>
      </c>
      <c r="L28" s="117" t="s">
        <v>58</v>
      </c>
      <c r="M28" s="34">
        <f>Long_ContrePlaque_Sup1_JZ05</f>
        <v>0</v>
      </c>
      <c r="N28" s="27" t="s">
        <v>33</v>
      </c>
      <c r="O28" s="23" t="s">
        <v>58</v>
      </c>
      <c r="P28" s="34">
        <f>Larg_ContrePlaque_Sup1_JZ05</f>
        <v>0</v>
      </c>
      <c r="Q28" s="27" t="s">
        <v>33</v>
      </c>
      <c r="S28" s="399"/>
      <c r="T28" s="312"/>
      <c r="U28" s="396" t="s">
        <v>200</v>
      </c>
      <c r="V28" s="257">
        <f>IF((Debit_Affichage_Larg_Toit_Panneaux_JZ05/12.5-ROUNDDOWN(Debit_Affichage_Larg_Toit_Panneaux_JZ05/12.5,0))*12.5&gt;0,1,0)</f>
        <v>1</v>
      </c>
      <c r="W28" s="257">
        <f>IF((Debit_Affichage_Larg_Toit_Panneaux_JZ05/12.5-ROUNDDOWN(Debit_Affichage_Larg_Toit_Panneaux_JZ05/12.5,0))*12.5&gt;0,(Debit_Affichage_Larg_Toit_Panneaux_JZ05/12.5-ROUNDDOWN(Debit_Affichage_Larg_Toit_Panneaux_JZ05/12.5,0))*12.5,0)</f>
        <v>10.000000000000009</v>
      </c>
      <c r="X28" s="408"/>
      <c r="Y28" s="113"/>
      <c r="AD28" s="23"/>
      <c r="AE28" s="23"/>
    </row>
    <row r="29" spans="1:40" ht="15" thickTop="1">
      <c r="B29" s="22" t="s">
        <v>49</v>
      </c>
      <c r="C29" s="191">
        <f>IF(Nb_ChaisesHaut_JZ05=0,0,IF(Debit_LongChevronsHaut_ChaisesHaut_JZ05&lt;150,3,Debit_NbChevronsBas_ChaisesHaut_JZ05*(ROUNDUP((Debit_LongChevronsHaut_ChaisesHaut_JZ05/50),0))))</f>
        <v>20</v>
      </c>
      <c r="D29" s="117" t="s">
        <v>58</v>
      </c>
      <c r="E29" s="34">
        <f>IF(Nb_ChaisesHaut_JZ05=0,0,IF(Haut_ChaisesHaut_JZ05&lt;=20,0,IF((Haut_ChaisesHaut_JZ05&gt;=20),(Haut_ChaisesHaut_JZ05-20),0)))</f>
        <v>20</v>
      </c>
      <c r="F29" s="27" t="s">
        <v>33</v>
      </c>
      <c r="G29" s="112"/>
      <c r="H29" s="19"/>
      <c r="I29" s="19"/>
      <c r="J29" s="22" t="s">
        <v>131</v>
      </c>
      <c r="K29" s="34">
        <f>Nb_ContrePlaque_Sup2_JZ05</f>
        <v>0</v>
      </c>
      <c r="L29" s="117" t="s">
        <v>58</v>
      </c>
      <c r="M29" s="34">
        <f>Long_ContrePlaque_Sup2_JZ05</f>
        <v>0</v>
      </c>
      <c r="N29" s="27" t="s">
        <v>33</v>
      </c>
      <c r="O29" s="23" t="s">
        <v>58</v>
      </c>
      <c r="P29" s="34">
        <f>Larg_ContrePlaque_Sup2_JZ05</f>
        <v>0</v>
      </c>
      <c r="Q29" s="27" t="s">
        <v>33</v>
      </c>
      <c r="S29" s="399"/>
      <c r="T29" s="312"/>
      <c r="U29" s="396"/>
      <c r="V29" s="224">
        <f>IF((Debit_Affichage_Larg_Toit_Panneaux_JZ05/15-ROUNDDOWN(Debit_Affichage_Larg_Toit_Panneaux_JZ05/15,0))*15&gt;0,ROUNDDOWN(Debit_Affichage_Larg_Toit_Panneaux_JZ05/15,0),(ROUNDDOWN(Debit_Affichage_Larg_Toit_Panneaux_JZ05/15,0))-1)</f>
        <v>12</v>
      </c>
      <c r="W29" s="220">
        <v>15</v>
      </c>
      <c r="X29" s="408"/>
      <c r="Y29" s="113"/>
      <c r="AD29" s="27"/>
      <c r="AE29" s="27"/>
    </row>
    <row r="30" spans="1:40">
      <c r="A30" s="23"/>
      <c r="G30" s="112"/>
      <c r="H30" s="19"/>
      <c r="I30" s="19"/>
      <c r="J30" s="22" t="s">
        <v>132</v>
      </c>
      <c r="K30" s="189">
        <f>Nb_ContrePlaque_Sup3_JZ05</f>
        <v>0</v>
      </c>
      <c r="L30" s="117" t="s">
        <v>58</v>
      </c>
      <c r="M30" s="189">
        <f>Long_ContrePlaque_Sup3_JZ05</f>
        <v>0</v>
      </c>
      <c r="N30" s="27" t="s">
        <v>33</v>
      </c>
      <c r="O30" s="23" t="s">
        <v>58</v>
      </c>
      <c r="P30" s="189">
        <f>Larg_ContrePlaque_Sup3_JZ05</f>
        <v>0</v>
      </c>
      <c r="Q30" s="27" t="s">
        <v>33</v>
      </c>
      <c r="S30" s="399"/>
      <c r="T30" s="312"/>
      <c r="U30" s="88"/>
      <c r="V30" s="258">
        <f>IF((Debit_Affichage_Larg_Toit_Panneaux_JZ05/15-ROUNDDOWN(Debit_Affichage_Larg_Toit_Panneaux_JZ05/15,0))*15&gt;0,1,0)</f>
        <v>1</v>
      </c>
      <c r="W30" s="224">
        <f>IF((Debit_Affichage_Larg_Toit_Panneaux_JZ05/15-ROUNDDOWN(Debit_Affichage_Larg_Toit_Panneaux_JZ05/15,0))*15&gt;0,(Debit_Affichage_Larg_Toit_Panneaux_JZ05/15-ROUNDDOWN(Debit_Affichage_Larg_Toit_Panneaux_JZ05/15,0))*15,0)</f>
        <v>5.0000000000000089</v>
      </c>
      <c r="X30" s="408"/>
      <c r="Y30" s="113"/>
      <c r="AD30" s="27"/>
      <c r="AE30" s="27"/>
    </row>
    <row r="31" spans="1:40">
      <c r="A31" s="23"/>
      <c r="G31" s="112"/>
      <c r="H31" s="19"/>
      <c r="I31" s="19"/>
      <c r="J31" s="22" t="s">
        <v>133</v>
      </c>
      <c r="K31" s="34">
        <f>Nb_ContrePlaque_Sup4_JZ05</f>
        <v>0</v>
      </c>
      <c r="L31" s="117" t="s">
        <v>58</v>
      </c>
      <c r="M31" s="34">
        <f>Long_ContrePlaque_Sup4_JZ05</f>
        <v>0</v>
      </c>
      <c r="N31" s="27" t="s">
        <v>33</v>
      </c>
      <c r="O31" s="23" t="s">
        <v>58</v>
      </c>
      <c r="P31" s="34">
        <f>Larg_ContrePlaque_Sup4_JZ05</f>
        <v>0</v>
      </c>
      <c r="Q31" s="27" t="s">
        <v>33</v>
      </c>
      <c r="S31" s="417" t="s">
        <v>78</v>
      </c>
      <c r="T31" s="418"/>
      <c r="U31" s="225"/>
      <c r="V31" s="133">
        <f>IF(Debit_Affichage_Larg_Toit_Panneaux_JZ05&lt;180,3,4)</f>
        <v>4</v>
      </c>
      <c r="W31" s="12" t="s">
        <v>58</v>
      </c>
      <c r="X31" s="133">
        <f>Debit_Affichage_Larg_Toit_Panneaux_JZ05</f>
        <v>185</v>
      </c>
      <c r="Y31" s="113"/>
      <c r="AD31" s="19"/>
      <c r="AE31" s="27"/>
    </row>
    <row r="32" spans="1:40">
      <c r="A32" s="23"/>
      <c r="G32" s="88"/>
      <c r="H32" s="88"/>
      <c r="I32" s="19"/>
      <c r="R32" s="27"/>
      <c r="X32" s="71"/>
      <c r="Y32" s="74"/>
      <c r="Z32" s="131"/>
      <c r="AA32" s="99"/>
      <c r="AB32" s="117"/>
      <c r="AC32" s="19"/>
      <c r="AD32" s="19"/>
    </row>
    <row r="33" spans="18:30">
      <c r="R33" s="19"/>
      <c r="AB33" s="23"/>
      <c r="AC33" s="23"/>
      <c r="AD33" s="19"/>
    </row>
    <row r="34" spans="18:30">
      <c r="R34" s="19"/>
      <c r="AB34" s="23"/>
      <c r="AC34" s="27"/>
      <c r="AD34" s="19"/>
    </row>
    <row r="35" spans="18:30">
      <c r="R35" s="19"/>
      <c r="AB35" s="23"/>
      <c r="AC35" s="27"/>
      <c r="AD35" s="19"/>
    </row>
    <row r="36" spans="18:30"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</row>
  </sheetData>
  <mergeCells count="70">
    <mergeCell ref="C19:D19"/>
    <mergeCell ref="C20:D20"/>
    <mergeCell ref="C21:D21"/>
    <mergeCell ref="S31:T31"/>
    <mergeCell ref="AN1:AO1"/>
    <mergeCell ref="AL1:AM1"/>
    <mergeCell ref="AI1:AK1"/>
    <mergeCell ref="AD1:AF1"/>
    <mergeCell ref="AG1:AH1"/>
    <mergeCell ref="AD2:AO2"/>
    <mergeCell ref="AH8:AI8"/>
    <mergeCell ref="AH9:AI9"/>
    <mergeCell ref="AH10:AI10"/>
    <mergeCell ref="S23:T23"/>
    <mergeCell ref="S24:T24"/>
    <mergeCell ref="S15:T15"/>
    <mergeCell ref="S9:T14"/>
    <mergeCell ref="S16:T16"/>
    <mergeCell ref="U1:V1"/>
    <mergeCell ref="W1:Y1"/>
    <mergeCell ref="Z1:AA1"/>
    <mergeCell ref="AB1:AC1"/>
    <mergeCell ref="A2:Q2"/>
    <mergeCell ref="R2:AC2"/>
    <mergeCell ref="A1:D1"/>
    <mergeCell ref="E1:G1"/>
    <mergeCell ref="H1:J1"/>
    <mergeCell ref="K1:M1"/>
    <mergeCell ref="N1:Q1"/>
    <mergeCell ref="R1:T1"/>
    <mergeCell ref="AN5:AO5"/>
    <mergeCell ref="AG6:AI6"/>
    <mergeCell ref="U26:U27"/>
    <mergeCell ref="AF15:AG15"/>
    <mergeCell ref="A4:A5"/>
    <mergeCell ref="B4:B5"/>
    <mergeCell ref="C4:C5"/>
    <mergeCell ref="D4:D5"/>
    <mergeCell ref="E4:F5"/>
    <mergeCell ref="G4:G5"/>
    <mergeCell ref="U12:U13"/>
    <mergeCell ref="H4:H5"/>
    <mergeCell ref="I4:I5"/>
    <mergeCell ref="J4:J5"/>
    <mergeCell ref="K4:K5"/>
    <mergeCell ref="S17:T22"/>
    <mergeCell ref="X25:X30"/>
    <mergeCell ref="AJ5:AK5"/>
    <mergeCell ref="AL5:AM5"/>
    <mergeCell ref="U18:U19"/>
    <mergeCell ref="U20:U21"/>
    <mergeCell ref="X9:X14"/>
    <mergeCell ref="X17:X22"/>
    <mergeCell ref="U10:U11"/>
    <mergeCell ref="A6:B6"/>
    <mergeCell ref="D6:E6"/>
    <mergeCell ref="H6:I6"/>
    <mergeCell ref="K6:L6"/>
    <mergeCell ref="U28:U29"/>
    <mergeCell ref="S25:T30"/>
    <mergeCell ref="C15:D15"/>
    <mergeCell ref="E15:F15"/>
    <mergeCell ref="C16:D16"/>
    <mergeCell ref="C17:D17"/>
    <mergeCell ref="C18:D18"/>
    <mergeCell ref="A17:A18"/>
    <mergeCell ref="A19:A20"/>
    <mergeCell ref="E16:F17"/>
    <mergeCell ref="E18:F19"/>
    <mergeCell ref="E20:F21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>
    <tabColor rgb="FF0070C0"/>
  </sheetPr>
  <dimension ref="A1:M16"/>
  <sheetViews>
    <sheetView zoomScaleNormal="100" workbookViewId="0">
      <selection activeCell="J23" sqref="J23"/>
    </sheetView>
  </sheetViews>
  <sheetFormatPr baseColWidth="10" defaultRowHeight="14.4"/>
  <sheetData>
    <row r="1" spans="1:13" ht="14.4" customHeight="1">
      <c r="A1" s="361" t="s">
        <v>218</v>
      </c>
      <c r="B1" s="361"/>
      <c r="C1" s="361"/>
      <c r="D1" s="361"/>
      <c r="E1" s="361"/>
      <c r="F1" s="361"/>
      <c r="G1" s="361"/>
      <c r="H1" s="361"/>
      <c r="I1" s="361"/>
      <c r="J1" s="361"/>
      <c r="K1" s="361"/>
      <c r="L1" s="100"/>
      <c r="M1" s="100"/>
    </row>
    <row r="2" spans="1:13" ht="14.4" customHeight="1">
      <c r="A2" s="361"/>
      <c r="B2" s="361"/>
      <c r="C2" s="361"/>
      <c r="D2" s="361"/>
      <c r="E2" s="361"/>
      <c r="F2" s="361"/>
      <c r="G2" s="361"/>
      <c r="H2" s="361"/>
      <c r="I2" s="361"/>
      <c r="J2" s="361"/>
      <c r="K2" s="361"/>
      <c r="L2" s="100"/>
      <c r="M2" s="100"/>
    </row>
    <row r="4" spans="1:13">
      <c r="A4" s="19"/>
      <c r="B4" s="19"/>
      <c r="C4" s="19"/>
      <c r="D4" s="19"/>
      <c r="E4" s="19"/>
      <c r="F4" s="19"/>
      <c r="G4" s="19"/>
      <c r="H4" s="19"/>
      <c r="I4" s="19"/>
      <c r="J4" s="19"/>
    </row>
    <row r="5" spans="1:13">
      <c r="A5" s="19"/>
      <c r="B5" s="19"/>
      <c r="C5" s="19"/>
      <c r="D5" s="19"/>
      <c r="E5" s="19"/>
      <c r="F5" s="19"/>
      <c r="G5" s="19"/>
      <c r="H5" s="19"/>
      <c r="I5" s="19"/>
      <c r="J5" s="19"/>
    </row>
    <row r="6" spans="1:13">
      <c r="A6" s="19"/>
      <c r="B6" s="19"/>
      <c r="C6" s="267"/>
      <c r="D6" s="267" t="s">
        <v>51</v>
      </c>
      <c r="E6" s="267" t="s">
        <v>143</v>
      </c>
      <c r="F6" s="267" t="s">
        <v>14</v>
      </c>
      <c r="G6" s="19"/>
      <c r="H6" s="19"/>
      <c r="I6" s="19"/>
      <c r="J6" s="19"/>
    </row>
    <row r="7" spans="1:13">
      <c r="A7" s="19"/>
      <c r="B7" s="19"/>
      <c r="C7" s="265" t="s">
        <v>53</v>
      </c>
      <c r="D7" s="108">
        <f>((Debit_NbChevronsBas_Chassis_JZ02*Debit_LongChevronsBas_Chassis_JZ02)+(Debit_NbChevronsHaut_Chassis_JZ02*Debit_LongChevronsHaut_Chassis_JZ02)+(Debit_NbChevronsBas_ChaisesBas_JZ02*Debit_LongChevronsBas_ChaisesBas_JZ02)+(Debit_NbChevronsHaut_ChaisesBas_JZ02*Debit_LongChevronsHaut_ChaisesBas_JZ02)+(Debit_NbChevronsHauteur_ChaiseBas_JZ02*Debit_LongChevronsHauteur_ChaisesBas_JZ02)+(Debit_NbChevronsBas_ChaisesHaut_JZ02*Debit_LongChevronsBas_ChaisesHaut_JZ02)+(Debit_NbChevronsHaut_ChaisesHaut_JZ02*Debit_LongChevronsHaut_ChaisesHaut_JZ02)+(Debit_NbChevronsHauteur_ChaiseHaut_JZ02*Debit_LongChevronsHauteur_ChaisesHaut_JZ02)+(Debit_NbChevrons8X10_Sup1_JZ02*Debit_LongChevrons8X10_Sup1_JZ02)+(Debit_NbChevrons8X10_Sup2_JZ02*Debit_LongChevrons8X10_Sup2_JZ02)+(Debit_NbChevrons8X10_Sup3_JZ02*Debit_LongChevrons8X10_Sup3_JZ02)+(Debit_NbChevrons8X10_Sup4_JZ02*Debit_LongChevrons8X10_Sup4_JZ02))/100</f>
        <v>36.75</v>
      </c>
      <c r="E7" s="108">
        <f>TotalML_Chevrons8X10_JZ06_JZ07*Poids_Chevrons8X10_KgXML</f>
        <v>124.03125</v>
      </c>
      <c r="F7" s="110">
        <f>TotalML_Chevrons8X10_JZ06_JZ07*Prix_Chevrons8X10_EurXML</f>
        <v>64.680000000000007</v>
      </c>
      <c r="G7" s="19"/>
      <c r="H7" s="265" t="s">
        <v>147</v>
      </c>
      <c r="I7" s="186">
        <v>59</v>
      </c>
      <c r="J7" s="27" t="s">
        <v>56</v>
      </c>
    </row>
    <row r="8" spans="1:13" ht="16.2">
      <c r="A8" s="19"/>
      <c r="B8" s="19"/>
      <c r="C8" s="265" t="s">
        <v>54</v>
      </c>
      <c r="D8" s="109">
        <f>((Debit_NbChevrons5X8_Sup1_JZ02*Debit_LongChevrons5X8_Sup1_JZ02)+(Debit_NbChevrons5X8_Sup2_JZ02*Debit_LongChevrons5X8_Sup2_JZ02)+(Debit_NbChevrons5X8_Sup3_JZ02*Debit_LongChevrons5X8_Sup3_JZ02)+(Debit_NbChevrons5X8_Sup4_JZ02*Debit_LongChevrons5X8_Sup4_JZ02))/100</f>
        <v>0</v>
      </c>
      <c r="E8" s="109">
        <f>TotalML_Chevrons5X8_JZ06_JZ07*Poids_Chevrons5X8_KgXML</f>
        <v>0</v>
      </c>
      <c r="F8" s="110">
        <f>(TotalML_Chevrons5X8_JZ06_JZ07*Prix_Chevrons5X8_XML)</f>
        <v>0</v>
      </c>
      <c r="G8" s="19"/>
      <c r="H8" s="265" t="s">
        <v>36</v>
      </c>
      <c r="I8" s="152">
        <f>(Long_ChevronsBas_Chassis_JZ02*Long_ChevronsHaut_Chassis_JZ02*Hauteur_Chassis_JZ02)/1000000</f>
        <v>28.8</v>
      </c>
      <c r="J8" s="24" t="s">
        <v>37</v>
      </c>
    </row>
    <row r="9" spans="1:13">
      <c r="A9" s="19"/>
      <c r="B9" s="19"/>
      <c r="C9" s="265" t="s">
        <v>83</v>
      </c>
      <c r="D9" s="108">
        <f>((Debit_NbPlanchesX10_Plancher_JZ02*Debit_LongPlanchesX10_Plancher_JZ02)+(Debit_NbPlanchesX10_Sup1_JZ02*Debit_LongPlanchesX10_Sup1_JZ02)+(Debit_NbPlanchesX10_Sup2_JZ02*Debit_LongPlanchesX10_Sup2_JZ02)+(Debit_NbPlanchesX10_Sup3_JZ02*Debit_LongPlanchesX10_Sup3_JZ02)+(Debit_NbPlanchesX10_Sup4_JZ02*Debit_LongPlanchesX10_Sup4_JZ02))/100</f>
        <v>120</v>
      </c>
      <c r="E9" s="108">
        <f>TotalML_PlanchesX10_JZ06_JZ07*Poids_PlanchesX10_KgXML</f>
        <v>138.6</v>
      </c>
      <c r="F9" s="110">
        <f>TotalML_PlanchesX10_JZ06_JZ07*Prix_PlanchesX10_XML</f>
        <v>50.4</v>
      </c>
      <c r="G9" s="19"/>
      <c r="H9" s="265" t="s">
        <v>40</v>
      </c>
      <c r="I9" s="111">
        <v>600</v>
      </c>
      <c r="J9" s="24" t="s">
        <v>41</v>
      </c>
    </row>
    <row r="10" spans="1:13">
      <c r="A10" s="19"/>
      <c r="B10" s="19"/>
      <c r="C10" s="199" t="s">
        <v>82</v>
      </c>
      <c r="D10" s="108">
        <f>((Debit_NbPlanchesX12_5_Plancher_JZ02*Debit_LongPlanchesX12_5_Plancher_JZ02)+(Debit_NbPlanchesX12_5_Sup1_JZ02*Debit_LongPlanchesX12_5_Sup1_JZ02)+(Debit_NbPlanchesX12_5_Sup2_JZ02*Debit_LongPlanchesX12_5_Sup2_JZ02)+(Debit_NbPlanchesX12_5_Sup3_JZ02*Debit_LongPlanchesX12_5_Sup3_JZ02)+(Debit_NbPlanchesX12_5_Sup4_JZ02*Debit_LongPlanchesX12_5_Sup4_JZ02))/100</f>
        <v>96</v>
      </c>
      <c r="E10" s="108">
        <f>TotalML_PlanchesX12_5_JZ06_JZ07*Poids_PlanchesX12_5_KgXML</f>
        <v>150</v>
      </c>
      <c r="F10" s="110">
        <f>TotalML_PlanchesX12_5_JZ06_JZ07*Prix_PlanchesX12_5_EurXML</f>
        <v>50.400000000000006</v>
      </c>
      <c r="G10" s="19"/>
      <c r="H10" s="265" t="s">
        <v>80</v>
      </c>
      <c r="I10" s="111">
        <f>(TotalML_Chevrons8X10_JZ06_JZ07*Poids_Chevrons8X10_KgXML)+(TotalML_Chevrons5X8_JZ06_JZ07*Poids_Chevrons5X8_KgXML)+(TotalML_PlanchesX10_JZ06_JZ07*Poids_PlanchesX10_KgXML)+(TotalML_PlanchesX12_5_JZ06_JZ07*Poids_PlanchesX12_5_KgXML)+(TotalML_PlanchesX15_JZ06_JZ07*Poids_PlanchesX15_KgXML)+(TotalM2_ContrePlaque_JZ06_JZ07*Poids_ContrePlaque_KgXML)</f>
        <v>546.91696428571436</v>
      </c>
      <c r="J10" s="27" t="s">
        <v>41</v>
      </c>
    </row>
    <row r="11" spans="1:13">
      <c r="A11" s="19"/>
      <c r="B11" s="19"/>
      <c r="C11" s="266" t="s">
        <v>81</v>
      </c>
      <c r="D11" s="164">
        <f>((Debit_NbPlanchesX15_Plancher_JZ02*Debit_LongPlanchesX15_Plancher_JZ02)+(Debit_NbPlanchesX15_Sup1_JZ02*Debit_LongPlanchesX15_Sup1_JZ02)+(Debit_NbPlanchesX15_Sup2_JZ02*Debit_LongPlanchesX15_Sup2_JZ02)+(Debit_NbPlanchesX15_Sup3_JZ02*Debit_LongPlanchesX15_Sup3_JZ02)+(Debit_NbPlanchesX15_Sup4_JZ02*Debit_LongPlanchesX15_Sup4_JZ02))/100</f>
        <v>80</v>
      </c>
      <c r="E11" s="109">
        <f>TotalML_PlanchesX15_JZ06_JZ07*Poids_PlanchesX15_KgXML</f>
        <v>134.28571428571428</v>
      </c>
      <c r="F11" s="165">
        <f>TotalML_PlanchesX15_JZ06_JZ07*Prix_PlanchesX15_EurXML</f>
        <v>50.4</v>
      </c>
      <c r="G11" s="19"/>
      <c r="H11" s="265" t="s">
        <v>44</v>
      </c>
      <c r="I11" s="111">
        <f>PoidsNet_JZ02_Calc+PoidsSkid_JZ05_JZ07</f>
        <v>546.91696428571436</v>
      </c>
      <c r="J11" s="27" t="s">
        <v>41</v>
      </c>
    </row>
    <row r="12" spans="1:13">
      <c r="A12" s="19"/>
      <c r="B12" s="19"/>
      <c r="C12" s="19"/>
      <c r="D12" s="19"/>
      <c r="E12" s="19"/>
      <c r="F12" s="19"/>
      <c r="G12" s="19"/>
      <c r="H12" s="266" t="s">
        <v>191</v>
      </c>
      <c r="I12" s="166">
        <f>SUM(PrixTotal_Chevrons8X10_JZ06_JZ07:PrixTotal_PlanchesX15_JZ06_JZ07,PrixTotal_ContrePlaque_JZ06_JZ07:PrixTotal_SousVide_JZ06_JZ07)</f>
        <v>215.88000000000002</v>
      </c>
      <c r="J12" s="267"/>
    </row>
    <row r="13" spans="1:13" ht="16.2">
      <c r="A13" s="19"/>
      <c r="B13" s="19"/>
      <c r="C13" s="265"/>
      <c r="D13" s="267" t="s">
        <v>55</v>
      </c>
      <c r="E13" s="267" t="s">
        <v>143</v>
      </c>
      <c r="F13" s="267" t="s">
        <v>14</v>
      </c>
      <c r="G13" s="19"/>
      <c r="H13" s="266" t="s">
        <v>193</v>
      </c>
      <c r="I13" s="167">
        <f>Nb_Heure_JZ02*Tarif_Horraire_JZ06_JZ07</f>
        <v>0</v>
      </c>
      <c r="J13" s="267"/>
    </row>
    <row r="14" spans="1:13">
      <c r="A14" s="19"/>
      <c r="B14" s="19"/>
      <c r="C14" s="265" t="s">
        <v>52</v>
      </c>
      <c r="D14" s="108">
        <f>((Debit_NbContrePlaque_Sup1_JZ02*(Debit_LongContrePlaque_Sup1_JZ02*Debit_LargContrePlaque_Sup1_JZ02))+(Debit_NbContrePlaque_Sup2_JZ02*(Debit_LongContrePlaque_Sup2_JZ02*Debit_LargContrePlaque_Sup2_JZ02))+(Debit_NbContrePlaque_Sup3_JZ02*(Debit_LongContrePlaque_Sup3_JZ02*Debit_LargContrePlaque_Sup3_JZ02))+(Debit_NbContrePlaque_Sup4_JZ02*(Debit_LongContrePlaque_Sup4_JZ02*Debit_LargContrePlaque_Sup4_JZ02)))/10000</f>
        <v>0</v>
      </c>
      <c r="E14" s="108">
        <f>TotalM2_ContrePlaque_JZ06_JZ07*Poids_ContrePlaque_KgXML</f>
        <v>0</v>
      </c>
      <c r="F14" s="110">
        <f>TotalM2_ContrePlaque_JZ06_JZ07*Prix_ContrePlaque_XM2</f>
        <v>0</v>
      </c>
      <c r="G14" s="19"/>
      <c r="H14" s="266" t="s">
        <v>192</v>
      </c>
      <c r="I14" s="168">
        <f>PrixTotal_Materiaux_JZ06_JZ07+PrixTotal_MaindOeuvre_JZ06_JZ07</f>
        <v>215.88000000000002</v>
      </c>
      <c r="J14" s="19"/>
    </row>
    <row r="15" spans="1:13">
      <c r="A15" s="19"/>
      <c r="B15" s="19"/>
      <c r="C15" s="264" t="s">
        <v>189</v>
      </c>
      <c r="D15" s="184"/>
      <c r="E15" s="184"/>
      <c r="F15" s="185"/>
      <c r="G15" s="19"/>
      <c r="H15" s="19"/>
      <c r="I15" s="19"/>
      <c r="J15" s="19"/>
    </row>
    <row r="16" spans="1:13">
      <c r="A16" s="19"/>
      <c r="B16" s="19"/>
      <c r="C16" s="19"/>
      <c r="D16" s="19"/>
      <c r="E16" s="19"/>
      <c r="F16" s="19"/>
      <c r="G16" s="19"/>
      <c r="H16" s="19"/>
      <c r="I16" s="19"/>
      <c r="J16" s="19"/>
    </row>
  </sheetData>
  <mergeCells count="1">
    <mergeCell ref="A1:K2"/>
  </mergeCells>
  <pageMargins left="0.7" right="0.7" top="0.75" bottom="0.75" header="0.3" footer="0.3"/>
  <pageSetup paperSize="9" orientation="landscape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0">
    <tabColor rgb="FF7030A0"/>
  </sheetPr>
  <dimension ref="A1:H32"/>
  <sheetViews>
    <sheetView zoomScaleNormal="100" workbookViewId="0">
      <selection activeCell="A6" sqref="A6:A32"/>
    </sheetView>
  </sheetViews>
  <sheetFormatPr baseColWidth="10" defaultRowHeight="14.4"/>
  <cols>
    <col min="1" max="1" width="16.6640625" customWidth="1"/>
    <col min="2" max="8" width="15.77734375" customWidth="1"/>
  </cols>
  <sheetData>
    <row r="1" spans="1:8" ht="14.4" customHeight="1">
      <c r="A1" s="361" t="s">
        <v>219</v>
      </c>
      <c r="B1" s="361"/>
      <c r="C1" s="361"/>
      <c r="D1" s="361"/>
      <c r="E1" s="361"/>
      <c r="F1" s="361"/>
      <c r="G1" s="361"/>
      <c r="H1" s="361"/>
    </row>
    <row r="2" spans="1:8" ht="14.4" customHeight="1">
      <c r="A2" s="361"/>
      <c r="B2" s="361"/>
      <c r="C2" s="361"/>
      <c r="D2" s="361"/>
      <c r="E2" s="361"/>
      <c r="F2" s="361"/>
      <c r="G2" s="361"/>
      <c r="H2" s="361"/>
    </row>
    <row r="3" spans="1:8" ht="15" thickBot="1"/>
    <row r="4" spans="1:8">
      <c r="A4" s="435" t="s">
        <v>227</v>
      </c>
      <c r="B4" s="176" t="s">
        <v>26</v>
      </c>
      <c r="C4" s="172" t="s">
        <v>26</v>
      </c>
      <c r="D4" s="172" t="s">
        <v>14</v>
      </c>
      <c r="E4" s="172" t="s">
        <v>14</v>
      </c>
      <c r="F4" s="177" t="s">
        <v>14</v>
      </c>
      <c r="G4" s="172" t="s">
        <v>143</v>
      </c>
      <c r="H4" s="173" t="s">
        <v>143</v>
      </c>
    </row>
    <row r="5" spans="1:8" ht="16.8" thickBot="1">
      <c r="A5" s="424"/>
      <c r="B5" s="178" t="s">
        <v>148</v>
      </c>
      <c r="C5" s="179" t="s">
        <v>144</v>
      </c>
      <c r="D5" s="174" t="s">
        <v>234</v>
      </c>
      <c r="E5" s="179" t="s">
        <v>188</v>
      </c>
      <c r="F5" s="180" t="s">
        <v>146</v>
      </c>
      <c r="G5" s="179" t="s">
        <v>149</v>
      </c>
      <c r="H5" s="181" t="s">
        <v>145</v>
      </c>
    </row>
    <row r="6" spans="1:8">
      <c r="A6" s="301" t="s">
        <v>182</v>
      </c>
      <c r="B6" s="290">
        <f>(((10*10)*(8*8))*500)/1000000</f>
        <v>3.2</v>
      </c>
      <c r="C6" s="51">
        <f>(10*8)*5</f>
        <v>400</v>
      </c>
      <c r="D6" s="182">
        <v>704</v>
      </c>
      <c r="E6" s="48">
        <v>220</v>
      </c>
      <c r="F6" s="68">
        <f>(Quantite_Chevrons8X10_M3XBotte*Prix_Chevrons8X10_XM3)/Quantite_Chevrons8X10_MLXBotte</f>
        <v>1.76</v>
      </c>
      <c r="G6" s="50">
        <v>1350</v>
      </c>
      <c r="H6" s="62">
        <f>PoidsBotte_Chevrons8X10/Quantite_Chevrons8X10_MLXBotte</f>
        <v>3.375</v>
      </c>
    </row>
    <row r="7" spans="1:8">
      <c r="A7" s="302" t="s">
        <v>183</v>
      </c>
      <c r="B7" s="291">
        <f>(((13*8)*(12*5))*500)/1000000</f>
        <v>3.12</v>
      </c>
      <c r="C7" s="53">
        <f>(12*13)*5</f>
        <v>780</v>
      </c>
      <c r="D7" s="57">
        <v>717.6</v>
      </c>
      <c r="E7" s="49">
        <v>230</v>
      </c>
      <c r="F7" s="69">
        <f>(Quantite_Chevrons5X8_M3XBotte*Prix_Chevrons5X8_XM3)/Quantite_Chevrons5X8_MLXBotte</f>
        <v>0.92</v>
      </c>
      <c r="G7" s="52">
        <v>1350</v>
      </c>
      <c r="H7" s="63">
        <f>PoidsBotte_Chevrons5X8/Quantite_Chevrons5X8_MLXBotte</f>
        <v>1.7307692307692308</v>
      </c>
    </row>
    <row r="8" spans="1:8">
      <c r="A8" s="302" t="s">
        <v>184</v>
      </c>
      <c r="B8" s="291">
        <f>(((10*10)*(2.4*20))*500)/1000000</f>
        <v>2.4</v>
      </c>
      <c r="C8" s="53">
        <f>(10*20)*5</f>
        <v>1000</v>
      </c>
      <c r="D8" s="57">
        <v>420</v>
      </c>
      <c r="E8" s="49">
        <v>175</v>
      </c>
      <c r="F8" s="70">
        <f>(Quantite_PlanchesX10_M3XBotte*Prix_PlanchesX10_XM3)/Quantite_PlanchesX10_MLXBotte</f>
        <v>0.42</v>
      </c>
      <c r="G8" s="52">
        <v>1155</v>
      </c>
      <c r="H8" s="63">
        <f>PoidsBotte_PlanchesX10/Quantite_PlanchesX10_MLXBotte</f>
        <v>1.155</v>
      </c>
    </row>
    <row r="9" spans="1:8">
      <c r="A9" s="302" t="s">
        <v>82</v>
      </c>
      <c r="B9" s="292">
        <f>(((12.5*8)*(2.4*20))*500)/1000000</f>
        <v>2.4</v>
      </c>
      <c r="C9" s="56">
        <f>(8*20)*5</f>
        <v>800</v>
      </c>
      <c r="D9" s="57">
        <v>420</v>
      </c>
      <c r="E9" s="57">
        <v>175</v>
      </c>
      <c r="F9" s="76">
        <f>(Quantite_PlanchesX12_5_M3XBotte*Prix_PlanchesX12_5_XM3)/Quantite_PlanchesX12_5_MLXBotte</f>
        <v>0.52500000000000002</v>
      </c>
      <c r="G9" s="56">
        <v>1250</v>
      </c>
      <c r="H9" s="64">
        <f>PoidsBotte_PlanchesX12_5/Quantite_PlanchesX12_5_MLXBotte</f>
        <v>1.5625</v>
      </c>
    </row>
    <row r="10" spans="1:8" ht="15" thickBot="1">
      <c r="A10" s="303" t="s">
        <v>81</v>
      </c>
      <c r="B10" s="293">
        <f>(((15*7)*(2.4*20))*500)/1000000</f>
        <v>2.52</v>
      </c>
      <c r="C10" s="60">
        <f>(7*20)*5</f>
        <v>700</v>
      </c>
      <c r="D10" s="61">
        <v>441</v>
      </c>
      <c r="E10" s="61">
        <v>175</v>
      </c>
      <c r="F10" s="77">
        <f>(Quantite_PlanchesX15_M3XBotte*Prix_PlanchesX15_XM3)/Quantite_PlanchesX15_MLXBotte</f>
        <v>0.63</v>
      </c>
      <c r="G10" s="60">
        <v>1175</v>
      </c>
      <c r="H10" s="75">
        <f>PoidsBotte_PlanchesX15/Quantite_PlanchesX15_MLXBotte</f>
        <v>1.6785714285714286</v>
      </c>
    </row>
    <row r="11" spans="1:8">
      <c r="A11" s="433"/>
      <c r="B11" s="176" t="s">
        <v>26</v>
      </c>
      <c r="C11" s="172" t="s">
        <v>26</v>
      </c>
      <c r="D11" s="172" t="s">
        <v>14</v>
      </c>
      <c r="E11" s="427" t="s">
        <v>14</v>
      </c>
      <c r="F11" s="428"/>
      <c r="G11" s="172" t="s">
        <v>143</v>
      </c>
      <c r="H11" s="173" t="s">
        <v>143</v>
      </c>
    </row>
    <row r="12" spans="1:8" ht="16.8" thickBot="1">
      <c r="A12" s="434"/>
      <c r="B12" s="294" t="s">
        <v>148</v>
      </c>
      <c r="C12" s="174" t="s">
        <v>185</v>
      </c>
      <c r="D12" s="174" t="s">
        <v>150</v>
      </c>
      <c r="E12" s="429" t="s">
        <v>186</v>
      </c>
      <c r="F12" s="430"/>
      <c r="G12" s="174" t="s">
        <v>149</v>
      </c>
      <c r="H12" s="175" t="s">
        <v>187</v>
      </c>
    </row>
    <row r="13" spans="1:8" ht="15" thickBot="1">
      <c r="A13" s="304" t="s">
        <v>57</v>
      </c>
      <c r="B13" s="295">
        <f>(((244*122)*1.2)*75)/1000000</f>
        <v>2.6791200000000002</v>
      </c>
      <c r="C13" s="55">
        <f>((244*122)*75)/10000</f>
        <v>223.26</v>
      </c>
      <c r="D13" s="183">
        <v>960.16665999999998</v>
      </c>
      <c r="E13" s="431">
        <f>Prix_ContrePlaque_XBotte/Quantite_ContrePlaque_M2XBotte</f>
        <v>4.300665860431784</v>
      </c>
      <c r="F13" s="432"/>
      <c r="G13" s="54">
        <v>1385</v>
      </c>
      <c r="H13" s="65">
        <f>PoidsBotte_ContrePlaque/Quantite_ContrePlaque_M2XBotte</f>
        <v>6.2035295171548865</v>
      </c>
    </row>
    <row r="14" spans="1:8">
      <c r="A14" s="423" t="s">
        <v>228</v>
      </c>
      <c r="B14" s="176" t="s">
        <v>26</v>
      </c>
      <c r="C14" s="172" t="s">
        <v>14</v>
      </c>
      <c r="D14" s="172" t="s">
        <v>14</v>
      </c>
      <c r="E14" s="172" t="s">
        <v>143</v>
      </c>
      <c r="F14" s="173" t="s">
        <v>143</v>
      </c>
      <c r="G14" s="276"/>
      <c r="H14" s="276"/>
    </row>
    <row r="15" spans="1:8" ht="15" thickBot="1">
      <c r="A15" s="424"/>
      <c r="B15" s="296" t="s">
        <v>229</v>
      </c>
      <c r="C15" s="277" t="s">
        <v>231</v>
      </c>
      <c r="D15" s="277" t="s">
        <v>232</v>
      </c>
      <c r="E15" s="277" t="s">
        <v>243</v>
      </c>
      <c r="F15" s="280" t="s">
        <v>244</v>
      </c>
      <c r="G15" s="272"/>
      <c r="H15" s="272"/>
    </row>
    <row r="16" spans="1:8">
      <c r="A16" s="305" t="s">
        <v>220</v>
      </c>
      <c r="B16" s="297"/>
      <c r="C16" s="285"/>
      <c r="D16" s="285"/>
      <c r="E16" s="285"/>
      <c r="F16" s="286"/>
      <c r="G16" s="117"/>
      <c r="H16" s="117"/>
    </row>
    <row r="17" spans="1:8">
      <c r="A17" s="306" t="s">
        <v>221</v>
      </c>
      <c r="B17" s="269"/>
      <c r="C17" s="12"/>
      <c r="D17" s="12"/>
      <c r="E17" s="12"/>
      <c r="F17" s="287"/>
      <c r="G17" s="117"/>
      <c r="H17" s="117"/>
    </row>
    <row r="18" spans="1:8">
      <c r="A18" s="306" t="s">
        <v>222</v>
      </c>
      <c r="B18" s="269"/>
      <c r="C18" s="12"/>
      <c r="D18" s="12"/>
      <c r="E18" s="12"/>
      <c r="F18" s="287"/>
      <c r="G18" s="117"/>
      <c r="H18" s="117"/>
    </row>
    <row r="19" spans="1:8" ht="15" thickBot="1">
      <c r="A19" s="307" t="s">
        <v>223</v>
      </c>
      <c r="B19" s="298"/>
      <c r="C19" s="288"/>
      <c r="D19" s="288"/>
      <c r="E19" s="288"/>
      <c r="F19" s="289"/>
      <c r="G19" s="117"/>
      <c r="H19" s="117"/>
    </row>
    <row r="20" spans="1:8">
      <c r="A20" s="423" t="s">
        <v>233</v>
      </c>
      <c r="B20" s="176" t="s">
        <v>26</v>
      </c>
      <c r="C20" s="172" t="s">
        <v>14</v>
      </c>
      <c r="D20" s="172" t="s">
        <v>14</v>
      </c>
      <c r="E20" s="172" t="s">
        <v>143</v>
      </c>
      <c r="F20" s="278" t="s">
        <v>143</v>
      </c>
      <c r="G20" s="117"/>
      <c r="H20" s="117"/>
    </row>
    <row r="21" spans="1:8" ht="15" thickBot="1">
      <c r="A21" s="424"/>
      <c r="B21" s="296" t="s">
        <v>241</v>
      </c>
      <c r="C21" s="277" t="s">
        <v>235</v>
      </c>
      <c r="D21" s="277" t="s">
        <v>146</v>
      </c>
      <c r="E21" s="277" t="s">
        <v>245</v>
      </c>
      <c r="F21" s="279" t="s">
        <v>145</v>
      </c>
      <c r="G21" s="117"/>
      <c r="H21" s="117"/>
    </row>
    <row r="22" spans="1:8">
      <c r="A22" s="305" t="s">
        <v>224</v>
      </c>
      <c r="B22" s="297"/>
      <c r="C22" s="285"/>
      <c r="D22" s="285"/>
      <c r="E22" s="285"/>
      <c r="F22" s="286"/>
      <c r="G22" s="117"/>
      <c r="H22" s="117"/>
    </row>
    <row r="23" spans="1:8">
      <c r="A23" s="306" t="s">
        <v>236</v>
      </c>
      <c r="B23" s="269"/>
      <c r="C23" s="12"/>
      <c r="D23" s="12"/>
      <c r="E23" s="12"/>
      <c r="F23" s="287"/>
      <c r="G23" s="117"/>
      <c r="H23" s="117"/>
    </row>
    <row r="24" spans="1:8">
      <c r="A24" s="306" t="s">
        <v>237</v>
      </c>
      <c r="B24" s="269"/>
      <c r="C24" s="12"/>
      <c r="D24" s="12"/>
      <c r="E24" s="12" t="s">
        <v>230</v>
      </c>
      <c r="F24" s="287"/>
      <c r="G24" s="117"/>
      <c r="H24" s="117"/>
    </row>
    <row r="25" spans="1:8">
      <c r="A25" s="306" t="s">
        <v>239</v>
      </c>
      <c r="B25" s="269"/>
      <c r="C25" s="12"/>
      <c r="D25" s="12"/>
      <c r="E25" s="12"/>
      <c r="F25" s="287"/>
      <c r="G25" s="117"/>
      <c r="H25" s="117"/>
    </row>
    <row r="26" spans="1:8" ht="15" thickBot="1">
      <c r="A26" s="307" t="s">
        <v>238</v>
      </c>
      <c r="B26" s="298"/>
      <c r="C26" s="288"/>
      <c r="D26" s="288"/>
      <c r="E26" s="288"/>
      <c r="F26" s="289"/>
      <c r="G26" s="117"/>
      <c r="H26" s="117"/>
    </row>
    <row r="27" spans="1:8">
      <c r="A27" s="423" t="s">
        <v>240</v>
      </c>
      <c r="B27" s="176" t="s">
        <v>26</v>
      </c>
      <c r="C27" s="172" t="s">
        <v>14</v>
      </c>
      <c r="D27" s="172" t="s">
        <v>14</v>
      </c>
      <c r="E27" s="172" t="s">
        <v>143</v>
      </c>
      <c r="F27" s="173" t="s">
        <v>143</v>
      </c>
      <c r="G27" s="117"/>
      <c r="H27" s="117"/>
    </row>
    <row r="28" spans="1:8" ht="15" thickBot="1">
      <c r="A28" s="424"/>
      <c r="B28" s="296" t="s">
        <v>242</v>
      </c>
      <c r="C28" s="277" t="s">
        <v>231</v>
      </c>
      <c r="D28" s="277" t="s">
        <v>232</v>
      </c>
      <c r="E28" s="277" t="s">
        <v>243</v>
      </c>
      <c r="F28" s="280" t="s">
        <v>244</v>
      </c>
      <c r="G28" s="117"/>
      <c r="H28" s="117"/>
    </row>
    <row r="29" spans="1:8" ht="15" thickBot="1">
      <c r="A29" s="308" t="s">
        <v>226</v>
      </c>
      <c r="B29" s="299"/>
      <c r="C29" s="284"/>
      <c r="D29" s="284"/>
      <c r="E29" s="284"/>
      <c r="F29" s="281"/>
      <c r="G29" s="117"/>
      <c r="H29" s="117"/>
    </row>
    <row r="30" spans="1:8">
      <c r="A30" s="425"/>
      <c r="B30" s="176" t="s">
        <v>26</v>
      </c>
      <c r="C30" s="172" t="s">
        <v>14</v>
      </c>
      <c r="D30" s="172" t="s">
        <v>14</v>
      </c>
      <c r="E30" s="172" t="s">
        <v>143</v>
      </c>
      <c r="F30" s="173" t="s">
        <v>143</v>
      </c>
      <c r="G30" s="117"/>
      <c r="H30" s="117"/>
    </row>
    <row r="31" spans="1:8" ht="15" thickBot="1">
      <c r="A31" s="426"/>
      <c r="B31" s="296" t="s">
        <v>241</v>
      </c>
      <c r="C31" s="277" t="s">
        <v>235</v>
      </c>
      <c r="D31" s="277" t="s">
        <v>146</v>
      </c>
      <c r="E31" s="277" t="s">
        <v>245</v>
      </c>
      <c r="F31" s="280" t="s">
        <v>145</v>
      </c>
    </row>
    <row r="32" spans="1:8" ht="15" thickBot="1">
      <c r="A32" s="309" t="s">
        <v>225</v>
      </c>
      <c r="B32" s="300"/>
      <c r="C32" s="283"/>
      <c r="D32" s="283"/>
      <c r="E32" s="283"/>
      <c r="F32" s="282"/>
    </row>
  </sheetData>
  <mergeCells count="10">
    <mergeCell ref="A14:A15"/>
    <mergeCell ref="A20:A21"/>
    <mergeCell ref="A27:A28"/>
    <mergeCell ref="A30:A31"/>
    <mergeCell ref="A1:H2"/>
    <mergeCell ref="E11:F11"/>
    <mergeCell ref="E12:F12"/>
    <mergeCell ref="E13:F13"/>
    <mergeCell ref="A11:A12"/>
    <mergeCell ref="A4:A5"/>
  </mergeCells>
  <pageMargins left="0.7" right="0.7" top="0.75" bottom="0.75" header="0.3" footer="0.3"/>
  <pageSetup paperSize="9" orientation="landscape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750</vt:i4>
      </vt:variant>
    </vt:vector>
  </HeadingPairs>
  <TitlesOfParts>
    <vt:vector size="762" baseType="lpstr">
      <vt:lpstr>Package Estimation</vt:lpstr>
      <vt:lpstr>Couts Estimation</vt:lpstr>
      <vt:lpstr>Calc JZ02</vt:lpstr>
      <vt:lpstr>Feuille de Débit JZ02</vt:lpstr>
      <vt:lpstr>Totaux M L &amp; Prix JZ02</vt:lpstr>
      <vt:lpstr>Calc JZ04 &amp; JZ06</vt:lpstr>
      <vt:lpstr>Feuille de Débit JZ04 &amp; JZ06</vt:lpstr>
      <vt:lpstr>Totaux M L &amp; Prix JZ04 &amp; JZ06</vt:lpstr>
      <vt:lpstr>Calc JZ05 &amp; JZ07</vt:lpstr>
      <vt:lpstr>Feuille de Débit JZ05 &amp; JZ07</vt:lpstr>
      <vt:lpstr>Totaux M L &amp; Prix JZ05 &amp; JZ07</vt:lpstr>
      <vt:lpstr>Poids &amp; Prix Materiaux</vt:lpstr>
      <vt:lpstr>Debit_Affichage_Haut_Chassis_JZ04</vt:lpstr>
      <vt:lpstr>Debit_Affichage_Haut_Chassis_JZ05</vt:lpstr>
      <vt:lpstr>Debit_Affichage_Haut_GrandsCotes_Panneaux_JZ04</vt:lpstr>
      <vt:lpstr>Debit_Affichage_Haut_GrandsCotes_Panneaux_JZ05</vt:lpstr>
      <vt:lpstr>Debit_Affichage_Haut_PetitsCotes_Panneaux_JZ04</vt:lpstr>
      <vt:lpstr>Debit_Affichage_Haut_PetitsCotes_Panneaux_JZ05</vt:lpstr>
      <vt:lpstr>Debit_Affichage_Haut_Total_SousVide_JZ05</vt:lpstr>
      <vt:lpstr>Debit_Affichage_Haut_Total_SousVide_JZ06</vt:lpstr>
      <vt:lpstr>Debit_Affichage_Larg_Chassis_JZ02</vt:lpstr>
      <vt:lpstr>Debit_Affichage_Larg_Chassis_JZ04</vt:lpstr>
      <vt:lpstr>Debit_Affichage_Larg_Chassis_JZ05</vt:lpstr>
      <vt:lpstr>Debit_Affichage_Larg_PetitsCotes_Panneaux_JZ04</vt:lpstr>
      <vt:lpstr>Debit_Affichage_Larg_PetitsCotes_Panneaux_JZ05</vt:lpstr>
      <vt:lpstr>Debit_Affichage_Larg_Toit_Panneaux_JZ04</vt:lpstr>
      <vt:lpstr>Debit_Affichage_Larg_Toit_Panneaux_JZ05</vt:lpstr>
      <vt:lpstr>Debit_Affichage_Larg_Total_SousVide_JZ05</vt:lpstr>
      <vt:lpstr>Debit_Affichage_Larg_Total_SousVide_JZ06</vt:lpstr>
      <vt:lpstr>Debit_Affichage_Long_Chassis_JZ02</vt:lpstr>
      <vt:lpstr>Debit_Affichage_Long_Chassis_JZ04</vt:lpstr>
      <vt:lpstr>Debit_Affichage_Long_Chassis_JZ05</vt:lpstr>
      <vt:lpstr>Debit_Affichage_Long_GrandsCotes_Panneaux_JZ04</vt:lpstr>
      <vt:lpstr>Debit_Affichage_Long_GrandsCotes_Panneaux_JZ05</vt:lpstr>
      <vt:lpstr>Debit_Affichage_Long_Toit_Panneaux_JZ04</vt:lpstr>
      <vt:lpstr>Debit_Affichage_Long_Toit_Panneaux_JZ05</vt:lpstr>
      <vt:lpstr>Debit_Affichage_Long_Total_SousVide_JZ05</vt:lpstr>
      <vt:lpstr>Debit_Affichage_Long_Total_SousVide_JZ06</vt:lpstr>
      <vt:lpstr>Debit_EcartChevronsBas_Chassis_JZ02</vt:lpstr>
      <vt:lpstr>Debit_EcartChevronsHaut_Chassis_JZ02</vt:lpstr>
      <vt:lpstr>Debit_HautContrePlaque_GrandsCotes_JZ04</vt:lpstr>
      <vt:lpstr>Debit_HautContrePlaque_PetitsCotes_JZ04</vt:lpstr>
      <vt:lpstr>Debit_Larg_FeuilleFond_SousVide_JZ05</vt:lpstr>
      <vt:lpstr>Debit_Larg_FeuilleFond_SousVide_JZ06</vt:lpstr>
      <vt:lpstr>Debit_Larg_FeuilleGrandsCotes_SousVide_JZ05</vt:lpstr>
      <vt:lpstr>Debit_Larg_FeuilleGrandsCotes_SousVide_JZ06</vt:lpstr>
      <vt:lpstr>Debit_Larg_FeuilleToitEtPetitsCotes_SousVide_JZ05</vt:lpstr>
      <vt:lpstr>Debit_Larg_FeuilleToitEtPetitsCotes_SousVide_JZ06</vt:lpstr>
      <vt:lpstr>Debit_LargContrePlaque_PetitsCotes_JZ04</vt:lpstr>
      <vt:lpstr>Debit_LargContrePlaque_Sup1_JZ02</vt:lpstr>
      <vt:lpstr>Debit_LargContrePlaque_Sup1_JZ04</vt:lpstr>
      <vt:lpstr>Debit_LargContrePlaque_Sup1_JZ05</vt:lpstr>
      <vt:lpstr>Debit_LargContrePlaque_Sup2_JZ02</vt:lpstr>
      <vt:lpstr>Debit_LargContrePlaque_Sup2_JZ04</vt:lpstr>
      <vt:lpstr>Debit_LargContrePlaque_Sup2_JZ05</vt:lpstr>
      <vt:lpstr>Debit_LargContrePlaque_Sup3_JZ02</vt:lpstr>
      <vt:lpstr>Debit_LargContrePlaque_Sup3_JZ04</vt:lpstr>
      <vt:lpstr>Debit_LargContrePlaque_Sup3_JZ05</vt:lpstr>
      <vt:lpstr>Debit_LargContrePlaque_Sup4_JZ02</vt:lpstr>
      <vt:lpstr>Debit_LargContrePlaque_Sup4_JZ04</vt:lpstr>
      <vt:lpstr>Debit_LargContrePlaque_Sup4_JZ05</vt:lpstr>
      <vt:lpstr>Debit_LargContrePlaque_Toit_JZ04</vt:lpstr>
      <vt:lpstr>Debit_LargPlanchesX10_Derniere_Plancher_JZ05</vt:lpstr>
      <vt:lpstr>Debit_LargPlanchesX10_GrandsCotes_JZ05</vt:lpstr>
      <vt:lpstr>Debit_LargPlanchesX10_PetitsCotes_JZ05</vt:lpstr>
      <vt:lpstr>Debit_LargPlanchesX10_Plancher_JZ02</vt:lpstr>
      <vt:lpstr>Debit_LargPlanchesX10_Plancher_JZ04</vt:lpstr>
      <vt:lpstr>Debit_LargPlanchesX10_Plancher_JZ05</vt:lpstr>
      <vt:lpstr>Debit_LargPlanchesX10_Reste_GrandsCotes_JZ05</vt:lpstr>
      <vt:lpstr>Debit_LargPlanchesX10_Reste_PetitsCotes_JZ05</vt:lpstr>
      <vt:lpstr>Debit_LargPlanchesX10_Reste_Plancher_JZ02</vt:lpstr>
      <vt:lpstr>Debit_LargPlanchesX10_Reste_Plancher_JZ04</vt:lpstr>
      <vt:lpstr>Debit_LargPlanchesX10_Reste_Toit_JZ05</vt:lpstr>
      <vt:lpstr>Debit_LargPlanchesX10_Toit_JZ05</vt:lpstr>
      <vt:lpstr>Debit_LargPlanchesX12_5_Derniere_Plancher_JZ05</vt:lpstr>
      <vt:lpstr>Debit_LargPlanchesX12_5_GrandsCotes_JZ05</vt:lpstr>
      <vt:lpstr>Debit_LargPlanchesX12_5_PetitsCotes_JZ05</vt:lpstr>
      <vt:lpstr>Debit_LargPlanchesX12_5_Plancher_JZ02</vt:lpstr>
      <vt:lpstr>Debit_LargPlanchesX12_5_Plancher_JZ04</vt:lpstr>
      <vt:lpstr>Debit_LargPlanchesX12_5_Plancher_JZ05</vt:lpstr>
      <vt:lpstr>Debit_LargPlanchesX12_5_Reste_GrandsCotes_JZ05</vt:lpstr>
      <vt:lpstr>Debit_LargPlanchesX12_5_Reste_PetitsCotes_JZ05</vt:lpstr>
      <vt:lpstr>Debit_LargPlanchesX12_5_Reste_Plancher_JZ02</vt:lpstr>
      <vt:lpstr>Debit_LargPlanchesX12_5_Reste_Plancher_JZ04</vt:lpstr>
      <vt:lpstr>Debit_LargPlanchesX12_5_Reste_Toit_JZ05</vt:lpstr>
      <vt:lpstr>Debit_LargPlanchesX12_5_Toit_JZ05</vt:lpstr>
      <vt:lpstr>Debit_LargPlanchesX15_Derniere_Plancher_JZ05</vt:lpstr>
      <vt:lpstr>Debit_LargPlanchesX15_GrandsCotes_JZ05</vt:lpstr>
      <vt:lpstr>Debit_LargPlanchesX15_PetitsCotes_JZ05</vt:lpstr>
      <vt:lpstr>Debit_LargPlanchesX15_Plancher_JZ02</vt:lpstr>
      <vt:lpstr>Debit_LargPlanchesX15_Plancher_JZ04</vt:lpstr>
      <vt:lpstr>Debit_LargPlanchesX15_Plancher_JZ05</vt:lpstr>
      <vt:lpstr>Debit_LargPlanchesX15_Reste_GrandsCotes_JZ05</vt:lpstr>
      <vt:lpstr>Debit_LargPlanchesX15_Reste_PetitsCotes_JZ05</vt:lpstr>
      <vt:lpstr>Debit_LargPlanchesX15_Reste_Plancher_JZ02</vt:lpstr>
      <vt:lpstr>Debit_LargPlanchesX15_Reste_Plancher_JZ04</vt:lpstr>
      <vt:lpstr>Debit_LargPlanchesX15_Reste_Toit_JZ05</vt:lpstr>
      <vt:lpstr>Debit_LargPlanchesX15_Toit_JZ05</vt:lpstr>
      <vt:lpstr>Debit_Long_FeuilleFond_SousVide_JZ05</vt:lpstr>
      <vt:lpstr>Debit_Long_FeuilleFond_SousVide_JZ06</vt:lpstr>
      <vt:lpstr>Debit_Long_FeuilleGrandsCotes_SousVide_JZ05</vt:lpstr>
      <vt:lpstr>Debit_Long_FeuilleGrandsCotes_SousVide_JZ06</vt:lpstr>
      <vt:lpstr>Debit_Long_FeuilleToitEtPetitsCotes_SousVide_JZ05</vt:lpstr>
      <vt:lpstr>Debit_Long_FeuilleToitEtPetitsCotes_SousVide_JZ06</vt:lpstr>
      <vt:lpstr>Debit_LongChevrons5X8_Sup1_JZ02</vt:lpstr>
      <vt:lpstr>Debit_LongChevrons5X8_Sup1_JZ04</vt:lpstr>
      <vt:lpstr>Debit_LongChevrons5X8_Sup1_JZ05</vt:lpstr>
      <vt:lpstr>Debit_LongChevrons5X8_Sup2_JZ02</vt:lpstr>
      <vt:lpstr>Debit_LongChevrons5X8_Sup2_JZ04</vt:lpstr>
      <vt:lpstr>Debit_LongChevrons5X8_Sup2_JZ05</vt:lpstr>
      <vt:lpstr>Debit_LongChevrons5X8_Sup3_JZ02</vt:lpstr>
      <vt:lpstr>Debit_LongChevrons5X8_Sup3_JZ04</vt:lpstr>
      <vt:lpstr>Debit_LongChevrons5X8_Sup3_JZ05</vt:lpstr>
      <vt:lpstr>Debit_LongChevrons5X8_Sup4_JZ02</vt:lpstr>
      <vt:lpstr>Debit_LongChevrons5X8_Sup4_JZ04</vt:lpstr>
      <vt:lpstr>Debit_LongChevrons5X8_Sup4_JZ05</vt:lpstr>
      <vt:lpstr>Debit_LongChevrons8X10_Sup1_JZ02</vt:lpstr>
      <vt:lpstr>Debit_LongChevrons8X10_Sup1_JZ04</vt:lpstr>
      <vt:lpstr>Debit_LongChevrons8X10_Sup1_JZ05</vt:lpstr>
      <vt:lpstr>Debit_LongChevrons8X10_Sup2_JZ02</vt:lpstr>
      <vt:lpstr>Debit_LongChevrons8X10_Sup2_JZ04</vt:lpstr>
      <vt:lpstr>Debit_LongChevrons8X10_Sup2_JZ05</vt:lpstr>
      <vt:lpstr>Debit_LongChevrons8X10_Sup3_JZ02</vt:lpstr>
      <vt:lpstr>Debit_LongChevrons8X10_Sup3_JZ04</vt:lpstr>
      <vt:lpstr>Debit_LongChevrons8X10_Sup3_JZ05</vt:lpstr>
      <vt:lpstr>Debit_LongChevrons8X10_Sup4_JZ02</vt:lpstr>
      <vt:lpstr>Debit_LongChevrons8X10_Sup4_JZ04</vt:lpstr>
      <vt:lpstr>Debit_LongChevrons8X10_Sup4_JZ05</vt:lpstr>
      <vt:lpstr>Debit_LongChevronsBas_ChaisesBas_JZ02</vt:lpstr>
      <vt:lpstr>Debit_LongChevronsBas_ChaisesBas_JZ04</vt:lpstr>
      <vt:lpstr>Debit_LongChevronsBas_ChaisesBas_JZ05</vt:lpstr>
      <vt:lpstr>Debit_LongChevronsBas_ChaisesHaut_JZ02</vt:lpstr>
      <vt:lpstr>Debit_LongChevronsBas_ChaisesHaut_JZ04</vt:lpstr>
      <vt:lpstr>Debit_LongChevronsBas_ChaisesHaut_JZ05</vt:lpstr>
      <vt:lpstr>Debit_LongChevronsBas_Chassis_JZ02</vt:lpstr>
      <vt:lpstr>Debit_LongChevronsBas_Chassis_JZ04</vt:lpstr>
      <vt:lpstr>Debit_LongChevronsBas_Chassis_JZ05</vt:lpstr>
      <vt:lpstr>Debit_LongChevronsHaut_ChaisesBas_JZ02</vt:lpstr>
      <vt:lpstr>Debit_LongChevronsHaut_ChaisesBas_JZ04</vt:lpstr>
      <vt:lpstr>Debit_LongChevronsHaut_ChaisesBas_JZ05</vt:lpstr>
      <vt:lpstr>Debit_LongChevronsHaut_ChaisesHaut_JZ02</vt:lpstr>
      <vt:lpstr>Debit_LongChevronsHaut_ChaisesHaut_JZ04</vt:lpstr>
      <vt:lpstr>Debit_LongChevronsHaut_ChaisesHaut_JZ05</vt:lpstr>
      <vt:lpstr>Debit_LongChevronsHaut_Chassis_JZ02</vt:lpstr>
      <vt:lpstr>Debit_LongChevronsHaut_Chassis_JZ04</vt:lpstr>
      <vt:lpstr>Debit_LongChevronsHaut_Chassis_JZ05</vt:lpstr>
      <vt:lpstr>Debit_LongChevronsHautBis_Chassis_JZ02</vt:lpstr>
      <vt:lpstr>Debit_LongChevronsHautBis_Chassis_JZ04</vt:lpstr>
      <vt:lpstr>Debit_LongChevronsHautBis_Chassis_JZ05</vt:lpstr>
      <vt:lpstr>Debit_LongChevronsHauteur_ChaisesBas_JZ02</vt:lpstr>
      <vt:lpstr>Debit_LongChevronsHauteur_ChaisesBas_JZ04</vt:lpstr>
      <vt:lpstr>Debit_LongChevronsHauteur_ChaisesBas_JZ05</vt:lpstr>
      <vt:lpstr>Debit_LongChevronsHauteur_ChaisesHaut_JZ02</vt:lpstr>
      <vt:lpstr>Debit_LongChevronsHauteur_ChaisesHaut_JZ04</vt:lpstr>
      <vt:lpstr>Debit_LongChevronsHauteur_ChaisesHaut_JZ05</vt:lpstr>
      <vt:lpstr>Debit_LongChevronsHautRenfort_Chassis_JZ02</vt:lpstr>
      <vt:lpstr>Debit_LongChevronsHautRenfort_Chassis_JZ04</vt:lpstr>
      <vt:lpstr>Debit_LongChevronsHautRenfort_Chassis_JZ05</vt:lpstr>
      <vt:lpstr>Debit_LongChevronsHautTalons_Chassis_JZ04</vt:lpstr>
      <vt:lpstr>Debit_LongChevronsHautTalons_Chassis_JZ05</vt:lpstr>
      <vt:lpstr>Debit_LongChevronsHautToit_Chassis_JZ04</vt:lpstr>
      <vt:lpstr>Debit_LongChevronsHautToit_Chassis_JZ05</vt:lpstr>
      <vt:lpstr>Debit_LongChevronsTalons_Chassis_JZ04</vt:lpstr>
      <vt:lpstr>Debit_LongChevronsTalons_Chassis_JZ05</vt:lpstr>
      <vt:lpstr>Debit_LongChevronsToit_Chassis_JZ04</vt:lpstr>
      <vt:lpstr>Debit_LongChevronsToit_Chassis_JZ05</vt:lpstr>
      <vt:lpstr>Debit_LongContrePlaque_GrandsCotes_JZ04</vt:lpstr>
      <vt:lpstr>Debit_LongContrePlaque_Sup1_JZ02</vt:lpstr>
      <vt:lpstr>Debit_LongContrePlaque_Sup1_JZ04</vt:lpstr>
      <vt:lpstr>Debit_LongContrePlaque_Sup1_JZ05</vt:lpstr>
      <vt:lpstr>Debit_LongContrePlaque_Sup2_JZ02</vt:lpstr>
      <vt:lpstr>Debit_LongContrePlaque_Sup2_JZ04</vt:lpstr>
      <vt:lpstr>Debit_LongContrePlaque_Sup2_JZ05</vt:lpstr>
      <vt:lpstr>Debit_LongContrePlaque_Sup3_JZ02</vt:lpstr>
      <vt:lpstr>Debit_LongContrePlaque_Sup3_JZ04</vt:lpstr>
      <vt:lpstr>Debit_LongContrePlaque_Sup3_JZ05</vt:lpstr>
      <vt:lpstr>Debit_LongContrePlaque_Sup4_JZ02</vt:lpstr>
      <vt:lpstr>Debit_LongContrePlaque_Sup4_JZ04</vt:lpstr>
      <vt:lpstr>Debit_LongContrePlaque_Sup4_JZ05</vt:lpstr>
      <vt:lpstr>Debit_LongContrePlaque_Toit_JZ04</vt:lpstr>
      <vt:lpstr>Debit_LongPlanches_Haut_GrandsCotes_JZ05</vt:lpstr>
      <vt:lpstr>Debit_LongPlanches_Haut_PetitsCotes_JZ05</vt:lpstr>
      <vt:lpstr>Debit_LongPlanches_Larg_PetitsCotes_JZ04</vt:lpstr>
      <vt:lpstr>Debit_LongPlanches_Larg_PetitsCotes_JZ05</vt:lpstr>
      <vt:lpstr>Debit_LongPlanches_Larg_Toit_JZ05</vt:lpstr>
      <vt:lpstr>Debit_LongPlanches_Long_GrandsCotes_JZ04</vt:lpstr>
      <vt:lpstr>Debit_LongPlanches_Long_GrandsCotes_JZ05</vt:lpstr>
      <vt:lpstr>Debit_LongPlanches_Long_Toit_JZ04</vt:lpstr>
      <vt:lpstr>Debit_LongPlanches_Long_Toit_JZ05</vt:lpstr>
      <vt:lpstr>Debit_LongPlanches_Travers_GrandsCotes_JZ05</vt:lpstr>
      <vt:lpstr>Debit_LongPlanches_Travers_PetitsCotes_JZ05</vt:lpstr>
      <vt:lpstr>Debit_LongPlanchesX10_Haut_GrandsCotes_JZ04</vt:lpstr>
      <vt:lpstr>Debit_LongPlanchesX10_Haut_PetitsCotes_JZ04</vt:lpstr>
      <vt:lpstr>Debit_LongPlanchesX10_Haut_Toit_JZ04</vt:lpstr>
      <vt:lpstr>Debit_LongPlanchesX10_Plancher_JZ02</vt:lpstr>
      <vt:lpstr>Debit_LongPlanchesX10_Plancher_JZ04</vt:lpstr>
      <vt:lpstr>Debit_LongPlanchesX10_Plancher_JZ05</vt:lpstr>
      <vt:lpstr>Debit_LongPlanchesX10_Sup1_JZ02</vt:lpstr>
      <vt:lpstr>Debit_LongPlanchesX10_Sup1_JZ04</vt:lpstr>
      <vt:lpstr>Debit_LongPlanchesX10_Sup1_JZ05</vt:lpstr>
      <vt:lpstr>Debit_LongPlanchesX10_Sup2_JZ02</vt:lpstr>
      <vt:lpstr>Debit_LongPlanchesX10_Sup2_JZ04</vt:lpstr>
      <vt:lpstr>Debit_LongPlanchesX10_Sup2_JZ05</vt:lpstr>
      <vt:lpstr>Debit_LongPlanchesX10_Sup3_JZ02</vt:lpstr>
      <vt:lpstr>Debit_LongPlanchesX10_Sup3_JZ04</vt:lpstr>
      <vt:lpstr>Debit_LongPlanchesX10_Sup3_JZ05</vt:lpstr>
      <vt:lpstr>Debit_LongPlanchesX10_Sup4_JZ02</vt:lpstr>
      <vt:lpstr>Debit_LongPlanchesX10_Sup4_JZ04</vt:lpstr>
      <vt:lpstr>Debit_LongPlanchesX10_Sup4_JZ05</vt:lpstr>
      <vt:lpstr>Debit_LongPlanchesX12_5_Haut_GrandsCotes_JZ04</vt:lpstr>
      <vt:lpstr>Debit_LongPlanchesX12_5_Haut_PetitsCotes_JZ04</vt:lpstr>
      <vt:lpstr>Debit_LongPlanchesX12_5_Haut_Toit_JZ04</vt:lpstr>
      <vt:lpstr>Debit_LongPlanchesX12_5_Plancher_JZ02</vt:lpstr>
      <vt:lpstr>Debit_LongPlanchesX12_5_Plancher_JZ04</vt:lpstr>
      <vt:lpstr>Debit_LongPlanchesX12_5_Plancher_JZ05</vt:lpstr>
      <vt:lpstr>Debit_LongPlanchesX12_5_Sup1_JZ02</vt:lpstr>
      <vt:lpstr>Debit_LongPlanchesX12_5_Sup1_JZ04</vt:lpstr>
      <vt:lpstr>Debit_LongPlanchesX12_5_Sup1_JZ05</vt:lpstr>
      <vt:lpstr>Debit_LongPlanchesX12_5_Sup2_JZ02</vt:lpstr>
      <vt:lpstr>Debit_LongPlanchesX12_5_Sup2_JZ04</vt:lpstr>
      <vt:lpstr>Debit_LongPlanchesX12_5_Sup2_JZ05</vt:lpstr>
      <vt:lpstr>Debit_LongPlanchesX12_5_Sup3_JZ02</vt:lpstr>
      <vt:lpstr>Debit_LongPlanchesX12_5_Sup3_JZ04</vt:lpstr>
      <vt:lpstr>Debit_LongPlanchesX12_5_Sup3_JZ05</vt:lpstr>
      <vt:lpstr>Debit_LongPlanchesX12_5_Sup4_JZ02</vt:lpstr>
      <vt:lpstr>Debit_LongPlanchesX12_5_Sup4_JZ04</vt:lpstr>
      <vt:lpstr>Debit_LongPlanchesX12_5_Sup4_JZ05</vt:lpstr>
      <vt:lpstr>Debit_LongPlanchesX15_Haut_GrandsCotes_JZ04</vt:lpstr>
      <vt:lpstr>Debit_LongPlanchesX15_Haut_PetitsCotes_JZ04</vt:lpstr>
      <vt:lpstr>Debit_LongPlanchesX15_Haut_Toit_JZ04</vt:lpstr>
      <vt:lpstr>Debit_LongPlanchesX15_Plancher_JZ02</vt:lpstr>
      <vt:lpstr>Debit_LongPlanchesX15_Plancher_JZ04</vt:lpstr>
      <vt:lpstr>Debit_LongPlanchesX15_Plancher_JZ05</vt:lpstr>
      <vt:lpstr>Debit_LongPlanchesX15_Sup1_JZ02</vt:lpstr>
      <vt:lpstr>Debit_LongPlanchesX15_Sup1_JZ04</vt:lpstr>
      <vt:lpstr>Debit_LongPlanchesX15_Sup1_JZ05</vt:lpstr>
      <vt:lpstr>Debit_LongPlanchesX15_Sup2_JZ02</vt:lpstr>
      <vt:lpstr>Debit_LongPlanchesX15_Sup2_JZ04</vt:lpstr>
      <vt:lpstr>Debit_LongPlanchesX15_Sup2_JZ05</vt:lpstr>
      <vt:lpstr>Debit_LongPlanchesX15_Sup3_JZ02</vt:lpstr>
      <vt:lpstr>Debit_LongPlanchesX15_Sup3_JZ04</vt:lpstr>
      <vt:lpstr>Debit_LongPlanchesX15_Sup3_JZ05</vt:lpstr>
      <vt:lpstr>Debit_LongPlanchesX15_Sup4_JZ02</vt:lpstr>
      <vt:lpstr>Debit_LongPlanchesX15_Sup4_JZ04</vt:lpstr>
      <vt:lpstr>Debit_LongPlanchesX15_Sup4_JZ05</vt:lpstr>
      <vt:lpstr>Debit_Nb_FeuilleFond_SousVide_JZ05</vt:lpstr>
      <vt:lpstr>Debit_Nb_FeuilleFond_SousVide_JZ06</vt:lpstr>
      <vt:lpstr>Debit_Nb_FeuilleGrandsCotes_SousVide_JZ05</vt:lpstr>
      <vt:lpstr>Debit_Nb_FeuilleGrandsCotes_SousVide_JZ06</vt:lpstr>
      <vt:lpstr>Debit_Nb_FeuilleToitEtPetitsCotes_SousVide_JZ05</vt:lpstr>
      <vt:lpstr>Debit_Nb_FeuilleToitEtPetitsCotes_SousVide_JZ06</vt:lpstr>
      <vt:lpstr>Debit_NbChevrons5X8_Sup1_JZ02</vt:lpstr>
      <vt:lpstr>Debit_NbChevrons5X8_Sup1_JZ04</vt:lpstr>
      <vt:lpstr>Debit_NbChevrons5X8_Sup1_JZ05</vt:lpstr>
      <vt:lpstr>Debit_NbChevrons5X8_Sup2_JZ02</vt:lpstr>
      <vt:lpstr>Debit_NbChevrons5X8_Sup2_JZ04</vt:lpstr>
      <vt:lpstr>Debit_NbChevrons5X8_Sup2_JZ05</vt:lpstr>
      <vt:lpstr>Debit_NbChevrons5X8_Sup3_JZ02</vt:lpstr>
      <vt:lpstr>Debit_NbChevrons5X8_Sup3_JZ04</vt:lpstr>
      <vt:lpstr>Debit_NbChevrons5X8_Sup3_JZ05</vt:lpstr>
      <vt:lpstr>Debit_NbChevrons5X8_Sup4_JZ02</vt:lpstr>
      <vt:lpstr>Debit_NbChevrons5X8_Sup4_JZ04</vt:lpstr>
      <vt:lpstr>Debit_NbChevrons5X8_Sup4_JZ05</vt:lpstr>
      <vt:lpstr>Debit_NbChevrons8X10_Sup1_JZ02</vt:lpstr>
      <vt:lpstr>Debit_NbChevrons8X10_Sup1_JZ04</vt:lpstr>
      <vt:lpstr>Debit_NbChevrons8X10_Sup1_JZ05</vt:lpstr>
      <vt:lpstr>Debit_NbChevrons8X10_Sup2_JZ02</vt:lpstr>
      <vt:lpstr>Debit_NbChevrons8X10_Sup2_JZ04</vt:lpstr>
      <vt:lpstr>Debit_NbChevrons8X10_Sup2_JZ05</vt:lpstr>
      <vt:lpstr>Debit_NbChevrons8X10_Sup3_JZ02</vt:lpstr>
      <vt:lpstr>Debit_NbChevrons8X10_Sup3_JZ04</vt:lpstr>
      <vt:lpstr>Debit_NbChevrons8X10_Sup3_JZ05</vt:lpstr>
      <vt:lpstr>Debit_NbChevrons8X10_Sup4_JZ02</vt:lpstr>
      <vt:lpstr>Debit_NbChevrons8X10_Sup4_JZ04</vt:lpstr>
      <vt:lpstr>Debit_NbChevrons8X10_Sup4_JZ05</vt:lpstr>
      <vt:lpstr>Debit_NbChevronsBas_ChaisesBas_JZ02</vt:lpstr>
      <vt:lpstr>Debit_NbChevronsBas_ChaisesBas_JZ04</vt:lpstr>
      <vt:lpstr>Debit_NbChevronsBas_ChaisesBas_JZ05</vt:lpstr>
      <vt:lpstr>Debit_NbChevronsBas_ChaisesHaut_JZ02</vt:lpstr>
      <vt:lpstr>Debit_NbChevronsBas_ChaisesHaut_JZ04</vt:lpstr>
      <vt:lpstr>Debit_NbChevronsBas_ChaisesHaut_JZ05</vt:lpstr>
      <vt:lpstr>Debit_NbChevronsBas_Chassis_JZ02</vt:lpstr>
      <vt:lpstr>Debit_NbChevronsBas_Chassis_JZ04</vt:lpstr>
      <vt:lpstr>Debit_NbChevronsBas_Chassis_JZ05</vt:lpstr>
      <vt:lpstr>Debit_NbChevronsHaut_ChaisesBas_JZ02</vt:lpstr>
      <vt:lpstr>Debit_NbChevronsHaut_ChaisesBas_JZ04</vt:lpstr>
      <vt:lpstr>Debit_NbChevronsHaut_ChaisesBas_JZ05</vt:lpstr>
      <vt:lpstr>Debit_NbChevronsHaut_ChaisesHaut_JZ02</vt:lpstr>
      <vt:lpstr>Debit_NbChevronsHaut_ChaisesHaut_JZ04</vt:lpstr>
      <vt:lpstr>Debit_NbChevronsHaut_ChaisesHaut_JZ05</vt:lpstr>
      <vt:lpstr>Debit_NbChevronsHaut_Chassis_JZ02</vt:lpstr>
      <vt:lpstr>Debit_NbChevronsHaut_Chassis_JZ04</vt:lpstr>
      <vt:lpstr>Debit_NbChevronsHaut_Chassis_JZ05</vt:lpstr>
      <vt:lpstr>Debit_NbChevronsHautBis_Chassis_JZ02</vt:lpstr>
      <vt:lpstr>Debit_NbChevronsHautBis_Chassis_JZ04</vt:lpstr>
      <vt:lpstr>Debit_NbChevronsHautBis_Chassis_JZ05</vt:lpstr>
      <vt:lpstr>Debit_NbChevronsHauteur_ChaiseBas_JZ02</vt:lpstr>
      <vt:lpstr>Debit_NbChevronsHauteur_ChaiseBas_JZ04</vt:lpstr>
      <vt:lpstr>Debit_NbChevronsHauteur_ChaiseBas_JZ05</vt:lpstr>
      <vt:lpstr>Debit_NbChevronsHauteur_ChaiseHaut_JZ02</vt:lpstr>
      <vt:lpstr>Debit_NbChevronsHauteur_ChaiseHaut_JZ04</vt:lpstr>
      <vt:lpstr>Debit_NbChevronsHauteur_ChaiseHaut_JZ05</vt:lpstr>
      <vt:lpstr>Debit_NbChevronsHauteur_ChaisesBas_JZ02</vt:lpstr>
      <vt:lpstr>Debit_NbChevronsHautRenfort_Chassis_JZ02</vt:lpstr>
      <vt:lpstr>Debit_NbChevronsHautRenfort_Chassis_JZ04</vt:lpstr>
      <vt:lpstr>Debit_NbChevronsHautRenfort_Chassis_JZ05</vt:lpstr>
      <vt:lpstr>Debit_NbContrePlaque_GrandsCotes_JZ04</vt:lpstr>
      <vt:lpstr>Debit_NbContrePlaque_PetitsCotes_JZ04</vt:lpstr>
      <vt:lpstr>Debit_NbContrePlaque_Sup1_JZ02</vt:lpstr>
      <vt:lpstr>Debit_NbContrePlaque_Sup1_JZ04</vt:lpstr>
      <vt:lpstr>Debit_NbContrePlaque_Sup1_JZ05</vt:lpstr>
      <vt:lpstr>Debit_NbContrePlaque_Sup2_JZ02</vt:lpstr>
      <vt:lpstr>Debit_NbContrePlaque_Sup2_JZ04</vt:lpstr>
      <vt:lpstr>Debit_NbContrePlaque_Sup2_JZ05</vt:lpstr>
      <vt:lpstr>Debit_NbContrePlaque_Sup3_JZ02</vt:lpstr>
      <vt:lpstr>Debit_NbContrePlaque_Sup3_JZ04</vt:lpstr>
      <vt:lpstr>Debit_NbContrePlaque_Sup3_JZ05</vt:lpstr>
      <vt:lpstr>Debit_NbContrePlaque_Sup4_JZ02</vt:lpstr>
      <vt:lpstr>Debit_NbContrePlaque_Sup4_JZ04</vt:lpstr>
      <vt:lpstr>Debit_NbContrePlaque_Sup4_JZ05</vt:lpstr>
      <vt:lpstr>Debit_NbContrePlaque_Toit_JZ04</vt:lpstr>
      <vt:lpstr>Debit_NbPlanches_Haut_GrandsCotes_JZ04</vt:lpstr>
      <vt:lpstr>Debit_NbPlanches_Haut_PetitsCotes_JZ04</vt:lpstr>
      <vt:lpstr>Debit_NbPlanches_Larg_PetitsCotes_JZ04</vt:lpstr>
      <vt:lpstr>Debit_NbPlanches_Larg_PetitsCotes_JZ05</vt:lpstr>
      <vt:lpstr>Debit_NbPlanches_Larg_Toit_JZ04</vt:lpstr>
      <vt:lpstr>Debit_NbPlanches_Long_GrandsCotes_JZ04</vt:lpstr>
      <vt:lpstr>Debit_NbPlanches_Long_GrandsCotes_JZ05</vt:lpstr>
      <vt:lpstr>Debit_NbPlanches_Long_Toit_JZ04</vt:lpstr>
      <vt:lpstr>Debit_NbPlanches_Long_Toit_JZ05</vt:lpstr>
      <vt:lpstr>Debit_NbPlanches_Travers_GrandsCotes_JZ05</vt:lpstr>
      <vt:lpstr>Debit_NbPlanches_Travers_PetitsCotes_JZ05</vt:lpstr>
      <vt:lpstr>Debit_NbPlanchesX10_GrandsCotes_JZ05</vt:lpstr>
      <vt:lpstr>Debit_NbPlanchesX10_PetitsCotes_JZ05</vt:lpstr>
      <vt:lpstr>Debit_NbPlanchesX10_Plancher_JZ02</vt:lpstr>
      <vt:lpstr>Debit_NbPlanchesX10_Plancher_JZ04</vt:lpstr>
      <vt:lpstr>Debit_NbPlanchesX10_Plancher_JZ05</vt:lpstr>
      <vt:lpstr>Debit_NbPlanchesX10_Reste_GrandsCotes_JZ05</vt:lpstr>
      <vt:lpstr>Debit_NbPlanchesX10_Reste_PetitsCotes_JZ05</vt:lpstr>
      <vt:lpstr>Debit_NbPlanchesX10_Reste_Plancher_JZ02</vt:lpstr>
      <vt:lpstr>Debit_NbPlanchesX10_Reste_Plancher_JZ04</vt:lpstr>
      <vt:lpstr>Debit_NbPlanchesX10_Reste_Plancher_JZ05</vt:lpstr>
      <vt:lpstr>Debit_NbPlanchesX10_Reste_Toit_JZ05</vt:lpstr>
      <vt:lpstr>Debit_NbPlanchesX10_Sup1_JZ02</vt:lpstr>
      <vt:lpstr>Debit_NbPlanchesX10_Sup1_JZ04</vt:lpstr>
      <vt:lpstr>Debit_NbPlanchesX10_Sup1_JZ05</vt:lpstr>
      <vt:lpstr>Debit_NbPlanchesX10_Sup2_JZ02</vt:lpstr>
      <vt:lpstr>Debit_NbPlanchesX10_Sup2_JZ04</vt:lpstr>
      <vt:lpstr>Debit_NbPlanchesX10_Sup2_JZ05</vt:lpstr>
      <vt:lpstr>Debit_NbPlanchesX10_Sup3_JZ02</vt:lpstr>
      <vt:lpstr>Debit_NbPlanchesX10_Sup3_JZ04</vt:lpstr>
      <vt:lpstr>Debit_NbPlanchesX10_Sup3_JZ05</vt:lpstr>
      <vt:lpstr>Debit_NbPlanchesX10_Sup4_JZ02</vt:lpstr>
      <vt:lpstr>Debit_NbPlanchesX10_Sup4_JZ04</vt:lpstr>
      <vt:lpstr>Debit_NbPlanchesX10_Sup4_JZ05</vt:lpstr>
      <vt:lpstr>Debit_NbPlanchesX10_Toit_JZ05</vt:lpstr>
      <vt:lpstr>Debit_NbPlanchesX12_5_GrandsCotes_JZ05</vt:lpstr>
      <vt:lpstr>Debit_NbPlanchesX12_5_PetitsCotes_JZ05</vt:lpstr>
      <vt:lpstr>Debit_NbPlanchesX12_5_Plancher_JZ02</vt:lpstr>
      <vt:lpstr>Debit_NbPlanchesX12_5_Plancher_JZ04</vt:lpstr>
      <vt:lpstr>Debit_NbPlanchesX12_5_Plancher_JZ05</vt:lpstr>
      <vt:lpstr>Debit_NbPlanchesX12_5_Reste_GrandsCotes_JZ05</vt:lpstr>
      <vt:lpstr>Debit_NbPlanchesX12_5_Reste_PetitsCotes_JZ05</vt:lpstr>
      <vt:lpstr>Debit_NbPlanchesX12_5_Reste_Plancher_JZ02</vt:lpstr>
      <vt:lpstr>Debit_NbPlanchesX12_5_Reste_Plancher_JZ04</vt:lpstr>
      <vt:lpstr>Debit_NbPlanchesX12_5_Reste_Plancher_JZ05</vt:lpstr>
      <vt:lpstr>Debit_NbPlanchesX12_5_Reste_Toit_JZ05</vt:lpstr>
      <vt:lpstr>Debit_NbPlanchesX12_5_Sup1_JZ02</vt:lpstr>
      <vt:lpstr>Debit_NbPlanchesX12_5_Sup1_JZ04</vt:lpstr>
      <vt:lpstr>Debit_NbPlanchesX12_5_Sup1_JZ05</vt:lpstr>
      <vt:lpstr>Debit_NbPlanchesX12_5_Sup2_JZ02</vt:lpstr>
      <vt:lpstr>Debit_NbPlanchesX12_5_Sup2_JZ04</vt:lpstr>
      <vt:lpstr>Debit_NbPlanchesX12_5_Sup2_JZ05</vt:lpstr>
      <vt:lpstr>Debit_NbPlanchesX12_5_Sup3_JZ02</vt:lpstr>
      <vt:lpstr>Debit_NbPlanchesX12_5_Sup3_JZ04</vt:lpstr>
      <vt:lpstr>Debit_NbPlanchesX12_5_Sup3_JZ05</vt:lpstr>
      <vt:lpstr>Debit_NbPlanchesX12_5_Sup4_JZ02</vt:lpstr>
      <vt:lpstr>Debit_NbPlanchesX12_5_Sup4_JZ04</vt:lpstr>
      <vt:lpstr>Debit_NbPlanchesX12_5_Sup4_JZ05</vt:lpstr>
      <vt:lpstr>Debit_NbPlanchesX12_5_Toit_JZ05</vt:lpstr>
      <vt:lpstr>Debit_NbPlanchesX15_GrandsCotes_JZ05</vt:lpstr>
      <vt:lpstr>Debit_NbPlanchesX15_PetitsCotes_JZ05</vt:lpstr>
      <vt:lpstr>Debit_NbPlanchesX15_Plancher_JZ02</vt:lpstr>
      <vt:lpstr>Debit_NbPlanchesX15_Plancher_JZ04</vt:lpstr>
      <vt:lpstr>Debit_NbPlanchesX15_Plancher_JZ05</vt:lpstr>
      <vt:lpstr>Debit_NbPlanchesX15_Reste_GrandsCotes_JZ05</vt:lpstr>
      <vt:lpstr>Debit_NbPlanchesX15_Reste_PetitsCotes_JZ05</vt:lpstr>
      <vt:lpstr>Debit_NbPlanchesX15_Reste_Plancher_JZ04</vt:lpstr>
      <vt:lpstr>Debit_NbPlanchesX15_Reste_Plancher_JZ05</vt:lpstr>
      <vt:lpstr>Debit_NbPlanchesX15_Reste_Toit_JZ05</vt:lpstr>
      <vt:lpstr>Debit_NbPlanchesX15_Sup1_JZ02</vt:lpstr>
      <vt:lpstr>Debit_NbPlanchesX15_Sup1_JZ04</vt:lpstr>
      <vt:lpstr>Debit_NbPlanchesX15_Sup1_JZ05</vt:lpstr>
      <vt:lpstr>Debit_NbPlanchesX15_Sup2_JZ02</vt:lpstr>
      <vt:lpstr>Debit_NbPlanchesX15_Sup2_JZ04</vt:lpstr>
      <vt:lpstr>Debit_NbPlanchesX15_Sup2_JZ05</vt:lpstr>
      <vt:lpstr>Debit_NbPlanchesX15_Sup3_JZ02</vt:lpstr>
      <vt:lpstr>Debit_NbPlanchesX15_Sup3_JZ04</vt:lpstr>
      <vt:lpstr>Debit_NbPlanchesX15_Sup3_JZ05</vt:lpstr>
      <vt:lpstr>Debit_NbPlanchesX15_Sup4_JZ02</vt:lpstr>
      <vt:lpstr>Debit_NbPlanchesX15_Sup4_JZ04</vt:lpstr>
      <vt:lpstr>Debit_NbPlanchesX15_Sup4_JZ05</vt:lpstr>
      <vt:lpstr>Debit_NbPlanchesX15_Toit_JZ05</vt:lpstr>
      <vt:lpstr>Debit_Numero_Colis_JZ02</vt:lpstr>
      <vt:lpstr>Debit_Numero_Colis_JZ04</vt:lpstr>
      <vt:lpstr>Debit_Numero_Colis_JZ05</vt:lpstr>
      <vt:lpstr>Debit_Numero_ColisBis_JZ04</vt:lpstr>
      <vt:lpstr>Debit_Numero_ColisBis_JZ05</vt:lpstr>
      <vt:lpstr>Debit_Numero_Job_JZ02</vt:lpstr>
      <vt:lpstr>Debit_Numero_Job_JZ04</vt:lpstr>
      <vt:lpstr>Debit_Numero_Job_JZ05</vt:lpstr>
      <vt:lpstr>Debit_Numero_JobBis_JZ04</vt:lpstr>
      <vt:lpstr>Debit_Numero_JobBis_JZ05</vt:lpstr>
      <vt:lpstr>Debit_Packing_Type_JZ02</vt:lpstr>
      <vt:lpstr>Debit_Packing_Type_JZ04</vt:lpstr>
      <vt:lpstr>Debit_Packing_Type_JZ05</vt:lpstr>
      <vt:lpstr>essai</vt:lpstr>
      <vt:lpstr>Haut_ChaisesBas_JZ02</vt:lpstr>
      <vt:lpstr>Haut_ChaisesBas_JZ04</vt:lpstr>
      <vt:lpstr>Haut_ChaisesBas_JZ05</vt:lpstr>
      <vt:lpstr>Haut_ChaisesHaut_JZ02</vt:lpstr>
      <vt:lpstr>Haut_ChaisesHaut_JZ04</vt:lpstr>
      <vt:lpstr>Haut_ChaisesHaut_JZ05</vt:lpstr>
      <vt:lpstr>Haut_GrandsCotes_Panneaux_JZ04</vt:lpstr>
      <vt:lpstr>Haut_GrandsCotes_Panneaux_JZ05</vt:lpstr>
      <vt:lpstr>Haut_PetitsCotes_Panneaux_JZ04</vt:lpstr>
      <vt:lpstr>Haut_PetitsCotes_Panneaux_JZ05</vt:lpstr>
      <vt:lpstr>Haut_SousVide_JZ04</vt:lpstr>
      <vt:lpstr>Haut_SousVide_JZ05</vt:lpstr>
      <vt:lpstr>Hauteur_Chassis_JZ02</vt:lpstr>
      <vt:lpstr>Hauteur_Chassis_JZ04</vt:lpstr>
      <vt:lpstr>Hauteur_Chassis_JZ05</vt:lpstr>
      <vt:lpstr>Larg_ContrePlaque_Sup1_JZ02</vt:lpstr>
      <vt:lpstr>Larg_ContrePlaque_Sup1_JZ04</vt:lpstr>
      <vt:lpstr>Larg_ContrePlaque_Sup1_JZ05</vt:lpstr>
      <vt:lpstr>Larg_ContrePlaque_Sup2_JZ02</vt:lpstr>
      <vt:lpstr>Larg_ContrePlaque_Sup2_JZ04</vt:lpstr>
      <vt:lpstr>Larg_ContrePlaque_Sup2_JZ05</vt:lpstr>
      <vt:lpstr>Larg_ContrePlaque_Sup3_JZ02</vt:lpstr>
      <vt:lpstr>Larg_ContrePlaque_Sup3_JZ04</vt:lpstr>
      <vt:lpstr>Larg_ContrePlaque_Sup3_JZ05</vt:lpstr>
      <vt:lpstr>Larg_ContrePlaque_Sup4_JZ02</vt:lpstr>
      <vt:lpstr>Larg_ContrePlaque_Sup4_JZ04</vt:lpstr>
      <vt:lpstr>Larg_ContrePlaque_Sup4_JZ05</vt:lpstr>
      <vt:lpstr>Larg_PetitsCotes_Panneaux_JZ04</vt:lpstr>
      <vt:lpstr>Larg_PetitsCotes_Panneaux_JZ05</vt:lpstr>
      <vt:lpstr>Larg_SousVide_JZ04</vt:lpstr>
      <vt:lpstr>Larg_SousVide_JZ05</vt:lpstr>
      <vt:lpstr>Larg_Toit_Panneaux_JZ04</vt:lpstr>
      <vt:lpstr>Larg_Toit_Panneaux_JZ05</vt:lpstr>
      <vt:lpstr>Long_Chevrons5X8_Sup1_JZ02</vt:lpstr>
      <vt:lpstr>Long_Chevrons5X8_Sup1_JZ04</vt:lpstr>
      <vt:lpstr>Long_Chevrons5X8_Sup1_JZ05</vt:lpstr>
      <vt:lpstr>Long_Chevrons5X8_Sup2_JZ02</vt:lpstr>
      <vt:lpstr>Long_Chevrons5X8_Sup2_JZ04</vt:lpstr>
      <vt:lpstr>Long_Chevrons5X8_Sup2_JZ05</vt:lpstr>
      <vt:lpstr>Long_Chevrons5X8_Sup3_JZ02</vt:lpstr>
      <vt:lpstr>Long_Chevrons5X8_Sup3_JZ04</vt:lpstr>
      <vt:lpstr>Long_Chevrons5X8_Sup3_JZ05</vt:lpstr>
      <vt:lpstr>Long_Chevrons5X8_Sup4_JZ02</vt:lpstr>
      <vt:lpstr>Long_Chevrons5X8_Sup4_JZ04</vt:lpstr>
      <vt:lpstr>Long_Chevrons5X8_Sup4_JZ05</vt:lpstr>
      <vt:lpstr>Long_Chevrons8X10_Sup1_JZ02</vt:lpstr>
      <vt:lpstr>Long_Chevrons8X10_Sup1_JZ04</vt:lpstr>
      <vt:lpstr>Long_Chevrons8X10_Sup1_JZ05</vt:lpstr>
      <vt:lpstr>Long_Chevrons8X10_Sup2_JZ02</vt:lpstr>
      <vt:lpstr>Long_Chevrons8X10_Sup2_JZ04</vt:lpstr>
      <vt:lpstr>Long_Chevrons8X10_Sup2_JZ05</vt:lpstr>
      <vt:lpstr>Long_Chevrons8X10_Sup3_JZ02</vt:lpstr>
      <vt:lpstr>Long_Chevrons8X10_Sup3_JZ04</vt:lpstr>
      <vt:lpstr>Long_Chevrons8X10_Sup3_JZ05</vt:lpstr>
      <vt:lpstr>Long_Chevrons8X10_Sup4_JZ02</vt:lpstr>
      <vt:lpstr>Long_Chevrons8X10_Sup4_JZ04</vt:lpstr>
      <vt:lpstr>Long_Chevrons8X10_Sup4_JZ05</vt:lpstr>
      <vt:lpstr>Long_ChevronsBas_Chassis_JZ02</vt:lpstr>
      <vt:lpstr>Long_ChevronsBas_Chassis_JZ04</vt:lpstr>
      <vt:lpstr>Long_ChevronsBas_Chassis_JZ05</vt:lpstr>
      <vt:lpstr>Long_ChevronsHaut_Chassis_JZ02</vt:lpstr>
      <vt:lpstr>Long_ChevronsHaut_Chassis_JZ04</vt:lpstr>
      <vt:lpstr>Long_ChevronsHaut_Chassis_JZ05</vt:lpstr>
      <vt:lpstr>Long_ContrePlaque_Sup1_JZ02</vt:lpstr>
      <vt:lpstr>Long_ContrePlaque_Sup1_JZ04</vt:lpstr>
      <vt:lpstr>Long_ContrePlaque_Sup1_JZ05</vt:lpstr>
      <vt:lpstr>Long_ContrePlaque_Sup2_JZ02</vt:lpstr>
      <vt:lpstr>Long_ContrePlaque_Sup2_JZ04</vt:lpstr>
      <vt:lpstr>Long_ContrePlaque_Sup2_JZ05</vt:lpstr>
      <vt:lpstr>Long_ContrePlaque_Sup3_JZ02</vt:lpstr>
      <vt:lpstr>Long_ContrePlaque_Sup3_JZ04</vt:lpstr>
      <vt:lpstr>Long_ContrePlaque_Sup3_JZ05</vt:lpstr>
      <vt:lpstr>Long_ContrePlaque_Sup4_JZ02</vt:lpstr>
      <vt:lpstr>Long_ContrePlaque_Sup4_JZ04</vt:lpstr>
      <vt:lpstr>Long_ContrePlaque_Sup4_JZ05</vt:lpstr>
      <vt:lpstr>Long_GrandsCotes_Panneaux_JZ04</vt:lpstr>
      <vt:lpstr>Long_GrandsCotes_Panneaux_JZ05</vt:lpstr>
      <vt:lpstr>Long_Plancher_Chassis_JZ02</vt:lpstr>
      <vt:lpstr>Long_Plancher_Chassis_JZ04</vt:lpstr>
      <vt:lpstr>Long_Plancher_Chassis_JZ05</vt:lpstr>
      <vt:lpstr>Long_PlanchesX10_Sup1_JZ02</vt:lpstr>
      <vt:lpstr>Long_PlanchesX10_Sup1_JZ04</vt:lpstr>
      <vt:lpstr>Long_PlanchesX10_Sup1_JZ05</vt:lpstr>
      <vt:lpstr>Long_PlanchesX10_Sup2_JZ02</vt:lpstr>
      <vt:lpstr>Long_PlanchesX10_Sup2_JZ04</vt:lpstr>
      <vt:lpstr>Long_PlanchesX10_Sup2_JZ05</vt:lpstr>
      <vt:lpstr>Long_PlanchesX10_Sup3_JZ02</vt:lpstr>
      <vt:lpstr>Long_PlanchesX10_Sup3_JZ04</vt:lpstr>
      <vt:lpstr>Long_PlanchesX10_Sup3_JZ05</vt:lpstr>
      <vt:lpstr>Long_PlanchesX10_Sup4_JZ02</vt:lpstr>
      <vt:lpstr>Long_PlanchesX10_Sup4_JZ04</vt:lpstr>
      <vt:lpstr>Long_PlanchesX10_Sup4_JZ05</vt:lpstr>
      <vt:lpstr>Long_PlanchesX12_5_Sup1_JZ02</vt:lpstr>
      <vt:lpstr>Long_PlanchesX12_5_Sup1_JZ04</vt:lpstr>
      <vt:lpstr>Long_PlanchesX12_5_Sup1_JZ05</vt:lpstr>
      <vt:lpstr>Long_PlanchesX12_5_Sup2_JZ02</vt:lpstr>
      <vt:lpstr>Long_PlanchesX12_5_Sup2_JZ04</vt:lpstr>
      <vt:lpstr>Long_PlanchesX12_5_Sup2_JZ05</vt:lpstr>
      <vt:lpstr>Long_PlanchesX12_5_Sup3_JZ02</vt:lpstr>
      <vt:lpstr>Long_PlanchesX12_5_Sup3_JZ04</vt:lpstr>
      <vt:lpstr>Long_PlanchesX12_5_Sup3_JZ05</vt:lpstr>
      <vt:lpstr>Long_PlanchesX12_5_Sup4_JZ02</vt:lpstr>
      <vt:lpstr>Long_PlanchesX12_5_Sup4_JZ04</vt:lpstr>
      <vt:lpstr>Long_PlanchesX12_5_Sup4_JZ05</vt:lpstr>
      <vt:lpstr>Long_PlanchesX15_Sup1_JZ02</vt:lpstr>
      <vt:lpstr>Long_PlanchesX15_Sup1_JZ04</vt:lpstr>
      <vt:lpstr>Long_PlanchesX15_Sup1_JZ05</vt:lpstr>
      <vt:lpstr>Long_PlanchesX15_Sup2_JZ02</vt:lpstr>
      <vt:lpstr>Long_PlanchesX15_Sup2_JZ04</vt:lpstr>
      <vt:lpstr>Long_PlanchesX15_Sup2_JZ05</vt:lpstr>
      <vt:lpstr>Long_PlanchesX15_Sup3_JZ02</vt:lpstr>
      <vt:lpstr>Long_PlanchesX15_Sup3_JZ04</vt:lpstr>
      <vt:lpstr>Long_PlanchesX15_Sup3_JZ05</vt:lpstr>
      <vt:lpstr>Long_PlanchesX15_Sup4_JZ02</vt:lpstr>
      <vt:lpstr>Long_PlanchesX15_Sup4_JZ04</vt:lpstr>
      <vt:lpstr>Long_PlanchesX15_Sup4_JZ05</vt:lpstr>
      <vt:lpstr>Long_SousVide_JZ04</vt:lpstr>
      <vt:lpstr>Long_SousVide_JZ05</vt:lpstr>
      <vt:lpstr>Long_Toit_Panneaux_JZ04</vt:lpstr>
      <vt:lpstr>Long_Toit_Panneaux_JZ05</vt:lpstr>
      <vt:lpstr>Nb_ChaisesBas_JZ02</vt:lpstr>
      <vt:lpstr>Nb_ChaisesBas_JZ04</vt:lpstr>
      <vt:lpstr>Nb_ChaisesBas_JZ05</vt:lpstr>
      <vt:lpstr>Nb_ChaisesHaut_JZ02</vt:lpstr>
      <vt:lpstr>Nb_ChaisesHaut_JZ04</vt:lpstr>
      <vt:lpstr>Nb_ChaisesHaut_JZ05</vt:lpstr>
      <vt:lpstr>Nb_Chevrons5X8_Sup1_JZ02</vt:lpstr>
      <vt:lpstr>Nb_Chevrons5X8_Sup1_JZ04</vt:lpstr>
      <vt:lpstr>Nb_Chevrons5X8_Sup1_JZ05</vt:lpstr>
      <vt:lpstr>Nb_Chevrons5X8_Sup2_JZ02</vt:lpstr>
      <vt:lpstr>Nb_Chevrons5X8_Sup2_JZ04</vt:lpstr>
      <vt:lpstr>Nb_Chevrons5X8_Sup2_JZ05</vt:lpstr>
      <vt:lpstr>Nb_Chevrons5X8_Sup3_JZ02</vt:lpstr>
      <vt:lpstr>Nb_Chevrons5X8_Sup3_JZ04</vt:lpstr>
      <vt:lpstr>Nb_Chevrons5X8_Sup3_JZ05</vt:lpstr>
      <vt:lpstr>Nb_Chevrons5X8_Sup4_JZ02</vt:lpstr>
      <vt:lpstr>Nb_Chevrons5X8_Sup4_JZ04</vt:lpstr>
      <vt:lpstr>Nb_Chevrons5X8_Sup4_JZ05</vt:lpstr>
      <vt:lpstr>Nb_Chevrons8X10_Sup1_JZ02</vt:lpstr>
      <vt:lpstr>Nb_Chevrons8X10_Sup1_JZ04</vt:lpstr>
      <vt:lpstr>Nb_Chevrons8X10_Sup1_JZ05</vt:lpstr>
      <vt:lpstr>Nb_Chevrons8X10_Sup2_JZ02</vt:lpstr>
      <vt:lpstr>Nb_Chevrons8X10_Sup2_JZ04</vt:lpstr>
      <vt:lpstr>Nb_Chevrons8X10_Sup2_JZ05</vt:lpstr>
      <vt:lpstr>Nb_Chevrons8X10_Sup3_JZ02</vt:lpstr>
      <vt:lpstr>Nb_Chevrons8X10_Sup3_JZ04</vt:lpstr>
      <vt:lpstr>Nb_Chevrons8X10_Sup3_JZ05</vt:lpstr>
      <vt:lpstr>Nb_Chevrons8X10_Sup4_JZ02</vt:lpstr>
      <vt:lpstr>Nb_Chevrons8X10_Sup4_JZ04</vt:lpstr>
      <vt:lpstr>Nb_Chevrons8X10_Sup4_JZ05</vt:lpstr>
      <vt:lpstr>Nb_ContrePlaque_Sup1_JZ02</vt:lpstr>
      <vt:lpstr>Nb_ContrePlaque_Sup1_JZ04</vt:lpstr>
      <vt:lpstr>Nb_ContrePlaque_Sup1_JZ05</vt:lpstr>
      <vt:lpstr>Nb_ContrePlaque_Sup2_JZ02</vt:lpstr>
      <vt:lpstr>Nb_ContrePlaque_Sup2_JZ04</vt:lpstr>
      <vt:lpstr>Nb_ContrePlaque_Sup2_JZ05</vt:lpstr>
      <vt:lpstr>Nb_ContrePlaque_Sup3_JZ02</vt:lpstr>
      <vt:lpstr>Nb_ContrePlaque_Sup3_JZ04</vt:lpstr>
      <vt:lpstr>Nb_ContrePlaque_Sup3_JZ05</vt:lpstr>
      <vt:lpstr>Nb_ContrePlaque_Sup4_JZ02</vt:lpstr>
      <vt:lpstr>Nb_ContrePlaque_Sup4_JZ04</vt:lpstr>
      <vt:lpstr>Nb_ContrePlaque_Sup4_JZ05</vt:lpstr>
      <vt:lpstr>Nb_Heure_JZ02</vt:lpstr>
      <vt:lpstr>Nb_Heure_JZ04</vt:lpstr>
      <vt:lpstr>Nb_Heure_JZ05</vt:lpstr>
      <vt:lpstr>Nb_PlanchesX10_Sup1_JZ02</vt:lpstr>
      <vt:lpstr>Nb_PlanchesX10_Sup1_JZ04</vt:lpstr>
      <vt:lpstr>Nb_PlanchesX10_Sup1_JZ05</vt:lpstr>
      <vt:lpstr>Nb_PlanchesX10_Sup2_JZ02</vt:lpstr>
      <vt:lpstr>Nb_PlanchesX10_Sup2_JZ04</vt:lpstr>
      <vt:lpstr>Nb_PlanchesX10_Sup2_JZ05</vt:lpstr>
      <vt:lpstr>Nb_PlanchesX10_Sup3_JZ02</vt:lpstr>
      <vt:lpstr>Nb_PlanchesX10_Sup3_JZ04</vt:lpstr>
      <vt:lpstr>Nb_PlanchesX10_Sup3_JZ05</vt:lpstr>
      <vt:lpstr>Nb_PlanchesX10_Sup4_JZ02</vt:lpstr>
      <vt:lpstr>Nb_PlanchesX10_Sup4_JZ04</vt:lpstr>
      <vt:lpstr>Nb_PlanchesX10_Sup4_JZ05</vt:lpstr>
      <vt:lpstr>Nb_PlanchesX12_5_Sup1_JZ02</vt:lpstr>
      <vt:lpstr>Nb_PlanchesX12_5_Sup1_JZ04</vt:lpstr>
      <vt:lpstr>Nb_PlanchesX12_5_Sup1_JZ05</vt:lpstr>
      <vt:lpstr>Nb_PlanchesX12_5_Sup2_JZ02</vt:lpstr>
      <vt:lpstr>Nb_PlanchesX12_5_Sup2_JZ04</vt:lpstr>
      <vt:lpstr>Nb_PlanchesX12_5_Sup2_JZ05</vt:lpstr>
      <vt:lpstr>Nb_PlanchesX12_5_Sup3_JZ02</vt:lpstr>
      <vt:lpstr>Nb_PlanchesX12_5_Sup3_JZ04</vt:lpstr>
      <vt:lpstr>Nb_PlanchesX12_5_Sup3_JZ05</vt:lpstr>
      <vt:lpstr>Nb_PlanchesX12_5_Sup4_JZ02</vt:lpstr>
      <vt:lpstr>Nb_PlanchesX12_5_Sup4_JZ04</vt:lpstr>
      <vt:lpstr>Nb_PlanchesX12_5_Sup4_JZ05</vt:lpstr>
      <vt:lpstr>Nb_PlanchesX15_Sup1_JZ02</vt:lpstr>
      <vt:lpstr>Nb_PlanchesX15_Sup1_JZ04</vt:lpstr>
      <vt:lpstr>Nb_PlanchesX15_Sup1_JZ05</vt:lpstr>
      <vt:lpstr>Nb_PlanchesX15_Sup2_JZ02</vt:lpstr>
      <vt:lpstr>Nb_PlanchesX15_Sup2_JZ04</vt:lpstr>
      <vt:lpstr>Nb_PlanchesX15_Sup2_JZ05</vt:lpstr>
      <vt:lpstr>Nb_PlanchesX15_Sup3_JZ02</vt:lpstr>
      <vt:lpstr>Nb_PlanchesX15_Sup3_JZ04</vt:lpstr>
      <vt:lpstr>Nb_PlanchesX15_Sup3_JZ05</vt:lpstr>
      <vt:lpstr>Nb_PlanchesX15_Sup4_JZ02</vt:lpstr>
      <vt:lpstr>Nb_PlanchesX15_Sup4_JZ04</vt:lpstr>
      <vt:lpstr>Nb_PlanchesX15_Sup4_JZ05</vt:lpstr>
      <vt:lpstr>Poids_Chevrons5X8_KgXML</vt:lpstr>
      <vt:lpstr>Poids_Chevrons8X10_KgXML</vt:lpstr>
      <vt:lpstr>Poids_ContrePlaque_KgXML</vt:lpstr>
      <vt:lpstr>Poids_PlanchesX10_KgXML</vt:lpstr>
      <vt:lpstr>Poids_PlanchesX12_5_KgXML</vt:lpstr>
      <vt:lpstr>Poids_PlanchesX15_KgXML</vt:lpstr>
      <vt:lpstr>Poids_Skid_JZ04</vt:lpstr>
      <vt:lpstr>PoidsBotte_Chevrons5X8</vt:lpstr>
      <vt:lpstr>PoidsBotte_Chevrons8X10</vt:lpstr>
      <vt:lpstr>PoidsBotte_ContrePlaque</vt:lpstr>
      <vt:lpstr>PoidsBotte_PlanchesX10</vt:lpstr>
      <vt:lpstr>PoidsBotte_PlanchesX12_5</vt:lpstr>
      <vt:lpstr>PoidsBotte_PlanchesX15</vt:lpstr>
      <vt:lpstr>PoidsBrut</vt:lpstr>
      <vt:lpstr>PoidsBrut_JZ04_JZ06</vt:lpstr>
      <vt:lpstr>PoidsBrut_JZ06_JZ07</vt:lpstr>
      <vt:lpstr>PoidsNet_JZ02</vt:lpstr>
      <vt:lpstr>PoidsNet_JZ02_Calc</vt:lpstr>
      <vt:lpstr>PoidsNet_JZ04</vt:lpstr>
      <vt:lpstr>PoidsNet_JZ04_JZ06</vt:lpstr>
      <vt:lpstr>PoidsNet_JZ05</vt:lpstr>
      <vt:lpstr>PoidsNet_JZ06_JZ07</vt:lpstr>
      <vt:lpstr>PoidsSkid</vt:lpstr>
      <vt:lpstr>PoidsSkid_JZ04_JZ06</vt:lpstr>
      <vt:lpstr>PoidsSkid_JZ05_JZ07</vt:lpstr>
      <vt:lpstr>PoidsTotal_Chevrons5X8</vt:lpstr>
      <vt:lpstr>PoidsTotal_Chevrons5X8_JZ04_JZ06</vt:lpstr>
      <vt:lpstr>PoidsTotal_Chevrons5X8_JZ06_JZ07</vt:lpstr>
      <vt:lpstr>PoidsTotal_Chevrons8X10</vt:lpstr>
      <vt:lpstr>PoidsTotal_Chevrons8X10_JZ04_JZ06</vt:lpstr>
      <vt:lpstr>PoidsTotal_Chevrons8X10_JZ06_JZ07</vt:lpstr>
      <vt:lpstr>PoidsTotal_ContrePlaque</vt:lpstr>
      <vt:lpstr>PoidsTotal_ContrePlaque_JZ04_JZ06</vt:lpstr>
      <vt:lpstr>PoidsTotal_ContrePlaque_JZ06_JZ07</vt:lpstr>
      <vt:lpstr>PoidsTotal_PlanchesX10</vt:lpstr>
      <vt:lpstr>PoidsTotal_PlanchesX10_JZ04_JZ06</vt:lpstr>
      <vt:lpstr>PoidsTotal_PlanchesX10_JZ06_JZ07</vt:lpstr>
      <vt:lpstr>PoidsTotal_PlanchesX12_5</vt:lpstr>
      <vt:lpstr>PoidsTotal_PlanchesX12_5_JZ04_JZ06</vt:lpstr>
      <vt:lpstr>PoidsTotal_PlanchesX12_5_JZ06_JZ07</vt:lpstr>
      <vt:lpstr>PoidsTotal_PlanchesX15</vt:lpstr>
      <vt:lpstr>PoidsTotal_PlanchesX15_JZ04_JZ06</vt:lpstr>
      <vt:lpstr>PoidsTotal_PlanchesX15_JZ06_JZ07</vt:lpstr>
      <vt:lpstr>PoidsTotal_SousVide</vt:lpstr>
      <vt:lpstr>PoidsTotal_SousVide_JZ04_JZ06</vt:lpstr>
      <vt:lpstr>PoidsTotal_SousVide_JZ06_JZ07</vt:lpstr>
      <vt:lpstr>Prix_Chevrons5X8_XBotte</vt:lpstr>
      <vt:lpstr>Prix_Chevrons5X8_XM3</vt:lpstr>
      <vt:lpstr>Prix_Chevrons5X8_XML</vt:lpstr>
      <vt:lpstr>Prix_Chevrons8X10_EurXML</vt:lpstr>
      <vt:lpstr>Prix_Chevrons8X10_XBotte</vt:lpstr>
      <vt:lpstr>Prix_Chevrons8X10_XM3</vt:lpstr>
      <vt:lpstr>Prix_ContrePlaque_XBotte</vt:lpstr>
      <vt:lpstr>Prix_ContrePlaque_XM2</vt:lpstr>
      <vt:lpstr>Prix_Horraire_JZ04</vt:lpstr>
      <vt:lpstr>Prix_PlanchesX10_XBotte</vt:lpstr>
      <vt:lpstr>Prix_PlanchesX10_XM3</vt:lpstr>
      <vt:lpstr>Prix_PlanchesX10_XML</vt:lpstr>
      <vt:lpstr>Prix_PlanchesX12_5_EurXML</vt:lpstr>
      <vt:lpstr>Prix_PlanchesX12_5_XBotte</vt:lpstr>
      <vt:lpstr>Prix_PlanchesX12_5_XM3</vt:lpstr>
      <vt:lpstr>Prix_PlanchesX15_EurXML</vt:lpstr>
      <vt:lpstr>Prix_PlanchesX15_XBotte</vt:lpstr>
      <vt:lpstr>Prix_PlanchesX15_XM3</vt:lpstr>
      <vt:lpstr>PrixTotal</vt:lpstr>
      <vt:lpstr>PrixTotal_Bois_JZ04</vt:lpstr>
      <vt:lpstr>PrixTotal_Chevrons5X8</vt:lpstr>
      <vt:lpstr>PrixTotal_Chevrons5X8_JZ04_JZ06</vt:lpstr>
      <vt:lpstr>PrixTotal_Chevrons5X8_JZ06_JZ07</vt:lpstr>
      <vt:lpstr>PrixTotal_Chevrons8X10</vt:lpstr>
      <vt:lpstr>PrixTotal_Chevrons8X10_JZ04</vt:lpstr>
      <vt:lpstr>PrixTotal_Chevrons8X10_JZ04_JZ06</vt:lpstr>
      <vt:lpstr>PrixTotal_Chevrons8X10_JZ06_JZ07</vt:lpstr>
      <vt:lpstr>PrixTotal_ContrePlaque</vt:lpstr>
      <vt:lpstr>PrixTotal_ContrePlaque_JZ04</vt:lpstr>
      <vt:lpstr>PrixTotal_ContrePlaque_JZ04_JZ06</vt:lpstr>
      <vt:lpstr>PrixTotal_ContrePlaque_JZ06_JZ07</vt:lpstr>
      <vt:lpstr>PrixTotal_JZ04_JZ06</vt:lpstr>
      <vt:lpstr>PrixTotal_JZ06_JZ07</vt:lpstr>
      <vt:lpstr>PrixTotal_MaindOeuvre</vt:lpstr>
      <vt:lpstr>PrixTotal_MaindOeuvre_JZ04</vt:lpstr>
      <vt:lpstr>PrixTotal_MaindOeuvre_JZ04_JZ06</vt:lpstr>
      <vt:lpstr>PrixTotal_MaindOeuvre_JZ06_JZ07</vt:lpstr>
      <vt:lpstr>PrixTotal_Materiaux</vt:lpstr>
      <vt:lpstr>PrixTotal_Materiaux_JZ04_JZ06</vt:lpstr>
      <vt:lpstr>PrixTotal_Materiaux_JZ06_JZ07</vt:lpstr>
      <vt:lpstr>PrixTotal_PlanchesX10</vt:lpstr>
      <vt:lpstr>PrixTotal_PlanchesX10_JZ04_JZ06</vt:lpstr>
      <vt:lpstr>PrixTotal_PlanchesX10_JZ06_JZ07</vt:lpstr>
      <vt:lpstr>PrixTotal_PlanchesX12_5</vt:lpstr>
      <vt:lpstr>PrixTotal_PlanchesX12_5_JZ04_JZ06</vt:lpstr>
      <vt:lpstr>PrixTotal_PlanchesX12_5_JZ06_JZ07</vt:lpstr>
      <vt:lpstr>PrixTotal_PlanchesX15</vt:lpstr>
      <vt:lpstr>PrixTotal_PlanchesX15_JZ04</vt:lpstr>
      <vt:lpstr>PrixTotal_PlanchesX15_JZ04_JZ06</vt:lpstr>
      <vt:lpstr>PrixTotal_PlanchesX15_JZ06_JZ07</vt:lpstr>
      <vt:lpstr>PrixTotal_SousVide</vt:lpstr>
      <vt:lpstr>PrixTotal_SousVide_JZ04_JZ06</vt:lpstr>
      <vt:lpstr>PrixTotal_SousVide_JZ06_JZ07</vt:lpstr>
      <vt:lpstr>Quantite_Chevrons5X8_M3XBotte</vt:lpstr>
      <vt:lpstr>Quantite_Chevrons5X8_MLXBotte</vt:lpstr>
      <vt:lpstr>Quantite_Chevrons8X10_M3XBotte</vt:lpstr>
      <vt:lpstr>Quantite_Chevrons8X10_MLXBotte</vt:lpstr>
      <vt:lpstr>Quantite_ContrePlaque_M2XBotte</vt:lpstr>
      <vt:lpstr>Quantite_ContrePlaque_M3XBotte</vt:lpstr>
      <vt:lpstr>Quantite_PlanchesX10_M3XBotte</vt:lpstr>
      <vt:lpstr>Quantite_PlanchesX10_MLXBotte</vt:lpstr>
      <vt:lpstr>Quantite_PlanchesX12_5_M3XBotte</vt:lpstr>
      <vt:lpstr>Quantite_PlanchesX12_5_MLXBotte</vt:lpstr>
      <vt:lpstr>Quantite_PlanchesX15_M3XBotte</vt:lpstr>
      <vt:lpstr>Quantite_PlanchesX15_MLXBotte</vt:lpstr>
      <vt:lpstr>Tarif_Horraire</vt:lpstr>
      <vt:lpstr>Tarif_Horraire_JZ04_JZ06</vt:lpstr>
      <vt:lpstr>Tarif_Horraire_JZ06_JZ07</vt:lpstr>
      <vt:lpstr>TotalM2_ContrePlaque</vt:lpstr>
      <vt:lpstr>TotalM2_ContrePlaque_JZ04</vt:lpstr>
      <vt:lpstr>TotalM2_ContrePlaque_JZ04_JZ06</vt:lpstr>
      <vt:lpstr>TotalM2_ContrePlaque_JZ06_JZ07</vt:lpstr>
      <vt:lpstr>TotalM2_SousVide</vt:lpstr>
      <vt:lpstr>TotalM2_SousVide_JZ04_JZ06</vt:lpstr>
      <vt:lpstr>TotalM2_SousVide_JZ06_JZ07</vt:lpstr>
      <vt:lpstr>TotalML_Chevrons5X8</vt:lpstr>
      <vt:lpstr>TotalML_Chevrons5X8_JZ04</vt:lpstr>
      <vt:lpstr>TotalML_Chevrons5X8_JZ04_JZ06</vt:lpstr>
      <vt:lpstr>TotalML_Chevrons5X8_JZ06_JZ07</vt:lpstr>
      <vt:lpstr>TotalML_Chevrons8X10</vt:lpstr>
      <vt:lpstr>TotalML_Chevrons8X10_JZ04</vt:lpstr>
      <vt:lpstr>TotalML_Chevrons8X10_JZ04_JZ06</vt:lpstr>
      <vt:lpstr>TotalML_Chevrons8X10_JZ06_JZ07</vt:lpstr>
      <vt:lpstr>TotalML_PlanchesX10</vt:lpstr>
      <vt:lpstr>TotalML_PlanchesX10_JZ04</vt:lpstr>
      <vt:lpstr>TotalML_PlanchesX10_JZ04_JZ06</vt:lpstr>
      <vt:lpstr>TotalML_PlanchesX10_JZ06_JZ07</vt:lpstr>
      <vt:lpstr>TotalML_PlanchesX12_5</vt:lpstr>
      <vt:lpstr>TotalML_PlanchesX12_5_JZ04</vt:lpstr>
      <vt:lpstr>TotalML_PlanchesX12_5_JZ04_JZ06</vt:lpstr>
      <vt:lpstr>TotalML_PlanchesX12_5_JZ06_JZ07</vt:lpstr>
      <vt:lpstr>TotalML_PlanchesX15</vt:lpstr>
      <vt:lpstr>TotalML_PlanchesX15_JZ04</vt:lpstr>
      <vt:lpstr>TotalML_PlanchesX15_JZ04_JZ06</vt:lpstr>
      <vt:lpstr>TotalML_PlanchesX15_JZ06_JZ07</vt:lpstr>
      <vt:lpstr>Volume</vt:lpstr>
      <vt:lpstr>Volume_JZ04_JZ06</vt:lpstr>
      <vt:lpstr>Volume_JZ06_JZ07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Cédric</cp:lastModifiedBy>
  <cp:lastPrinted>2015-11-11T18:05:04Z</cp:lastPrinted>
  <dcterms:created xsi:type="dcterms:W3CDTF">2015-09-13T13:31:06Z</dcterms:created>
  <dcterms:modified xsi:type="dcterms:W3CDTF">2015-11-13T17:37:11Z</dcterms:modified>
</cp:coreProperties>
</file>