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315" windowWidth="14940" windowHeight="8640" activeTab="2"/>
  </bookViews>
  <sheets>
    <sheet name="Feuille de saisie" sheetId="3" r:id="rId1"/>
    <sheet name="Feuille de calcul" sheetId="4" r:id="rId2"/>
    <sheet name="Bon de fabrication ELDECOR" sheetId="1" r:id="rId3"/>
    <sheet name="Feuil1" sheetId="5" r:id="rId4"/>
    <sheet name="Ma feuille de calcul" sheetId="6" r:id="rId5"/>
  </sheets>
  <definedNames>
    <definedName name="_xlnm.Print_Area" localSheetId="2">'Bon de fabrication ELDECOR'!$A$1:$G$82</definedName>
    <definedName name="_xlnm.Print_Area" localSheetId="1">'Feuille de calcul'!$A$1:$H$50</definedName>
    <definedName name="_xlnm.Print_Area" localSheetId="0">'Feuille de saisie'!$A$1:$K$36</definedName>
  </definedNames>
  <calcPr calcId="125725"/>
</workbook>
</file>

<file path=xl/calcChain.xml><?xml version="1.0" encoding="utf-8"?>
<calcChain xmlns="http://schemas.openxmlformats.org/spreadsheetml/2006/main">
  <c r="B46" i="1"/>
  <c r="H11" i="6"/>
  <c r="H13"/>
  <c r="G11"/>
  <c r="G43" i="1" s="1"/>
  <c r="G13" i="6"/>
  <c r="G45" i="1" s="1"/>
  <c r="G42"/>
  <c r="F43"/>
  <c r="F45"/>
  <c r="B41"/>
  <c r="E41" s="1"/>
  <c r="B43"/>
  <c r="E43" s="1"/>
  <c r="B45"/>
  <c r="E45" s="1"/>
  <c r="B39"/>
  <c r="E39" s="1"/>
  <c r="I9" i="6"/>
  <c r="J12"/>
  <c r="H12" s="1"/>
  <c r="F44" i="1" s="1"/>
  <c r="J13" i="6"/>
  <c r="I13" s="1"/>
  <c r="J14"/>
  <c r="H14" s="1"/>
  <c r="F46" i="1" s="1"/>
  <c r="J11" i="6"/>
  <c r="I11" s="1"/>
  <c r="J8"/>
  <c r="H8" s="1"/>
  <c r="F40" i="1" s="1"/>
  <c r="J9" i="6"/>
  <c r="J10"/>
  <c r="H10" s="1"/>
  <c r="F42" i="1" s="1"/>
  <c r="J7" i="6"/>
  <c r="I7" s="1"/>
  <c r="E43"/>
  <c r="E35"/>
  <c r="E27"/>
  <c r="B29" i="1" s="1"/>
  <c r="E18" i="6"/>
  <c r="E9"/>
  <c r="B21" i="1" s="1"/>
  <c r="E21" s="1"/>
  <c r="D44" i="6"/>
  <c r="B44" s="1"/>
  <c r="G38" i="1" s="1"/>
  <c r="D43" i="6"/>
  <c r="B43" s="1"/>
  <c r="G37" i="1" s="1"/>
  <c r="D42" i="6"/>
  <c r="B42" s="1"/>
  <c r="G36" i="1" s="1"/>
  <c r="D41" i="6"/>
  <c r="B41" s="1"/>
  <c r="G35" i="1" s="1"/>
  <c r="D36" i="6"/>
  <c r="B36" s="1"/>
  <c r="G34" i="1" s="1"/>
  <c r="D35" i="6"/>
  <c r="B35" s="1"/>
  <c r="G33" i="1" s="1"/>
  <c r="D34" i="6"/>
  <c r="B34" s="1"/>
  <c r="G32" i="1" s="1"/>
  <c r="D33" i="6"/>
  <c r="B33" s="1"/>
  <c r="G31" i="1" s="1"/>
  <c r="D28" i="6"/>
  <c r="B28" s="1"/>
  <c r="G30" i="1" s="1"/>
  <c r="D27" i="6"/>
  <c r="B27" s="1"/>
  <c r="G29" i="1" s="1"/>
  <c r="D26" i="6"/>
  <c r="B26" s="1"/>
  <c r="G28" i="1" s="1"/>
  <c r="D25" i="6"/>
  <c r="B25" s="1"/>
  <c r="G27" i="1" s="1"/>
  <c r="D19" i="6"/>
  <c r="B19" s="1"/>
  <c r="G26" i="1" s="1"/>
  <c r="D18" i="6"/>
  <c r="B18" s="1"/>
  <c r="G25" i="1" s="1"/>
  <c r="D17" i="6"/>
  <c r="B17" s="1"/>
  <c r="G24" i="1" s="1"/>
  <c r="D16" i="6"/>
  <c r="B16" s="1"/>
  <c r="G23" i="1" s="1"/>
  <c r="D10" i="6"/>
  <c r="D9"/>
  <c r="D8"/>
  <c r="E7"/>
  <c r="B19" i="1" s="1"/>
  <c r="E19" s="1"/>
  <c r="D7" i="6"/>
  <c r="J48" i="3"/>
  <c r="B25" i="1"/>
  <c r="E25" s="1"/>
  <c r="E8" i="6"/>
  <c r="B20" i="1" s="1"/>
  <c r="E20" s="1"/>
  <c r="E10" i="6"/>
  <c r="B22" i="1" s="1"/>
  <c r="E22" s="1"/>
  <c r="B37"/>
  <c r="C37" s="1"/>
  <c r="B45" i="6"/>
  <c r="B37"/>
  <c r="B29"/>
  <c r="B20"/>
  <c r="B11"/>
  <c r="E41"/>
  <c r="B35" i="1" s="1"/>
  <c r="E35" s="1"/>
  <c r="E42" i="6"/>
  <c r="B36" i="1" s="1"/>
  <c r="E36" s="1"/>
  <c r="E44" i="6"/>
  <c r="B38" i="1" s="1"/>
  <c r="E38" s="1"/>
  <c r="F5" i="5" s="1"/>
  <c r="E33" i="6"/>
  <c r="B31" i="1" s="1"/>
  <c r="E31" s="1"/>
  <c r="E34" i="6"/>
  <c r="B32" i="1" s="1"/>
  <c r="B33"/>
  <c r="E33" s="1"/>
  <c r="E36" i="6"/>
  <c r="B34" i="1" s="1"/>
  <c r="E25" i="6"/>
  <c r="B27" i="1" s="1"/>
  <c r="E27" s="1"/>
  <c r="E26" i="6"/>
  <c r="B28" i="1" s="1"/>
  <c r="E28" i="6"/>
  <c r="B30" i="1" s="1"/>
  <c r="E30" s="1"/>
  <c r="E16" i="6"/>
  <c r="B23" i="1" s="1"/>
  <c r="E23" s="1"/>
  <c r="E17" i="6"/>
  <c r="B24" i="1" s="1"/>
  <c r="E24" s="1"/>
  <c r="E19" i="6"/>
  <c r="B26" i="1" s="1"/>
  <c r="E26" s="1"/>
  <c r="J111" i="3"/>
  <c r="J110"/>
  <c r="I111"/>
  <c r="I110"/>
  <c r="H111"/>
  <c r="H110"/>
  <c r="C118" s="1"/>
  <c r="G111"/>
  <c r="G110"/>
  <c r="J90"/>
  <c r="J89"/>
  <c r="I90"/>
  <c r="I89"/>
  <c r="H90"/>
  <c r="H89"/>
  <c r="G90"/>
  <c r="G89"/>
  <c r="J69"/>
  <c r="J68"/>
  <c r="I69"/>
  <c r="I68"/>
  <c r="H68"/>
  <c r="G69"/>
  <c r="G68"/>
  <c r="J47"/>
  <c r="I48"/>
  <c r="I47"/>
  <c r="H48"/>
  <c r="H47"/>
  <c r="G48"/>
  <c r="G47"/>
  <c r="J27"/>
  <c r="I27"/>
  <c r="H27"/>
  <c r="G27"/>
  <c r="J26"/>
  <c r="I26"/>
  <c r="C9" i="6" s="1"/>
  <c r="F21" i="1" s="1"/>
  <c r="H26" i="3"/>
  <c r="C8" i="6" s="1"/>
  <c r="F20" i="1" s="1"/>
  <c r="G26" i="3"/>
  <c r="C38" s="1"/>
  <c r="J123"/>
  <c r="C122"/>
  <c r="J120"/>
  <c r="J117"/>
  <c r="J114"/>
  <c r="J102"/>
  <c r="C101"/>
  <c r="J99"/>
  <c r="C97"/>
  <c r="J96"/>
  <c r="J93"/>
  <c r="C93"/>
  <c r="J81"/>
  <c r="C80"/>
  <c r="J78"/>
  <c r="C76"/>
  <c r="J75"/>
  <c r="J72"/>
  <c r="C72"/>
  <c r="J60"/>
  <c r="C59"/>
  <c r="J57"/>
  <c r="C55"/>
  <c r="J54"/>
  <c r="J51"/>
  <c r="C51"/>
  <c r="B3" i="6"/>
  <c r="B2"/>
  <c r="B8" i="4"/>
  <c r="A114" i="3"/>
  <c r="A93"/>
  <c r="A72"/>
  <c r="A51"/>
  <c r="A30"/>
  <c r="H69"/>
  <c r="J33"/>
  <c r="C30"/>
  <c r="J36"/>
  <c r="J39"/>
  <c r="J30"/>
  <c r="C15" i="1"/>
  <c r="K14" i="3"/>
  <c r="K13"/>
  <c r="K12"/>
  <c r="K11"/>
  <c r="F12"/>
  <c r="F13"/>
  <c r="F14"/>
  <c r="F11"/>
  <c r="G62" i="1"/>
  <c r="J10" i="3"/>
  <c r="C4" i="5" s="1"/>
  <c r="E10" i="3"/>
  <c r="E5" i="1"/>
  <c r="E6" i="5"/>
  <c r="E7"/>
  <c r="E8"/>
  <c r="E9"/>
  <c r="E10"/>
  <c r="E11"/>
  <c r="E12"/>
  <c r="D6"/>
  <c r="D7"/>
  <c r="D8"/>
  <c r="D9"/>
  <c r="D10"/>
  <c r="D11"/>
  <c r="D12"/>
  <c r="D13"/>
  <c r="L11"/>
  <c r="N11" s="1"/>
  <c r="B2"/>
  <c r="B3"/>
  <c r="B4"/>
  <c r="B5"/>
  <c r="B1"/>
  <c r="C2"/>
  <c r="E2" s="1"/>
  <c r="C3"/>
  <c r="E3" s="1"/>
  <c r="C5"/>
  <c r="E5" s="1"/>
  <c r="C1"/>
  <c r="D1" s="1"/>
  <c r="C10" i="1"/>
  <c r="E10"/>
  <c r="D5" i="5"/>
  <c r="A59" i="1"/>
  <c r="B59"/>
  <c r="C59"/>
  <c r="D59"/>
  <c r="E59"/>
  <c r="F59"/>
  <c r="G59"/>
  <c r="H59"/>
  <c r="A60"/>
  <c r="B60"/>
  <c r="C60"/>
  <c r="D60"/>
  <c r="E60"/>
  <c r="F60"/>
  <c r="G60"/>
  <c r="H60"/>
  <c r="A61"/>
  <c r="B61"/>
  <c r="C61"/>
  <c r="D61"/>
  <c r="F61"/>
  <c r="G61"/>
  <c r="H61"/>
  <c r="A62"/>
  <c r="B62"/>
  <c r="C62"/>
  <c r="D62"/>
  <c r="E62"/>
  <c r="H62"/>
  <c r="A63"/>
  <c r="B63"/>
  <c r="C63"/>
  <c r="D63"/>
  <c r="F63"/>
  <c r="G63"/>
  <c r="H63"/>
  <c r="A64"/>
  <c r="B64"/>
  <c r="C64"/>
  <c r="D64"/>
  <c r="F64"/>
  <c r="G64"/>
  <c r="H64"/>
  <c r="A65"/>
  <c r="B65"/>
  <c r="C65"/>
  <c r="D65"/>
  <c r="F65"/>
  <c r="G65"/>
  <c r="H65"/>
  <c r="E48" i="4"/>
  <c r="E63" i="1" s="1"/>
  <c r="E49" i="4"/>
  <c r="E64" i="1" s="1"/>
  <c r="G36" i="4"/>
  <c r="G41" s="1"/>
  <c r="E41" s="1"/>
  <c r="B9"/>
  <c r="B10"/>
  <c r="E10" s="1"/>
  <c r="B11"/>
  <c r="E11" s="1"/>
  <c r="B5"/>
  <c r="E31" s="1"/>
  <c r="F3"/>
  <c r="G7" s="1"/>
  <c r="B4"/>
  <c r="D13" s="1"/>
  <c r="H7" i="6" s="1"/>
  <c r="F39" i="1" s="1"/>
  <c r="G56"/>
  <c r="G10"/>
  <c r="E52" s="1"/>
  <c r="D7"/>
  <c r="A11"/>
  <c r="B1" i="3"/>
  <c r="G1" i="4"/>
  <c r="I14" i="6" l="1"/>
  <c r="I12"/>
  <c r="C39" i="1"/>
  <c r="C45"/>
  <c r="C43"/>
  <c r="C41"/>
  <c r="H9" i="6"/>
  <c r="F41" i="1" s="1"/>
  <c r="C28"/>
  <c r="C34"/>
  <c r="C32"/>
  <c r="I10" i="6"/>
  <c r="I8"/>
  <c r="B44" i="1"/>
  <c r="B42"/>
  <c r="B40"/>
  <c r="G14" i="6"/>
  <c r="G46" i="1" s="1"/>
  <c r="G12" i="6"/>
  <c r="G44" i="1" s="1"/>
  <c r="E29"/>
  <c r="C29"/>
  <c r="E34"/>
  <c r="E32"/>
  <c r="E28"/>
  <c r="E37"/>
  <c r="F3" i="5"/>
  <c r="F4"/>
  <c r="C35" i="1"/>
  <c r="C38"/>
  <c r="C114" i="3"/>
  <c r="C10" i="6"/>
  <c r="F22" i="1" s="1"/>
  <c r="C30"/>
  <c r="C27"/>
  <c r="C23"/>
  <c r="C24"/>
  <c r="C25"/>
  <c r="C26"/>
  <c r="C20"/>
  <c r="C21"/>
  <c r="C19"/>
  <c r="C33"/>
  <c r="C31"/>
  <c r="C36"/>
  <c r="C25" i="6"/>
  <c r="F27" i="1" s="1"/>
  <c r="C27" i="6"/>
  <c r="F29" i="1" s="1"/>
  <c r="C33" i="6"/>
  <c r="F31" i="1" s="1"/>
  <c r="C35" i="6"/>
  <c r="F33" i="1" s="1"/>
  <c r="C41" i="6"/>
  <c r="F35" i="1" s="1"/>
  <c r="C43" i="6"/>
  <c r="F37" i="1" s="1"/>
  <c r="C22"/>
  <c r="C17" i="6"/>
  <c r="F24" i="1" s="1"/>
  <c r="C19" i="6"/>
  <c r="F26" i="1" s="1"/>
  <c r="C28" i="6"/>
  <c r="F30" i="1" s="1"/>
  <c r="C34" i="6"/>
  <c r="F32" i="1" s="1"/>
  <c r="C36" i="6"/>
  <c r="F34" i="1" s="1"/>
  <c r="C42" i="6"/>
  <c r="F36" i="1" s="1"/>
  <c r="B15"/>
  <c r="E54" s="1"/>
  <c r="C26" i="6"/>
  <c r="F28" i="1" s="1"/>
  <c r="C18" i="6"/>
  <c r="F25" i="1" s="1"/>
  <c r="C16" i="6"/>
  <c r="F23" i="1" s="1"/>
  <c r="C44" i="6"/>
  <c r="F38" i="1" s="1"/>
  <c r="C7" i="6"/>
  <c r="F19" i="1" s="1"/>
  <c r="C34" i="3"/>
  <c r="E15" i="1"/>
  <c r="F1" i="5"/>
  <c r="E51" i="1"/>
  <c r="D2" i="5"/>
  <c r="C13" i="1"/>
  <c r="D23" i="4"/>
  <c r="B13" i="1"/>
  <c r="E47" s="1"/>
  <c r="F2" i="5"/>
  <c r="D3"/>
  <c r="G9" i="3"/>
  <c r="C12" i="1"/>
  <c r="E7" i="4"/>
  <c r="H19" s="1"/>
  <c r="E9" s="1"/>
  <c r="B12" i="1"/>
  <c r="E1" i="5"/>
  <c r="E4"/>
  <c r="D4"/>
  <c r="E42" i="4"/>
  <c r="G54" i="1" s="1"/>
  <c r="E46" i="4"/>
  <c r="E50" s="1"/>
  <c r="E65" i="1" s="1"/>
  <c r="D28" i="4"/>
  <c r="F48" i="1" s="1"/>
  <c r="F50"/>
  <c r="F49"/>
  <c r="E48"/>
  <c r="E53"/>
  <c r="E61"/>
  <c r="C42" l="1"/>
  <c r="E42"/>
  <c r="C46"/>
  <c r="E46"/>
  <c r="C40"/>
  <c r="E40"/>
  <c r="C44"/>
  <c r="E44"/>
  <c r="H20" i="4"/>
  <c r="H18"/>
  <c r="H21"/>
  <c r="G6" i="5"/>
  <c r="G13"/>
  <c r="O11"/>
  <c r="G9"/>
  <c r="G2"/>
  <c r="G10"/>
  <c r="G5"/>
  <c r="G7"/>
  <c r="G1"/>
  <c r="G8"/>
  <c r="G12"/>
  <c r="G3"/>
  <c r="G11"/>
  <c r="G4"/>
  <c r="E8" i="4" l="1"/>
  <c r="F13" s="1"/>
  <c r="G14" i="5"/>
  <c r="B9" i="6" l="1"/>
  <c r="G21" i="1" s="1"/>
  <c r="G7" i="6"/>
  <c r="G39" i="1" s="1"/>
  <c r="G9" i="6"/>
  <c r="G41" i="1" s="1"/>
  <c r="G8" i="6"/>
  <c r="G40" i="1" s="1"/>
  <c r="B8" i="6"/>
  <c r="G20" i="1" s="1"/>
  <c r="F23" i="4"/>
  <c r="B7" i="6"/>
  <c r="G19" i="1" s="1"/>
  <c r="B10" i="6"/>
  <c r="G22" i="1" s="1"/>
  <c r="E36" i="4"/>
  <c r="E39" s="1"/>
  <c r="F54" i="1" s="1"/>
  <c r="F51" l="1"/>
  <c r="E66"/>
  <c r="I1" i="5"/>
</calcChain>
</file>

<file path=xl/sharedStrings.xml><?xml version="1.0" encoding="utf-8"?>
<sst xmlns="http://schemas.openxmlformats.org/spreadsheetml/2006/main" count="328" uniqueCount="179">
  <si>
    <t>BON DE FABRICATION</t>
  </si>
  <si>
    <t>Famille</t>
  </si>
  <si>
    <t>Façade</t>
  </si>
  <si>
    <t xml:space="preserve">Rails </t>
  </si>
  <si>
    <t>Désignation produit :</t>
  </si>
  <si>
    <t>Désignation article</t>
  </si>
  <si>
    <t>Dimensions du clair :</t>
  </si>
  <si>
    <t xml:space="preserve">H = </t>
  </si>
  <si>
    <t xml:space="preserve">L = </t>
  </si>
  <si>
    <t>Hauteur ou longueur</t>
  </si>
  <si>
    <t>Largeur</t>
  </si>
  <si>
    <t>Poignées</t>
  </si>
  <si>
    <t>Rail haut</t>
  </si>
  <si>
    <t>Rail bas</t>
  </si>
  <si>
    <t xml:space="preserve">Poignée </t>
  </si>
  <si>
    <t xml:space="preserve">Options </t>
  </si>
  <si>
    <t>Nb de vantaux :</t>
  </si>
  <si>
    <t>Sachet roues</t>
  </si>
  <si>
    <r>
      <t xml:space="preserve">Scotch double face en </t>
    </r>
    <r>
      <rPr>
        <b/>
        <i/>
        <sz val="12"/>
        <rFont val="Times New Roman"/>
        <family val="1"/>
      </rPr>
      <t>m</t>
    </r>
  </si>
  <si>
    <t>CLIENT :</t>
  </si>
  <si>
    <t>H =</t>
  </si>
  <si>
    <t>Cas 1</t>
  </si>
  <si>
    <t>Cas 2</t>
  </si>
  <si>
    <t>Cas 3</t>
  </si>
  <si>
    <t>Cas 4</t>
  </si>
  <si>
    <t>le :</t>
  </si>
  <si>
    <t xml:space="preserve">Par : </t>
  </si>
  <si>
    <t>Nb DE VANTAUX :</t>
  </si>
  <si>
    <t>Coloris &amp; référence</t>
  </si>
  <si>
    <t>Caractéristiques techniques, dimensionnelles et optionelles :</t>
  </si>
  <si>
    <t xml:space="preserve">Hauteur en mm = </t>
  </si>
  <si>
    <t xml:space="preserve">Largeur en mm = </t>
  </si>
  <si>
    <t xml:space="preserve">Nombre </t>
  </si>
  <si>
    <t>NOMENCLATURE DETAILLEE</t>
  </si>
  <si>
    <t xml:space="preserve">Remarques et observations spécifiques : </t>
  </si>
  <si>
    <t xml:space="preserve">Dimensions du clair : </t>
  </si>
  <si>
    <t>Disposition des vantaux :</t>
  </si>
  <si>
    <t xml:space="preserve">Feuille de calcul en fonction des caractéristiques : </t>
  </si>
  <si>
    <t>hauteur du panneau = clair -</t>
  </si>
  <si>
    <t xml:space="preserve">largeur du panneau cas 1 à 4 = </t>
  </si>
  <si>
    <r>
      <t>Nombre de vantaux (</t>
    </r>
    <r>
      <rPr>
        <b/>
        <sz val="12"/>
        <color indexed="12"/>
        <rFont val="Times New Roman"/>
        <family val="1"/>
      </rPr>
      <t>NbV</t>
    </r>
    <r>
      <rPr>
        <b/>
        <sz val="12"/>
        <rFont val="Times New Roman"/>
        <family val="1"/>
      </rPr>
      <t>):</t>
    </r>
  </si>
  <si>
    <r>
      <t>L</t>
    </r>
    <r>
      <rPr>
        <sz val="12"/>
        <rFont val="Times New Roman"/>
        <family val="1"/>
      </rPr>
      <t xml:space="preserve"> = </t>
    </r>
  </si>
  <si>
    <t>NbV</t>
  </si>
  <si>
    <r>
      <t>épaisseur poignée (</t>
    </r>
    <r>
      <rPr>
        <b/>
        <sz val="12"/>
        <color indexed="12"/>
        <rFont val="Times New Roman"/>
        <family val="1"/>
      </rPr>
      <t>ep</t>
    </r>
    <r>
      <rPr>
        <sz val="12"/>
        <rFont val="Times New Roman"/>
        <family val="1"/>
      </rPr>
      <t>)=</t>
    </r>
  </si>
  <si>
    <t>NbV -1</t>
  </si>
  <si>
    <t>NbV -2</t>
  </si>
  <si>
    <t>l (largeur d'un panneau)</t>
  </si>
  <si>
    <t>Calcul de la largeur d'1 vantail selon dispo des vantaux</t>
  </si>
  <si>
    <t>Hauteur =</t>
  </si>
  <si>
    <t>Largeur =</t>
  </si>
  <si>
    <t>Débit d'un panneau =&gt;</t>
  </si>
  <si>
    <t>Dimensions miroirs =&gt;</t>
  </si>
  <si>
    <t>Cotes techniques pour calcul de débit des panneaux bois</t>
  </si>
  <si>
    <t>Hauteur du miroir = hauteur du panneau -</t>
  </si>
  <si>
    <t>Largeur du miroir = largeur du panneau -</t>
  </si>
  <si>
    <t>Cotes techniques pour calcul du miroir</t>
  </si>
  <si>
    <t>Longueur poignées =&gt;</t>
  </si>
  <si>
    <t>Longueur =</t>
  </si>
  <si>
    <t>Longueur du rail haut &amp; bas =&gt;</t>
  </si>
  <si>
    <t xml:space="preserve">Longueur = </t>
  </si>
  <si>
    <t>Longueur du rail haut &amp; bas = largeur du clair (L) -</t>
  </si>
  <si>
    <t>Cotes techniques pour calcul longueur des rails</t>
  </si>
  <si>
    <t>Cotes techniques pour calcul longueur de traverse</t>
  </si>
  <si>
    <t>Retrait = 2lp - 2ep</t>
  </si>
  <si>
    <t>&lt;= Retrait</t>
  </si>
  <si>
    <t>Espacement entre traverses =&gt;</t>
  </si>
  <si>
    <t>cote bord à bord</t>
  </si>
  <si>
    <t>Largeur traverse =&gt;</t>
  </si>
  <si>
    <t>Retraits PJH + CPJ =&gt;</t>
  </si>
  <si>
    <t>Jeu sécu</t>
  </si>
  <si>
    <t>Longueur cornière PJ =&gt;</t>
  </si>
  <si>
    <t>Vantaux</t>
  </si>
  <si>
    <t>V. Miroir</t>
  </si>
  <si>
    <t>Nb traverses
/ vantail</t>
  </si>
  <si>
    <t>Longueur traverse = largeur panneau -1 + (2lp - 2ep)</t>
  </si>
  <si>
    <t>Vantaux habillés miroir</t>
  </si>
  <si>
    <t xml:space="preserve">Feuille de saisie des données bon de fabrication pour façade : </t>
  </si>
  <si>
    <t>Options</t>
  </si>
  <si>
    <t>Nb de vantaux équipé</t>
  </si>
  <si>
    <t>Quantité par vantail</t>
  </si>
  <si>
    <t>Longueur poignées = hauteur panneau +</t>
  </si>
  <si>
    <r>
      <t xml:space="preserve">Largeur poignée 
</t>
    </r>
    <r>
      <rPr>
        <sz val="12"/>
        <rFont val="Times New Roman"/>
        <family val="1"/>
      </rPr>
      <t xml:space="preserve">( </t>
    </r>
    <r>
      <rPr>
        <b/>
        <sz val="12"/>
        <color indexed="12"/>
        <rFont val="Times New Roman"/>
        <family val="1"/>
      </rPr>
      <t>lp</t>
    </r>
    <r>
      <rPr>
        <sz val="12"/>
        <rFont val="Times New Roman"/>
        <family val="1"/>
      </rPr>
      <t xml:space="preserve"> )</t>
    </r>
  </si>
  <si>
    <r>
      <t xml:space="preserve">Recouvrement </t>
    </r>
    <r>
      <rPr>
        <b/>
        <sz val="12"/>
        <color indexed="12"/>
        <rFont val="Times New Roman"/>
        <family val="1"/>
      </rPr>
      <t>®</t>
    </r>
    <r>
      <rPr>
        <sz val="12"/>
        <rFont val="Times New Roman"/>
        <family val="1"/>
      </rPr>
      <t xml:space="preserve"> =</t>
    </r>
  </si>
  <si>
    <t xml:space="preserve"> - 2ep</t>
  </si>
  <si>
    <t>L + ((NbV - 1) x ®</t>
  </si>
  <si>
    <t>Roulettes de guidage haut</t>
  </si>
  <si>
    <t>Traverse demi-lune ou profil H :</t>
  </si>
  <si>
    <t>Sachet de 2 roues</t>
  </si>
  <si>
    <t>Cornière</t>
  </si>
  <si>
    <t>Profilé plat ou H</t>
  </si>
  <si>
    <t xml:space="preserve">Longueur </t>
  </si>
  <si>
    <t xml:space="preserve">Espacement </t>
  </si>
  <si>
    <t>PANNEAU EP=15</t>
  </si>
  <si>
    <t>Longueur plat ou H =&gt;</t>
  </si>
  <si>
    <t>hauteur de petit panneau = (HT panneau - (1,3xQté de H))/ Qté de H +1</t>
  </si>
  <si>
    <t>pour une japonisation avec débit de panneau à répartition égal</t>
  </si>
  <si>
    <t>ep du H</t>
  </si>
  <si>
    <t>qté du H</t>
  </si>
  <si>
    <t>Qté de panneau</t>
  </si>
  <si>
    <t>hauteur de panneau</t>
  </si>
  <si>
    <t>ht panneau total</t>
  </si>
  <si>
    <t>ELDECOR</t>
  </si>
  <si>
    <t>japonisation par le H impossible</t>
  </si>
  <si>
    <t>TOTO</t>
  </si>
  <si>
    <t>JAPONISANT</t>
  </si>
  <si>
    <t>LARGEUR DU PANNEAU</t>
  </si>
  <si>
    <t>COULEUR</t>
  </si>
  <si>
    <t>QTE</t>
  </si>
  <si>
    <t>plcard1</t>
  </si>
  <si>
    <t>plac2</t>
  </si>
  <si>
    <t>vert</t>
  </si>
  <si>
    <t>x</t>
  </si>
  <si>
    <t>couleur</t>
  </si>
  <si>
    <t>PLACARD</t>
  </si>
  <si>
    <t>LE</t>
  </si>
  <si>
    <t>COULISSANT</t>
  </si>
  <si>
    <t>CLIENT</t>
  </si>
  <si>
    <t>EMPLACEMENT</t>
  </si>
  <si>
    <t>ENTREE</t>
  </si>
  <si>
    <t xml:space="preserve"> Nb VANTAUX DECOR :</t>
  </si>
  <si>
    <t>Nb VANTAUX VERRE OU MIROIR</t>
  </si>
  <si>
    <t>Vantaux Décor</t>
  </si>
  <si>
    <t>PLACARD 1</t>
  </si>
  <si>
    <t>DISPOSITION DES VANTAUX ( Choisir entre les 5 cas proposés en reportant (Copier/coller) en case K17</t>
  </si>
  <si>
    <t>DIMENSIONS DE L'OUVERTURE en mm :</t>
  </si>
  <si>
    <t>coloris 1</t>
  </si>
  <si>
    <t>coloris 2</t>
  </si>
  <si>
    <t>coloris 3</t>
  </si>
  <si>
    <t>coloris 4</t>
  </si>
  <si>
    <t xml:space="preserve"> V. Décor</t>
  </si>
  <si>
    <t>Panneaux</t>
  </si>
  <si>
    <t>Bas</t>
  </si>
  <si>
    <t>Milieu</t>
  </si>
  <si>
    <t>Milieu 2</t>
  </si>
  <si>
    <t>Haut</t>
  </si>
  <si>
    <t>Dimensions panneau(x) millieu</t>
  </si>
  <si>
    <t>ROUGE</t>
  </si>
  <si>
    <t>Hauteur de l'ouverture</t>
  </si>
  <si>
    <t>Miroir</t>
  </si>
  <si>
    <t>Version 1 : 3 panneaux</t>
  </si>
  <si>
    <t>Version 2 : 4 panneaux</t>
  </si>
  <si>
    <t>DEBIT JAPONISANT VANTAIL 2</t>
  </si>
  <si>
    <t>DEBIT JAPONISANT VANTAIL 1</t>
  </si>
  <si>
    <t>DEBIT JAPONISANT VANTAIL 3</t>
  </si>
  <si>
    <t>DEBIT JAPONISANT VANTAIL 4</t>
  </si>
  <si>
    <t>Tailles</t>
  </si>
  <si>
    <t>DEBIT JAPONISANT VANTAIL 5</t>
  </si>
  <si>
    <t>Cas :</t>
  </si>
  <si>
    <t>CHOISIR DECOR OU MIROIR ET SAISIR LA COULEUR</t>
  </si>
  <si>
    <t>Décor ou miroir</t>
  </si>
  <si>
    <t>Couleur</t>
  </si>
  <si>
    <t>Vantaux 1 :</t>
  </si>
  <si>
    <t>Vanteaux 2 :</t>
  </si>
  <si>
    <t>Vanteaux 3 :</t>
  </si>
  <si>
    <t>Vanteaux 4 :</t>
  </si>
  <si>
    <t>Vanteaux 5 :</t>
  </si>
  <si>
    <t xml:space="preserve">Largeur </t>
  </si>
  <si>
    <t>Hauteur</t>
  </si>
  <si>
    <t>Décor ou verre</t>
  </si>
  <si>
    <t>Panneau milieu 2</t>
  </si>
  <si>
    <t>Panneau milieu</t>
  </si>
  <si>
    <t>Panneau bas</t>
  </si>
  <si>
    <t>Panneau haut</t>
  </si>
  <si>
    <t>Vantaux :</t>
  </si>
  <si>
    <t xml:space="preserve">PU </t>
  </si>
  <si>
    <t>TOTAL</t>
  </si>
  <si>
    <t>VERT</t>
  </si>
  <si>
    <t>JAUNE</t>
  </si>
  <si>
    <t>UNI</t>
  </si>
  <si>
    <t xml:space="preserve">Placard 1 : </t>
  </si>
  <si>
    <t>Coloris 2</t>
  </si>
  <si>
    <t>Coloris 1</t>
  </si>
  <si>
    <t>Coloris 3</t>
  </si>
  <si>
    <t>Coloris 4</t>
  </si>
  <si>
    <t>Coloris 5</t>
  </si>
  <si>
    <t>Coloris 6</t>
  </si>
  <si>
    <t>Coloris 7</t>
  </si>
  <si>
    <t>Coloris 8</t>
  </si>
  <si>
    <t>VANTAUX UNIS</t>
  </si>
</sst>
</file>

<file path=xl/styles.xml><?xml version="1.0" encoding="utf-8"?>
<styleSheet xmlns="http://schemas.openxmlformats.org/spreadsheetml/2006/main">
  <numFmts count="3">
    <numFmt numFmtId="164" formatCode="_-* #,##0.00\ &quot;F&quot;_-;\-* #,##0.00\ &quot;F&quot;_-;_-* &quot;-&quot;??\ &quot;F&quot;_-;_-@_-"/>
    <numFmt numFmtId="165" formatCode="d\ mmmm\ yyyy"/>
    <numFmt numFmtId="166" formatCode="0.0"/>
  </numFmts>
  <fonts count="37">
    <font>
      <sz val="10"/>
      <name val="Arial"/>
    </font>
    <font>
      <sz val="10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b/>
      <i/>
      <sz val="12"/>
      <name val="Times New Roman"/>
      <family val="1"/>
    </font>
    <font>
      <b/>
      <sz val="12"/>
      <color indexed="12"/>
      <name val="Times New Roman"/>
      <family val="1"/>
    </font>
    <font>
      <sz val="12"/>
      <color indexed="12"/>
      <name val="Times New Roman"/>
      <family val="1"/>
    </font>
    <font>
      <sz val="12"/>
      <color indexed="10"/>
      <name val="Times New Roman"/>
      <family val="1"/>
    </font>
    <font>
      <sz val="11"/>
      <name val="Times New Roman"/>
      <family val="1"/>
    </font>
    <font>
      <b/>
      <i/>
      <u/>
      <sz val="18"/>
      <name val="Times New Roman"/>
      <family val="1"/>
    </font>
    <font>
      <b/>
      <sz val="16"/>
      <name val="Times New Roman"/>
      <family val="1"/>
    </font>
    <font>
      <b/>
      <i/>
      <u/>
      <sz val="12"/>
      <name val="Times New Roman"/>
      <family val="1"/>
    </font>
    <font>
      <u/>
      <sz val="12"/>
      <name val="Times New Roman"/>
      <family val="1"/>
    </font>
    <font>
      <b/>
      <u/>
      <sz val="12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1"/>
      <name val="Times New Roman"/>
      <family val="1"/>
    </font>
    <font>
      <b/>
      <sz val="18"/>
      <name val="Times New Roman"/>
      <family val="1"/>
    </font>
    <font>
      <b/>
      <i/>
      <sz val="18"/>
      <name val="Times New Roman"/>
      <family val="1"/>
    </font>
    <font>
      <b/>
      <u/>
      <sz val="14"/>
      <name val="Times New Roman"/>
      <family val="1"/>
    </font>
    <font>
      <i/>
      <sz val="12"/>
      <name val="Times New Roman"/>
      <family val="1"/>
    </font>
    <font>
      <b/>
      <sz val="10"/>
      <name val="Times New Roman"/>
      <family val="1"/>
    </font>
    <font>
      <u/>
      <sz val="14"/>
      <name val="Times New Roman"/>
      <family val="1"/>
    </font>
    <font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b/>
      <sz val="12"/>
      <color indexed="10"/>
      <name val="Times New Roman"/>
      <family val="1"/>
    </font>
    <font>
      <b/>
      <sz val="20"/>
      <name val="Times New Roman"/>
      <family val="1"/>
    </font>
    <font>
      <b/>
      <sz val="20"/>
      <color indexed="10"/>
      <name val="Times New Roman"/>
      <family val="1"/>
    </font>
    <font>
      <b/>
      <i/>
      <sz val="12"/>
      <color indexed="14"/>
      <name val="Times New Roman"/>
      <family val="1"/>
    </font>
    <font>
      <b/>
      <i/>
      <sz val="11"/>
      <color indexed="14"/>
      <name val="Times New Roman"/>
      <family val="1"/>
    </font>
    <font>
      <b/>
      <i/>
      <sz val="12"/>
      <color indexed="12"/>
      <name val="Times New Roman"/>
      <family val="1"/>
    </font>
    <font>
      <sz val="10"/>
      <name val="Arial"/>
      <family val="2"/>
    </font>
    <font>
      <b/>
      <sz val="10"/>
      <color rgb="FFFF0000"/>
      <name val="Times New Roman"/>
      <family val="1"/>
    </font>
    <font>
      <sz val="12"/>
      <color theme="0"/>
      <name val="Times New Roman"/>
      <family val="1"/>
    </font>
    <font>
      <b/>
      <sz val="11"/>
      <name val="Arial"/>
      <family val="2"/>
    </font>
    <font>
      <b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02">
    <xf numFmtId="0" fontId="0" fillId="0" borderId="0" xfId="0"/>
    <xf numFmtId="0" fontId="2" fillId="0" borderId="0" xfId="0" applyFont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9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12" fillId="0" borderId="0" xfId="0" applyFont="1" applyAlignment="1">
      <alignment horizontal="right" vertical="center"/>
    </xf>
    <xf numFmtId="1" fontId="8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2" fillId="0" borderId="0" xfId="0" applyFont="1" applyBorder="1" applyAlignment="1">
      <alignment horizontal="right"/>
    </xf>
    <xf numFmtId="0" fontId="15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3" fontId="3" fillId="0" borderId="0" xfId="0" applyNumberFormat="1" applyFont="1" applyFill="1" applyAlignment="1">
      <alignment horizontal="center"/>
    </xf>
    <xf numFmtId="0" fontId="10" fillId="0" borderId="0" xfId="0" applyFont="1" applyAlignment="1">
      <alignment horizontal="center" vertical="center"/>
    </xf>
    <xf numFmtId="3" fontId="3" fillId="0" borderId="0" xfId="0" applyNumberFormat="1" applyFont="1" applyFill="1" applyAlignment="1">
      <alignment horizontal="center" vertical="center"/>
    </xf>
    <xf numFmtId="0" fontId="2" fillId="0" borderId="3" xfId="0" applyFont="1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" fillId="0" borderId="4" xfId="0" applyFont="1" applyBorder="1"/>
    <xf numFmtId="0" fontId="2" fillId="0" borderId="4" xfId="0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0" fontId="2" fillId="0" borderId="0" xfId="0" applyFont="1" applyBorder="1"/>
    <xf numFmtId="0" fontId="11" fillId="0" borderId="6" xfId="0" applyFont="1" applyBorder="1"/>
    <xf numFmtId="0" fontId="3" fillId="0" borderId="0" xfId="0" applyFont="1"/>
    <xf numFmtId="0" fontId="6" fillId="0" borderId="0" xfId="0" applyFont="1" applyAlignment="1">
      <alignment horizontal="center"/>
    </xf>
    <xf numFmtId="1" fontId="3" fillId="0" borderId="2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1" fontId="3" fillId="0" borderId="7" xfId="0" applyNumberFormat="1" applyFont="1" applyBorder="1" applyAlignment="1">
      <alignment horizontal="center"/>
    </xf>
    <xf numFmtId="166" fontId="2" fillId="0" borderId="0" xfId="0" applyNumberFormat="1" applyFont="1" applyAlignment="1">
      <alignment horizontal="center"/>
    </xf>
    <xf numFmtId="166" fontId="3" fillId="0" borderId="2" xfId="0" applyNumberFormat="1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23" fillId="0" borderId="2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1" fontId="16" fillId="0" borderId="0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166" fontId="2" fillId="0" borderId="17" xfId="0" applyNumberFormat="1" applyFont="1" applyBorder="1" applyAlignment="1">
      <alignment horizontal="center"/>
    </xf>
    <xf numFmtId="1" fontId="2" fillId="1" borderId="0" xfId="0" applyNumberFormat="1" applyFont="1" applyFill="1"/>
    <xf numFmtId="0" fontId="2" fillId="1" borderId="0" xfId="0" applyFont="1" applyFill="1"/>
    <xf numFmtId="1" fontId="3" fillId="3" borderId="7" xfId="0" applyNumberFormat="1" applyFont="1" applyFill="1" applyBorder="1" applyAlignment="1">
      <alignment horizontal="center"/>
    </xf>
    <xf numFmtId="0" fontId="20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/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 shrinkToFit="1"/>
    </xf>
    <xf numFmtId="0" fontId="2" fillId="0" borderId="2" xfId="0" applyFont="1" applyFill="1" applyBorder="1" applyAlignment="1">
      <alignment horizontal="center" vertical="center" wrapText="1" shrinkToFit="1"/>
    </xf>
    <xf numFmtId="1" fontId="2" fillId="0" borderId="2" xfId="0" applyNumberFormat="1" applyFont="1" applyBorder="1" applyAlignment="1">
      <alignment horizontal="center" vertical="center"/>
    </xf>
    <xf numFmtId="0" fontId="31" fillId="0" borderId="2" xfId="0" applyFont="1" applyFill="1" applyBorder="1" applyAlignment="1">
      <alignment horizontal="center" vertical="center" wrapText="1" shrinkToFit="1"/>
    </xf>
    <xf numFmtId="0" fontId="7" fillId="0" borderId="2" xfId="0" applyFont="1" applyFill="1" applyBorder="1" applyAlignment="1">
      <alignment horizontal="center" vertical="center" wrapText="1" shrinkToFit="1"/>
    </xf>
    <xf numFmtId="0" fontId="3" fillId="0" borderId="8" xfId="0" applyFont="1" applyFill="1" applyBorder="1" applyAlignment="1">
      <alignment horizontal="center" vertical="center"/>
    </xf>
    <xf numFmtId="0" fontId="29" fillId="0" borderId="8" xfId="0" applyFont="1" applyBorder="1" applyAlignment="1">
      <alignment horizontal="center" vertical="center" wrapText="1"/>
    </xf>
    <xf numFmtId="1" fontId="3" fillId="4" borderId="2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" fontId="30" fillId="0" borderId="2" xfId="0" applyNumberFormat="1" applyFont="1" applyBorder="1" applyAlignment="1">
      <alignment horizontal="center" vertical="center"/>
    </xf>
    <xf numFmtId="1" fontId="16" fillId="5" borderId="2" xfId="0" applyNumberFormat="1" applyFont="1" applyFill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1" fontId="16" fillId="4" borderId="2" xfId="0" applyNumberFormat="1" applyFont="1" applyFill="1" applyBorder="1" applyAlignment="1">
      <alignment horizontal="center" vertical="center"/>
    </xf>
    <xf numFmtId="1" fontId="8" fillId="6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1" fontId="8" fillId="0" borderId="2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" fontId="2" fillId="0" borderId="0" xfId="0" applyNumberFormat="1" applyFont="1"/>
    <xf numFmtId="164" fontId="2" fillId="0" borderId="0" xfId="1" applyFont="1"/>
    <xf numFmtId="164" fontId="2" fillId="0" borderId="0" xfId="0" applyNumberFormat="1" applyFont="1"/>
    <xf numFmtId="0" fontId="0" fillId="7" borderId="0" xfId="0" applyFill="1"/>
    <xf numFmtId="1" fontId="0" fillId="7" borderId="0" xfId="0" applyNumberFormat="1" applyFill="1"/>
    <xf numFmtId="0" fontId="0" fillId="8" borderId="0" xfId="0" applyFill="1"/>
    <xf numFmtId="0" fontId="0" fillId="7" borderId="0" xfId="0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Alignment="1"/>
    <xf numFmtId="0" fontId="20" fillId="0" borderId="0" xfId="0" applyFont="1" applyBorder="1" applyAlignment="1"/>
    <xf numFmtId="0" fontId="2" fillId="10" borderId="0" xfId="0" applyFont="1" applyFill="1"/>
    <xf numFmtId="0" fontId="23" fillId="0" borderId="0" xfId="0" applyFont="1" applyBorder="1" applyAlignment="1">
      <alignment horizontal="right"/>
    </xf>
    <xf numFmtId="0" fontId="23" fillId="0" borderId="1" xfId="0" applyFont="1" applyBorder="1" applyAlignment="1">
      <alignment horizontal="right"/>
    </xf>
    <xf numFmtId="0" fontId="2" fillId="0" borderId="35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left"/>
    </xf>
    <xf numFmtId="0" fontId="2" fillId="0" borderId="33" xfId="0" applyFont="1" applyFill="1" applyBorder="1" applyAlignment="1">
      <alignment horizontal="right"/>
    </xf>
    <xf numFmtId="0" fontId="2" fillId="0" borderId="30" xfId="0" applyFont="1" applyFill="1" applyBorder="1" applyAlignment="1">
      <alignment horizontal="right"/>
    </xf>
    <xf numFmtId="0" fontId="20" fillId="0" borderId="30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left"/>
    </xf>
    <xf numFmtId="0" fontId="2" fillId="0" borderId="30" xfId="0" applyFont="1" applyFill="1" applyBorder="1"/>
    <xf numFmtId="0" fontId="20" fillId="0" borderId="30" xfId="0" applyFont="1" applyFill="1" applyBorder="1" applyAlignment="1"/>
    <xf numFmtId="1" fontId="3" fillId="0" borderId="0" xfId="0" applyNumberFormat="1" applyFont="1" applyFill="1" applyBorder="1" applyAlignment="1">
      <alignment horizontal="left"/>
    </xf>
    <xf numFmtId="0" fontId="33" fillId="0" borderId="0" xfId="0" applyFont="1" applyFill="1" applyBorder="1" applyAlignment="1"/>
    <xf numFmtId="0" fontId="33" fillId="0" borderId="34" xfId="0" applyFont="1" applyFill="1" applyBorder="1" applyAlignment="1"/>
    <xf numFmtId="0" fontId="24" fillId="0" borderId="0" xfId="0" applyFont="1" applyBorder="1" applyAlignment="1"/>
    <xf numFmtId="1" fontId="3" fillId="10" borderId="3" xfId="0" applyNumberFormat="1" applyFont="1" applyFill="1" applyBorder="1" applyAlignment="1" applyProtection="1">
      <alignment horizontal="left"/>
      <protection locked="0"/>
    </xf>
    <xf numFmtId="0" fontId="3" fillId="10" borderId="32" xfId="0" applyFont="1" applyFill="1" applyBorder="1" applyAlignment="1" applyProtection="1">
      <alignment horizontal="center"/>
      <protection locked="0"/>
    </xf>
    <xf numFmtId="0" fontId="2" fillId="10" borderId="20" xfId="0" applyFont="1" applyFill="1" applyBorder="1" applyAlignment="1" applyProtection="1">
      <alignment horizontal="center" vertical="center"/>
      <protection locked="0"/>
    </xf>
    <xf numFmtId="0" fontId="23" fillId="0" borderId="2" xfId="0" applyFont="1" applyFill="1" applyBorder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23" fillId="0" borderId="35" xfId="0" applyFon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3" fillId="11" borderId="2" xfId="0" applyFont="1" applyFill="1" applyBorder="1" applyAlignment="1">
      <alignment horizontal="center" vertical="center"/>
    </xf>
    <xf numFmtId="0" fontId="9" fillId="12" borderId="0" xfId="0" applyFont="1" applyFill="1" applyAlignment="1"/>
    <xf numFmtId="0" fontId="2" fillId="0" borderId="2" xfId="0" applyFont="1" applyBorder="1" applyAlignment="1">
      <alignment vertical="center"/>
    </xf>
    <xf numFmtId="0" fontId="2" fillId="0" borderId="3" xfId="0" applyFont="1" applyBorder="1"/>
    <xf numFmtId="0" fontId="34" fillId="0" borderId="34" xfId="0" applyFont="1" applyFill="1" applyBorder="1"/>
    <xf numFmtId="1" fontId="2" fillId="0" borderId="2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1" fontId="2" fillId="0" borderId="35" xfId="0" applyNumberFormat="1" applyFont="1" applyFill="1" applyBorder="1" applyAlignment="1">
      <alignment vertical="center"/>
    </xf>
    <xf numFmtId="1" fontId="2" fillId="0" borderId="44" xfId="0" applyNumberFormat="1" applyFont="1" applyFill="1" applyBorder="1" applyAlignment="1">
      <alignment vertical="center"/>
    </xf>
    <xf numFmtId="1" fontId="2" fillId="0" borderId="36" xfId="0" applyNumberFormat="1" applyFont="1" applyFill="1" applyBorder="1" applyAlignment="1">
      <alignment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3" fillId="11" borderId="47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32" fillId="0" borderId="0" xfId="0" applyFont="1"/>
    <xf numFmtId="0" fontId="2" fillId="0" borderId="2" xfId="0" applyFont="1" applyBorder="1"/>
    <xf numFmtId="0" fontId="3" fillId="13" borderId="0" xfId="0" applyFont="1" applyFill="1" applyBorder="1" applyAlignment="1">
      <alignment horizontal="center" vertical="center" wrapText="1"/>
    </xf>
    <xf numFmtId="0" fontId="3" fillId="13" borderId="0" xfId="0" applyFont="1" applyFill="1" applyBorder="1" applyAlignment="1">
      <alignment vertical="center"/>
    </xf>
    <xf numFmtId="0" fontId="3" fillId="13" borderId="0" xfId="0" applyFont="1" applyFill="1" applyBorder="1" applyAlignment="1">
      <alignment horizontal="center" vertical="center"/>
    </xf>
    <xf numFmtId="0" fontId="2" fillId="13" borderId="0" xfId="0" applyFont="1" applyFill="1" applyBorder="1"/>
    <xf numFmtId="0" fontId="32" fillId="0" borderId="2" xfId="0" applyFont="1" applyBorder="1"/>
    <xf numFmtId="0" fontId="0" fillId="0" borderId="2" xfId="0" applyBorder="1"/>
    <xf numFmtId="1" fontId="0" fillId="0" borderId="2" xfId="0" applyNumberFormat="1" applyBorder="1"/>
    <xf numFmtId="1" fontId="32" fillId="0" borderId="2" xfId="0" applyNumberFormat="1" applyFont="1" applyBorder="1"/>
    <xf numFmtId="0" fontId="0" fillId="0" borderId="2" xfId="0" applyBorder="1" applyAlignment="1">
      <alignment horizontal="right"/>
    </xf>
    <xf numFmtId="0" fontId="36" fillId="14" borderId="2" xfId="0" applyFont="1" applyFill="1" applyBorder="1"/>
    <xf numFmtId="0" fontId="32" fillId="0" borderId="48" xfId="0" applyFont="1" applyFill="1" applyBorder="1"/>
    <xf numFmtId="49" fontId="3" fillId="0" borderId="8" xfId="0" applyNumberFormat="1" applyFont="1" applyFill="1" applyBorder="1" applyAlignment="1">
      <alignment horizontal="center" vertical="center"/>
    </xf>
    <xf numFmtId="1" fontId="30" fillId="9" borderId="2" xfId="0" applyNumberFormat="1" applyFont="1" applyFill="1" applyBorder="1" applyAlignment="1">
      <alignment horizontal="center" vertical="center"/>
    </xf>
    <xf numFmtId="0" fontId="2" fillId="0" borderId="16" xfId="0" applyFont="1" applyFill="1" applyBorder="1"/>
    <xf numFmtId="0" fontId="32" fillId="0" borderId="10" xfId="0" applyFont="1" applyBorder="1"/>
    <xf numFmtId="0" fontId="0" fillId="0" borderId="10" xfId="0" applyBorder="1" applyAlignment="1">
      <alignment horizontal="right"/>
    </xf>
    <xf numFmtId="0" fontId="0" fillId="0" borderId="22" xfId="0" applyBorder="1"/>
    <xf numFmtId="0" fontId="32" fillId="0" borderId="2" xfId="0" applyFont="1" applyFill="1" applyBorder="1"/>
    <xf numFmtId="0" fontId="2" fillId="14" borderId="24" xfId="0" applyFont="1" applyFill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1" fontId="2" fillId="0" borderId="22" xfId="0" applyNumberFormat="1" applyFont="1" applyBorder="1" applyAlignment="1">
      <alignment horizontal="center" vertical="center"/>
    </xf>
    <xf numFmtId="1" fontId="2" fillId="0" borderId="24" xfId="0" applyNumberFormat="1" applyFont="1" applyBorder="1" applyAlignment="1">
      <alignment horizontal="center" vertical="center"/>
    </xf>
    <xf numFmtId="1" fontId="2" fillId="0" borderId="15" xfId="0" applyNumberFormat="1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0" fontId="2" fillId="10" borderId="22" xfId="0" applyFont="1" applyFill="1" applyBorder="1" applyAlignment="1">
      <alignment horizontal="center" vertical="center"/>
    </xf>
    <xf numFmtId="0" fontId="3" fillId="13" borderId="16" xfId="0" applyFont="1" applyFill="1" applyBorder="1" applyAlignment="1">
      <alignment horizontal="center" vertical="center"/>
    </xf>
    <xf numFmtId="0" fontId="3" fillId="14" borderId="24" xfId="0" applyFont="1" applyFill="1" applyBorder="1" applyAlignment="1">
      <alignment horizontal="center" vertical="center"/>
    </xf>
    <xf numFmtId="0" fontId="35" fillId="0" borderId="48" xfId="0" applyFont="1" applyBorder="1" applyAlignment="1">
      <alignment horizontal="center" vertical="center" wrapText="1"/>
    </xf>
    <xf numFmtId="0" fontId="35" fillId="0" borderId="8" xfId="0" applyFont="1" applyBorder="1" applyAlignment="1">
      <alignment horizontal="center" vertical="center" wrapText="1"/>
    </xf>
    <xf numFmtId="0" fontId="3" fillId="13" borderId="0" xfId="0" applyFont="1" applyFill="1" applyBorder="1" applyAlignment="1">
      <alignment horizontal="center" vertical="center"/>
    </xf>
    <xf numFmtId="0" fontId="35" fillId="0" borderId="2" xfId="0" applyFont="1" applyBorder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/>
    </xf>
    <xf numFmtId="1" fontId="2" fillId="0" borderId="48" xfId="0" applyNumberFormat="1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3" fillId="4" borderId="37" xfId="0" applyFont="1" applyFill="1" applyBorder="1" applyAlignment="1">
      <alignment horizontal="center"/>
    </xf>
    <xf numFmtId="0" fontId="3" fillId="4" borderId="38" xfId="0" applyFont="1" applyFill="1" applyBorder="1" applyAlignment="1">
      <alignment horizontal="center"/>
    </xf>
    <xf numFmtId="0" fontId="3" fillId="4" borderId="46" xfId="0" applyFont="1" applyFill="1" applyBorder="1" applyAlignment="1">
      <alignment horizontal="center"/>
    </xf>
    <xf numFmtId="0" fontId="23" fillId="0" borderId="2" xfId="0" applyFont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0" fontId="2" fillId="12" borderId="47" xfId="0" applyFont="1" applyFill="1" applyBorder="1" applyAlignment="1" applyProtection="1">
      <alignment horizontal="center" vertical="center"/>
      <protection locked="0"/>
    </xf>
    <xf numFmtId="0" fontId="2" fillId="12" borderId="7" xfId="0" applyFont="1" applyFill="1" applyBorder="1" applyAlignment="1">
      <alignment horizontal="center" vertical="center"/>
    </xf>
    <xf numFmtId="0" fontId="2" fillId="12" borderId="47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 wrapText="1"/>
    </xf>
    <xf numFmtId="0" fontId="2" fillId="12" borderId="17" xfId="0" applyFont="1" applyFill="1" applyBorder="1" applyAlignment="1">
      <alignment horizontal="center" vertical="center" wrapText="1"/>
    </xf>
    <xf numFmtId="0" fontId="2" fillId="12" borderId="45" xfId="0" applyFont="1" applyFill="1" applyBorder="1" applyAlignment="1">
      <alignment horizontal="center" vertical="center"/>
    </xf>
    <xf numFmtId="0" fontId="2" fillId="12" borderId="43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165" fontId="2" fillId="10" borderId="0" xfId="0" applyNumberFormat="1" applyFont="1" applyFill="1" applyAlignment="1">
      <alignment horizontal="left"/>
    </xf>
    <xf numFmtId="0" fontId="19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0" fontId="2" fillId="0" borderId="30" xfId="0" applyFont="1" applyFill="1" applyBorder="1" applyAlignment="1">
      <alignment horizontal="center"/>
    </xf>
    <xf numFmtId="0" fontId="2" fillId="0" borderId="31" xfId="0" applyFont="1" applyFill="1" applyBorder="1" applyAlignment="1">
      <alignment horizontal="center"/>
    </xf>
    <xf numFmtId="0" fontId="3" fillId="10" borderId="0" xfId="0" applyFont="1" applyFill="1" applyBorder="1" applyAlignment="1" applyProtection="1">
      <alignment horizontal="center"/>
      <protection locked="0"/>
    </xf>
    <xf numFmtId="0" fontId="2" fillId="9" borderId="33" xfId="0" applyFont="1" applyFill="1" applyBorder="1" applyAlignment="1">
      <alignment horizontal="right"/>
    </xf>
    <xf numFmtId="0" fontId="2" fillId="9" borderId="30" xfId="0" applyFont="1" applyFill="1" applyBorder="1" applyAlignment="1">
      <alignment horizontal="right"/>
    </xf>
    <xf numFmtId="0" fontId="18" fillId="10" borderId="0" xfId="0" applyFont="1" applyFill="1" applyAlignment="1">
      <alignment horizontal="center" vertical="center"/>
    </xf>
    <xf numFmtId="165" fontId="2" fillId="0" borderId="3" xfId="0" applyNumberFormat="1" applyFont="1" applyFill="1" applyBorder="1" applyAlignment="1">
      <alignment horizontal="center"/>
    </xf>
    <xf numFmtId="165" fontId="2" fillId="0" borderId="32" xfId="0" applyNumberFormat="1" applyFont="1" applyFill="1" applyBorder="1" applyAlignment="1">
      <alignment horizontal="center"/>
    </xf>
    <xf numFmtId="0" fontId="3" fillId="10" borderId="3" xfId="0" applyFont="1" applyFill="1" applyBorder="1" applyAlignment="1" applyProtection="1">
      <alignment horizontal="center"/>
      <protection locked="0"/>
    </xf>
    <xf numFmtId="0" fontId="23" fillId="0" borderId="21" xfId="0" applyFont="1" applyBorder="1" applyAlignment="1">
      <alignment horizontal="right"/>
    </xf>
    <xf numFmtId="0" fontId="23" fillId="0" borderId="3" xfId="0" applyFont="1" applyBorder="1" applyAlignment="1">
      <alignment horizontal="right"/>
    </xf>
    <xf numFmtId="0" fontId="2" fillId="10" borderId="30" xfId="0" applyFont="1" applyFill="1" applyBorder="1" applyAlignment="1" applyProtection="1">
      <alignment horizontal="center"/>
      <protection locked="0"/>
    </xf>
    <xf numFmtId="0" fontId="24" fillId="0" borderId="0" xfId="0" applyFont="1" applyBorder="1" applyAlignment="1">
      <alignment horizontal="center"/>
    </xf>
    <xf numFmtId="0" fontId="3" fillId="4" borderId="37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3" fillId="4" borderId="39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2" xfId="0" applyFont="1" applyBorder="1" applyAlignment="1">
      <alignment horizontal="right"/>
    </xf>
    <xf numFmtId="0" fontId="3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right"/>
    </xf>
    <xf numFmtId="0" fontId="3" fillId="2" borderId="2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20" fillId="2" borderId="0" xfId="0" applyFont="1" applyFill="1" applyAlignment="1">
      <alignment horizontal="right"/>
    </xf>
    <xf numFmtId="0" fontId="17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6" fillId="0" borderId="10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wrapText="1"/>
    </xf>
    <xf numFmtId="0" fontId="21" fillId="0" borderId="14" xfId="0" applyFont="1" applyBorder="1" applyAlignment="1">
      <alignment horizontal="center" wrapText="1"/>
    </xf>
    <xf numFmtId="0" fontId="21" fillId="0" borderId="15" xfId="0" applyFont="1" applyBorder="1" applyAlignment="1">
      <alignment horizontal="center" wrapText="1"/>
    </xf>
    <xf numFmtId="0" fontId="21" fillId="0" borderId="11" xfId="0" applyFont="1" applyBorder="1" applyAlignment="1">
      <alignment horizontal="center" wrapText="1"/>
    </xf>
    <xf numFmtId="0" fontId="2" fillId="0" borderId="24" xfId="0" applyFont="1" applyBorder="1" applyAlignment="1">
      <alignment horizontal="left" vertical="center"/>
    </xf>
    <xf numFmtId="0" fontId="3" fillId="0" borderId="0" xfId="0" applyFont="1" applyAlignment="1">
      <alignment horizontal="right"/>
    </xf>
    <xf numFmtId="0" fontId="25" fillId="0" borderId="7" xfId="0" applyFont="1" applyBorder="1" applyAlignment="1">
      <alignment horizontal="center" vertical="center" wrapText="1"/>
    </xf>
    <xf numFmtId="0" fontId="25" fillId="0" borderId="8" xfId="0" applyFont="1" applyBorder="1" applyAlignment="1">
      <alignment horizontal="center" vertical="center" wrapText="1"/>
    </xf>
    <xf numFmtId="0" fontId="29" fillId="0" borderId="10" xfId="0" applyFont="1" applyFill="1" applyBorder="1" applyAlignment="1">
      <alignment horizontal="center" vertical="center"/>
    </xf>
    <xf numFmtId="0" fontId="29" fillId="0" borderId="17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 shrinkToFit="1"/>
    </xf>
    <xf numFmtId="0" fontId="2" fillId="4" borderId="2" xfId="0" applyFont="1" applyFill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7" fillId="0" borderId="25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8" fillId="0" borderId="26" xfId="0" applyFont="1" applyBorder="1" applyAlignment="1">
      <alignment horizontal="center" vertical="center" wrapText="1"/>
    </xf>
    <xf numFmtId="0" fontId="28" fillId="0" borderId="25" xfId="0" applyFont="1" applyBorder="1" applyAlignment="1">
      <alignment horizontal="center" vertical="center" wrapText="1"/>
    </xf>
    <xf numFmtId="0" fontId="28" fillId="0" borderId="27" xfId="0" applyFont="1" applyBorder="1" applyAlignment="1">
      <alignment horizontal="center" vertical="center" wrapText="1"/>
    </xf>
    <xf numFmtId="0" fontId="28" fillId="0" borderId="28" xfId="0" applyFont="1" applyBorder="1" applyAlignment="1">
      <alignment horizontal="center" vertical="center" wrapText="1"/>
    </xf>
    <xf numFmtId="0" fontId="28" fillId="0" borderId="29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3" fontId="10" fillId="12" borderId="0" xfId="0" applyNumberFormat="1" applyFont="1" applyFill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3" fillId="15" borderId="12" xfId="0" applyFont="1" applyFill="1" applyBorder="1" applyAlignment="1">
      <alignment horizontal="center" vertical="center"/>
    </xf>
    <xf numFmtId="0" fontId="3" fillId="15" borderId="22" xfId="0" applyFont="1" applyFill="1" applyBorder="1" applyAlignment="1">
      <alignment horizontal="center" vertical="center"/>
    </xf>
    <xf numFmtId="0" fontId="3" fillId="15" borderId="15" xfId="0" applyFont="1" applyFill="1" applyBorder="1" applyAlignment="1">
      <alignment horizontal="center" vertical="center"/>
    </xf>
    <xf numFmtId="0" fontId="3" fillId="15" borderId="13" xfId="0" applyFont="1" applyFill="1" applyBorder="1" applyAlignment="1">
      <alignment horizontal="center" vertical="center"/>
    </xf>
    <xf numFmtId="0" fontId="3" fillId="15" borderId="0" xfId="0" applyFont="1" applyFill="1" applyBorder="1" applyAlignment="1">
      <alignment horizontal="center" vertical="center"/>
    </xf>
    <xf numFmtId="0" fontId="3" fillId="15" borderId="16" xfId="0" applyFont="1" applyFill="1" applyBorder="1" applyAlignment="1">
      <alignment horizontal="center" vertical="center"/>
    </xf>
    <xf numFmtId="0" fontId="34" fillId="0" borderId="0" xfId="0" applyFont="1" applyFill="1" applyBorder="1"/>
    <xf numFmtId="0" fontId="2" fillId="0" borderId="0" xfId="0" applyFont="1" applyFill="1" applyBorder="1"/>
    <xf numFmtId="0" fontId="2" fillId="0" borderId="34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18</xdr:row>
      <xdr:rowOff>85725</xdr:rowOff>
    </xdr:from>
    <xdr:to>
      <xdr:col>7</xdr:col>
      <xdr:colOff>552450</xdr:colOff>
      <xdr:row>18</xdr:row>
      <xdr:rowOff>228600</xdr:rowOff>
    </xdr:to>
    <xdr:grpSp>
      <xdr:nvGrpSpPr>
        <xdr:cNvPr id="12545" name="Group 82"/>
        <xdr:cNvGrpSpPr>
          <a:grpSpLocks/>
        </xdr:cNvGrpSpPr>
      </xdr:nvGrpSpPr>
      <xdr:grpSpPr bwMode="auto">
        <a:xfrm>
          <a:off x="2496571" y="4201886"/>
          <a:ext cx="3515745" cy="142875"/>
          <a:chOff x="211" y="315"/>
          <a:chExt cx="584" cy="49"/>
        </a:xfrm>
      </xdr:grpSpPr>
      <xdr:grpSp>
        <xdr:nvGrpSpPr>
          <xdr:cNvPr id="12593" name="Group 83"/>
          <xdr:cNvGrpSpPr>
            <a:grpSpLocks/>
          </xdr:cNvGrpSpPr>
        </xdr:nvGrpSpPr>
        <xdr:grpSpPr bwMode="auto">
          <a:xfrm>
            <a:off x="211" y="315"/>
            <a:ext cx="206" cy="20"/>
            <a:chOff x="291" y="304"/>
            <a:chExt cx="206" cy="20"/>
          </a:xfrm>
        </xdr:grpSpPr>
        <xdr:sp macro="" textlink="">
          <xdr:nvSpPr>
            <xdr:cNvPr id="12602" name="Rectangle 84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603" name="Rectangle 85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604" name="Rectangle 86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94" name="Group 87"/>
          <xdr:cNvGrpSpPr>
            <a:grpSpLocks/>
          </xdr:cNvGrpSpPr>
        </xdr:nvGrpSpPr>
        <xdr:grpSpPr bwMode="auto">
          <a:xfrm>
            <a:off x="400" y="344"/>
            <a:ext cx="206" cy="20"/>
            <a:chOff x="291" y="304"/>
            <a:chExt cx="206" cy="20"/>
          </a:xfrm>
        </xdr:grpSpPr>
        <xdr:sp macro="" textlink="">
          <xdr:nvSpPr>
            <xdr:cNvPr id="12599" name="Rectangle 88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600" name="Rectangle 89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601" name="Rectangle 90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95" name="Group 91"/>
          <xdr:cNvGrpSpPr>
            <a:grpSpLocks/>
          </xdr:cNvGrpSpPr>
        </xdr:nvGrpSpPr>
        <xdr:grpSpPr bwMode="auto">
          <a:xfrm>
            <a:off x="589" y="316"/>
            <a:ext cx="206" cy="20"/>
            <a:chOff x="291" y="304"/>
            <a:chExt cx="206" cy="20"/>
          </a:xfrm>
        </xdr:grpSpPr>
        <xdr:sp macro="" textlink="">
          <xdr:nvSpPr>
            <xdr:cNvPr id="12596" name="Rectangle 92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97" name="Rectangle 93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98" name="Rectangle 94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2</xdr:col>
      <xdr:colOff>76200</xdr:colOff>
      <xdr:row>19</xdr:row>
      <xdr:rowOff>38100</xdr:rowOff>
    </xdr:from>
    <xdr:to>
      <xdr:col>7</xdr:col>
      <xdr:colOff>571500</xdr:colOff>
      <xdr:row>19</xdr:row>
      <xdr:rowOff>219075</xdr:rowOff>
    </xdr:to>
    <xdr:grpSp>
      <xdr:nvGrpSpPr>
        <xdr:cNvPr id="12546" name="Group 95"/>
        <xdr:cNvGrpSpPr>
          <a:grpSpLocks/>
        </xdr:cNvGrpSpPr>
      </xdr:nvGrpSpPr>
      <xdr:grpSpPr bwMode="auto">
        <a:xfrm>
          <a:off x="1683544" y="4468926"/>
          <a:ext cx="4347822" cy="180975"/>
          <a:chOff x="211" y="420"/>
          <a:chExt cx="773" cy="49"/>
        </a:xfrm>
      </xdr:grpSpPr>
      <xdr:grpSp>
        <xdr:nvGrpSpPr>
          <xdr:cNvPr id="12577" name="Group 96"/>
          <xdr:cNvGrpSpPr>
            <a:grpSpLocks/>
          </xdr:cNvGrpSpPr>
        </xdr:nvGrpSpPr>
        <xdr:grpSpPr bwMode="auto">
          <a:xfrm>
            <a:off x="211" y="420"/>
            <a:ext cx="206" cy="20"/>
            <a:chOff x="291" y="304"/>
            <a:chExt cx="206" cy="20"/>
          </a:xfrm>
        </xdr:grpSpPr>
        <xdr:sp macro="" textlink="">
          <xdr:nvSpPr>
            <xdr:cNvPr id="12590" name="Rectangle 97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91" name="Rectangle 98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92" name="Rectangle 99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78" name="Group 100"/>
          <xdr:cNvGrpSpPr>
            <a:grpSpLocks/>
          </xdr:cNvGrpSpPr>
        </xdr:nvGrpSpPr>
        <xdr:grpSpPr bwMode="auto">
          <a:xfrm>
            <a:off x="400" y="449"/>
            <a:ext cx="206" cy="20"/>
            <a:chOff x="291" y="304"/>
            <a:chExt cx="206" cy="20"/>
          </a:xfrm>
        </xdr:grpSpPr>
        <xdr:sp macro="" textlink="">
          <xdr:nvSpPr>
            <xdr:cNvPr id="12587" name="Rectangle 101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88" name="Rectangle 102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89" name="Rectangle 103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79" name="Group 104"/>
          <xdr:cNvGrpSpPr>
            <a:grpSpLocks/>
          </xdr:cNvGrpSpPr>
        </xdr:nvGrpSpPr>
        <xdr:grpSpPr bwMode="auto">
          <a:xfrm>
            <a:off x="589" y="420"/>
            <a:ext cx="206" cy="20"/>
            <a:chOff x="291" y="304"/>
            <a:chExt cx="206" cy="20"/>
          </a:xfrm>
        </xdr:grpSpPr>
        <xdr:sp macro="" textlink="">
          <xdr:nvSpPr>
            <xdr:cNvPr id="12584" name="Rectangle 105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85" name="Rectangle 106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86" name="Rectangle 107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80" name="Group 108"/>
          <xdr:cNvGrpSpPr>
            <a:grpSpLocks/>
          </xdr:cNvGrpSpPr>
        </xdr:nvGrpSpPr>
        <xdr:grpSpPr bwMode="auto">
          <a:xfrm>
            <a:off x="778" y="449"/>
            <a:ext cx="206" cy="20"/>
            <a:chOff x="291" y="304"/>
            <a:chExt cx="206" cy="20"/>
          </a:xfrm>
        </xdr:grpSpPr>
        <xdr:sp macro="" textlink="">
          <xdr:nvSpPr>
            <xdr:cNvPr id="12581" name="Rectangle 109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82" name="Rectangle 110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83" name="Rectangle 111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0</xdr:col>
      <xdr:colOff>190500</xdr:colOff>
      <xdr:row>20</xdr:row>
      <xdr:rowOff>114300</xdr:rowOff>
    </xdr:from>
    <xdr:to>
      <xdr:col>7</xdr:col>
      <xdr:colOff>581025</xdr:colOff>
      <xdr:row>20</xdr:row>
      <xdr:rowOff>247650</xdr:rowOff>
    </xdr:to>
    <xdr:grpSp>
      <xdr:nvGrpSpPr>
        <xdr:cNvPr id="12547" name="Group 112"/>
        <xdr:cNvGrpSpPr>
          <a:grpSpLocks/>
        </xdr:cNvGrpSpPr>
      </xdr:nvGrpSpPr>
      <xdr:grpSpPr bwMode="auto">
        <a:xfrm>
          <a:off x="190500" y="4859791"/>
          <a:ext cx="5850391" cy="133350"/>
          <a:chOff x="211" y="525"/>
          <a:chExt cx="962" cy="49"/>
        </a:xfrm>
      </xdr:grpSpPr>
      <xdr:grpSp>
        <xdr:nvGrpSpPr>
          <xdr:cNvPr id="12557" name="Group 113"/>
          <xdr:cNvGrpSpPr>
            <a:grpSpLocks/>
          </xdr:cNvGrpSpPr>
        </xdr:nvGrpSpPr>
        <xdr:grpSpPr bwMode="auto">
          <a:xfrm>
            <a:off x="211" y="525"/>
            <a:ext cx="206" cy="20"/>
            <a:chOff x="291" y="304"/>
            <a:chExt cx="206" cy="20"/>
          </a:xfrm>
        </xdr:grpSpPr>
        <xdr:sp macro="" textlink="">
          <xdr:nvSpPr>
            <xdr:cNvPr id="12574" name="Rectangle 114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75" name="Rectangle 115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76" name="Rectangle 116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58" name="Group 117"/>
          <xdr:cNvGrpSpPr>
            <a:grpSpLocks/>
          </xdr:cNvGrpSpPr>
        </xdr:nvGrpSpPr>
        <xdr:grpSpPr bwMode="auto">
          <a:xfrm>
            <a:off x="400" y="554"/>
            <a:ext cx="206" cy="20"/>
            <a:chOff x="291" y="304"/>
            <a:chExt cx="206" cy="20"/>
          </a:xfrm>
        </xdr:grpSpPr>
        <xdr:sp macro="" textlink="">
          <xdr:nvSpPr>
            <xdr:cNvPr id="12571" name="Rectangle 118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72" name="Rectangle 119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73" name="Rectangle 120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59" name="Group 121"/>
          <xdr:cNvGrpSpPr>
            <a:grpSpLocks/>
          </xdr:cNvGrpSpPr>
        </xdr:nvGrpSpPr>
        <xdr:grpSpPr bwMode="auto">
          <a:xfrm>
            <a:off x="589" y="525"/>
            <a:ext cx="206" cy="20"/>
            <a:chOff x="291" y="304"/>
            <a:chExt cx="206" cy="20"/>
          </a:xfrm>
        </xdr:grpSpPr>
        <xdr:sp macro="" textlink="">
          <xdr:nvSpPr>
            <xdr:cNvPr id="12568" name="Rectangle 122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69" name="Rectangle 123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70" name="Rectangle 124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60" name="Group 125"/>
          <xdr:cNvGrpSpPr>
            <a:grpSpLocks/>
          </xdr:cNvGrpSpPr>
        </xdr:nvGrpSpPr>
        <xdr:grpSpPr bwMode="auto">
          <a:xfrm>
            <a:off x="778" y="554"/>
            <a:ext cx="206" cy="20"/>
            <a:chOff x="291" y="304"/>
            <a:chExt cx="206" cy="20"/>
          </a:xfrm>
        </xdr:grpSpPr>
        <xdr:sp macro="" textlink="">
          <xdr:nvSpPr>
            <xdr:cNvPr id="12565" name="Rectangle 126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66" name="Rectangle 127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67" name="Rectangle 128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61" name="Group 129"/>
          <xdr:cNvGrpSpPr>
            <a:grpSpLocks/>
          </xdr:cNvGrpSpPr>
        </xdr:nvGrpSpPr>
        <xdr:grpSpPr bwMode="auto">
          <a:xfrm>
            <a:off x="967" y="525"/>
            <a:ext cx="206" cy="20"/>
            <a:chOff x="291" y="304"/>
            <a:chExt cx="206" cy="20"/>
          </a:xfrm>
        </xdr:grpSpPr>
        <xdr:sp macro="" textlink="">
          <xdr:nvSpPr>
            <xdr:cNvPr id="12562" name="Rectangle 130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63" name="Rectangle 131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64" name="Rectangle 132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4</xdr:col>
      <xdr:colOff>447675</xdr:colOff>
      <xdr:row>17</xdr:row>
      <xdr:rowOff>57150</xdr:rowOff>
    </xdr:from>
    <xdr:to>
      <xdr:col>7</xdr:col>
      <xdr:colOff>514350</xdr:colOff>
      <xdr:row>17</xdr:row>
      <xdr:rowOff>219075</xdr:rowOff>
    </xdr:to>
    <xdr:grpSp>
      <xdr:nvGrpSpPr>
        <xdr:cNvPr id="12548" name="Group 163"/>
        <xdr:cNvGrpSpPr>
          <a:grpSpLocks/>
        </xdr:cNvGrpSpPr>
      </xdr:nvGrpSpPr>
      <xdr:grpSpPr bwMode="auto">
        <a:xfrm>
          <a:off x="3585822" y="3858646"/>
          <a:ext cx="2388394" cy="161925"/>
          <a:chOff x="923" y="411"/>
          <a:chExt cx="247" cy="17"/>
        </a:xfrm>
      </xdr:grpSpPr>
      <xdr:grpSp>
        <xdr:nvGrpSpPr>
          <xdr:cNvPr id="12549" name="Group 151"/>
          <xdr:cNvGrpSpPr>
            <a:grpSpLocks/>
          </xdr:cNvGrpSpPr>
        </xdr:nvGrpSpPr>
        <xdr:grpSpPr bwMode="auto">
          <a:xfrm>
            <a:off x="923" y="411"/>
            <a:ext cx="129" cy="7"/>
            <a:chOff x="291" y="304"/>
            <a:chExt cx="206" cy="20"/>
          </a:xfrm>
        </xdr:grpSpPr>
        <xdr:sp macro="" textlink="">
          <xdr:nvSpPr>
            <xdr:cNvPr id="12554" name="Rectangle 152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55" name="Rectangle 153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56" name="Rectangle 154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grpSp>
        <xdr:nvGrpSpPr>
          <xdr:cNvPr id="12550" name="Group 155"/>
          <xdr:cNvGrpSpPr>
            <a:grpSpLocks/>
          </xdr:cNvGrpSpPr>
        </xdr:nvGrpSpPr>
        <xdr:grpSpPr bwMode="auto">
          <a:xfrm>
            <a:off x="1042" y="421"/>
            <a:ext cx="128" cy="7"/>
            <a:chOff x="291" y="304"/>
            <a:chExt cx="206" cy="20"/>
          </a:xfrm>
        </xdr:grpSpPr>
        <xdr:sp macro="" textlink="">
          <xdr:nvSpPr>
            <xdr:cNvPr id="12551" name="Rectangle 156"/>
            <xdr:cNvSpPr>
              <a:spLocks noChangeArrowheads="1"/>
            </xdr:cNvSpPr>
          </xdr:nvSpPr>
          <xdr:spPr bwMode="auto">
            <a:xfrm>
              <a:off x="480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52" name="Rectangle 157"/>
            <xdr:cNvSpPr>
              <a:spLocks noChangeArrowheads="1"/>
            </xdr:cNvSpPr>
          </xdr:nvSpPr>
          <xdr:spPr bwMode="auto">
            <a:xfrm>
              <a:off x="291" y="304"/>
              <a:ext cx="17" cy="2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12553" name="Rectangle 158"/>
            <xdr:cNvSpPr>
              <a:spLocks noChangeArrowheads="1"/>
            </xdr:cNvSpPr>
          </xdr:nvSpPr>
          <xdr:spPr bwMode="auto">
            <a:xfrm>
              <a:off x="298" y="310"/>
              <a:ext cx="189" cy="1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125"/>
  <sheetViews>
    <sheetView showZeros="0" topLeftCell="A24" zoomScale="112" zoomScaleNormal="112" workbookViewId="0">
      <selection activeCell="F30" sqref="F30:F33"/>
    </sheetView>
  </sheetViews>
  <sheetFormatPr baseColWidth="10" defaultRowHeight="15.75"/>
  <cols>
    <col min="1" max="1" width="12.5703125" style="1" customWidth="1"/>
    <col min="2" max="6" width="11.42578125" style="1"/>
    <col min="7" max="8" width="11.85546875" style="1" bestFit="1" customWidth="1"/>
    <col min="9" max="16384" width="11.42578125" style="1"/>
  </cols>
  <sheetData>
    <row r="1" spans="1:11">
      <c r="A1" s="6" t="s">
        <v>25</v>
      </c>
      <c r="B1" s="201">
        <f ca="1">TODAY()</f>
        <v>42320</v>
      </c>
      <c r="C1" s="201"/>
      <c r="D1" s="6" t="s">
        <v>26</v>
      </c>
      <c r="E1" s="107"/>
    </row>
    <row r="2" spans="1:11" ht="18.75" customHeight="1">
      <c r="A2" s="202" t="s">
        <v>76</v>
      </c>
      <c r="B2" s="202"/>
      <c r="C2" s="202"/>
      <c r="D2" s="202"/>
      <c r="E2" s="202"/>
      <c r="F2" s="202"/>
      <c r="G2" s="202"/>
      <c r="H2" s="210" t="s">
        <v>101</v>
      </c>
      <c r="I2" s="210"/>
      <c r="J2" s="210"/>
      <c r="K2" s="210"/>
    </row>
    <row r="3" spans="1:11" ht="18.75" customHeight="1">
      <c r="A3" s="202"/>
      <c r="B3" s="202"/>
      <c r="C3" s="202"/>
      <c r="D3" s="202"/>
      <c r="E3" s="202"/>
      <c r="F3" s="202"/>
      <c r="G3" s="202"/>
      <c r="H3" s="210"/>
      <c r="I3" s="210"/>
      <c r="J3" s="210"/>
      <c r="K3" s="210"/>
    </row>
    <row r="4" spans="1:11" ht="18.75" customHeight="1" thickBot="1">
      <c r="A4" s="18"/>
      <c r="B4" s="18"/>
      <c r="C4" s="18"/>
      <c r="D4" s="18"/>
      <c r="E4" s="18"/>
      <c r="F4" s="18"/>
      <c r="G4" s="18"/>
      <c r="H4" s="15"/>
      <c r="I4" s="15"/>
      <c r="J4" s="15"/>
      <c r="K4" s="15"/>
    </row>
    <row r="5" spans="1:11" ht="16.5" thickTop="1">
      <c r="A5" s="204" t="s">
        <v>19</v>
      </c>
      <c r="B5" s="203"/>
      <c r="C5" s="213" t="s">
        <v>103</v>
      </c>
      <c r="D5" s="213"/>
      <c r="E5" s="213"/>
      <c r="F5" s="203"/>
      <c r="G5" s="203"/>
      <c r="H5" s="203"/>
      <c r="I5" s="211"/>
      <c r="J5" s="211"/>
      <c r="K5" s="212"/>
    </row>
    <row r="6" spans="1:11" ht="16.5" thickBot="1">
      <c r="A6" s="208" t="s">
        <v>117</v>
      </c>
      <c r="B6" s="209"/>
      <c r="C6" s="216" t="s">
        <v>118</v>
      </c>
      <c r="D6" s="216"/>
      <c r="E6" s="216"/>
      <c r="F6" s="205" t="s">
        <v>122</v>
      </c>
      <c r="G6" s="205"/>
      <c r="H6" s="205"/>
      <c r="I6" s="205"/>
      <c r="J6" s="205"/>
      <c r="K6" s="206"/>
    </row>
    <row r="7" spans="1:11" ht="17.25" thickTop="1" thickBot="1"/>
    <row r="8" spans="1:11" ht="16.5" thickTop="1">
      <c r="A8" s="214" t="s">
        <v>124</v>
      </c>
      <c r="B8" s="215"/>
      <c r="C8" s="215"/>
      <c r="D8" s="24" t="s">
        <v>20</v>
      </c>
      <c r="E8" s="124">
        <v>2500</v>
      </c>
      <c r="F8" s="24" t="s">
        <v>8</v>
      </c>
      <c r="G8" s="124">
        <v>2000</v>
      </c>
      <c r="H8" s="134"/>
      <c r="I8" s="221" t="s">
        <v>27</v>
      </c>
      <c r="J8" s="221"/>
      <c r="K8" s="125">
        <v>3</v>
      </c>
    </row>
    <row r="9" spans="1:11">
      <c r="A9" s="109"/>
      <c r="B9" s="108"/>
      <c r="C9" s="108"/>
      <c r="D9" s="66"/>
      <c r="E9" s="120"/>
      <c r="F9" s="66"/>
      <c r="G9" s="121" t="str">
        <f>IF(E10+J10&lt;&gt;K8,"NOMBRE DE VANTAUX INCORRECT !","")</f>
        <v/>
      </c>
      <c r="H9" s="121"/>
      <c r="I9" s="121"/>
      <c r="J9" s="121"/>
      <c r="K9" s="122"/>
    </row>
    <row r="10" spans="1:11">
      <c r="A10" s="293" t="s">
        <v>178</v>
      </c>
      <c r="B10" s="296"/>
      <c r="C10" s="123" t="s">
        <v>119</v>
      </c>
      <c r="D10" s="123"/>
      <c r="E10" s="104">
        <f>COUNTA(D11:D14)</f>
        <v>3</v>
      </c>
      <c r="F10" s="299"/>
      <c r="G10" s="217" t="s">
        <v>120</v>
      </c>
      <c r="H10" s="217"/>
      <c r="I10" s="217"/>
      <c r="J10" s="104">
        <f>COUNTA(I11:J14)</f>
        <v>0</v>
      </c>
      <c r="K10" s="301"/>
    </row>
    <row r="11" spans="1:11">
      <c r="A11" s="294"/>
      <c r="B11" s="297"/>
      <c r="C11" s="95" t="s">
        <v>125</v>
      </c>
      <c r="D11" s="207" t="s">
        <v>166</v>
      </c>
      <c r="E11" s="207"/>
      <c r="F11" s="299" t="str">
        <f>IF(D11&gt;1," / ","")</f>
        <v xml:space="preserve"> / </v>
      </c>
      <c r="G11" s="300"/>
      <c r="H11" s="106" t="s">
        <v>125</v>
      </c>
      <c r="I11" s="207"/>
      <c r="J11" s="207"/>
      <c r="K11" s="135" t="str">
        <f>IF(I11&gt;1," / ","")</f>
        <v/>
      </c>
    </row>
    <row r="12" spans="1:11">
      <c r="A12" s="294"/>
      <c r="B12" s="297"/>
      <c r="C12" s="95" t="s">
        <v>126</v>
      </c>
      <c r="D12" s="207" t="s">
        <v>167</v>
      </c>
      <c r="E12" s="207"/>
      <c r="F12" s="299" t="str">
        <f>IF(D12&gt;1," / ","")</f>
        <v xml:space="preserve"> / </v>
      </c>
      <c r="G12" s="300"/>
      <c r="H12" s="106" t="s">
        <v>126</v>
      </c>
      <c r="I12" s="207"/>
      <c r="J12" s="207"/>
      <c r="K12" s="135" t="str">
        <f>IF(I12&gt;1," / ","")</f>
        <v/>
      </c>
    </row>
    <row r="13" spans="1:11">
      <c r="A13" s="294"/>
      <c r="B13" s="297"/>
      <c r="C13" s="95" t="s">
        <v>127</v>
      </c>
      <c r="D13" s="207" t="s">
        <v>136</v>
      </c>
      <c r="E13" s="207"/>
      <c r="F13" s="299" t="str">
        <f>IF(D13&gt;1," / ","")</f>
        <v xml:space="preserve"> / </v>
      </c>
      <c r="G13" s="300"/>
      <c r="H13" s="106" t="s">
        <v>127</v>
      </c>
      <c r="I13" s="207"/>
      <c r="J13" s="207"/>
      <c r="K13" s="135" t="str">
        <f>IF(I13&gt;1," / ","")</f>
        <v/>
      </c>
    </row>
    <row r="14" spans="1:11">
      <c r="A14" s="295"/>
      <c r="B14" s="298"/>
      <c r="C14" s="95" t="s">
        <v>128</v>
      </c>
      <c r="D14" s="207"/>
      <c r="E14" s="207"/>
      <c r="F14" s="299" t="str">
        <f>IF(D14&gt;1," / ","")</f>
        <v/>
      </c>
      <c r="G14" s="300"/>
      <c r="H14" s="106" t="s">
        <v>128</v>
      </c>
      <c r="I14" s="207"/>
      <c r="J14" s="207"/>
      <c r="K14" s="135" t="str">
        <f>IF(I14&gt;1," / ","")</f>
        <v/>
      </c>
    </row>
    <row r="15" spans="1:11" ht="16.5" thickBot="1">
      <c r="A15" s="114"/>
      <c r="B15" s="115"/>
      <c r="C15" s="116"/>
      <c r="D15" s="115"/>
      <c r="E15" s="117"/>
      <c r="F15" s="118"/>
      <c r="G15" s="119"/>
      <c r="H15" s="119"/>
      <c r="I15" s="112"/>
      <c r="J15" s="112"/>
      <c r="K15" s="113"/>
    </row>
    <row r="16" spans="1:11" ht="17.25" thickTop="1" thickBot="1">
      <c r="A16" s="13"/>
      <c r="B16" s="13"/>
      <c r="C16" s="32"/>
      <c r="D16" s="32"/>
      <c r="E16" s="32"/>
      <c r="F16" s="32"/>
      <c r="I16" s="104"/>
      <c r="J16" s="104"/>
      <c r="K16" s="68"/>
    </row>
    <row r="17" spans="1:11" ht="28.5" customHeight="1" thickTop="1">
      <c r="A17" s="218" t="s">
        <v>123</v>
      </c>
      <c r="B17" s="219"/>
      <c r="C17" s="219"/>
      <c r="D17" s="219"/>
      <c r="E17" s="219"/>
      <c r="F17" s="219"/>
      <c r="G17" s="219"/>
      <c r="H17" s="219"/>
      <c r="I17" s="219"/>
      <c r="J17" s="220"/>
      <c r="K17" s="126">
        <v>4</v>
      </c>
    </row>
    <row r="18" spans="1:11" ht="24.95" customHeight="1">
      <c r="A18" s="195"/>
      <c r="B18" s="196"/>
      <c r="C18" s="196"/>
      <c r="D18" s="196"/>
      <c r="E18" s="196"/>
      <c r="F18" s="196"/>
      <c r="G18" s="196"/>
      <c r="H18" s="196"/>
      <c r="I18" s="196"/>
      <c r="J18" s="197"/>
      <c r="K18" s="110">
        <v>1</v>
      </c>
    </row>
    <row r="19" spans="1:11" ht="24.95" customHeight="1">
      <c r="A19" s="195"/>
      <c r="B19" s="196"/>
      <c r="C19" s="196"/>
      <c r="D19" s="196"/>
      <c r="E19" s="196"/>
      <c r="F19" s="196"/>
      <c r="G19" s="196"/>
      <c r="H19" s="196"/>
      <c r="I19" s="196"/>
      <c r="J19" s="197"/>
      <c r="K19" s="110">
        <v>2</v>
      </c>
    </row>
    <row r="20" spans="1:11" ht="24.95" customHeight="1">
      <c r="A20" s="195"/>
      <c r="B20" s="196"/>
      <c r="C20" s="196"/>
      <c r="D20" s="196"/>
      <c r="E20" s="196"/>
      <c r="F20" s="196"/>
      <c r="G20" s="196"/>
      <c r="H20" s="196"/>
      <c r="I20" s="196"/>
      <c r="J20" s="197"/>
      <c r="K20" s="110">
        <v>3</v>
      </c>
    </row>
    <row r="21" spans="1:11" ht="24.95" customHeight="1" thickBot="1">
      <c r="A21" s="198"/>
      <c r="B21" s="199"/>
      <c r="C21" s="199"/>
      <c r="D21" s="199"/>
      <c r="E21" s="199"/>
      <c r="F21" s="199"/>
      <c r="G21" s="199"/>
      <c r="H21" s="199"/>
      <c r="I21" s="199"/>
      <c r="J21" s="200"/>
      <c r="K21" s="111">
        <v>4</v>
      </c>
    </row>
    <row r="22" spans="1:11" ht="24.95" customHeight="1" thickTop="1">
      <c r="A22" s="96"/>
      <c r="B22" s="96"/>
      <c r="C22" s="96"/>
      <c r="D22" s="96"/>
      <c r="E22" s="96"/>
      <c r="F22" s="96"/>
      <c r="G22" s="96"/>
      <c r="H22" s="96"/>
      <c r="I22" s="96"/>
      <c r="J22" s="96"/>
      <c r="K22" s="2"/>
    </row>
    <row r="23" spans="1:11" ht="15.75" customHeight="1" thickBot="1"/>
    <row r="24" spans="1:11" ht="15.75" customHeight="1" thickTop="1">
      <c r="A24" s="183" t="s">
        <v>142</v>
      </c>
      <c r="B24" s="184"/>
      <c r="C24" s="184"/>
      <c r="D24" s="184"/>
      <c r="E24" s="184"/>
      <c r="F24" s="184"/>
      <c r="G24" s="184"/>
      <c r="H24" s="184"/>
      <c r="I24" s="184"/>
      <c r="J24" s="185"/>
    </row>
    <row r="25" spans="1:11" ht="39.75" customHeight="1">
      <c r="A25" s="130" t="s">
        <v>71</v>
      </c>
      <c r="B25" s="44" t="s">
        <v>73</v>
      </c>
      <c r="C25" s="44" t="s">
        <v>135</v>
      </c>
      <c r="D25" s="186" t="s">
        <v>28</v>
      </c>
      <c r="E25" s="186"/>
      <c r="F25" s="145" t="s">
        <v>145</v>
      </c>
      <c r="G25" s="127" t="s">
        <v>131</v>
      </c>
      <c r="H25" s="127" t="s">
        <v>132</v>
      </c>
      <c r="I25" s="128" t="s">
        <v>133</v>
      </c>
      <c r="J25" s="129" t="s">
        <v>134</v>
      </c>
    </row>
    <row r="26" spans="1:11" ht="45.75" customHeight="1">
      <c r="A26" s="142" t="s">
        <v>129</v>
      </c>
      <c r="B26" s="187"/>
      <c r="C26" s="189"/>
      <c r="D26" s="191"/>
      <c r="E26" s="192"/>
      <c r="F26" s="131" t="s">
        <v>130</v>
      </c>
      <c r="G26" s="136" t="str">
        <f>IF(AND(E38="Décor",$C$26="="),((($A$30-44)-1.3*$B$26)/($B$26+1)),IF(AND(E38="Décor",$C$26&gt;1),(((($A$30-44)-1.3*$B$26)-$C$26)/$B$26),IF(AND(H39="Décor",$C$26="="),(($A$30-44)-1.3*$B$26)/($B$26+1),IF(AND(H39="Décor",$C$26&gt;1),(((($A$30-44)-1.3*$B$26)-$C$26)/2),""))))</f>
        <v/>
      </c>
      <c r="H26" s="136" t="str">
        <f>IF(AND(E34="Décor",$C$26="="),((($A$30-44)-1.3*$B$26)/($B$26+1)),IF(AND(E34="Décor",$C$26&gt;1),$C$26,IF(AND(H36="Décor",$C$26="="),(($A$30-44)-1.3*$B$26)/($B$26+1),IF(AND(H36="Décor",$C$26&gt;1),($C$26/2),""))))</f>
        <v/>
      </c>
      <c r="I26" s="136" t="str">
        <f>IF(AND(H33="Décor",$C$26="="),(($A$30-44)-1.3*$B$26)/($B$26+1),IF(AND(H33="Décor",$C$26&gt;1),($C$26/2),""))</f>
        <v/>
      </c>
      <c r="J26" s="138" t="str">
        <f>IF(AND(E30="Décor",$C$26="="),((($A$30-44)-1.3*$B$26)/($B$26+1)),IF(AND(E30="Décor",$C$26&gt;1),(((($A$30-44)-1.3*$B$26)-$C$26)/$B$26),IF(AND(H30="Décor",$C$26="="),(($A$30-44)-1.3*$B$26)/($B$26+1),IF(AND(H30="Décor",$C$26&gt;1),(((($A$30-44)-1.3*$B$26)-$C$26)/2),""))))</f>
        <v/>
      </c>
    </row>
    <row r="27" spans="1:11" ht="54" customHeight="1" thickBot="1">
      <c r="A27" s="143" t="s">
        <v>72</v>
      </c>
      <c r="B27" s="188"/>
      <c r="C27" s="190"/>
      <c r="D27" s="193"/>
      <c r="E27" s="194"/>
      <c r="F27" s="144" t="s">
        <v>138</v>
      </c>
      <c r="G27" s="139" t="str">
        <f>IF(AND(E38="Miroir",$C$26="="),(((($A$30-44)-1.3*$B$26)/($B$26+1))-5),IF(AND(E38="Miroir",$C$26&gt;1),((((($A$30-44)-1.3*$B$26)-$C$26)/$B$26)-5),IF(AND(H39="Miroir",$C$26="="),((($A$30-44)-1.3*$B$26)/($B$26+1)-5),IF(AND(H39="Miroir",$C$26&gt;1),((((($A$30-44)-1.3*$B$26)-$C$26)/2)-5),""))))</f>
        <v/>
      </c>
      <c r="H27" s="139" t="str">
        <f>IF(AND(E34="Miroir",$C$26="="),((($A$30-44)-1.3*$B$26)/($B$26+1)-5),IF(AND(E34="Miroir",$C$26&gt;1),$C$26-5,IF(AND(H36="Miroir",$C$26="="),((($A$30-44)-1.3*$B$26)/($B$26+1)-5),IF(AND(H36="Miroir",$C$26&gt;1),(($C$26/2)-5),""))))</f>
        <v/>
      </c>
      <c r="I27" s="139" t="str">
        <f>IF(AND(H33="Miroir",$C$26="="),((($A$30-44)-1.3*$B$26)/($B$26+1)-5),IF(AND(H33="Miroir",$C$26&gt;1),(($C$26/2)-5),""))</f>
        <v/>
      </c>
      <c r="J27" s="140" t="str">
        <f>IF(AND(E30="Miroir",$C$26="="),((($A$30-44)-1.3*$B$26)/($B$26+1)-5),IF(AND(E30="Miroir",$C$26&gt;1),((((($A$30-44)-1.3*$B$26)-$C$26)/$B$26)-5),IF(AND(H30="Miroir",$C$26="="),((($A$30-44)-1.3*$B$26)/($B$26+1)-5),IF(AND(H30="Miroir",$C$26&gt;1),((((($A$30-44)-1.3*$B$26)-$C$26)/2)-5),""))))</f>
        <v/>
      </c>
    </row>
    <row r="28" spans="1:11" ht="15.75" customHeight="1" thickTop="1">
      <c r="B28" s="51"/>
      <c r="C28" s="51"/>
      <c r="D28" s="51"/>
      <c r="E28" s="51"/>
      <c r="F28" s="51"/>
      <c r="G28" s="51"/>
      <c r="H28" s="51"/>
    </row>
    <row r="29" spans="1:11" ht="35.25" customHeight="1">
      <c r="A29" s="137" t="s">
        <v>137</v>
      </c>
      <c r="C29" s="178" t="s">
        <v>139</v>
      </c>
      <c r="D29" s="178"/>
      <c r="E29" s="148" t="s">
        <v>149</v>
      </c>
      <c r="F29" s="150" t="s">
        <v>150</v>
      </c>
      <c r="G29" s="161"/>
      <c r="H29" s="148" t="s">
        <v>149</v>
      </c>
      <c r="I29" s="149" t="s">
        <v>150</v>
      </c>
      <c r="J29" s="178" t="s">
        <v>140</v>
      </c>
      <c r="K29" s="178"/>
    </row>
    <row r="30" spans="1:11" ht="15.75" customHeight="1">
      <c r="A30" s="180">
        <f>$E$8</f>
        <v>2500</v>
      </c>
      <c r="B30" s="16"/>
      <c r="C30" s="167" t="str">
        <f>IF(E30="Décor",J26,IF(E30="Miroir",J27,""))</f>
        <v/>
      </c>
      <c r="D30" s="168"/>
      <c r="E30" s="173"/>
      <c r="F30" s="166"/>
      <c r="G30" s="177" t="s">
        <v>148</v>
      </c>
      <c r="H30" s="173"/>
      <c r="I30" s="166"/>
      <c r="J30" s="167" t="str">
        <f>IF(I30="Décor",J26,IF(I30="Miroir",J27,""))</f>
        <v/>
      </c>
      <c r="K30" s="168"/>
    </row>
    <row r="31" spans="1:11" s="16" customFormat="1" ht="17.25" customHeight="1">
      <c r="A31" s="181"/>
      <c r="B31" s="1"/>
      <c r="C31" s="169"/>
      <c r="D31" s="170"/>
      <c r="E31" s="173"/>
      <c r="F31" s="166"/>
      <c r="G31" s="179"/>
      <c r="H31" s="173"/>
      <c r="I31" s="166"/>
      <c r="J31" s="169"/>
      <c r="K31" s="170"/>
    </row>
    <row r="32" spans="1:11" ht="15.75" customHeight="1">
      <c r="A32" s="181"/>
      <c r="C32" s="169"/>
      <c r="D32" s="170"/>
      <c r="E32" s="173"/>
      <c r="F32" s="166"/>
      <c r="G32" s="179"/>
      <c r="H32" s="173"/>
      <c r="I32" s="166"/>
      <c r="J32" s="171"/>
      <c r="K32" s="172"/>
    </row>
    <row r="33" spans="1:11" ht="15.75" customHeight="1">
      <c r="A33" s="181"/>
      <c r="C33" s="171"/>
      <c r="D33" s="172"/>
      <c r="E33" s="173"/>
      <c r="F33" s="166"/>
      <c r="G33" s="179"/>
      <c r="H33" s="173"/>
      <c r="I33" s="166"/>
      <c r="J33" s="167" t="str">
        <f>IF(I33="Décor",I26,IF(I33="Miroir",I27,""))</f>
        <v/>
      </c>
      <c r="K33" s="168"/>
    </row>
    <row r="34" spans="1:11" ht="15.75" customHeight="1">
      <c r="A34" s="181"/>
      <c r="C34" s="167" t="str">
        <f>IF(E34="Décor",H26,IF(E34="Miroir",H27,""))</f>
        <v/>
      </c>
      <c r="D34" s="168"/>
      <c r="E34" s="173"/>
      <c r="F34" s="166"/>
      <c r="G34" s="179"/>
      <c r="H34" s="173"/>
      <c r="I34" s="166"/>
      <c r="J34" s="169"/>
      <c r="K34" s="170"/>
    </row>
    <row r="35" spans="1:11" ht="15.75" customHeight="1">
      <c r="A35" s="181"/>
      <c r="C35" s="169"/>
      <c r="D35" s="170"/>
      <c r="E35" s="173"/>
      <c r="F35" s="166"/>
      <c r="G35" s="179"/>
      <c r="H35" s="173"/>
      <c r="I35" s="166"/>
      <c r="J35" s="171"/>
      <c r="K35" s="172"/>
    </row>
    <row r="36" spans="1:11" ht="15.75" customHeight="1">
      <c r="A36" s="181"/>
      <c r="C36" s="169"/>
      <c r="D36" s="170"/>
      <c r="E36" s="173"/>
      <c r="F36" s="166"/>
      <c r="G36" s="179"/>
      <c r="H36" s="173"/>
      <c r="I36" s="166"/>
      <c r="J36" s="167" t="str">
        <f>IF(I36="Décor",H26,IF(I36="Miroir",H27,""))</f>
        <v/>
      </c>
      <c r="K36" s="168"/>
    </row>
    <row r="37" spans="1:11" ht="15.75" customHeight="1">
      <c r="A37" s="181"/>
      <c r="C37" s="171"/>
      <c r="D37" s="172"/>
      <c r="E37" s="173"/>
      <c r="F37" s="166"/>
      <c r="G37" s="179"/>
      <c r="H37" s="173"/>
      <c r="I37" s="166"/>
      <c r="J37" s="169"/>
      <c r="K37" s="170"/>
    </row>
    <row r="38" spans="1:11">
      <c r="A38" s="181"/>
      <c r="C38" s="167" t="str">
        <f>IF(E38="Décor",G26,IF(E38="Miroir",G27,""))</f>
        <v/>
      </c>
      <c r="D38" s="168"/>
      <c r="E38" s="173"/>
      <c r="F38" s="166"/>
      <c r="G38" s="179"/>
      <c r="H38" s="173"/>
      <c r="I38" s="166"/>
      <c r="J38" s="171"/>
      <c r="K38" s="172"/>
    </row>
    <row r="39" spans="1:11">
      <c r="A39" s="181"/>
      <c r="C39" s="169"/>
      <c r="D39" s="170"/>
      <c r="E39" s="173"/>
      <c r="F39" s="166"/>
      <c r="G39" s="179"/>
      <c r="H39" s="173"/>
      <c r="I39" s="166"/>
      <c r="J39" s="167" t="str">
        <f>IF(I39="Décor",G26,IF(I39="Miroir",G27,""))</f>
        <v/>
      </c>
      <c r="K39" s="168"/>
    </row>
    <row r="40" spans="1:11">
      <c r="A40" s="181"/>
      <c r="C40" s="169"/>
      <c r="D40" s="170"/>
      <c r="E40" s="173"/>
      <c r="F40" s="166"/>
      <c r="G40" s="179"/>
      <c r="H40" s="173"/>
      <c r="I40" s="166"/>
      <c r="J40" s="169"/>
      <c r="K40" s="170"/>
    </row>
    <row r="41" spans="1:11">
      <c r="A41" s="182"/>
      <c r="C41" s="171"/>
      <c r="D41" s="172"/>
      <c r="E41" s="173"/>
      <c r="F41" s="166"/>
      <c r="G41" s="179"/>
      <c r="H41" s="173"/>
      <c r="I41" s="166"/>
      <c r="J41" s="171"/>
      <c r="K41" s="172"/>
    </row>
    <row r="44" spans="1:11" ht="16.5" thickBot="1"/>
    <row r="45" spans="1:11" ht="16.5" thickTop="1">
      <c r="A45" s="183" t="s">
        <v>141</v>
      </c>
      <c r="B45" s="184"/>
      <c r="C45" s="184"/>
      <c r="D45" s="184"/>
      <c r="E45" s="184"/>
      <c r="F45" s="184"/>
      <c r="G45" s="184"/>
      <c r="H45" s="184"/>
      <c r="I45" s="184"/>
      <c r="J45" s="185"/>
    </row>
    <row r="46" spans="1:11" ht="38.25">
      <c r="A46" s="130" t="s">
        <v>71</v>
      </c>
      <c r="B46" s="44" t="s">
        <v>73</v>
      </c>
      <c r="C46" s="44" t="s">
        <v>135</v>
      </c>
      <c r="D46" s="186" t="s">
        <v>28</v>
      </c>
      <c r="E46" s="186"/>
      <c r="F46" s="145" t="s">
        <v>145</v>
      </c>
      <c r="G46" s="127" t="s">
        <v>131</v>
      </c>
      <c r="H46" s="127" t="s">
        <v>132</v>
      </c>
      <c r="I46" s="128" t="s">
        <v>133</v>
      </c>
      <c r="J46" s="129" t="s">
        <v>134</v>
      </c>
    </row>
    <row r="47" spans="1:11" ht="45.75" customHeight="1">
      <c r="A47" s="142" t="s">
        <v>129</v>
      </c>
      <c r="B47" s="187"/>
      <c r="C47" s="189"/>
      <c r="D47" s="191"/>
      <c r="E47" s="192"/>
      <c r="F47" s="131" t="s">
        <v>130</v>
      </c>
      <c r="G47" s="136" t="str">
        <f>IF(AND(E59="Décor",$C$26="="),((($A$30-44)-1.3*$B$26)/($B$26+1)),IF(AND(E59="Décor",$C$26&gt;1),(((($A$30-44)-1.3*$B$26)-$C$26)/$B$26),IF(AND(H60="Décor",$C$26="="),(($A$30-44)-1.3*$B$26)/($B$26+1),IF(AND(H60="Décor",$C$26&gt;1),(((($A$30-44)-1.3*$B$26)-$C$26)/2),""))))</f>
        <v/>
      </c>
      <c r="H47" s="136" t="str">
        <f>IF(AND(E55="Décor",$C$26="="),((($A$30-44)-1.3*$B$26)/($B$26+1)),IF(AND(E55="Décor",$C$26&gt;1),$C$26,IF(AND(H57="Décor",$C$26="="),(($A$30-44)-1.3*$B$26)/($B$26+1),IF(AND(H57="Décor",$C$26&gt;1),($C$26/2),""))))</f>
        <v/>
      </c>
      <c r="I47" s="136" t="str">
        <f>IF(AND(H54="Décor",$C$26="="),(($A$30-44)-1.3*$B$26)/($B$26+1),IF(AND(H54="Décor",$C$26&gt;1),($C$26/2),""))</f>
        <v/>
      </c>
      <c r="J47" s="138" t="str">
        <f>IF(AND(E51="Décor",$C$26="="),((($A$30-44)-1.3*$B$26)/($B$26+1)),IF(AND(E51="Décor",$C$26&gt;1),(((($A$30-44)-1.3*$B$26)-$C$26)/$B$26),IF(AND(H51="Décor",$C$26="="),(($A$30-44)-1.3*$B$26)/($B$26+1),IF(AND(H51="Décor",$C$26&gt;1),(((($A$30-44)-1.3*$B$26)-$C$26)/2),""))))</f>
        <v/>
      </c>
    </row>
    <row r="48" spans="1:11" ht="45.75" customHeight="1" thickBot="1">
      <c r="A48" s="143" t="s">
        <v>72</v>
      </c>
      <c r="B48" s="188"/>
      <c r="C48" s="190"/>
      <c r="D48" s="193"/>
      <c r="E48" s="194"/>
      <c r="F48" s="144" t="s">
        <v>138</v>
      </c>
      <c r="G48" s="139" t="str">
        <f>IF(AND(E59="Miroir",$C$26="="),(((($A$30-44)-1.3*$B$26)/($B$26+1))-5),IF(AND(E59="Miroir",$C$26&gt;1),((((($A$30-44)-1.3*$B$26)-$C$26)/$B$26)-5),IF(AND(H60="Miroir",$C$26="="),((($A$30-44)-1.3*$B$26)/($B$26+1)-5),IF(AND(H60="Miroir",$C$26&gt;1),((((($A$30-44)-1.3*$B$26)-$C$26)/2)-5),""))))</f>
        <v/>
      </c>
      <c r="H48" s="139" t="str">
        <f>IF(AND(E55="Miroir",$C$26="="),((($A$30-44)-1.3*$B$26)/($B$26+1)-5),IF(AND(E55="Miroir",$C$26&gt;1),$C$26-5,IF(AND(H57="Miroir",$C$26="="),((($A$30-44)-1.3*$B$26)/($B$26+1)-5),IF(AND(H57="Miroir",$C$26&gt;1),(($C$26/2)-5),""))))</f>
        <v/>
      </c>
      <c r="I48" s="139" t="str">
        <f>IF(AND(H54="Miroir",$C$26="="),((($A$30-44)-1.3*$B$26)/($B$26+1)-5),IF(AND(H54="Miroir",$C$26&gt;1),(($C$26/2)-5),""))</f>
        <v/>
      </c>
      <c r="J48" s="140" t="str">
        <f>IF(AND(E51="Miroir",$C$26="="),((($A$30-44)-1.3*$B$26)/($B$26+1)-5),IF(AND(E51="Miroir",$C$26&gt;1),((((($A$30-44)-1.3*$B$26)-$C$26)/$B$26)-5),IF(AND(H51="Miroir",$C$26="="),((($A$30-44)-1.3*$B$26)/($B$26+1)-5),IF(AND(H51="Miroir",$C$26&gt;1),((((($A$30-44)-1.3*$B$26)-$C$26)/2)-5),""))))</f>
        <v/>
      </c>
    </row>
    <row r="49" spans="1:11" ht="16.5" thickTop="1">
      <c r="B49" s="51"/>
      <c r="C49" s="51"/>
      <c r="D49" s="51"/>
      <c r="E49" s="51"/>
      <c r="F49" s="51"/>
      <c r="G49" s="51"/>
      <c r="H49" s="51"/>
    </row>
    <row r="50" spans="1:11" ht="31.5">
      <c r="A50" s="137" t="s">
        <v>137</v>
      </c>
      <c r="C50" s="178" t="s">
        <v>139</v>
      </c>
      <c r="D50" s="178"/>
      <c r="E50" s="148" t="s">
        <v>149</v>
      </c>
      <c r="F50" s="150" t="s">
        <v>150</v>
      </c>
      <c r="G50" s="151"/>
      <c r="H50" s="148" t="s">
        <v>149</v>
      </c>
      <c r="I50" s="149" t="s">
        <v>150</v>
      </c>
      <c r="J50" s="178" t="s">
        <v>140</v>
      </c>
      <c r="K50" s="178"/>
    </row>
    <row r="51" spans="1:11" ht="15.75" customHeight="1">
      <c r="A51" s="180">
        <f>$E$8</f>
        <v>2500</v>
      </c>
      <c r="B51" s="16"/>
      <c r="C51" s="167" t="str">
        <f>IF(E51="Décor",J47,IF(E51="Miroir",J48,""))</f>
        <v/>
      </c>
      <c r="D51" s="168"/>
      <c r="E51" s="173">
        <v>0</v>
      </c>
      <c r="F51" s="175"/>
      <c r="G51" s="177" t="s">
        <v>148</v>
      </c>
      <c r="H51" s="173"/>
      <c r="I51" s="166"/>
      <c r="J51" s="167" t="str">
        <f>IF(I51="Décor",J47,IF(I51="Miroir",J48,""))</f>
        <v/>
      </c>
      <c r="K51" s="168"/>
    </row>
    <row r="52" spans="1:11">
      <c r="A52" s="181"/>
      <c r="C52" s="169"/>
      <c r="D52" s="170"/>
      <c r="E52" s="173"/>
      <c r="F52" s="175"/>
      <c r="G52" s="179"/>
      <c r="H52" s="173"/>
      <c r="I52" s="166"/>
      <c r="J52" s="169"/>
      <c r="K52" s="170"/>
    </row>
    <row r="53" spans="1:11">
      <c r="A53" s="181"/>
      <c r="C53" s="169"/>
      <c r="D53" s="170"/>
      <c r="E53" s="173"/>
      <c r="F53" s="175"/>
      <c r="G53" s="179"/>
      <c r="H53" s="173"/>
      <c r="I53" s="166"/>
      <c r="J53" s="171"/>
      <c r="K53" s="172"/>
    </row>
    <row r="54" spans="1:11">
      <c r="A54" s="181"/>
      <c r="C54" s="171"/>
      <c r="D54" s="172"/>
      <c r="E54" s="173"/>
      <c r="F54" s="175"/>
      <c r="G54" s="179"/>
      <c r="H54" s="173"/>
      <c r="I54" s="166"/>
      <c r="J54" s="167" t="str">
        <f>IF(I54="Décor",I47,IF(I54="Miroir",I48,""))</f>
        <v/>
      </c>
      <c r="K54" s="168"/>
    </row>
    <row r="55" spans="1:11">
      <c r="A55" s="181"/>
      <c r="C55" s="167" t="str">
        <f>IF(E55="Décor",H47,IF(E55="Miroir",H48,""))</f>
        <v/>
      </c>
      <c r="D55" s="168"/>
      <c r="E55" s="173">
        <v>0</v>
      </c>
      <c r="F55" s="166"/>
      <c r="G55" s="179"/>
      <c r="H55" s="173"/>
      <c r="I55" s="166"/>
      <c r="J55" s="169"/>
      <c r="K55" s="170"/>
    </row>
    <row r="56" spans="1:11">
      <c r="A56" s="181"/>
      <c r="C56" s="169"/>
      <c r="D56" s="170"/>
      <c r="E56" s="173"/>
      <c r="F56" s="166"/>
      <c r="G56" s="179"/>
      <c r="H56" s="173"/>
      <c r="I56" s="166"/>
      <c r="J56" s="171"/>
      <c r="K56" s="172"/>
    </row>
    <row r="57" spans="1:11">
      <c r="A57" s="181"/>
      <c r="C57" s="169"/>
      <c r="D57" s="170"/>
      <c r="E57" s="173"/>
      <c r="F57" s="166"/>
      <c r="G57" s="179"/>
      <c r="H57" s="173"/>
      <c r="I57" s="166"/>
      <c r="J57" s="167" t="str">
        <f>IF(I57="Décor",H47,IF(I57="Miroir",H48,""))</f>
        <v/>
      </c>
      <c r="K57" s="168"/>
    </row>
    <row r="58" spans="1:11">
      <c r="A58" s="181"/>
      <c r="C58" s="171"/>
      <c r="D58" s="172"/>
      <c r="E58" s="173"/>
      <c r="F58" s="166"/>
      <c r="G58" s="179"/>
      <c r="H58" s="173"/>
      <c r="I58" s="166"/>
      <c r="J58" s="169"/>
      <c r="K58" s="170"/>
    </row>
    <row r="59" spans="1:11">
      <c r="A59" s="181"/>
      <c r="C59" s="167" t="str">
        <f>IF(E59="Décor",G47,IF(E59="Miroir",G48,""))</f>
        <v/>
      </c>
      <c r="D59" s="168"/>
      <c r="E59" s="173"/>
      <c r="F59" s="166"/>
      <c r="G59" s="179"/>
      <c r="H59" s="173"/>
      <c r="I59" s="166"/>
      <c r="J59" s="171"/>
      <c r="K59" s="172"/>
    </row>
    <row r="60" spans="1:11">
      <c r="A60" s="181"/>
      <c r="C60" s="169"/>
      <c r="D60" s="170"/>
      <c r="E60" s="173"/>
      <c r="F60" s="166"/>
      <c r="G60" s="179"/>
      <c r="H60" s="173"/>
      <c r="I60" s="166"/>
      <c r="J60" s="167" t="str">
        <f>IF(I60="Décor",G47,IF(I60="Miroir",G48,""))</f>
        <v/>
      </c>
      <c r="K60" s="168"/>
    </row>
    <row r="61" spans="1:11">
      <c r="A61" s="181"/>
      <c r="C61" s="169"/>
      <c r="D61" s="170"/>
      <c r="E61" s="173"/>
      <c r="F61" s="166"/>
      <c r="G61" s="179"/>
      <c r="H61" s="173"/>
      <c r="I61" s="166"/>
      <c r="J61" s="169"/>
      <c r="K61" s="170"/>
    </row>
    <row r="62" spans="1:11">
      <c r="A62" s="182"/>
      <c r="C62" s="171"/>
      <c r="D62" s="172"/>
      <c r="E62" s="173"/>
      <c r="F62" s="166"/>
      <c r="G62" s="179"/>
      <c r="H62" s="173"/>
      <c r="I62" s="166"/>
      <c r="J62" s="171"/>
      <c r="K62" s="172"/>
    </row>
    <row r="65" spans="1:11" ht="16.5" thickBot="1"/>
    <row r="66" spans="1:11" ht="16.5" thickTop="1">
      <c r="A66" s="183" t="s">
        <v>143</v>
      </c>
      <c r="B66" s="184"/>
      <c r="C66" s="184"/>
      <c r="D66" s="184"/>
      <c r="E66" s="184"/>
      <c r="F66" s="184"/>
      <c r="G66" s="184"/>
      <c r="H66" s="184"/>
      <c r="I66" s="184"/>
      <c r="J66" s="185"/>
    </row>
    <row r="67" spans="1:11" ht="38.25">
      <c r="A67" s="130" t="s">
        <v>71</v>
      </c>
      <c r="B67" s="44" t="s">
        <v>73</v>
      </c>
      <c r="C67" s="44" t="s">
        <v>135</v>
      </c>
      <c r="D67" s="186" t="s">
        <v>28</v>
      </c>
      <c r="E67" s="186"/>
      <c r="F67" s="145" t="s">
        <v>145</v>
      </c>
      <c r="G67" s="127" t="s">
        <v>131</v>
      </c>
      <c r="H67" s="127" t="s">
        <v>132</v>
      </c>
      <c r="I67" s="128" t="s">
        <v>133</v>
      </c>
      <c r="J67" s="129" t="s">
        <v>134</v>
      </c>
    </row>
    <row r="68" spans="1:11" ht="45.75" customHeight="1">
      <c r="A68" s="142" t="s">
        <v>129</v>
      </c>
      <c r="B68" s="187"/>
      <c r="C68" s="189"/>
      <c r="D68" s="191"/>
      <c r="E68" s="192"/>
      <c r="F68" s="131" t="s">
        <v>130</v>
      </c>
      <c r="G68" s="136" t="str">
        <f>IF(AND(E80="Décor",$C$26="="),((($A$30-44)-1.3*$B$26)/($B$26+1)),IF(AND(E80="Décor",$C$26&gt;1),(((($A$30-44)-1.3*$B$26)-$C$26)/$B$26),IF(AND(H81="Décor",$C$26="="),(($A$30-44)-1.3*$B$26)/($B$26+1),IF(AND(H81="Décor",$C$26&gt;1),(((($A$30-44)-1.3*$B$26)-$C$26)/2),""))))</f>
        <v/>
      </c>
      <c r="H68" s="136" t="str">
        <f>IF(AND(E76="Décor",$C$26="="),((($A$30-44)-1.3*$B$26)/($B$26+1)),IF(AND(E76="Décor",$C$26&gt;1),$C$26,IF(AND(H78="Décor",$C$26="="),(($A$30-44)-1.3*$B$26)/($B$26+1),IF(AND(H78="Décor",$C$26&gt;1),($C$26/2),""))))</f>
        <v/>
      </c>
      <c r="I68" s="136" t="str">
        <f>IF(AND(H75="Décor",$C$26="="),(($A$30-44)-1.3*$B$26)/($B$26+1),IF(AND(H75="Décor",$C$26&gt;1),($C$26/2),""))</f>
        <v/>
      </c>
      <c r="J68" s="138" t="str">
        <f>IF(AND(E72="Décor",$C$26="="),((($A$30-44)-1.3*$B$26)/($B$26+1)),IF(AND(E72="Décor",$C$26&gt;1),(((($A$30-44)-1.3*$B$26)-$C$26)/$B$26),IF(AND(H72="Décor",$C$26="="),(($A$30-44)-1.3*$B$26)/($B$26+1),IF(AND(H72="Décor",$C$26&gt;1),(((($A$30-44)-1.3*$B$26)-$C$26)/2),""))))</f>
        <v/>
      </c>
    </row>
    <row r="69" spans="1:11" ht="45.75" customHeight="1" thickBot="1">
      <c r="A69" s="143" t="s">
        <v>72</v>
      </c>
      <c r="B69" s="188"/>
      <c r="C69" s="190"/>
      <c r="D69" s="193"/>
      <c r="E69" s="194"/>
      <c r="F69" s="144" t="s">
        <v>138</v>
      </c>
      <c r="G69" s="139" t="str">
        <f>IF(AND(E80="Miroir",$C$26="="),(((($A$30-44)-1.3*$B$26)/($B$26+1))-5),IF(AND(E80="Miroir",$C$26&gt;1),((((($A$30-44)-1.3*$B$26)-$C$26)/$B$26)-5),IF(AND(H81="Miroir",$C$26="="),((($A$30-44)-1.3*$B$26)/($B$26+1)-5),IF(AND(H81="Miroir",$C$26&gt;1),((((($A$30-44)-1.3*$B$26)-$C$26)/2)-5),""))))</f>
        <v/>
      </c>
      <c r="H69" s="139" t="str">
        <f>IF(AND(E76="Miroir",$C$26="="),((($A$30-44)-1.3*$B$26)/($B$26+1)-5),IF(AND(E76="Miroir",$C$26&gt;1),$C$26-5,IF(AND(G78="Miroir",$C$26="="),((($A$30-44)-1.3*$B$26)/($B$26+1)-5),IF(AND(G78="Miroir",$C$26&gt;1),(($C$26/2)-5),""))))</f>
        <v/>
      </c>
      <c r="I69" s="139" t="str">
        <f>IF(AND(H75="Miroir",$C$26="="),((($A$30-44)-1.3*$B$26)/($B$26+1)-5),IF(AND(H75="Miroir",$C$26&gt;1),(($C$26/2)-5),""))</f>
        <v/>
      </c>
      <c r="J69" s="140" t="str">
        <f>IF(AND(E72="Miroir",$C$26="="),((($A$30-44)-1.3*$B$26)/($B$26+1)-5),IF(AND(E72="Miroir",$C$26&gt;1),((((($A$30-44)-1.3*$B$26)-$C$26)/$B$26)-5),IF(AND(H72="Miroir",$C$26="="),((($A$30-44)-1.3*$B$26)/($B$26+1)-5),IF(AND(H72="Miroir",$C$26&gt;1),((((($A$30-44)-1.3*$B$26)-$C$26)/2)-5),""))))</f>
        <v/>
      </c>
    </row>
    <row r="70" spans="1:11" ht="16.5" thickTop="1">
      <c r="B70" s="51"/>
      <c r="C70" s="51"/>
      <c r="D70" s="51"/>
      <c r="E70" s="51"/>
      <c r="F70" s="51"/>
      <c r="G70" s="51"/>
      <c r="H70" s="51"/>
    </row>
    <row r="71" spans="1:11" ht="31.5">
      <c r="A71" s="137" t="s">
        <v>137</v>
      </c>
      <c r="C71" s="178" t="s">
        <v>139</v>
      </c>
      <c r="D71" s="178"/>
      <c r="E71" s="148" t="s">
        <v>149</v>
      </c>
      <c r="F71" s="150" t="s">
        <v>150</v>
      </c>
      <c r="G71" s="151"/>
      <c r="H71" s="148" t="s">
        <v>149</v>
      </c>
      <c r="I71" s="149" t="s">
        <v>150</v>
      </c>
      <c r="J71" s="178" t="s">
        <v>140</v>
      </c>
      <c r="K71" s="178"/>
    </row>
    <row r="72" spans="1:11" ht="15.75" customHeight="1">
      <c r="A72" s="180">
        <f>$E$8</f>
        <v>2500</v>
      </c>
      <c r="B72" s="16"/>
      <c r="C72" s="167" t="str">
        <f>IF(E72="Décor",J68,IF(E72="Miroir",J69,""))</f>
        <v/>
      </c>
      <c r="D72" s="168"/>
      <c r="E72" s="173">
        <v>0</v>
      </c>
      <c r="F72" s="175"/>
      <c r="G72" s="177" t="s">
        <v>148</v>
      </c>
      <c r="H72" s="173"/>
      <c r="I72" s="166"/>
      <c r="J72" s="167" t="str">
        <f>IF(I72="Décor",J68,IF(I72="Miroir",J69,""))</f>
        <v/>
      </c>
      <c r="K72" s="168"/>
    </row>
    <row r="73" spans="1:11">
      <c r="A73" s="181"/>
      <c r="C73" s="169"/>
      <c r="D73" s="170"/>
      <c r="E73" s="173"/>
      <c r="F73" s="175"/>
      <c r="G73" s="179"/>
      <c r="H73" s="173"/>
      <c r="I73" s="166"/>
      <c r="J73" s="169"/>
      <c r="K73" s="170"/>
    </row>
    <row r="74" spans="1:11">
      <c r="A74" s="181"/>
      <c r="C74" s="169"/>
      <c r="D74" s="170"/>
      <c r="E74" s="173"/>
      <c r="F74" s="175"/>
      <c r="G74" s="179"/>
      <c r="H74" s="173"/>
      <c r="I74" s="166"/>
      <c r="J74" s="171"/>
      <c r="K74" s="172"/>
    </row>
    <row r="75" spans="1:11">
      <c r="A75" s="181"/>
      <c r="C75" s="171"/>
      <c r="D75" s="172"/>
      <c r="E75" s="173"/>
      <c r="F75" s="175"/>
      <c r="G75" s="179"/>
      <c r="H75" s="173"/>
      <c r="I75" s="166"/>
      <c r="J75" s="167" t="str">
        <f>IF(I75="Décor",I68,IF(I75="Miroir",I69,""))</f>
        <v/>
      </c>
      <c r="K75" s="168"/>
    </row>
    <row r="76" spans="1:11">
      <c r="A76" s="181"/>
      <c r="C76" s="167" t="str">
        <f>IF(E76="Décor",H68,IF(E76="Miroir",H69,""))</f>
        <v/>
      </c>
      <c r="D76" s="168"/>
      <c r="E76" s="173">
        <v>0</v>
      </c>
      <c r="F76" s="166"/>
      <c r="G76" s="179"/>
      <c r="H76" s="173"/>
      <c r="I76" s="166"/>
      <c r="J76" s="169"/>
      <c r="K76" s="170"/>
    </row>
    <row r="77" spans="1:11">
      <c r="A77" s="181"/>
      <c r="C77" s="169"/>
      <c r="D77" s="170"/>
      <c r="E77" s="173"/>
      <c r="F77" s="166"/>
      <c r="G77" s="179"/>
      <c r="H77" s="173"/>
      <c r="I77" s="166"/>
      <c r="J77" s="171"/>
      <c r="K77" s="172"/>
    </row>
    <row r="78" spans="1:11">
      <c r="A78" s="181"/>
      <c r="C78" s="169"/>
      <c r="D78" s="170"/>
      <c r="E78" s="173"/>
      <c r="F78" s="166"/>
      <c r="G78" s="179"/>
      <c r="H78" s="173"/>
      <c r="I78" s="166"/>
      <c r="J78" s="167" t="str">
        <f>IF(I78="Décor",H68,IF(I78="Miroir",H69,""))</f>
        <v/>
      </c>
      <c r="K78" s="168"/>
    </row>
    <row r="79" spans="1:11">
      <c r="A79" s="181"/>
      <c r="C79" s="171"/>
      <c r="D79" s="172"/>
      <c r="E79" s="173"/>
      <c r="F79" s="166"/>
      <c r="G79" s="179"/>
      <c r="H79" s="173"/>
      <c r="I79" s="166"/>
      <c r="J79" s="169"/>
      <c r="K79" s="170"/>
    </row>
    <row r="80" spans="1:11">
      <c r="A80" s="181"/>
      <c r="C80" s="167" t="str">
        <f>IF(E80="Décor",G68,IF(E80="Miroir",G69,""))</f>
        <v/>
      </c>
      <c r="D80" s="168"/>
      <c r="E80" s="173">
        <v>0</v>
      </c>
      <c r="F80" s="166"/>
      <c r="G80" s="179"/>
      <c r="H80" s="173"/>
      <c r="I80" s="166"/>
      <c r="J80" s="171"/>
      <c r="K80" s="172"/>
    </row>
    <row r="81" spans="1:11">
      <c r="A81" s="181"/>
      <c r="C81" s="169"/>
      <c r="D81" s="170"/>
      <c r="E81" s="173"/>
      <c r="F81" s="166"/>
      <c r="G81" s="179"/>
      <c r="H81" s="173"/>
      <c r="I81" s="166"/>
      <c r="J81" s="167" t="str">
        <f>IF(I81="Décor",G68,IF(I81="Miroir",G69,""))</f>
        <v/>
      </c>
      <c r="K81" s="168"/>
    </row>
    <row r="82" spans="1:11">
      <c r="A82" s="181"/>
      <c r="C82" s="169"/>
      <c r="D82" s="170"/>
      <c r="E82" s="173"/>
      <c r="F82" s="166"/>
      <c r="G82" s="179"/>
      <c r="H82" s="173"/>
      <c r="I82" s="166"/>
      <c r="J82" s="169"/>
      <c r="K82" s="170"/>
    </row>
    <row r="83" spans="1:11">
      <c r="A83" s="182"/>
      <c r="C83" s="171"/>
      <c r="D83" s="172"/>
      <c r="E83" s="173"/>
      <c r="F83" s="166"/>
      <c r="G83" s="179"/>
      <c r="H83" s="173"/>
      <c r="I83" s="166"/>
      <c r="J83" s="171"/>
      <c r="K83" s="172"/>
    </row>
    <row r="86" spans="1:11" ht="16.5" thickBot="1"/>
    <row r="87" spans="1:11" ht="16.5" thickTop="1">
      <c r="A87" s="183" t="s">
        <v>144</v>
      </c>
      <c r="B87" s="184"/>
      <c r="C87" s="184"/>
      <c r="D87" s="184"/>
      <c r="E87" s="184"/>
      <c r="F87" s="184"/>
      <c r="G87" s="184"/>
      <c r="H87" s="184"/>
      <c r="I87" s="184"/>
      <c r="J87" s="185"/>
    </row>
    <row r="88" spans="1:11" ht="38.25">
      <c r="A88" s="130" t="s">
        <v>71</v>
      </c>
      <c r="B88" s="44" t="s">
        <v>73</v>
      </c>
      <c r="C88" s="44" t="s">
        <v>135</v>
      </c>
      <c r="D88" s="186" t="s">
        <v>28</v>
      </c>
      <c r="E88" s="186"/>
      <c r="F88" s="145" t="s">
        <v>145</v>
      </c>
      <c r="G88" s="127" t="s">
        <v>131</v>
      </c>
      <c r="H88" s="127" t="s">
        <v>132</v>
      </c>
      <c r="I88" s="128" t="s">
        <v>133</v>
      </c>
      <c r="J88" s="129" t="s">
        <v>134</v>
      </c>
    </row>
    <row r="89" spans="1:11" ht="45.75" customHeight="1">
      <c r="A89" s="142" t="s">
        <v>129</v>
      </c>
      <c r="B89" s="187"/>
      <c r="C89" s="189"/>
      <c r="D89" s="191"/>
      <c r="E89" s="192"/>
      <c r="F89" s="131" t="s">
        <v>130</v>
      </c>
      <c r="G89" s="136" t="str">
        <f>IF(AND(E101="Décor",$C$26="="),((($A$30-44)-1.3*$B$26)/($B$26+1)),IF(AND(E101="Décor",$C$26&gt;1),(((($A$30-44)-1.3*$B$26)-$C$26)/$B$26),IF(AND(H102="Décor",$C$26="="),(($A$30-44)-1.3*$B$26)/($B$26+1),IF(AND(H102="Décor",$C$26&gt;1),(((($A$30-44)-1.3*$B$26)-$C$26)/2),""))))</f>
        <v/>
      </c>
      <c r="H89" s="136" t="str">
        <f>IF(AND(E97="Décor",$C$26="="),((($A$30-44)-1.3*$B$26)/($B$26+1)),IF(AND(E97="Décor",$C$26&gt;1),$C$26,IF(AND(H99="Décor",$C$26="="),(($A$30-44)-1.3*$B$26)/($B$26+1),IF(AND(H99="Décor",$C$26&gt;1),($C$26/2),""))))</f>
        <v/>
      </c>
      <c r="I89" s="136" t="str">
        <f>IF(AND(H96="Décor",$C$26="="),(($A$30-44)-1.3*$B$26)/($B$26+1),IF(AND(H96="Décor",$C$26&gt;1),($C$26/2),""))</f>
        <v/>
      </c>
      <c r="J89" s="138" t="str">
        <f>IF(AND(E93="Décor",$C$26="="),((($A$30-44)-1.3*$B$26)/($B$26+1)),IF(AND(E93="Décor",$C$26&gt;1),(((($A$30-44)-1.3*$B$26)-$C$26)/$B$26),IF(AND(H93="Décor",$C$26="="),(($A$30-44)-1.3*$B$26)/($B$26+1),IF(AND(H93="Décor",$C$26&gt;1),(((($A$30-44)-1.3*$B$26)-$C$26)/2),""))))</f>
        <v/>
      </c>
    </row>
    <row r="90" spans="1:11" ht="45.75" customHeight="1" thickBot="1">
      <c r="A90" s="143" t="s">
        <v>72</v>
      </c>
      <c r="B90" s="188"/>
      <c r="C90" s="190"/>
      <c r="D90" s="193"/>
      <c r="E90" s="194"/>
      <c r="F90" s="144" t="s">
        <v>138</v>
      </c>
      <c r="G90" s="139" t="str">
        <f>IF(AND(E101="Miroir",$C$26="="),(((($A$30-44)-1.3*$B$26)/($B$26+1))-5),IF(AND(E101="Miroir",$C$26&gt;1),((((($A$30-44)-1.3*$B$26)-$C$26)/$B$26)-5),IF(AND(H102="Miroir",$C$26="="),((($A$30-44)-1.3*$B$26)/($B$26+1)-5),IF(AND(H102="Miroir",$C$26&gt;1),((((($A$30-44)-1.3*$B$26)-$C$26)/2)-5),""))))</f>
        <v/>
      </c>
      <c r="H90" s="139" t="str">
        <f>IF(AND(E97="Miroir",$C$26="="),((($A$30-44)-1.3*$B$26)/($B$26+1)-5),IF(AND(E97="Miroir",$C$26&gt;1),$C$26-5,IF(AND(H99="Miroir",$C$26="="),((($A$30-44)-1.3*$B$26)/($B$26+1)-5),IF(AND(H99="Miroir",$C$26&gt;1),(($C$26/2)-5),""))))</f>
        <v/>
      </c>
      <c r="I90" s="139" t="str">
        <f>IF(AND(H96="Miroir",$C$26="="),((($A$30-44)-1.3*$B$26)/($B$26+1)-5),IF(AND(H96="Miroir",$C$26&gt;1),(($C$26/2)-5),""))</f>
        <v/>
      </c>
      <c r="J90" s="140" t="str">
        <f>IF(AND(E93="Miroir",$C$26="="),((($A$30-44)-1.3*$B$26)/($B$26+1)-5),IF(AND(E93="Miroir",$C$26&gt;1),((((($A$30-44)-1.3*$B$26)-$C$26)/$B$26)-5),IF(AND(H93="Miroir",$C$26="="),((($A$30-44)-1.3*$B$26)/($B$26+1)-5),IF(AND(H93="Miroir",$C$26&gt;1),((((($A$30-44)-1.3*$B$26)-$C$26)/2)-5),""))))</f>
        <v/>
      </c>
    </row>
    <row r="91" spans="1:11" ht="16.5" thickTop="1">
      <c r="B91" s="51"/>
      <c r="C91" s="51"/>
      <c r="D91" s="51"/>
      <c r="E91" s="51"/>
      <c r="F91" s="51"/>
      <c r="G91" s="51"/>
      <c r="H91" s="51"/>
    </row>
    <row r="92" spans="1:11" ht="31.5">
      <c r="A92" s="137" t="s">
        <v>137</v>
      </c>
      <c r="C92" s="174" t="s">
        <v>139</v>
      </c>
      <c r="D92" s="174"/>
      <c r="E92" s="148" t="s">
        <v>149</v>
      </c>
      <c r="F92" s="150" t="s">
        <v>150</v>
      </c>
      <c r="G92" s="151"/>
      <c r="H92" s="148" t="s">
        <v>149</v>
      </c>
      <c r="I92" s="149" t="s">
        <v>150</v>
      </c>
      <c r="J92" s="174" t="s">
        <v>140</v>
      </c>
      <c r="K92" s="174"/>
    </row>
    <row r="93" spans="1:11" ht="15.75" customHeight="1">
      <c r="A93" s="180">
        <f>$E$8</f>
        <v>2500</v>
      </c>
      <c r="B93" s="16"/>
      <c r="C93" s="167" t="str">
        <f>IF(E93="Décor",J89,IF(E93="Miroir",J90,""))</f>
        <v/>
      </c>
      <c r="D93" s="168"/>
      <c r="E93" s="173">
        <v>0</v>
      </c>
      <c r="F93" s="175"/>
      <c r="G93" s="176" t="s">
        <v>148</v>
      </c>
      <c r="H93" s="173"/>
      <c r="I93" s="166"/>
      <c r="J93" s="167" t="str">
        <f>IF(I93="Décor",J89,IF(I93="Miroir",J90,""))</f>
        <v/>
      </c>
      <c r="K93" s="168"/>
    </row>
    <row r="94" spans="1:11">
      <c r="A94" s="181"/>
      <c r="C94" s="169"/>
      <c r="D94" s="170"/>
      <c r="E94" s="173"/>
      <c r="F94" s="175"/>
      <c r="G94" s="176"/>
      <c r="H94" s="173"/>
      <c r="I94" s="166"/>
      <c r="J94" s="169"/>
      <c r="K94" s="170"/>
    </row>
    <row r="95" spans="1:11">
      <c r="A95" s="181"/>
      <c r="C95" s="169"/>
      <c r="D95" s="170"/>
      <c r="E95" s="173"/>
      <c r="F95" s="175"/>
      <c r="G95" s="176"/>
      <c r="H95" s="173"/>
      <c r="I95" s="166"/>
      <c r="J95" s="171"/>
      <c r="K95" s="172"/>
    </row>
    <row r="96" spans="1:11">
      <c r="A96" s="181"/>
      <c r="C96" s="171"/>
      <c r="D96" s="172"/>
      <c r="E96" s="173"/>
      <c r="F96" s="175"/>
      <c r="G96" s="176"/>
      <c r="H96" s="173"/>
      <c r="I96" s="166"/>
      <c r="J96" s="167" t="str">
        <f>IF(I96="Décor",I89,IF(I96="Miroir",I90,""))</f>
        <v/>
      </c>
      <c r="K96" s="168"/>
    </row>
    <row r="97" spans="1:11">
      <c r="A97" s="181"/>
      <c r="C97" s="167" t="str">
        <f>IF(E97="Décor",H89,IF(E97="Miroir",H90,""))</f>
        <v/>
      </c>
      <c r="D97" s="168"/>
      <c r="E97" s="173">
        <v>0</v>
      </c>
      <c r="F97" s="166"/>
      <c r="G97" s="176"/>
      <c r="H97" s="173"/>
      <c r="I97" s="166"/>
      <c r="J97" s="169"/>
      <c r="K97" s="170"/>
    </row>
    <row r="98" spans="1:11">
      <c r="A98" s="181"/>
      <c r="C98" s="169"/>
      <c r="D98" s="170"/>
      <c r="E98" s="173"/>
      <c r="F98" s="166"/>
      <c r="G98" s="176"/>
      <c r="H98" s="173"/>
      <c r="I98" s="166"/>
      <c r="J98" s="171"/>
      <c r="K98" s="172"/>
    </row>
    <row r="99" spans="1:11">
      <c r="A99" s="181"/>
      <c r="C99" s="169"/>
      <c r="D99" s="170"/>
      <c r="E99" s="173"/>
      <c r="F99" s="166"/>
      <c r="G99" s="176"/>
      <c r="H99" s="173"/>
      <c r="I99" s="166"/>
      <c r="J99" s="167" t="str">
        <f>IF(I99="Décor",H89,IF(I99="Miroir",H90,""))</f>
        <v/>
      </c>
      <c r="K99" s="168"/>
    </row>
    <row r="100" spans="1:11">
      <c r="A100" s="181"/>
      <c r="C100" s="171"/>
      <c r="D100" s="172"/>
      <c r="E100" s="173"/>
      <c r="F100" s="166"/>
      <c r="G100" s="176"/>
      <c r="H100" s="173"/>
      <c r="I100" s="166"/>
      <c r="J100" s="169"/>
      <c r="K100" s="170"/>
    </row>
    <row r="101" spans="1:11">
      <c r="A101" s="181"/>
      <c r="C101" s="167" t="str">
        <f>IF(E101="Décor",G89,IF(E101="Miroir",G90,""))</f>
        <v/>
      </c>
      <c r="D101" s="168"/>
      <c r="E101" s="173">
        <v>0</v>
      </c>
      <c r="F101" s="166"/>
      <c r="G101" s="176"/>
      <c r="H101" s="173"/>
      <c r="I101" s="166"/>
      <c r="J101" s="171"/>
      <c r="K101" s="172"/>
    </row>
    <row r="102" spans="1:11">
      <c r="A102" s="181"/>
      <c r="C102" s="169"/>
      <c r="D102" s="170"/>
      <c r="E102" s="173"/>
      <c r="F102" s="166"/>
      <c r="G102" s="176"/>
      <c r="H102" s="173"/>
      <c r="I102" s="166"/>
      <c r="J102" s="167" t="str">
        <f>IF(I102="Décor",G89,IF(I102="Miroir",G90,""))</f>
        <v/>
      </c>
      <c r="K102" s="168"/>
    </row>
    <row r="103" spans="1:11">
      <c r="A103" s="181"/>
      <c r="C103" s="169"/>
      <c r="D103" s="170"/>
      <c r="E103" s="173"/>
      <c r="F103" s="166"/>
      <c r="G103" s="176"/>
      <c r="H103" s="173"/>
      <c r="I103" s="166"/>
      <c r="J103" s="169"/>
      <c r="K103" s="170"/>
    </row>
    <row r="104" spans="1:11">
      <c r="A104" s="182"/>
      <c r="C104" s="171"/>
      <c r="D104" s="172"/>
      <c r="E104" s="173"/>
      <c r="F104" s="166"/>
      <c r="G104" s="177"/>
      <c r="H104" s="173"/>
      <c r="I104" s="166"/>
      <c r="J104" s="171"/>
      <c r="K104" s="172"/>
    </row>
    <row r="105" spans="1:11">
      <c r="A105" s="141"/>
      <c r="C105" s="141"/>
      <c r="D105" s="141"/>
    </row>
    <row r="106" spans="1:11">
      <c r="A106" s="141"/>
      <c r="C106" s="141"/>
      <c r="D106" s="141"/>
    </row>
    <row r="107" spans="1:11" ht="16.5" thickBot="1"/>
    <row r="108" spans="1:11" ht="16.5" thickTop="1">
      <c r="A108" s="183" t="s">
        <v>146</v>
      </c>
      <c r="B108" s="184"/>
      <c r="C108" s="184"/>
      <c r="D108" s="184"/>
      <c r="E108" s="184"/>
      <c r="F108" s="184"/>
      <c r="G108" s="184"/>
      <c r="H108" s="184"/>
      <c r="I108" s="184"/>
      <c r="J108" s="185"/>
    </row>
    <row r="109" spans="1:11" ht="38.25">
      <c r="A109" s="130" t="s">
        <v>71</v>
      </c>
      <c r="B109" s="44" t="s">
        <v>73</v>
      </c>
      <c r="C109" s="44" t="s">
        <v>135</v>
      </c>
      <c r="D109" s="186" t="s">
        <v>28</v>
      </c>
      <c r="E109" s="186"/>
      <c r="F109" s="145" t="s">
        <v>145</v>
      </c>
      <c r="G109" s="127" t="s">
        <v>131</v>
      </c>
      <c r="H109" s="127" t="s">
        <v>132</v>
      </c>
      <c r="I109" s="128" t="s">
        <v>133</v>
      </c>
      <c r="J109" s="129" t="s">
        <v>134</v>
      </c>
    </row>
    <row r="110" spans="1:11" ht="42" customHeight="1">
      <c r="A110" s="142" t="s">
        <v>129</v>
      </c>
      <c r="B110" s="187"/>
      <c r="C110" s="189"/>
      <c r="D110" s="191"/>
      <c r="E110" s="192"/>
      <c r="F110" s="131" t="s">
        <v>130</v>
      </c>
      <c r="G110" s="136" t="str">
        <f>IF(AND(E122="Décor",$C$26="="),((($A$30-44)-1.3*$B$26)/($B$26+1)),IF(AND(E122="Décor",$C$26&gt;1),(((($A$30-44)-1.3*$B$26)-$C$26)/$B$26),IF(AND(H123="Décor",$C$26="="),(($A$30-44)-1.3*$B$26)/($B$26+1),IF(AND(H123="Décor",$C$26&gt;1),(((($A$30-44)-1.3*$B$26)-$C$26)/2),""))))</f>
        <v/>
      </c>
      <c r="H110" s="136" t="str">
        <f>IF(AND(E118="Décor",$C$26="="),((($A$30-44)-1.3*$B$26)/($B$26+1)),IF(AND(E118="Décor",$C$26&gt;1),$C$26,IF(AND(H120="Décor",$C$26="="),(($A$30-44)-1.3*$B$26)/($B$26+1),IF(AND(H120="Décor",$C$26&gt;1),($C$26/2),""))))</f>
        <v/>
      </c>
      <c r="I110" s="136" t="str">
        <f>IF(AND(H117="Décor",$C$26="="),(($A$30-44)-1.3*$B$26)/($B$26+1),IF(AND(H117="Décor",$C$26&gt;1),($C$26/2),""))</f>
        <v/>
      </c>
      <c r="J110" s="138" t="str">
        <f>IF(AND(E114="Décor",$C$26="="),((($A$30-44)-1.3*$B$26)/($B$26+1)),IF(AND(E114="Décor",$C$26&gt;1),(((($A$30-44)-1.3*$B$26)-$C$26)/$B$26),IF(AND(H114="Décor",$C$26="="),(($A$30-44)-1.3*$B$26)/($B$26+1),IF(AND(H114="Décor",$C$26&gt;1),(((($A$30-44)-1.3*$B$26)-$C$26)/2),""))))</f>
        <v/>
      </c>
    </row>
    <row r="111" spans="1:11" ht="51" customHeight="1" thickBot="1">
      <c r="A111" s="143" t="s">
        <v>72</v>
      </c>
      <c r="B111" s="188"/>
      <c r="C111" s="190"/>
      <c r="D111" s="193"/>
      <c r="E111" s="194"/>
      <c r="F111" s="144" t="s">
        <v>138</v>
      </c>
      <c r="G111" s="139" t="str">
        <f>IF(AND(E122="Miroir",$C$26="="),(((($A$30-44)-1.3*$B$26)/($B$26+1))-5),IF(AND(E122="Miroir",$C$26&gt;1),((((($A$30-44)-1.3*$B$26)-$C$26)/$B$26)-5),IF(AND(H123="Miroir",$C$26="="),((($A$30-44)-1.3*$B$26)/($B$26+1)-5),IF(AND(H123="Miroir",$C$26&gt;1),((((($A$30-44)-1.3*$B$26)-$C$26)/2)-5),""))))</f>
        <v/>
      </c>
      <c r="H111" s="139" t="str">
        <f>IF(AND(E118="Miroir",$C$26="="),((($A$30-44)-1.3*$B$26)/($B$26+1)-5),IF(AND(E118="Miroir",$C$26&gt;1),$C$26-5,IF(AND(H120="Miroir",$C$26="="),((($A$30-44)-1.3*$B$26)/($B$26+1)-5),IF(AND(H120="Miroir",$C$26&gt;1),(($C$26/2)-5),""))))</f>
        <v/>
      </c>
      <c r="I111" s="139" t="str">
        <f>IF(AND(H117="Miroir",$C$26="="),((($A$30-44)-1.3*$B$26)/($B$26+1)-5),IF(AND(H117="Miroir",$C$26&gt;1),(($C$26/2)-5),""))</f>
        <v/>
      </c>
      <c r="J111" s="140" t="str">
        <f>IF(AND(E114="Miroir",$C$26="="),((($A$30-44)-1.3*$B$26)/($B$26+1)-5),IF(AND(E114="Miroir",$C$26&gt;1),((((($A$30-44)-1.3*$B$26)-$C$26)/$B$26)-5),IF(AND(H114="Miroir",$C$26="="),((($A$30-44)-1.3*$B$26)/($B$26+1)-5),IF(AND(H114="Miroir",$C$26&gt;1),((((($A$30-44)-1.3*$B$26)-$C$26)/2)-5),""))))</f>
        <v/>
      </c>
    </row>
    <row r="112" spans="1:11" ht="16.5" thickTop="1">
      <c r="B112" s="51"/>
      <c r="C112" s="51"/>
      <c r="D112" s="51"/>
      <c r="E112" s="51"/>
      <c r="F112" s="51"/>
      <c r="G112" s="51"/>
      <c r="H112" s="51"/>
    </row>
    <row r="113" spans="1:11" ht="31.5">
      <c r="A113" s="137" t="s">
        <v>137</v>
      </c>
      <c r="C113" s="174" t="s">
        <v>139</v>
      </c>
      <c r="D113" s="174"/>
      <c r="E113" s="148" t="s">
        <v>149</v>
      </c>
      <c r="F113" s="150" t="s">
        <v>150</v>
      </c>
      <c r="G113" s="151"/>
      <c r="H113" s="148" t="s">
        <v>149</v>
      </c>
      <c r="I113" s="149" t="s">
        <v>150</v>
      </c>
      <c r="J113" s="174" t="s">
        <v>140</v>
      </c>
      <c r="K113" s="174"/>
    </row>
    <row r="114" spans="1:11" ht="15.75" customHeight="1">
      <c r="A114" s="180">
        <f>$E$8</f>
        <v>2500</v>
      </c>
      <c r="B114" s="16"/>
      <c r="C114" s="167" t="str">
        <f>IF(E114="Décor",J110,IF(E114="Miroir",J111,""))</f>
        <v/>
      </c>
      <c r="D114" s="168"/>
      <c r="E114" s="173"/>
      <c r="F114" s="175"/>
      <c r="G114" s="176" t="s">
        <v>148</v>
      </c>
      <c r="H114" s="173"/>
      <c r="I114" s="166">
        <v>0</v>
      </c>
      <c r="J114" s="167" t="str">
        <f>IF(I114="Décor",J110,IF(I114="Miroir",J111,""))</f>
        <v/>
      </c>
      <c r="K114" s="168"/>
    </row>
    <row r="115" spans="1:11">
      <c r="A115" s="181"/>
      <c r="C115" s="169"/>
      <c r="D115" s="170"/>
      <c r="E115" s="173"/>
      <c r="F115" s="175"/>
      <c r="G115" s="176"/>
      <c r="H115" s="173"/>
      <c r="I115" s="166"/>
      <c r="J115" s="169"/>
      <c r="K115" s="170"/>
    </row>
    <row r="116" spans="1:11">
      <c r="A116" s="181"/>
      <c r="C116" s="169"/>
      <c r="D116" s="170"/>
      <c r="E116" s="173"/>
      <c r="F116" s="175"/>
      <c r="G116" s="176"/>
      <c r="H116" s="173"/>
      <c r="I116" s="166"/>
      <c r="J116" s="171"/>
      <c r="K116" s="172"/>
    </row>
    <row r="117" spans="1:11">
      <c r="A117" s="181"/>
      <c r="C117" s="171"/>
      <c r="D117" s="172"/>
      <c r="E117" s="173"/>
      <c r="F117" s="175"/>
      <c r="G117" s="176"/>
      <c r="H117" s="173"/>
      <c r="I117" s="166"/>
      <c r="J117" s="167" t="str">
        <f>IF(I117="Décor",I110,IF(I117="Miroir",I111,""))</f>
        <v/>
      </c>
      <c r="K117" s="168"/>
    </row>
    <row r="118" spans="1:11">
      <c r="A118" s="181"/>
      <c r="C118" s="167" t="str">
        <f>IF(E118="Décor",H110,IF(E118="Miroir",H111,""))</f>
        <v/>
      </c>
      <c r="D118" s="168"/>
      <c r="E118" s="173"/>
      <c r="F118" s="166"/>
      <c r="G118" s="176"/>
      <c r="H118" s="173"/>
      <c r="I118" s="166"/>
      <c r="J118" s="169"/>
      <c r="K118" s="170"/>
    </row>
    <row r="119" spans="1:11">
      <c r="A119" s="181"/>
      <c r="C119" s="169"/>
      <c r="D119" s="170"/>
      <c r="E119" s="173"/>
      <c r="F119" s="166"/>
      <c r="G119" s="176"/>
      <c r="H119" s="173"/>
      <c r="I119" s="166"/>
      <c r="J119" s="171"/>
      <c r="K119" s="172"/>
    </row>
    <row r="120" spans="1:11">
      <c r="A120" s="181"/>
      <c r="C120" s="169"/>
      <c r="D120" s="170"/>
      <c r="E120" s="173"/>
      <c r="F120" s="166"/>
      <c r="G120" s="176"/>
      <c r="H120" s="173"/>
      <c r="I120" s="166">
        <v>0</v>
      </c>
      <c r="J120" s="167" t="str">
        <f>IF(I120="Décor",H110,IF(I120="Miroir",H111,""))</f>
        <v/>
      </c>
      <c r="K120" s="168"/>
    </row>
    <row r="121" spans="1:11">
      <c r="A121" s="181"/>
      <c r="C121" s="171"/>
      <c r="D121" s="172"/>
      <c r="E121" s="173"/>
      <c r="F121" s="166"/>
      <c r="G121" s="176"/>
      <c r="H121" s="173"/>
      <c r="I121" s="166"/>
      <c r="J121" s="169"/>
      <c r="K121" s="170"/>
    </row>
    <row r="122" spans="1:11">
      <c r="A122" s="181"/>
      <c r="C122" s="167" t="str">
        <f>IF(E122="Décor",G110,IF(E122="Miroir",G111,""))</f>
        <v/>
      </c>
      <c r="D122" s="168"/>
      <c r="E122" s="173"/>
      <c r="F122" s="166"/>
      <c r="G122" s="176"/>
      <c r="H122" s="173"/>
      <c r="I122" s="166"/>
      <c r="J122" s="171"/>
      <c r="K122" s="172"/>
    </row>
    <row r="123" spans="1:11">
      <c r="A123" s="181"/>
      <c r="C123" s="169"/>
      <c r="D123" s="170"/>
      <c r="E123" s="173"/>
      <c r="F123" s="166"/>
      <c r="G123" s="176"/>
      <c r="H123" s="173"/>
      <c r="I123" s="166">
        <v>0</v>
      </c>
      <c r="J123" s="167" t="str">
        <f>IF(I123="Décor",G110,IF(I123="Miroir",G111,""))</f>
        <v/>
      </c>
      <c r="K123" s="168"/>
    </row>
    <row r="124" spans="1:11">
      <c r="A124" s="181"/>
      <c r="C124" s="169"/>
      <c r="D124" s="170"/>
      <c r="E124" s="173"/>
      <c r="F124" s="166"/>
      <c r="G124" s="176"/>
      <c r="H124" s="173"/>
      <c r="I124" s="166"/>
      <c r="J124" s="169"/>
      <c r="K124" s="170"/>
    </row>
    <row r="125" spans="1:11">
      <c r="A125" s="182"/>
      <c r="C125" s="171"/>
      <c r="D125" s="172"/>
      <c r="E125" s="173"/>
      <c r="F125" s="166"/>
      <c r="G125" s="177"/>
      <c r="H125" s="173"/>
      <c r="I125" s="166"/>
      <c r="J125" s="171"/>
      <c r="K125" s="172"/>
    </row>
  </sheetData>
  <sheetProtection autoFilter="0"/>
  <mergeCells count="183">
    <mergeCell ref="A18:J18"/>
    <mergeCell ref="I8:J8"/>
    <mergeCell ref="I14:J14"/>
    <mergeCell ref="D14:E14"/>
    <mergeCell ref="A10:B14"/>
    <mergeCell ref="A19:J19"/>
    <mergeCell ref="A20:J20"/>
    <mergeCell ref="A21:J21"/>
    <mergeCell ref="J29:K29"/>
    <mergeCell ref="B1:C1"/>
    <mergeCell ref="A2:G3"/>
    <mergeCell ref="F5:H5"/>
    <mergeCell ref="A5:B5"/>
    <mergeCell ref="I6:K6"/>
    <mergeCell ref="D12:E12"/>
    <mergeCell ref="A6:B6"/>
    <mergeCell ref="H2:K3"/>
    <mergeCell ref="I5:K5"/>
    <mergeCell ref="C5:E5"/>
    <mergeCell ref="A8:C8"/>
    <mergeCell ref="F6:H6"/>
    <mergeCell ref="I13:J13"/>
    <mergeCell ref="D11:E11"/>
    <mergeCell ref="D13:E13"/>
    <mergeCell ref="C6:E6"/>
    <mergeCell ref="G10:I10"/>
    <mergeCell ref="I11:J11"/>
    <mergeCell ref="I12:J12"/>
    <mergeCell ref="A17:J17"/>
    <mergeCell ref="D109:E109"/>
    <mergeCell ref="B110:B111"/>
    <mergeCell ref="C110:C111"/>
    <mergeCell ref="D110:E110"/>
    <mergeCell ref="D111:E111"/>
    <mergeCell ref="A108:J108"/>
    <mergeCell ref="I33:I35"/>
    <mergeCell ref="I36:I38"/>
    <mergeCell ref="I39:I41"/>
    <mergeCell ref="H33:H35"/>
    <mergeCell ref="H36:H38"/>
    <mergeCell ref="H39:H41"/>
    <mergeCell ref="E30:E33"/>
    <mergeCell ref="E34:E37"/>
    <mergeCell ref="E38:E41"/>
    <mergeCell ref="I30:I32"/>
    <mergeCell ref="C30:D33"/>
    <mergeCell ref="C34:D37"/>
    <mergeCell ref="C38:D41"/>
    <mergeCell ref="E59:E62"/>
    <mergeCell ref="F51:F54"/>
    <mergeCell ref="D48:E48"/>
    <mergeCell ref="A51:A62"/>
    <mergeCell ref="C51:D54"/>
    <mergeCell ref="E51:E54"/>
    <mergeCell ref="A24:J24"/>
    <mergeCell ref="C26:C27"/>
    <mergeCell ref="G30:G41"/>
    <mergeCell ref="A30:A41"/>
    <mergeCell ref="B26:B27"/>
    <mergeCell ref="C29:D29"/>
    <mergeCell ref="D27:E27"/>
    <mergeCell ref="D26:E26"/>
    <mergeCell ref="D25:E25"/>
    <mergeCell ref="A72:A83"/>
    <mergeCell ref="C72:D75"/>
    <mergeCell ref="E72:E75"/>
    <mergeCell ref="A66:J66"/>
    <mergeCell ref="D67:E67"/>
    <mergeCell ref="B68:B69"/>
    <mergeCell ref="C68:C69"/>
    <mergeCell ref="D68:E68"/>
    <mergeCell ref="D69:E69"/>
    <mergeCell ref="A114:A125"/>
    <mergeCell ref="C114:D117"/>
    <mergeCell ref="E114:E117"/>
    <mergeCell ref="A45:J45"/>
    <mergeCell ref="D46:E46"/>
    <mergeCell ref="B47:B48"/>
    <mergeCell ref="C47:C48"/>
    <mergeCell ref="D47:E47"/>
    <mergeCell ref="F30:F33"/>
    <mergeCell ref="F34:F37"/>
    <mergeCell ref="F38:F41"/>
    <mergeCell ref="H30:H32"/>
    <mergeCell ref="C97:D100"/>
    <mergeCell ref="E97:E100"/>
    <mergeCell ref="C101:D104"/>
    <mergeCell ref="E101:E104"/>
    <mergeCell ref="F97:F100"/>
    <mergeCell ref="H99:H101"/>
    <mergeCell ref="A93:A104"/>
    <mergeCell ref="C93:D96"/>
    <mergeCell ref="E93:E96"/>
    <mergeCell ref="A87:J87"/>
    <mergeCell ref="D88:E88"/>
    <mergeCell ref="B89:B90"/>
    <mergeCell ref="J30:K32"/>
    <mergeCell ref="J33:K35"/>
    <mergeCell ref="J36:K38"/>
    <mergeCell ref="J39:K41"/>
    <mergeCell ref="C50:D50"/>
    <mergeCell ref="J50:K50"/>
    <mergeCell ref="C118:D121"/>
    <mergeCell ref="E118:E121"/>
    <mergeCell ref="C122:D125"/>
    <mergeCell ref="E122:E125"/>
    <mergeCell ref="F118:F121"/>
    <mergeCell ref="H120:H122"/>
    <mergeCell ref="C89:C90"/>
    <mergeCell ref="D89:E89"/>
    <mergeCell ref="D90:E90"/>
    <mergeCell ref="C76:D79"/>
    <mergeCell ref="E76:E79"/>
    <mergeCell ref="C80:D83"/>
    <mergeCell ref="E80:E83"/>
    <mergeCell ref="F76:F79"/>
    <mergeCell ref="H78:H80"/>
    <mergeCell ref="C55:D58"/>
    <mergeCell ref="E55:E58"/>
    <mergeCell ref="C59:D62"/>
    <mergeCell ref="F55:F58"/>
    <mergeCell ref="H57:H59"/>
    <mergeCell ref="I57:I59"/>
    <mergeCell ref="J57:K59"/>
    <mergeCell ref="F59:F62"/>
    <mergeCell ref="H60:H62"/>
    <mergeCell ref="I60:I62"/>
    <mergeCell ref="J60:K62"/>
    <mergeCell ref="G51:G62"/>
    <mergeCell ref="H51:H53"/>
    <mergeCell ref="I51:I53"/>
    <mergeCell ref="J51:K53"/>
    <mergeCell ref="H54:H56"/>
    <mergeCell ref="I54:I56"/>
    <mergeCell ref="J54:K56"/>
    <mergeCell ref="I78:I80"/>
    <mergeCell ref="J78:K80"/>
    <mergeCell ref="F80:F83"/>
    <mergeCell ref="H81:H83"/>
    <mergeCell ref="I81:I83"/>
    <mergeCell ref="J81:K83"/>
    <mergeCell ref="C71:D71"/>
    <mergeCell ref="J71:K71"/>
    <mergeCell ref="F72:F75"/>
    <mergeCell ref="G72:G83"/>
    <mergeCell ref="H72:H74"/>
    <mergeCell ref="I72:I74"/>
    <mergeCell ref="J72:K74"/>
    <mergeCell ref="H75:H77"/>
    <mergeCell ref="I75:I77"/>
    <mergeCell ref="J75:K77"/>
    <mergeCell ref="I99:I101"/>
    <mergeCell ref="J99:K101"/>
    <mergeCell ref="F101:F104"/>
    <mergeCell ref="H102:H104"/>
    <mergeCell ref="I102:I104"/>
    <mergeCell ref="J102:K104"/>
    <mergeCell ref="C92:D92"/>
    <mergeCell ref="J92:K92"/>
    <mergeCell ref="F93:F96"/>
    <mergeCell ref="G93:G104"/>
    <mergeCell ref="H93:H95"/>
    <mergeCell ref="I93:I95"/>
    <mergeCell ref="J93:K95"/>
    <mergeCell ref="H96:H98"/>
    <mergeCell ref="I96:I98"/>
    <mergeCell ref="J96:K98"/>
    <mergeCell ref="I120:I122"/>
    <mergeCell ref="J120:K122"/>
    <mergeCell ref="F122:F125"/>
    <mergeCell ref="H123:H125"/>
    <mergeCell ref="I123:I125"/>
    <mergeCell ref="J123:K125"/>
    <mergeCell ref="C113:D113"/>
    <mergeCell ref="J113:K113"/>
    <mergeCell ref="F114:F117"/>
    <mergeCell ref="G114:G125"/>
    <mergeCell ref="H114:H116"/>
    <mergeCell ref="I114:I116"/>
    <mergeCell ref="J114:K116"/>
    <mergeCell ref="H117:H119"/>
    <mergeCell ref="I117:I119"/>
    <mergeCell ref="J117:K119"/>
  </mergeCells>
  <phoneticPr fontId="0" type="noConversion"/>
  <dataValidations count="1">
    <dataValidation type="list" allowBlank="1" showInputMessage="1" showErrorMessage="1" sqref="E114:E125 E30:E41 E51:E62 E72:E83 E93:E104 H30:H41 H51:H62 H72:H83 H93:H104 H114:H125">
      <formula1>"0,Décor,Miroir"</formula1>
    </dataValidation>
  </dataValidations>
  <printOptions horizontalCentered="1"/>
  <pageMargins left="0.19685039370078741" right="0.19685039370078741" top="0.19685039370078741" bottom="0.19685039370078741" header="0" footer="0"/>
  <pageSetup paperSize="9" scale="8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50"/>
  <sheetViews>
    <sheetView showZeros="0" view="pageBreakPreview" zoomScale="115" zoomScaleNormal="100" zoomScaleSheetLayoutView="115" workbookViewId="0">
      <selection activeCell="D13" sqref="D13"/>
    </sheetView>
  </sheetViews>
  <sheetFormatPr baseColWidth="10" defaultRowHeight="15.75"/>
  <cols>
    <col min="1" max="4" width="11.42578125" style="1"/>
    <col min="5" max="5" width="28" style="1" customWidth="1"/>
    <col min="6" max="6" width="12.140625" style="1" customWidth="1"/>
    <col min="7" max="7" width="13.42578125" style="1" customWidth="1"/>
    <col min="8" max="8" width="14.42578125" style="1" customWidth="1"/>
    <col min="9" max="9" width="14" style="1" customWidth="1"/>
    <col min="10" max="10" width="14.7109375" style="1" customWidth="1"/>
    <col min="11" max="16384" width="11.42578125" style="1"/>
  </cols>
  <sheetData>
    <row r="1" spans="1:8">
      <c r="A1" s="235" t="s">
        <v>37</v>
      </c>
      <c r="B1" s="235"/>
      <c r="C1" s="235"/>
      <c r="D1" s="235"/>
      <c r="E1" s="235"/>
      <c r="F1" s="235"/>
      <c r="G1" s="234" t="str">
        <f>'Feuille de saisie'!H2</f>
        <v>ELDECOR</v>
      </c>
      <c r="H1" s="234"/>
    </row>
    <row r="2" spans="1:8">
      <c r="A2" s="235"/>
      <c r="B2" s="235"/>
      <c r="C2" s="235"/>
      <c r="D2" s="235"/>
      <c r="E2" s="235"/>
      <c r="F2" s="235"/>
      <c r="G2" s="234"/>
      <c r="H2" s="234"/>
    </row>
    <row r="3" spans="1:8" ht="18.75">
      <c r="A3" s="223" t="s">
        <v>35</v>
      </c>
      <c r="B3" s="223"/>
      <c r="C3" s="255" t="s">
        <v>40</v>
      </c>
      <c r="D3" s="255"/>
      <c r="E3" s="255"/>
      <c r="F3" s="14">
        <f>'Feuille de saisie'!K8</f>
        <v>3</v>
      </c>
    </row>
    <row r="4" spans="1:8">
      <c r="A4" s="3" t="s">
        <v>7</v>
      </c>
      <c r="B4" s="4">
        <f>'Feuille de saisie'!E8</f>
        <v>2500</v>
      </c>
    </row>
    <row r="5" spans="1:8">
      <c r="A5" s="35" t="s">
        <v>41</v>
      </c>
      <c r="B5" s="4">
        <f>'Feuille de saisie'!G8</f>
        <v>2000</v>
      </c>
    </row>
    <row r="6" spans="1:8">
      <c r="A6" s="35"/>
      <c r="B6" s="4"/>
    </row>
    <row r="7" spans="1:8">
      <c r="A7" s="223" t="s">
        <v>36</v>
      </c>
      <c r="B7" s="223"/>
      <c r="C7" s="223"/>
      <c r="D7" s="3" t="s">
        <v>44</v>
      </c>
      <c r="E7" s="3">
        <f>F3-1</f>
        <v>2</v>
      </c>
      <c r="F7" s="1" t="s">
        <v>45</v>
      </c>
      <c r="G7" s="3">
        <f>F3-2</f>
        <v>1</v>
      </c>
    </row>
    <row r="8" spans="1:8">
      <c r="A8" s="2">
        <v>1</v>
      </c>
      <c r="B8" s="3" t="str">
        <f>IF('Feuille de saisie'!$K$17='Feuille de calcul'!A8,"VRAI","FAUX")</f>
        <v>FAUX</v>
      </c>
      <c r="C8" s="227" t="s">
        <v>46</v>
      </c>
      <c r="D8" s="227"/>
      <c r="E8" s="40">
        <f>IF(B8,H18,0)</f>
        <v>0</v>
      </c>
      <c r="G8" s="3"/>
    </row>
    <row r="9" spans="1:8">
      <c r="A9" s="2">
        <v>2</v>
      </c>
      <c r="B9" s="3" t="str">
        <f>IF('Feuille de saisie'!$K$17='Feuille de calcul'!A9,"VRAI","FAUX")</f>
        <v>FAUX</v>
      </c>
      <c r="C9" s="227" t="s">
        <v>46</v>
      </c>
      <c r="D9" s="227"/>
      <c r="E9" s="40">
        <f>IF(B9,H19,0)</f>
        <v>0</v>
      </c>
      <c r="G9" s="3"/>
    </row>
    <row r="10" spans="1:8">
      <c r="A10" s="2">
        <v>3</v>
      </c>
      <c r="B10" s="3" t="str">
        <f>IF('Feuille de saisie'!$K$17='Feuille de calcul'!A10,"VRAI","FAUX")</f>
        <v>FAUX</v>
      </c>
      <c r="C10" s="227" t="s">
        <v>46</v>
      </c>
      <c r="D10" s="227"/>
      <c r="E10" s="40">
        <f>IF(B10,H20,0)</f>
        <v>0</v>
      </c>
      <c r="G10" s="3"/>
    </row>
    <row r="11" spans="1:8">
      <c r="A11" s="2">
        <v>4</v>
      </c>
      <c r="B11" s="3" t="str">
        <f>IF('Feuille de saisie'!$K$17='Feuille de calcul'!A11,"VRAI","FAUX")</f>
        <v>VRAI</v>
      </c>
      <c r="C11" s="227" t="s">
        <v>46</v>
      </c>
      <c r="D11" s="227"/>
      <c r="E11" s="40">
        <f>IF(B11,H21,0)</f>
        <v>683.06666666666661</v>
      </c>
      <c r="G11" s="3"/>
    </row>
    <row r="12" spans="1:8">
      <c r="A12" s="2"/>
    </row>
    <row r="13" spans="1:8">
      <c r="A13" s="34" t="s">
        <v>50</v>
      </c>
      <c r="C13" s="6" t="s">
        <v>48</v>
      </c>
      <c r="D13" s="36">
        <f>B4-D15</f>
        <v>2456</v>
      </c>
      <c r="E13" s="6" t="s">
        <v>49</v>
      </c>
      <c r="F13" s="41">
        <f>SUM(E8:E11)</f>
        <v>683.06666666666661</v>
      </c>
    </row>
    <row r="14" spans="1:8">
      <c r="A14" s="239" t="s">
        <v>52</v>
      </c>
      <c r="B14" s="240"/>
      <c r="C14" s="240"/>
      <c r="D14" s="240"/>
      <c r="E14" s="240"/>
      <c r="F14" s="240"/>
      <c r="G14" s="240"/>
      <c r="H14" s="241"/>
    </row>
    <row r="15" spans="1:8" ht="15.75" customHeight="1">
      <c r="A15" s="230" t="s">
        <v>38</v>
      </c>
      <c r="B15" s="230"/>
      <c r="C15" s="230"/>
      <c r="D15" s="238">
        <v>44</v>
      </c>
      <c r="E15" s="197"/>
      <c r="F15" s="256" t="s">
        <v>81</v>
      </c>
      <c r="G15" s="250" t="s">
        <v>47</v>
      </c>
      <c r="H15" s="251"/>
    </row>
    <row r="16" spans="1:8">
      <c r="A16" s="230" t="s">
        <v>82</v>
      </c>
      <c r="B16" s="230"/>
      <c r="C16" s="230"/>
      <c r="D16" s="236">
        <v>29.1</v>
      </c>
      <c r="E16" s="237"/>
      <c r="F16" s="257"/>
      <c r="G16" s="252"/>
      <c r="H16" s="253"/>
    </row>
    <row r="17" spans="1:8">
      <c r="A17" s="230" t="s">
        <v>43</v>
      </c>
      <c r="B17" s="230"/>
      <c r="C17" s="230"/>
      <c r="D17" s="238">
        <v>1.5</v>
      </c>
      <c r="E17" s="197"/>
      <c r="F17" s="47">
        <v>29.1</v>
      </c>
      <c r="G17" s="54"/>
      <c r="H17" s="61"/>
    </row>
    <row r="18" spans="1:8">
      <c r="A18" s="244" t="s">
        <v>39</v>
      </c>
      <c r="B18" s="245"/>
      <c r="C18" s="245"/>
      <c r="D18" s="56"/>
      <c r="E18" s="57"/>
      <c r="F18" s="58"/>
      <c r="G18" s="19" t="s">
        <v>21</v>
      </c>
      <c r="H18" s="42">
        <f>(($B$5+(($E$7)*$D$16))/$F$3)-(2*$D$17)</f>
        <v>683.06666666666661</v>
      </c>
    </row>
    <row r="19" spans="1:8">
      <c r="A19" s="246"/>
      <c r="B19" s="247"/>
      <c r="C19" s="247"/>
      <c r="D19" s="242" t="s">
        <v>84</v>
      </c>
      <c r="E19" s="243"/>
      <c r="F19" s="254" t="s">
        <v>83</v>
      </c>
      <c r="G19" s="19" t="s">
        <v>22</v>
      </c>
      <c r="H19" s="42">
        <f>(($B$5+(($E$7)*$D$16))/$F$3)-(2*$D$17)</f>
        <v>683.06666666666661</v>
      </c>
    </row>
    <row r="20" spans="1:8">
      <c r="A20" s="246"/>
      <c r="B20" s="247"/>
      <c r="C20" s="247"/>
      <c r="D20" s="242" t="s">
        <v>42</v>
      </c>
      <c r="E20" s="243"/>
      <c r="F20" s="254"/>
      <c r="G20" s="19" t="s">
        <v>23</v>
      </c>
      <c r="H20" s="42">
        <f>(($B$5+(($E$7)*$D$16))/$F$3)-(2*$D$17)</f>
        <v>683.06666666666661</v>
      </c>
    </row>
    <row r="21" spans="1:8">
      <c r="A21" s="248"/>
      <c r="B21" s="249"/>
      <c r="C21" s="249"/>
      <c r="D21" s="59"/>
      <c r="E21" s="60"/>
      <c r="F21" s="55"/>
      <c r="G21" s="19" t="s">
        <v>24</v>
      </c>
      <c r="H21" s="42">
        <f>(($B$5+(($E$7)*$D$16))/$F$3)-(2*$D$17)</f>
        <v>683.06666666666661</v>
      </c>
    </row>
    <row r="22" spans="1:8">
      <c r="C22" s="17"/>
      <c r="D22" s="17"/>
      <c r="E22" s="17"/>
      <c r="F22" s="3"/>
      <c r="G22" s="3"/>
      <c r="H22" s="17"/>
    </row>
    <row r="23" spans="1:8">
      <c r="A23" s="34" t="s">
        <v>51</v>
      </c>
      <c r="C23" s="6" t="s">
        <v>48</v>
      </c>
      <c r="D23" s="36">
        <f>IF('Feuille de saisie'!J10=0,0,(D13-E25))</f>
        <v>0</v>
      </c>
      <c r="E23" s="6" t="s">
        <v>49</v>
      </c>
      <c r="F23" s="41">
        <f>IF('Feuille de saisie'!J10=0,0,(F13-E26))</f>
        <v>0</v>
      </c>
    </row>
    <row r="24" spans="1:8">
      <c r="A24" s="229" t="s">
        <v>55</v>
      </c>
      <c r="B24" s="229"/>
      <c r="C24" s="229"/>
      <c r="D24" s="229"/>
      <c r="E24" s="229"/>
    </row>
    <row r="25" spans="1:8">
      <c r="A25" s="230" t="s">
        <v>53</v>
      </c>
      <c r="B25" s="230"/>
      <c r="C25" s="230"/>
      <c r="D25" s="230"/>
      <c r="E25" s="20">
        <v>5</v>
      </c>
      <c r="G25" s="1" t="s">
        <v>92</v>
      </c>
    </row>
    <row r="26" spans="1:8">
      <c r="A26" s="230" t="s">
        <v>54</v>
      </c>
      <c r="B26" s="230"/>
      <c r="C26" s="230"/>
      <c r="D26" s="230"/>
      <c r="E26" s="20">
        <v>5</v>
      </c>
    </row>
    <row r="28" spans="1:8">
      <c r="A28" s="34" t="s">
        <v>56</v>
      </c>
      <c r="C28" s="6" t="s">
        <v>57</v>
      </c>
      <c r="D28" s="36">
        <f>D13+E29</f>
        <v>2459</v>
      </c>
    </row>
    <row r="29" spans="1:8">
      <c r="A29" s="233" t="s">
        <v>80</v>
      </c>
      <c r="B29" s="233"/>
      <c r="C29" s="233"/>
      <c r="D29" s="233"/>
      <c r="E29" s="7">
        <v>3</v>
      </c>
    </row>
    <row r="30" spans="1:8">
      <c r="A30" s="34"/>
      <c r="C30" s="6"/>
      <c r="D30" s="37"/>
    </row>
    <row r="31" spans="1:8">
      <c r="A31" s="34" t="s">
        <v>58</v>
      </c>
      <c r="D31" s="6" t="s">
        <v>59</v>
      </c>
      <c r="E31" s="39">
        <f>B5-E33</f>
        <v>1999</v>
      </c>
    </row>
    <row r="32" spans="1:8">
      <c r="A32" s="229" t="s">
        <v>61</v>
      </c>
      <c r="B32" s="229"/>
      <c r="C32" s="229"/>
      <c r="D32" s="229"/>
      <c r="E32" s="229"/>
    </row>
    <row r="33" spans="1:8">
      <c r="A33" s="230" t="s">
        <v>60</v>
      </c>
      <c r="B33" s="230"/>
      <c r="C33" s="230"/>
      <c r="D33" s="230"/>
      <c r="E33" s="20">
        <v>1</v>
      </c>
      <c r="F33" s="7"/>
    </row>
    <row r="34" spans="1:8">
      <c r="A34" s="34"/>
      <c r="E34" s="32"/>
    </row>
    <row r="35" spans="1:8">
      <c r="A35" s="13"/>
      <c r="B35" s="13"/>
      <c r="C35" s="13"/>
      <c r="D35" s="13"/>
      <c r="E35" s="38"/>
    </row>
    <row r="36" spans="1:8">
      <c r="A36" s="43" t="s">
        <v>70</v>
      </c>
      <c r="B36" s="13"/>
      <c r="C36" s="13"/>
      <c r="D36" s="6" t="s">
        <v>59</v>
      </c>
      <c r="E36" s="36">
        <f>F13-G36</f>
        <v>627.86666666666656</v>
      </c>
      <c r="F36" s="1" t="s">
        <v>64</v>
      </c>
      <c r="G36" s="3">
        <f>2*($F$17-$D$17-0)</f>
        <v>55.2</v>
      </c>
    </row>
    <row r="37" spans="1:8" s="68" customFormat="1">
      <c r="A37" s="65"/>
      <c r="B37" s="66"/>
      <c r="C37" s="66"/>
      <c r="D37" s="66"/>
      <c r="E37" s="67"/>
    </row>
    <row r="38" spans="1:8">
      <c r="A38" s="13"/>
      <c r="B38" s="13"/>
      <c r="C38" s="13"/>
      <c r="D38" s="13"/>
      <c r="E38" s="38"/>
    </row>
    <row r="39" spans="1:8">
      <c r="A39" s="34" t="s">
        <v>93</v>
      </c>
      <c r="D39" s="6" t="s">
        <v>59</v>
      </c>
      <c r="E39" s="64">
        <f>+E36</f>
        <v>627.86666666666656</v>
      </c>
      <c r="F39" s="1" t="s">
        <v>102</v>
      </c>
    </row>
    <row r="40" spans="1:8">
      <c r="A40" s="229" t="s">
        <v>62</v>
      </c>
      <c r="B40" s="229"/>
      <c r="C40" s="229"/>
      <c r="D40" s="229"/>
      <c r="E40" s="229"/>
      <c r="F40" s="231" t="s">
        <v>63</v>
      </c>
      <c r="G40" s="232"/>
      <c r="H40" s="45" t="s">
        <v>69</v>
      </c>
    </row>
    <row r="41" spans="1:8">
      <c r="A41" s="228" t="s">
        <v>74</v>
      </c>
      <c r="B41" s="228"/>
      <c r="C41" s="228"/>
      <c r="D41" s="228"/>
      <c r="E41" s="19">
        <f>G41</f>
        <v>56.2</v>
      </c>
      <c r="F41" s="1" t="s">
        <v>64</v>
      </c>
      <c r="G41" s="3">
        <f>G36+1</f>
        <v>56.2</v>
      </c>
      <c r="H41" s="3">
        <v>0.5</v>
      </c>
    </row>
    <row r="42" spans="1:8">
      <c r="A42" s="34" t="s">
        <v>65</v>
      </c>
      <c r="D42" s="224" t="s">
        <v>66</v>
      </c>
      <c r="E42" s="225">
        <f>IF('Feuille de saisie'!B26=0,0,((('Feuille de calcul'!D13-((3*H42)+H43))/('Feuille de saisie'!B26+1))))</f>
        <v>0</v>
      </c>
      <c r="F42" s="227" t="s">
        <v>67</v>
      </c>
      <c r="G42" s="227"/>
      <c r="H42" s="7">
        <v>24</v>
      </c>
    </row>
    <row r="43" spans="1:8">
      <c r="A43" s="222"/>
      <c r="B43" s="222"/>
      <c r="C43" s="222"/>
      <c r="D43" s="224"/>
      <c r="E43" s="226"/>
      <c r="F43" s="227" t="s">
        <v>68</v>
      </c>
      <c r="G43" s="227"/>
      <c r="H43" s="7">
        <v>40</v>
      </c>
    </row>
    <row r="44" spans="1:8">
      <c r="A44" s="229" t="s">
        <v>95</v>
      </c>
      <c r="B44" s="229"/>
      <c r="C44" s="229"/>
      <c r="D44" s="229"/>
      <c r="E44" s="229"/>
      <c r="F44" s="229"/>
      <c r="G44" s="229"/>
      <c r="H44" s="229"/>
    </row>
    <row r="45" spans="1:8">
      <c r="A45" s="1" t="s">
        <v>94</v>
      </c>
    </row>
    <row r="46" spans="1:8">
      <c r="B46" s="1" t="s">
        <v>100</v>
      </c>
      <c r="E46" s="62">
        <f>D13</f>
        <v>2456</v>
      </c>
    </row>
    <row r="47" spans="1:8">
      <c r="B47" s="1" t="s">
        <v>96</v>
      </c>
      <c r="E47" s="63">
        <v>1.3</v>
      </c>
      <c r="F47" s="1" t="s">
        <v>102</v>
      </c>
    </row>
    <row r="48" spans="1:8">
      <c r="B48" s="1" t="s">
        <v>97</v>
      </c>
      <c r="E48" s="63">
        <f>'Feuille de saisie'!B26</f>
        <v>0</v>
      </c>
    </row>
    <row r="49" spans="2:5">
      <c r="B49" s="1" t="s">
        <v>98</v>
      </c>
      <c r="E49" s="63">
        <f>'Feuille de saisie'!B26+1</f>
        <v>1</v>
      </c>
    </row>
    <row r="50" spans="2:5">
      <c r="B50" s="1" t="s">
        <v>99</v>
      </c>
      <c r="E50" s="63">
        <f>(E46-(E47*E48))/E49</f>
        <v>2456</v>
      </c>
    </row>
  </sheetData>
  <mergeCells count="38">
    <mergeCell ref="A44:E44"/>
    <mergeCell ref="F44:H44"/>
    <mergeCell ref="C3:E3"/>
    <mergeCell ref="A3:B3"/>
    <mergeCell ref="D20:E20"/>
    <mergeCell ref="A15:C15"/>
    <mergeCell ref="D15:E15"/>
    <mergeCell ref="A17:C17"/>
    <mergeCell ref="A16:C16"/>
    <mergeCell ref="F15:F16"/>
    <mergeCell ref="G1:H2"/>
    <mergeCell ref="A1:F2"/>
    <mergeCell ref="A25:D25"/>
    <mergeCell ref="A26:D26"/>
    <mergeCell ref="A24:E24"/>
    <mergeCell ref="D16:E16"/>
    <mergeCell ref="D17:E17"/>
    <mergeCell ref="A14:H14"/>
    <mergeCell ref="D19:E19"/>
    <mergeCell ref="A18:C21"/>
    <mergeCell ref="G15:H16"/>
    <mergeCell ref="C8:D8"/>
    <mergeCell ref="C9:D9"/>
    <mergeCell ref="C10:D10"/>
    <mergeCell ref="C11:D11"/>
    <mergeCell ref="F19:F20"/>
    <mergeCell ref="A43:C43"/>
    <mergeCell ref="A7:C7"/>
    <mergeCell ref="D42:D43"/>
    <mergeCell ref="E42:E43"/>
    <mergeCell ref="F42:G42"/>
    <mergeCell ref="F43:G43"/>
    <mergeCell ref="A41:D41"/>
    <mergeCell ref="A40:E40"/>
    <mergeCell ref="A33:D33"/>
    <mergeCell ref="A32:E32"/>
    <mergeCell ref="F40:G40"/>
    <mergeCell ref="A29:D29"/>
  </mergeCells>
  <phoneticPr fontId="0" type="noConversion"/>
  <printOptions horizontalCentered="1"/>
  <pageMargins left="0.19685039370078741" right="0.19685039370078741" top="0.19685039370078741" bottom="0.19685039370078741" header="0" footer="0"/>
  <pageSetup paperSize="9" scale="9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K82"/>
  <sheetViews>
    <sheetView showZeros="0" tabSelected="1" topLeftCell="A24" workbookViewId="0">
      <selection activeCell="B46" sqref="B46"/>
    </sheetView>
  </sheetViews>
  <sheetFormatPr baseColWidth="10" defaultRowHeight="15.75"/>
  <cols>
    <col min="1" max="1" width="24.5703125" style="1" customWidth="1"/>
    <col min="2" max="2" width="18.7109375" style="1" customWidth="1"/>
    <col min="3" max="3" width="17.140625" style="1" customWidth="1"/>
    <col min="4" max="4" width="17.28515625" style="1" customWidth="1"/>
    <col min="5" max="5" width="9.28515625" style="1" customWidth="1"/>
    <col min="6" max="6" width="18.7109375" style="3" customWidth="1"/>
    <col min="7" max="7" width="18.7109375" style="4" customWidth="1"/>
    <col min="8" max="16384" width="11.42578125" style="1"/>
  </cols>
  <sheetData>
    <row r="1" spans="1:7">
      <c r="E1" s="6"/>
      <c r="F1" s="227"/>
      <c r="G1" s="227"/>
    </row>
    <row r="2" spans="1:7" ht="23.25">
      <c r="A2" s="5"/>
      <c r="B2" s="5"/>
      <c r="C2" s="5"/>
      <c r="D2" s="5"/>
      <c r="E2" s="5"/>
      <c r="F2" s="5"/>
      <c r="G2" s="7"/>
    </row>
    <row r="3" spans="1:7" ht="23.25">
      <c r="A3" s="285" t="s">
        <v>0</v>
      </c>
      <c r="B3" s="285"/>
      <c r="C3" s="285"/>
      <c r="D3" s="285"/>
      <c r="E3" s="105"/>
      <c r="F3" s="105" t="s">
        <v>114</v>
      </c>
      <c r="G3" s="132"/>
    </row>
    <row r="5" spans="1:7" s="16" customFormat="1" ht="20.25">
      <c r="A5" s="8" t="s">
        <v>4</v>
      </c>
      <c r="B5" s="292" t="s">
        <v>115</v>
      </c>
      <c r="C5" s="292"/>
      <c r="D5" s="12" t="s">
        <v>116</v>
      </c>
      <c r="E5" s="286" t="str">
        <f>+'Feuille de saisie'!C5</f>
        <v>TOTO</v>
      </c>
      <c r="F5" s="286"/>
      <c r="G5" s="286"/>
    </row>
    <row r="6" spans="1:7" ht="4.5" customHeight="1">
      <c r="A6" s="8"/>
      <c r="B6" s="22"/>
      <c r="C6" s="22"/>
      <c r="D6" s="12"/>
      <c r="E6" s="3"/>
      <c r="G6" s="21"/>
    </row>
    <row r="7" spans="1:7" s="16" customFormat="1" ht="18.75">
      <c r="A7" s="133" t="s">
        <v>117</v>
      </c>
      <c r="B7" s="290"/>
      <c r="C7" s="290"/>
      <c r="D7" s="287" t="str">
        <f>'Feuille de saisie'!F6</f>
        <v>PLACARD 1</v>
      </c>
      <c r="E7" s="288"/>
      <c r="F7" s="288"/>
      <c r="G7" s="289"/>
    </row>
    <row r="8" spans="1:7" s="16" customFormat="1" ht="6" customHeight="1">
      <c r="A8" s="8"/>
      <c r="B8" s="22"/>
      <c r="C8" s="22"/>
      <c r="D8" s="12"/>
      <c r="E8" s="17"/>
      <c r="F8" s="17"/>
      <c r="G8" s="23"/>
    </row>
    <row r="9" spans="1:7" s="16" customFormat="1" ht="21.75" customHeight="1">
      <c r="A9" s="267" t="s">
        <v>29</v>
      </c>
      <c r="B9" s="267"/>
      <c r="C9" s="267"/>
      <c r="D9" s="267"/>
      <c r="E9" s="267"/>
      <c r="F9" s="267"/>
      <c r="G9" s="267"/>
    </row>
    <row r="10" spans="1:7" s="16" customFormat="1" ht="20.25">
      <c r="A10" s="92" t="s">
        <v>6</v>
      </c>
      <c r="B10" s="25" t="s">
        <v>30</v>
      </c>
      <c r="C10" s="93">
        <f>'Feuille de saisie'!E8</f>
        <v>2500</v>
      </c>
      <c r="D10" s="25" t="s">
        <v>31</v>
      </c>
      <c r="E10" s="93">
        <f>'Feuille de saisie'!G8</f>
        <v>2000</v>
      </c>
      <c r="F10" s="25" t="s">
        <v>16</v>
      </c>
      <c r="G10" s="94">
        <f>'Feuille de saisie'!K8</f>
        <v>3</v>
      </c>
    </row>
    <row r="11" spans="1:7" s="16" customFormat="1" ht="15.75" customHeight="1">
      <c r="A11" s="90">
        <f>'Feuille de saisie'!K17</f>
        <v>4</v>
      </c>
      <c r="B11" s="91" t="s">
        <v>32</v>
      </c>
      <c r="C11" s="268" t="s">
        <v>28</v>
      </c>
      <c r="D11" s="269"/>
      <c r="E11" s="269"/>
      <c r="F11" s="269"/>
      <c r="G11" s="270"/>
    </row>
    <row r="12" spans="1:7" s="16" customFormat="1" ht="18.75">
      <c r="A12" s="46" t="s">
        <v>121</v>
      </c>
      <c r="B12" s="26">
        <f>'Feuille de saisie'!E10</f>
        <v>3</v>
      </c>
      <c r="C12" s="271" t="str">
        <f>'Feuille de saisie'!D11&amp;'Feuille de saisie'!F11&amp;'Feuille de saisie'!D12&amp;'Feuille de saisie'!F12&amp;'Feuille de saisie'!D13&amp;'Feuille de saisie'!F13&amp;'Feuille de saisie'!D14</f>
        <v xml:space="preserve">VERT / JAUNE / ROUGE / </v>
      </c>
      <c r="D12" s="272"/>
      <c r="E12" s="272"/>
      <c r="F12" s="272"/>
      <c r="G12" s="273"/>
    </row>
    <row r="13" spans="1:7" s="16" customFormat="1" ht="16.5" thickBot="1">
      <c r="A13" s="25" t="s">
        <v>75</v>
      </c>
      <c r="B13" s="26">
        <f>'Feuille de saisie'!J10</f>
        <v>0</v>
      </c>
      <c r="C13" s="274" t="str">
        <f>'Feuille de saisie'!I11&amp;'Feuille de saisie'!K11&amp;'Feuille de saisie'!I12&amp;'Feuille de saisie'!K12&amp;'Feuille de saisie'!I13&amp;'Feuille de saisie'!K13&amp;'Feuille de saisie'!I14</f>
        <v/>
      </c>
      <c r="D13" s="275"/>
      <c r="E13" s="275"/>
      <c r="F13" s="275"/>
      <c r="G13" s="276"/>
    </row>
    <row r="14" spans="1:7" s="16" customFormat="1">
      <c r="A14" s="48" t="s">
        <v>77</v>
      </c>
      <c r="B14" s="49" t="s">
        <v>78</v>
      </c>
      <c r="C14" s="263" t="s">
        <v>79</v>
      </c>
      <c r="D14" s="263"/>
      <c r="E14" s="263" t="s">
        <v>28</v>
      </c>
      <c r="F14" s="263"/>
      <c r="G14" s="263"/>
    </row>
    <row r="15" spans="1:7" s="16" customFormat="1" ht="31.5">
      <c r="A15" s="52" t="s">
        <v>86</v>
      </c>
      <c r="B15" s="50">
        <f>'Ma feuille de calcul'!B11+'Ma feuille de calcul'!B20+'Ma feuille de calcul'!B29+'Ma feuille de calcul'!B37+'Ma feuille de calcul'!B45</f>
        <v>0</v>
      </c>
      <c r="C15" s="264">
        <f>'Feuille de saisie'!B26</f>
        <v>0</v>
      </c>
      <c r="D15" s="264"/>
      <c r="E15" s="265">
        <f>'Feuille de saisie'!D26</f>
        <v>0</v>
      </c>
      <c r="F15" s="265"/>
      <c r="G15" s="265"/>
    </row>
    <row r="16" spans="1:7" s="16" customFormat="1" ht="12.75" customHeight="1">
      <c r="A16" s="27"/>
      <c r="B16" s="27"/>
      <c r="C16" s="28"/>
      <c r="D16" s="28"/>
      <c r="E16" s="28"/>
      <c r="F16" s="28"/>
      <c r="G16" s="28"/>
    </row>
    <row r="17" spans="1:11" ht="21.75" customHeight="1">
      <c r="A17" s="260" t="s">
        <v>33</v>
      </c>
      <c r="B17" s="260"/>
      <c r="C17" s="260"/>
      <c r="D17" s="260"/>
      <c r="E17" s="260"/>
      <c r="F17" s="260"/>
      <c r="G17" s="260"/>
      <c r="H17" s="260"/>
      <c r="I17" s="260"/>
    </row>
    <row r="18" spans="1:11" ht="31.5">
      <c r="A18" s="69" t="s">
        <v>1</v>
      </c>
      <c r="B18" s="69" t="s">
        <v>106</v>
      </c>
      <c r="C18" s="266" t="s">
        <v>5</v>
      </c>
      <c r="D18" s="266"/>
      <c r="E18" s="70" t="s">
        <v>107</v>
      </c>
      <c r="F18" s="70" t="s">
        <v>9</v>
      </c>
      <c r="G18" s="80" t="s">
        <v>10</v>
      </c>
      <c r="H18" s="80" t="s">
        <v>164</v>
      </c>
      <c r="I18" s="80" t="s">
        <v>165</v>
      </c>
    </row>
    <row r="19" spans="1:11" ht="14.1" customHeight="1">
      <c r="A19" s="291" t="s">
        <v>2</v>
      </c>
      <c r="B19" s="78">
        <f>'Ma feuille de calcul'!E7</f>
        <v>0</v>
      </c>
      <c r="C19" s="258" t="str">
        <f>IF(AND($B19&gt;1,'Ma feuille de calcul'!D7="Décor"),"Panneau bois 19 mm",IF(AND(B19&gt;1,'Ma feuille de calcul'!D7="Miroir"),"Panneau 16 mm",""))</f>
        <v/>
      </c>
      <c r="D19" s="259"/>
      <c r="E19" s="79" t="str">
        <f>IF(B19&gt;1,1,"")</f>
        <v/>
      </c>
      <c r="F19" s="160" t="str">
        <f>'Ma feuille de calcul'!C7</f>
        <v/>
      </c>
      <c r="G19" s="160" t="str">
        <f>'Ma feuille de calcul'!B7</f>
        <v/>
      </c>
      <c r="H19" s="147"/>
      <c r="I19" s="147"/>
      <c r="K19" s="98"/>
    </row>
    <row r="20" spans="1:11" ht="14.1" customHeight="1">
      <c r="A20" s="291"/>
      <c r="B20" s="78">
        <f>'Ma feuille de calcul'!E8</f>
        <v>0</v>
      </c>
      <c r="C20" s="258" t="str">
        <f>IF(AND($B20&gt;1,'Ma feuille de calcul'!D8="Décor"),"Panneau bois 19 mm",IF(AND(B20&gt;1,'Ma feuille de calcul'!D8="Miroir"),"Panneau 16 mm",""))</f>
        <v/>
      </c>
      <c r="D20" s="259"/>
      <c r="E20" s="79" t="str">
        <f t="shared" ref="E20:E46" si="0">IF(B20&gt;1,1,"")</f>
        <v/>
      </c>
      <c r="F20" s="160" t="str">
        <f>'Ma feuille de calcul'!C8</f>
        <v/>
      </c>
      <c r="G20" s="160" t="str">
        <f>'Ma feuille de calcul'!B8</f>
        <v/>
      </c>
      <c r="H20" s="147"/>
      <c r="I20" s="147"/>
      <c r="K20" s="98"/>
    </row>
    <row r="21" spans="1:11" ht="14.1" customHeight="1">
      <c r="A21" s="291"/>
      <c r="B21" s="78">
        <f>'Ma feuille de calcul'!E9</f>
        <v>0</v>
      </c>
      <c r="C21" s="258" t="str">
        <f>IF(AND($B21&gt;1,'Ma feuille de calcul'!D9="Décor"),"Panneau bois 19 mm",IF(AND(B21&gt;1,'Ma feuille de calcul'!D9="Miroir"),"Panneau 16 mm",""))</f>
        <v/>
      </c>
      <c r="D21" s="259"/>
      <c r="E21" s="79" t="str">
        <f t="shared" si="0"/>
        <v/>
      </c>
      <c r="F21" s="160" t="str">
        <f>'Ma feuille de calcul'!C9</f>
        <v/>
      </c>
      <c r="G21" s="160" t="str">
        <f>'Ma feuille de calcul'!B9</f>
        <v/>
      </c>
      <c r="H21" s="147"/>
      <c r="I21" s="147"/>
      <c r="K21" s="98"/>
    </row>
    <row r="22" spans="1:11" ht="14.1" customHeight="1">
      <c r="A22" s="262"/>
      <c r="B22" s="78">
        <f>'Ma feuille de calcul'!E10</f>
        <v>0</v>
      </c>
      <c r="C22" s="258" t="str">
        <f>IF(AND($B22&gt;1,'Ma feuille de calcul'!D10="Décor"),"Panneau bois 19 mm",IF(AND(B22&gt;1,'Ma feuille de calcul'!D10="Miroir"),"Panneau 16 mm",""))</f>
        <v/>
      </c>
      <c r="D22" s="259"/>
      <c r="E22" s="79" t="str">
        <f t="shared" si="0"/>
        <v/>
      </c>
      <c r="F22" s="160" t="str">
        <f>'Ma feuille de calcul'!C10</f>
        <v/>
      </c>
      <c r="G22" s="160" t="str">
        <f>'Ma feuille de calcul'!B10</f>
        <v/>
      </c>
      <c r="H22" s="147"/>
      <c r="I22" s="147"/>
      <c r="K22" s="98"/>
    </row>
    <row r="23" spans="1:11" ht="14.1" customHeight="1">
      <c r="A23" s="262"/>
      <c r="B23" s="78">
        <f>'Ma feuille de calcul'!E16</f>
        <v>0</v>
      </c>
      <c r="C23" s="258" t="str">
        <f>IF(AND($B23&gt;1,'Ma feuille de calcul'!D16="Décor"),"Panneau bois 19 mm",IF(AND(B23&gt;1,'Ma feuille de calcul'!D16="Miroir"),"Panneau 16 mm",""))</f>
        <v/>
      </c>
      <c r="D23" s="259"/>
      <c r="E23" s="79" t="str">
        <f t="shared" si="0"/>
        <v/>
      </c>
      <c r="F23" s="160" t="str">
        <f>'Ma feuille de calcul'!C16</f>
        <v/>
      </c>
      <c r="G23" s="160" t="str">
        <f>'Ma feuille de calcul'!B16</f>
        <v/>
      </c>
      <c r="H23" s="147"/>
      <c r="I23" s="147"/>
      <c r="K23" s="98"/>
    </row>
    <row r="24" spans="1:11" ht="14.1" customHeight="1">
      <c r="A24" s="262"/>
      <c r="B24" s="78">
        <f>'Ma feuille de calcul'!E17</f>
        <v>0</v>
      </c>
      <c r="C24" s="258" t="str">
        <f>IF(AND($B24&gt;1,'Ma feuille de calcul'!D17="Décor"),"Panneau bois 19 mm",IF(AND(B24&gt;1,'Ma feuille de calcul'!D17="Miroir"),"Panneau 16 mm",""))</f>
        <v/>
      </c>
      <c r="D24" s="259"/>
      <c r="E24" s="79" t="str">
        <f t="shared" si="0"/>
        <v/>
      </c>
      <c r="F24" s="160" t="str">
        <f>'Ma feuille de calcul'!C17</f>
        <v/>
      </c>
      <c r="G24" s="160" t="str">
        <f>'Ma feuille de calcul'!B17</f>
        <v/>
      </c>
      <c r="H24" s="147"/>
      <c r="I24" s="147"/>
      <c r="K24" s="98"/>
    </row>
    <row r="25" spans="1:11" ht="14.1" customHeight="1">
      <c r="A25" s="262"/>
      <c r="B25" s="78">
        <f>'Ma feuille de calcul'!E18</f>
        <v>0</v>
      </c>
      <c r="C25" s="258" t="str">
        <f>IF(AND($B25&gt;1,'Ma feuille de calcul'!D18="Décor"),"Panneau bois 19 mm",IF(AND(B25&gt;1,'Ma feuille de calcul'!D18="Miroir"),"Panneau 16 mm",""))</f>
        <v/>
      </c>
      <c r="D25" s="259"/>
      <c r="E25" s="79" t="str">
        <f t="shared" si="0"/>
        <v/>
      </c>
      <c r="F25" s="160" t="str">
        <f>'Ma feuille de calcul'!C18</f>
        <v/>
      </c>
      <c r="G25" s="160" t="str">
        <f>'Ma feuille de calcul'!B18</f>
        <v/>
      </c>
      <c r="H25" s="147"/>
      <c r="I25" s="147"/>
      <c r="K25" s="98"/>
    </row>
    <row r="26" spans="1:11" ht="14.1" customHeight="1">
      <c r="A26" s="262"/>
      <c r="B26" s="78">
        <f>'Ma feuille de calcul'!E19</f>
        <v>0</v>
      </c>
      <c r="C26" s="258" t="str">
        <f>IF(AND($B26&gt;1,'Ma feuille de calcul'!D19="Décor"),"Panneau bois 19 mm",IF(AND(B26&gt;1,'Ma feuille de calcul'!D19="Miroir"),"Panneau 16 mm",""))</f>
        <v/>
      </c>
      <c r="D26" s="259"/>
      <c r="E26" s="79" t="str">
        <f t="shared" si="0"/>
        <v/>
      </c>
      <c r="F26" s="160" t="str">
        <f>'Ma feuille de calcul'!C19</f>
        <v/>
      </c>
      <c r="G26" s="160" t="str">
        <f>'Ma feuille de calcul'!B19</f>
        <v/>
      </c>
      <c r="H26" s="147"/>
      <c r="I26" s="147"/>
      <c r="K26" s="98"/>
    </row>
    <row r="27" spans="1:11" ht="14.1" customHeight="1">
      <c r="A27" s="262"/>
      <c r="B27" s="78">
        <f>'Ma feuille de calcul'!E25</f>
        <v>0</v>
      </c>
      <c r="C27" s="258" t="str">
        <f>IF(AND($B27&gt;1,'Ma feuille de calcul'!D25="Décor"),"Panneau bois 19 mm",IF(AND(B27&gt;1,'Ma feuille de calcul'!D25="Miroir"),"Panneau 16 mm",""))</f>
        <v/>
      </c>
      <c r="D27" s="259"/>
      <c r="E27" s="79" t="str">
        <f t="shared" si="0"/>
        <v/>
      </c>
      <c r="F27" s="82" t="str">
        <f>'Ma feuille de calcul'!C25</f>
        <v/>
      </c>
      <c r="G27" s="82" t="str">
        <f>'Ma feuille de calcul'!B25</f>
        <v/>
      </c>
      <c r="H27" s="147"/>
      <c r="I27" s="147"/>
      <c r="K27" s="98"/>
    </row>
    <row r="28" spans="1:11" ht="14.1" customHeight="1">
      <c r="A28" s="262"/>
      <c r="B28" s="78">
        <f>'Ma feuille de calcul'!E26</f>
        <v>0</v>
      </c>
      <c r="C28" s="258" t="str">
        <f>IF(AND($B28&gt;1,'Ma feuille de calcul'!D26="Décor"),"Panneau bois 19 mm",IF(AND(B28&gt;1,'Ma feuille de calcul'!D26="Miroir"),"Panneau 16 mm",""))</f>
        <v/>
      </c>
      <c r="D28" s="259"/>
      <c r="E28" s="79" t="str">
        <f t="shared" si="0"/>
        <v/>
      </c>
      <c r="F28" s="82" t="str">
        <f>'Ma feuille de calcul'!C26</f>
        <v/>
      </c>
      <c r="G28" s="82" t="str">
        <f>'Ma feuille de calcul'!B26</f>
        <v/>
      </c>
      <c r="H28" s="147"/>
      <c r="I28" s="147"/>
      <c r="K28" s="98"/>
    </row>
    <row r="29" spans="1:11" ht="14.1" customHeight="1">
      <c r="A29" s="262"/>
      <c r="B29" s="78">
        <f>'Ma feuille de calcul'!E27</f>
        <v>0</v>
      </c>
      <c r="C29" s="258" t="str">
        <f>IF(AND($B29&gt;1,'Ma feuille de calcul'!D27="Décor"),"Panneau bois 19 mm",IF(AND(B29&gt;1,'Ma feuille de calcul'!D27="Miroir"),"Panneau 16 mm",""))</f>
        <v/>
      </c>
      <c r="D29" s="259"/>
      <c r="E29" s="79" t="str">
        <f t="shared" si="0"/>
        <v/>
      </c>
      <c r="F29" s="82" t="str">
        <f>'Ma feuille de calcul'!C27</f>
        <v/>
      </c>
      <c r="G29" s="82" t="str">
        <f>'Ma feuille de calcul'!B27</f>
        <v/>
      </c>
      <c r="H29" s="147"/>
      <c r="I29" s="147"/>
      <c r="K29" s="98"/>
    </row>
    <row r="30" spans="1:11" ht="14.1" customHeight="1">
      <c r="A30" s="262"/>
      <c r="B30" s="78">
        <f>'Ma feuille de calcul'!E28</f>
        <v>0</v>
      </c>
      <c r="C30" s="258" t="str">
        <f>IF(AND($B30&gt;1,'Ma feuille de calcul'!D28="Décor"),"Panneau bois 19 mm",IF(AND(B30&gt;1,'Ma feuille de calcul'!D28="Miroir"),"Panneau 16 mm",""))</f>
        <v/>
      </c>
      <c r="D30" s="259"/>
      <c r="E30" s="79" t="str">
        <f t="shared" si="0"/>
        <v/>
      </c>
      <c r="F30" s="82" t="str">
        <f>'Ma feuille de calcul'!C28</f>
        <v/>
      </c>
      <c r="G30" s="82" t="str">
        <f>'Ma feuille de calcul'!B28</f>
        <v/>
      </c>
      <c r="H30" s="147"/>
      <c r="I30" s="147"/>
      <c r="K30" s="98"/>
    </row>
    <row r="31" spans="1:11" ht="14.1" customHeight="1">
      <c r="A31" s="262"/>
      <c r="B31" s="78">
        <f>'Ma feuille de calcul'!E33</f>
        <v>0</v>
      </c>
      <c r="C31" s="258" t="str">
        <f>IF(AND($B31&gt;1,'Ma feuille de calcul'!D33="Décor"),"Panneau bois 19 mm",IF(AND(B31&gt;1,'Ma feuille de calcul'!D33="Miroir"),"Panneau 16 mm",""))</f>
        <v/>
      </c>
      <c r="D31" s="259"/>
      <c r="E31" s="79" t="str">
        <f t="shared" si="0"/>
        <v/>
      </c>
      <c r="F31" s="82" t="str">
        <f>'Ma feuille de calcul'!C33</f>
        <v/>
      </c>
      <c r="G31" s="82" t="str">
        <f>'Ma feuille de calcul'!B33</f>
        <v/>
      </c>
      <c r="H31" s="147"/>
      <c r="I31" s="147"/>
      <c r="K31" s="98"/>
    </row>
    <row r="32" spans="1:11" ht="14.1" customHeight="1">
      <c r="A32" s="262"/>
      <c r="B32" s="78">
        <f>'Ma feuille de calcul'!E34</f>
        <v>0</v>
      </c>
      <c r="C32" s="258" t="str">
        <f>IF(AND($B32&gt;1,'Ma feuille de calcul'!D34="Décor"),"Panneau bois 19 mm",IF(AND(B32&gt;1,'Ma feuille de calcul'!D34="Miroir"),"Panneau 16 mm",""))</f>
        <v/>
      </c>
      <c r="D32" s="259"/>
      <c r="E32" s="79" t="str">
        <f t="shared" si="0"/>
        <v/>
      </c>
      <c r="F32" s="82" t="str">
        <f>'Ma feuille de calcul'!C34</f>
        <v/>
      </c>
      <c r="G32" s="82" t="str">
        <f>'Ma feuille de calcul'!B34</f>
        <v/>
      </c>
      <c r="H32" s="147"/>
      <c r="I32" s="147"/>
      <c r="K32" s="98"/>
    </row>
    <row r="33" spans="1:11" ht="14.1" customHeight="1">
      <c r="A33" s="262"/>
      <c r="B33" s="78">
        <f>'Ma feuille de calcul'!E35</f>
        <v>0</v>
      </c>
      <c r="C33" s="258" t="str">
        <f>IF(AND($B33&gt;1,'Ma feuille de calcul'!D35="Décor"),"Panneau bois 19 mm",IF(AND(B33&gt;1,'Ma feuille de calcul'!D35="Miroir"),"Panneau 16 mm",""))</f>
        <v/>
      </c>
      <c r="D33" s="259"/>
      <c r="E33" s="79" t="str">
        <f t="shared" si="0"/>
        <v/>
      </c>
      <c r="F33" s="82" t="str">
        <f>'Ma feuille de calcul'!C35</f>
        <v/>
      </c>
      <c r="G33" s="82" t="str">
        <f>'Ma feuille de calcul'!B35</f>
        <v/>
      </c>
      <c r="H33" s="147"/>
      <c r="I33" s="147"/>
      <c r="K33" s="98"/>
    </row>
    <row r="34" spans="1:11" ht="14.1" customHeight="1">
      <c r="A34" s="262"/>
      <c r="B34" s="78">
        <f>'Ma feuille de calcul'!E36</f>
        <v>0</v>
      </c>
      <c r="C34" s="258" t="str">
        <f>IF(AND($B34&gt;1,'Ma feuille de calcul'!D36="Décor"),"Panneau bois 19 mm",IF(AND(B34&gt;1,'Ma feuille de calcul'!D36="Miroir"),"Panneau 16 mm",""))</f>
        <v/>
      </c>
      <c r="D34" s="259"/>
      <c r="E34" s="79" t="str">
        <f t="shared" si="0"/>
        <v/>
      </c>
      <c r="F34" s="82" t="str">
        <f>'Ma feuille de calcul'!C36</f>
        <v/>
      </c>
      <c r="G34" s="82" t="str">
        <f>'Ma feuille de calcul'!B36</f>
        <v/>
      </c>
      <c r="H34" s="147"/>
      <c r="I34" s="147"/>
      <c r="K34" s="98"/>
    </row>
    <row r="35" spans="1:11" ht="14.1" customHeight="1">
      <c r="A35" s="262"/>
      <c r="B35" s="78">
        <f>'Ma feuille de calcul'!E41</f>
        <v>0</v>
      </c>
      <c r="C35" s="258" t="str">
        <f>IF(AND($B35&gt;1,'Ma feuille de calcul'!D41="Décor"),"Panneau bois 19 mm",IF(AND(B35&gt;1,'Ma feuille de calcul'!D41="Miroir"),"Panneau 16 mm",""))</f>
        <v/>
      </c>
      <c r="D35" s="259"/>
      <c r="E35" s="79" t="str">
        <f t="shared" si="0"/>
        <v/>
      </c>
      <c r="F35" s="82" t="str">
        <f>'Ma feuille de calcul'!C41</f>
        <v/>
      </c>
      <c r="G35" s="82" t="str">
        <f>'Ma feuille de calcul'!B41</f>
        <v/>
      </c>
      <c r="H35" s="147"/>
      <c r="I35" s="147"/>
      <c r="K35" s="98"/>
    </row>
    <row r="36" spans="1:11" ht="14.1" customHeight="1">
      <c r="A36" s="262"/>
      <c r="B36" s="78">
        <f>'Ma feuille de calcul'!E42</f>
        <v>0</v>
      </c>
      <c r="C36" s="258" t="str">
        <f>IF(AND($B36&gt;1,'Ma feuille de calcul'!D42="Décor"),"Panneau bois 19 mm",IF(AND(B36&gt;1,'Ma feuille de calcul'!D42="Miroir"),"Panneau 16 mm",""))</f>
        <v/>
      </c>
      <c r="D36" s="259"/>
      <c r="E36" s="79" t="str">
        <f t="shared" si="0"/>
        <v/>
      </c>
      <c r="F36" s="82" t="str">
        <f>'Ma feuille de calcul'!C42</f>
        <v/>
      </c>
      <c r="G36" s="82" t="str">
        <f>'Ma feuille de calcul'!B42</f>
        <v/>
      </c>
      <c r="H36" s="147"/>
      <c r="I36" s="147"/>
      <c r="K36" s="98"/>
    </row>
    <row r="37" spans="1:11" ht="14.1" customHeight="1">
      <c r="A37" s="262"/>
      <c r="B37" s="159">
        <f>'Ma feuille de calcul'!E43</f>
        <v>0</v>
      </c>
      <c r="C37" s="258" t="str">
        <f>IF(AND($B37&gt;1,'Ma feuille de calcul'!D43="Décor"),"Panneau bois 19 mm",IF(AND(B37&gt;1,'Ma feuille de calcul'!D43="Miroir"),"Panneau 16 mm",""))</f>
        <v/>
      </c>
      <c r="D37" s="259"/>
      <c r="E37" s="79" t="str">
        <f t="shared" si="0"/>
        <v/>
      </c>
      <c r="F37" s="82" t="str">
        <f>'Ma feuille de calcul'!C43</f>
        <v/>
      </c>
      <c r="G37" s="82" t="str">
        <f>'Ma feuille de calcul'!B43</f>
        <v/>
      </c>
      <c r="H37" s="147"/>
      <c r="I37" s="147"/>
      <c r="K37" s="98"/>
    </row>
    <row r="38" spans="1:11" ht="14.1" customHeight="1">
      <c r="A38" s="262"/>
      <c r="B38" s="78">
        <f>'Ma feuille de calcul'!E44</f>
        <v>0</v>
      </c>
      <c r="C38" s="258" t="str">
        <f>IF(AND($B38&gt;1,'Ma feuille de calcul'!D44="Décor"),"Panneau bois 19 mm",IF(AND(B38&gt;1,'Ma feuille de calcul'!D44="Miroir"),"Panneau 16 mm",""))</f>
        <v/>
      </c>
      <c r="D38" s="259"/>
      <c r="E38" s="79" t="str">
        <f t="shared" si="0"/>
        <v/>
      </c>
      <c r="F38" s="82" t="str">
        <f>'Ma feuille de calcul'!C44</f>
        <v/>
      </c>
      <c r="G38" s="82" t="str">
        <f>'Ma feuille de calcul'!B44</f>
        <v/>
      </c>
      <c r="H38" s="147"/>
      <c r="I38" s="147"/>
      <c r="K38" s="98"/>
    </row>
    <row r="39" spans="1:11" ht="14.1" customHeight="1">
      <c r="A39" s="262"/>
      <c r="B39" s="78" t="str">
        <f>'Ma feuille de calcul'!J7</f>
        <v>VERT</v>
      </c>
      <c r="C39" s="258" t="str">
        <f>IF(AND($B39&gt;1,'Ma feuille de calcul'!I7="Décor"),"Panneau bois 19 mm",IF(AND(B39&gt;1,'Ma feuille de calcul'!I7="Miroir"),"Panneau 16 mm",""))</f>
        <v>Panneau bois 19 mm</v>
      </c>
      <c r="D39" s="259"/>
      <c r="E39" s="79">
        <f t="shared" si="0"/>
        <v>1</v>
      </c>
      <c r="F39" s="82">
        <f>'Ma feuille de calcul'!H7</f>
        <v>2456</v>
      </c>
      <c r="G39" s="82">
        <f>'Ma feuille de calcul'!G7</f>
        <v>683.06666666666661</v>
      </c>
      <c r="H39" s="147"/>
      <c r="I39" s="147"/>
      <c r="K39" s="98"/>
    </row>
    <row r="40" spans="1:11" ht="14.1" customHeight="1">
      <c r="A40" s="262"/>
      <c r="B40" s="78" t="str">
        <f>'Ma feuille de calcul'!J8</f>
        <v>JAUNE</v>
      </c>
      <c r="C40" s="258" t="str">
        <f>IF(AND($B40&gt;1,'Ma feuille de calcul'!I8="Décor"),"Panneau bois 19 mm",IF(AND(B40&gt;1,'Ma feuille de calcul'!I8="Miroir"),"Panneau 16 mm",""))</f>
        <v>Panneau bois 19 mm</v>
      </c>
      <c r="D40" s="259"/>
      <c r="E40" s="79">
        <f t="shared" si="0"/>
        <v>1</v>
      </c>
      <c r="F40" s="82">
        <f>'Ma feuille de calcul'!H8</f>
        <v>2456</v>
      </c>
      <c r="G40" s="82">
        <f>'Ma feuille de calcul'!G8</f>
        <v>683.06666666666661</v>
      </c>
      <c r="H40" s="147"/>
      <c r="I40" s="147"/>
      <c r="K40" s="98"/>
    </row>
    <row r="41" spans="1:11" ht="14.1" customHeight="1">
      <c r="A41" s="262"/>
      <c r="B41" s="78" t="str">
        <f>'Ma feuille de calcul'!J9</f>
        <v>ROUGE</v>
      </c>
      <c r="C41" s="258" t="str">
        <f>IF(AND($B41&gt;1,'Ma feuille de calcul'!I9="Décor"),"Panneau bois 19 mm",IF(AND(B41&gt;1,'Ma feuille de calcul'!I9="Miroir"),"Panneau 16 mm",""))</f>
        <v>Panneau bois 19 mm</v>
      </c>
      <c r="D41" s="259"/>
      <c r="E41" s="79">
        <f t="shared" si="0"/>
        <v>1</v>
      </c>
      <c r="F41" s="82">
        <f>'Ma feuille de calcul'!H9</f>
        <v>2456</v>
      </c>
      <c r="G41" s="82">
        <f>'Ma feuille de calcul'!G9</f>
        <v>683.06666666666661</v>
      </c>
      <c r="H41" s="147"/>
      <c r="I41" s="147"/>
      <c r="K41" s="98"/>
    </row>
    <row r="42" spans="1:11" ht="14.1" customHeight="1">
      <c r="A42" s="262"/>
      <c r="B42" s="78">
        <f>'Ma feuille de calcul'!J10</f>
        <v>0</v>
      </c>
      <c r="C42" s="258" t="str">
        <f>IF(AND($B42&gt;1,'Ma feuille de calcul'!I10="Décor"),"Panneau bois 19 mm",IF(AND(B42&gt;1,'Ma feuille de calcul'!I10="Miroir"),"Panneau 16 mm",""))</f>
        <v/>
      </c>
      <c r="D42" s="259"/>
      <c r="E42" s="79" t="str">
        <f t="shared" si="0"/>
        <v/>
      </c>
      <c r="F42" s="82" t="str">
        <f>'Ma feuille de calcul'!H10</f>
        <v/>
      </c>
      <c r="G42" s="82">
        <f>'Ma feuille de calcul'!G10</f>
        <v>0</v>
      </c>
      <c r="H42" s="147"/>
      <c r="I42" s="147"/>
      <c r="K42" s="98"/>
    </row>
    <row r="43" spans="1:11" ht="14.1" customHeight="1">
      <c r="A43" s="262"/>
      <c r="B43" s="78">
        <f>'Ma feuille de calcul'!J11</f>
        <v>0</v>
      </c>
      <c r="C43" s="258" t="str">
        <f>IF(AND($B43&gt;1,'Ma feuille de calcul'!I11="Décor"),"Panneau bois 19 mm",IF(AND(B43&gt;1,'Ma feuille de calcul'!I11="Miroir"),"Panneau 16 mm",""))</f>
        <v/>
      </c>
      <c r="D43" s="259"/>
      <c r="E43" s="79" t="str">
        <f t="shared" si="0"/>
        <v/>
      </c>
      <c r="F43" s="82" t="str">
        <f>'Ma feuille de calcul'!H11</f>
        <v/>
      </c>
      <c r="G43" s="82" t="str">
        <f>'Ma feuille de calcul'!G11</f>
        <v/>
      </c>
      <c r="H43" s="147"/>
      <c r="I43" s="147"/>
      <c r="K43" s="98"/>
    </row>
    <row r="44" spans="1:11" ht="14.1" customHeight="1">
      <c r="A44" s="262"/>
      <c r="B44" s="78">
        <f>'Ma feuille de calcul'!J12</f>
        <v>0</v>
      </c>
      <c r="C44" s="258" t="str">
        <f>IF(AND($B44&gt;1,'Ma feuille de calcul'!I12="Décor"),"Panneau bois 19 mm",IF(AND(B44&gt;1,'Ma feuille de calcul'!I12="Miroir"),"Panneau 16 mm",""))</f>
        <v/>
      </c>
      <c r="D44" s="259"/>
      <c r="E44" s="79" t="str">
        <f t="shared" si="0"/>
        <v/>
      </c>
      <c r="F44" s="82" t="str">
        <f>'Ma feuille de calcul'!H12</f>
        <v/>
      </c>
      <c r="G44" s="82" t="str">
        <f>'Ma feuille de calcul'!G12</f>
        <v/>
      </c>
      <c r="H44" s="147"/>
      <c r="I44" s="147"/>
      <c r="K44" s="98"/>
    </row>
    <row r="45" spans="1:11" ht="14.1" customHeight="1">
      <c r="A45" s="262"/>
      <c r="B45" s="78">
        <f>'Ma feuille de calcul'!J13</f>
        <v>0</v>
      </c>
      <c r="C45" s="258" t="str">
        <f>IF(AND($B45&gt;1,'Ma feuille de calcul'!I13="Décor"),"Panneau bois 19 mm",IF(AND(B45&gt;1,'Ma feuille de calcul'!I13="Miroir"),"Panneau 16 mm",""))</f>
        <v/>
      </c>
      <c r="D45" s="259"/>
      <c r="E45" s="79" t="str">
        <f t="shared" si="0"/>
        <v/>
      </c>
      <c r="F45" s="82" t="str">
        <f>'Ma feuille de calcul'!H13</f>
        <v/>
      </c>
      <c r="G45" s="82" t="str">
        <f>'Ma feuille de calcul'!G13</f>
        <v/>
      </c>
      <c r="H45" s="147"/>
      <c r="I45" s="147"/>
      <c r="K45" s="98"/>
    </row>
    <row r="46" spans="1:11" ht="14.1" customHeight="1">
      <c r="A46" s="262"/>
      <c r="B46" s="78">
        <f>'Ma feuille de calcul'!J14</f>
        <v>0</v>
      </c>
      <c r="C46" s="258" t="str">
        <f>IF(AND($B46&gt;1,'Ma feuille de calcul'!I14="Décor"),"Panneau bois 19 mm",IF(AND(B46&gt;1,'Ma feuille de calcul'!I14="Miroir"),"Panneau 16 mm",""))</f>
        <v/>
      </c>
      <c r="D46" s="259"/>
      <c r="E46" s="79" t="str">
        <f t="shared" si="0"/>
        <v/>
      </c>
      <c r="F46" s="82" t="str">
        <f>'Ma feuille de calcul'!H14</f>
        <v/>
      </c>
      <c r="G46" s="82" t="str">
        <f>'Ma feuille de calcul'!G14</f>
        <v/>
      </c>
      <c r="H46" s="147"/>
      <c r="I46" s="147"/>
      <c r="K46" s="98"/>
    </row>
    <row r="47" spans="1:11" ht="14.1" customHeight="1">
      <c r="A47" s="262"/>
      <c r="B47" s="50"/>
      <c r="C47" s="277" t="s">
        <v>18</v>
      </c>
      <c r="D47" s="277"/>
      <c r="E47" s="52">
        <f>IF(B13=0,0,(B13*8))</f>
        <v>0</v>
      </c>
      <c r="F47" s="81"/>
      <c r="G47" s="10"/>
      <c r="H47" s="147"/>
      <c r="I47" s="147"/>
      <c r="K47" s="98"/>
    </row>
    <row r="48" spans="1:11" ht="14.1" customHeight="1">
      <c r="A48" s="71" t="s">
        <v>11</v>
      </c>
      <c r="B48" s="73"/>
      <c r="C48" s="261" t="s">
        <v>14</v>
      </c>
      <c r="D48" s="261"/>
      <c r="E48" s="25">
        <f>G10*2</f>
        <v>6</v>
      </c>
      <c r="F48" s="83">
        <f>'Feuille de calcul'!D28</f>
        <v>2459</v>
      </c>
      <c r="G48" s="10"/>
      <c r="H48" s="147"/>
      <c r="I48" s="147"/>
      <c r="K48" s="98"/>
    </row>
    <row r="49" spans="1:11" ht="14.1" customHeight="1">
      <c r="A49" s="262" t="s">
        <v>3</v>
      </c>
      <c r="B49" s="73"/>
      <c r="C49" s="261" t="s">
        <v>12</v>
      </c>
      <c r="D49" s="261"/>
      <c r="E49" s="72">
        <v>1</v>
      </c>
      <c r="F49" s="84">
        <f>'Feuille de calcul'!E31</f>
        <v>1999</v>
      </c>
      <c r="G49" s="10"/>
      <c r="H49" s="147"/>
      <c r="I49" s="147"/>
      <c r="K49" s="98"/>
    </row>
    <row r="50" spans="1:11" ht="14.1" customHeight="1">
      <c r="A50" s="262"/>
      <c r="B50" s="73"/>
      <c r="C50" s="261" t="s">
        <v>13</v>
      </c>
      <c r="D50" s="261"/>
      <c r="E50" s="72">
        <v>1</v>
      </c>
      <c r="F50" s="84">
        <f>'Feuille de calcul'!E31</f>
        <v>1999</v>
      </c>
      <c r="G50" s="10"/>
      <c r="H50" s="147"/>
      <c r="I50" s="147"/>
      <c r="K50" s="98"/>
    </row>
    <row r="51" spans="1:11" ht="14.1" customHeight="1">
      <c r="A51" s="71" t="s">
        <v>88</v>
      </c>
      <c r="B51" s="73"/>
      <c r="C51" s="261" t="s">
        <v>88</v>
      </c>
      <c r="D51" s="261"/>
      <c r="E51" s="75">
        <f>+G10</f>
        <v>3</v>
      </c>
      <c r="F51" s="83">
        <f>+IF(E51=0,"",'Feuille de calcul'!E36)</f>
        <v>627.86666666666656</v>
      </c>
      <c r="G51" s="10"/>
      <c r="H51" s="147"/>
      <c r="I51" s="147"/>
      <c r="K51" s="98"/>
    </row>
    <row r="52" spans="1:11" ht="14.1" customHeight="1">
      <c r="A52" s="71" t="s">
        <v>85</v>
      </c>
      <c r="B52" s="76"/>
      <c r="C52" s="277" t="s">
        <v>85</v>
      </c>
      <c r="D52" s="277"/>
      <c r="E52" s="75">
        <f>G10*2</f>
        <v>6</v>
      </c>
      <c r="F52" s="53"/>
      <c r="G52" s="10"/>
      <c r="H52" s="147"/>
      <c r="I52" s="147"/>
      <c r="K52" s="98"/>
    </row>
    <row r="53" spans="1:11" ht="14.1" customHeight="1">
      <c r="A53" s="71" t="s">
        <v>17</v>
      </c>
      <c r="B53" s="77"/>
      <c r="C53" s="261" t="s">
        <v>87</v>
      </c>
      <c r="D53" s="261"/>
      <c r="E53" s="75">
        <f>+G10</f>
        <v>3</v>
      </c>
      <c r="F53" s="85" t="s">
        <v>90</v>
      </c>
      <c r="G53" s="86" t="s">
        <v>91</v>
      </c>
      <c r="K53" s="98"/>
    </row>
    <row r="54" spans="1:11" ht="14.1" customHeight="1">
      <c r="A54" s="262" t="s">
        <v>15</v>
      </c>
      <c r="B54" s="74"/>
      <c r="C54" s="261" t="s">
        <v>89</v>
      </c>
      <c r="D54" s="261"/>
      <c r="E54" s="75">
        <f>B15*C15</f>
        <v>0</v>
      </c>
      <c r="F54" s="83" t="str">
        <f>IF(E54=0,"",'Feuille de calcul'!E39)</f>
        <v/>
      </c>
      <c r="G54" s="87">
        <f>'Feuille de calcul'!E42</f>
        <v>0</v>
      </c>
      <c r="K54" s="98"/>
    </row>
    <row r="55" spans="1:11" ht="14.1" customHeight="1">
      <c r="A55" s="262"/>
      <c r="B55" s="74"/>
      <c r="C55" s="261"/>
      <c r="D55" s="261"/>
      <c r="E55" s="89"/>
      <c r="F55" s="88"/>
    </row>
    <row r="56" spans="1:11" ht="14.1" customHeight="1">
      <c r="A56" s="262"/>
      <c r="B56" s="74"/>
      <c r="C56" s="261"/>
      <c r="D56" s="261"/>
      <c r="E56" s="75"/>
      <c r="F56" s="88"/>
      <c r="G56" s="89">
        <f>IF(G48=0,0,'Feuille de saisie'!B27)</f>
        <v>0</v>
      </c>
    </row>
    <row r="57" spans="1:11" ht="14.1" customHeight="1">
      <c r="F57" s="11"/>
      <c r="G57" s="9"/>
      <c r="K57" s="99"/>
    </row>
    <row r="58" spans="1:11" ht="14.1" customHeight="1">
      <c r="C58" s="1" t="s">
        <v>104</v>
      </c>
      <c r="F58" s="11"/>
      <c r="G58" s="9"/>
    </row>
    <row r="59" spans="1:11" ht="14.1" customHeight="1">
      <c r="A59" s="1" t="str">
        <f>'Feuille de calcul'!A44</f>
        <v>pour une japonisation avec débit de panneau à répartition égal</v>
      </c>
      <c r="B59" s="1">
        <f>'Feuille de calcul'!B44</f>
        <v>0</v>
      </c>
      <c r="C59" s="1">
        <f>'Feuille de calcul'!C44</f>
        <v>0</v>
      </c>
      <c r="D59" s="1">
        <f>'Feuille de calcul'!D44</f>
        <v>0</v>
      </c>
      <c r="E59" s="1">
        <f>'Feuille de calcul'!E44</f>
        <v>0</v>
      </c>
      <c r="F59" s="11">
        <f>'Feuille de calcul'!F44</f>
        <v>0</v>
      </c>
      <c r="G59" s="9">
        <f>'Feuille de calcul'!G44</f>
        <v>0</v>
      </c>
      <c r="H59" s="1">
        <f>'Feuille de calcul'!H44</f>
        <v>0</v>
      </c>
    </row>
    <row r="60" spans="1:11" ht="14.1" customHeight="1">
      <c r="A60" s="1" t="str">
        <f>'Feuille de calcul'!A45</f>
        <v>hauteur de petit panneau = (HT panneau - (1,3xQté de H))/ Qté de H +1</v>
      </c>
      <c r="B60" s="1">
        <f>'Feuille de calcul'!B45</f>
        <v>0</v>
      </c>
      <c r="C60" s="1">
        <f>'Feuille de calcul'!C45</f>
        <v>0</v>
      </c>
      <c r="D60" s="1">
        <f>'Feuille de calcul'!D45</f>
        <v>0</v>
      </c>
      <c r="E60" s="1">
        <f>'Feuille de calcul'!E45</f>
        <v>0</v>
      </c>
      <c r="F60" s="11">
        <f>'Feuille de calcul'!F45</f>
        <v>0</v>
      </c>
      <c r="G60" s="9">
        <f>'Feuille de calcul'!G45</f>
        <v>0</v>
      </c>
      <c r="H60" s="1">
        <f>'Feuille de calcul'!H45</f>
        <v>0</v>
      </c>
    </row>
    <row r="61" spans="1:11" ht="14.1" customHeight="1">
      <c r="A61" s="1">
        <f>'Feuille de calcul'!A46</f>
        <v>0</v>
      </c>
      <c r="B61" s="1" t="str">
        <f>'Feuille de calcul'!B46</f>
        <v>ht panneau total</v>
      </c>
      <c r="C61" s="1">
        <f>'Feuille de calcul'!C46</f>
        <v>0</v>
      </c>
      <c r="D61" s="1">
        <f>'Feuille de calcul'!D46</f>
        <v>0</v>
      </c>
      <c r="E61" s="1">
        <f>'Feuille de calcul'!E46</f>
        <v>2456</v>
      </c>
      <c r="F61" s="11">
        <f>'Feuille de calcul'!F46</f>
        <v>0</v>
      </c>
      <c r="G61" s="9">
        <f>'Feuille de calcul'!G46</f>
        <v>0</v>
      </c>
      <c r="H61" s="1">
        <f>'Feuille de calcul'!H46</f>
        <v>0</v>
      </c>
    </row>
    <row r="62" spans="1:11" ht="14.1" customHeight="1">
      <c r="A62" s="1">
        <f>'Feuille de calcul'!A47</f>
        <v>0</v>
      </c>
      <c r="B62" s="1" t="str">
        <f>'Feuille de calcul'!B47</f>
        <v>ep du H</v>
      </c>
      <c r="C62" s="1">
        <f>'Feuille de calcul'!C47</f>
        <v>0</v>
      </c>
      <c r="D62" s="1">
        <f>'Feuille de calcul'!D47</f>
        <v>0</v>
      </c>
      <c r="E62" s="1">
        <f>'Feuille de calcul'!E47</f>
        <v>1.3</v>
      </c>
      <c r="F62" s="1"/>
      <c r="G62" s="11" t="str">
        <f>'Feuille de calcul'!F47</f>
        <v>japonisation par le H impossible</v>
      </c>
      <c r="H62" s="1">
        <f>'Feuille de calcul'!H47</f>
        <v>0</v>
      </c>
    </row>
    <row r="63" spans="1:11" ht="14.1" customHeight="1">
      <c r="A63" s="1">
        <f>'Feuille de calcul'!A48</f>
        <v>0</v>
      </c>
      <c r="B63" s="1" t="str">
        <f>'Feuille de calcul'!B48</f>
        <v>qté du H</v>
      </c>
      <c r="C63" s="1">
        <f>'Feuille de calcul'!C48</f>
        <v>0</v>
      </c>
      <c r="D63" s="1">
        <f>'Feuille de calcul'!D48</f>
        <v>0</v>
      </c>
      <c r="E63" s="1">
        <f>'Feuille de calcul'!E48</f>
        <v>0</v>
      </c>
      <c r="F63" s="11">
        <f>'Feuille de calcul'!F48</f>
        <v>0</v>
      </c>
      <c r="G63" s="9">
        <f>'Feuille de calcul'!G48</f>
        <v>0</v>
      </c>
      <c r="H63" s="1">
        <f>'Feuille de calcul'!H48</f>
        <v>0</v>
      </c>
    </row>
    <row r="64" spans="1:11" ht="14.1" customHeight="1">
      <c r="A64" s="1">
        <f>'Feuille de calcul'!A49</f>
        <v>0</v>
      </c>
      <c r="B64" s="1" t="str">
        <f>'Feuille de calcul'!B49</f>
        <v>Qté de panneau</v>
      </c>
      <c r="C64" s="1">
        <f>'Feuille de calcul'!C49</f>
        <v>0</v>
      </c>
      <c r="D64" s="1">
        <f>'Feuille de calcul'!D49</f>
        <v>0</v>
      </c>
      <c r="E64" s="1">
        <f>'Feuille de calcul'!E49</f>
        <v>1</v>
      </c>
      <c r="F64" s="11">
        <f>'Feuille de calcul'!F49</f>
        <v>0</v>
      </c>
      <c r="G64" s="9">
        <f>'Feuille de calcul'!G49</f>
        <v>0</v>
      </c>
      <c r="H64" s="1">
        <f>'Feuille de calcul'!H49</f>
        <v>0</v>
      </c>
    </row>
    <row r="65" spans="1:8" ht="14.1" customHeight="1">
      <c r="A65" s="1">
        <f>'Feuille de calcul'!A50</f>
        <v>0</v>
      </c>
      <c r="B65" s="1" t="str">
        <f>'Feuille de calcul'!B50</f>
        <v>hauteur de panneau</v>
      </c>
      <c r="C65" s="1">
        <f>'Feuille de calcul'!C50</f>
        <v>0</v>
      </c>
      <c r="D65" s="1">
        <f>'Feuille de calcul'!D50</f>
        <v>0</v>
      </c>
      <c r="E65" s="1">
        <f>'Feuille de calcul'!E50</f>
        <v>2456</v>
      </c>
      <c r="F65" s="11">
        <f>'Feuille de calcul'!F50</f>
        <v>0</v>
      </c>
      <c r="G65" s="9">
        <f>'Feuille de calcul'!G50</f>
        <v>0</v>
      </c>
      <c r="H65" s="1">
        <f>'Feuille de calcul'!H50</f>
        <v>0</v>
      </c>
    </row>
    <row r="66" spans="1:8" ht="14.1" customHeight="1">
      <c r="B66" s="1" t="s">
        <v>105</v>
      </c>
      <c r="E66" s="97" t="str">
        <f>+G19</f>
        <v/>
      </c>
      <c r="F66" s="11"/>
      <c r="G66" s="9"/>
    </row>
    <row r="67" spans="1:8" ht="14.1" customHeight="1">
      <c r="F67" s="11"/>
      <c r="G67" s="9"/>
    </row>
    <row r="68" spans="1:8" ht="14.1" customHeight="1">
      <c r="F68" s="11"/>
      <c r="G68" s="9"/>
    </row>
    <row r="69" spans="1:8" ht="14.1" customHeight="1">
      <c r="F69" s="11"/>
      <c r="G69" s="9"/>
    </row>
    <row r="70" spans="1:8" ht="14.1" customHeight="1">
      <c r="F70" s="11"/>
      <c r="G70" s="9"/>
    </row>
    <row r="71" spans="1:8" ht="14.1" customHeight="1">
      <c r="F71" s="11"/>
      <c r="G71" s="9"/>
    </row>
    <row r="72" spans="1:8" ht="14.1" customHeight="1">
      <c r="F72" s="11"/>
      <c r="G72" s="9"/>
    </row>
    <row r="73" spans="1:8" ht="14.1" customHeight="1">
      <c r="F73" s="11"/>
      <c r="G73" s="9"/>
    </row>
    <row r="74" spans="1:8" ht="14.1" customHeight="1">
      <c r="F74" s="11"/>
      <c r="G74" s="9"/>
    </row>
    <row r="75" spans="1:8" ht="14.1" customHeight="1">
      <c r="F75" s="11"/>
      <c r="G75" s="9"/>
    </row>
    <row r="76" spans="1:8" ht="16.5" thickBot="1"/>
    <row r="77" spans="1:8">
      <c r="A77" s="33" t="s">
        <v>34</v>
      </c>
      <c r="B77" s="29"/>
      <c r="C77" s="29"/>
      <c r="D77" s="29"/>
      <c r="E77" s="29"/>
      <c r="F77" s="30"/>
      <c r="G77" s="31"/>
    </row>
    <row r="78" spans="1:8" ht="15.75" customHeight="1">
      <c r="A78" s="278"/>
      <c r="B78" s="279"/>
      <c r="C78" s="279"/>
      <c r="D78" s="279"/>
      <c r="E78" s="279"/>
      <c r="F78" s="279"/>
      <c r="G78" s="280"/>
    </row>
    <row r="79" spans="1:8" ht="15.75" customHeight="1">
      <c r="A79" s="281"/>
      <c r="B79" s="279"/>
      <c r="C79" s="279"/>
      <c r="D79" s="279"/>
      <c r="E79" s="279"/>
      <c r="F79" s="279"/>
      <c r="G79" s="280"/>
    </row>
    <row r="80" spans="1:8" ht="15.75" customHeight="1">
      <c r="A80" s="281"/>
      <c r="B80" s="279"/>
      <c r="C80" s="279"/>
      <c r="D80" s="279"/>
      <c r="E80" s="279"/>
      <c r="F80" s="279"/>
      <c r="G80" s="280"/>
    </row>
    <row r="81" spans="1:7" ht="15.75" customHeight="1">
      <c r="A81" s="281"/>
      <c r="B81" s="279"/>
      <c r="C81" s="279"/>
      <c r="D81" s="279"/>
      <c r="E81" s="279"/>
      <c r="F81" s="279"/>
      <c r="G81" s="280"/>
    </row>
    <row r="82" spans="1:7" ht="16.5" customHeight="1" thickBot="1">
      <c r="A82" s="282"/>
      <c r="B82" s="283"/>
      <c r="C82" s="283"/>
      <c r="D82" s="283"/>
      <c r="E82" s="283"/>
      <c r="F82" s="283"/>
      <c r="G82" s="284"/>
    </row>
  </sheetData>
  <mergeCells count="58">
    <mergeCell ref="F1:G1"/>
    <mergeCell ref="A3:D3"/>
    <mergeCell ref="E5:G5"/>
    <mergeCell ref="D7:G7"/>
    <mergeCell ref="B7:C7"/>
    <mergeCell ref="B5:C5"/>
    <mergeCell ref="C55:D55"/>
    <mergeCell ref="A78:G82"/>
    <mergeCell ref="C52:D52"/>
    <mergeCell ref="C56:D56"/>
    <mergeCell ref="C53:D53"/>
    <mergeCell ref="A54:A56"/>
    <mergeCell ref="A9:G9"/>
    <mergeCell ref="C11:G11"/>
    <mergeCell ref="C12:G12"/>
    <mergeCell ref="C13:G13"/>
    <mergeCell ref="C25:D25"/>
    <mergeCell ref="C14:D14"/>
    <mergeCell ref="C24:D24"/>
    <mergeCell ref="C20:D20"/>
    <mergeCell ref="C21:D21"/>
    <mergeCell ref="A19:A47"/>
    <mergeCell ref="C23:D23"/>
    <mergeCell ref="E14:G14"/>
    <mergeCell ref="C15:D15"/>
    <mergeCell ref="E15:G15"/>
    <mergeCell ref="C51:D51"/>
    <mergeCell ref="C18:D18"/>
    <mergeCell ref="C33:D33"/>
    <mergeCell ref="C35:D35"/>
    <mergeCell ref="C36:D36"/>
    <mergeCell ref="C37:D37"/>
    <mergeCell ref="C48:D48"/>
    <mergeCell ref="C26:D26"/>
    <mergeCell ref="C34:D34"/>
    <mergeCell ref="C50:D50"/>
    <mergeCell ref="C49:D49"/>
    <mergeCell ref="C38:D38"/>
    <mergeCell ref="C47:D47"/>
    <mergeCell ref="C54:D54"/>
    <mergeCell ref="A49:A50"/>
    <mergeCell ref="C19:D19"/>
    <mergeCell ref="C22:D22"/>
    <mergeCell ref="C27:D27"/>
    <mergeCell ref="C28:D28"/>
    <mergeCell ref="C29:D29"/>
    <mergeCell ref="C30:D30"/>
    <mergeCell ref="C31:D31"/>
    <mergeCell ref="C32:D32"/>
    <mergeCell ref="C43:D43"/>
    <mergeCell ref="C44:D44"/>
    <mergeCell ref="C45:D45"/>
    <mergeCell ref="C46:D46"/>
    <mergeCell ref="A17:I17"/>
    <mergeCell ref="C39:D39"/>
    <mergeCell ref="C40:D40"/>
    <mergeCell ref="C41:D41"/>
    <mergeCell ref="C42:D42"/>
  </mergeCells>
  <phoneticPr fontId="0" type="noConversion"/>
  <printOptions horizontalCentered="1"/>
  <pageMargins left="0.19685039370078741" right="0.19685039370078741" top="0.19685039370078741" bottom="0.19685039370078741" header="0" footer="0"/>
  <pageSetup paperSize="9" scale="80" orientation="portrait" r:id="rId1"/>
  <headerFooter alignWithMargins="0">
    <oddFooter>&amp;RBon de fab Ecobel / 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4"/>
  <sheetViews>
    <sheetView topLeftCell="C1" workbookViewId="0">
      <selection activeCell="H21" sqref="H21"/>
    </sheetView>
  </sheetViews>
  <sheetFormatPr baseColWidth="10" defaultRowHeight="12.75"/>
  <cols>
    <col min="4" max="4" width="26.5703125" customWidth="1"/>
    <col min="14" max="14" width="15.140625" customWidth="1"/>
  </cols>
  <sheetData>
    <row r="1" spans="1:15">
      <c r="A1" t="s">
        <v>108</v>
      </c>
      <c r="B1" t="str">
        <f>'Feuille de saisie'!$F$6</f>
        <v>PLACARD 1</v>
      </c>
      <c r="C1" s="100" t="str">
        <f>'Feuille de saisie'!D11</f>
        <v>VERT</v>
      </c>
      <c r="D1" s="100" t="str">
        <f>B1&amp;C1</f>
        <v>PLACARD 1VERT</v>
      </c>
      <c r="E1" s="100" t="str">
        <f>C1</f>
        <v>VERT</v>
      </c>
      <c r="F1" s="100" t="str">
        <f>'Bon de fabrication ELDECOR'!E19</f>
        <v/>
      </c>
      <c r="G1" s="101" t="str">
        <f>'Bon de fabrication ELDECOR'!$F$19</f>
        <v/>
      </c>
      <c r="H1" s="103" t="s">
        <v>111</v>
      </c>
      <c r="I1" s="101" t="str">
        <f>'Bon de fabrication ELDECOR'!G19</f>
        <v/>
      </c>
      <c r="J1" s="100"/>
    </row>
    <row r="2" spans="1:15">
      <c r="B2" t="str">
        <f>'Feuille de saisie'!$F$6</f>
        <v>PLACARD 1</v>
      </c>
      <c r="C2" s="100" t="str">
        <f>'Feuille de saisie'!D12</f>
        <v>JAUNE</v>
      </c>
      <c r="D2" s="100" t="str">
        <f t="shared" ref="D2:D13" si="0">B2&amp;C2</f>
        <v>PLACARD 1JAUNE</v>
      </c>
      <c r="E2" s="100" t="str">
        <f t="shared" ref="E2:E12" si="1">C2</f>
        <v>JAUNE</v>
      </c>
      <c r="F2" s="100" t="str">
        <f>'Bon de fabrication ELDECOR'!E20</f>
        <v/>
      </c>
      <c r="G2" s="101" t="str">
        <f>'Bon de fabrication ELDECOR'!$F$19</f>
        <v/>
      </c>
      <c r="H2" s="100"/>
      <c r="I2" s="100"/>
      <c r="J2" s="100"/>
    </row>
    <row r="3" spans="1:15">
      <c r="B3" t="str">
        <f>'Feuille de saisie'!$F$6</f>
        <v>PLACARD 1</v>
      </c>
      <c r="C3" s="100" t="str">
        <f>'Feuille de saisie'!D13</f>
        <v>ROUGE</v>
      </c>
      <c r="D3" s="100" t="str">
        <f t="shared" si="0"/>
        <v>PLACARD 1ROUGE</v>
      </c>
      <c r="E3" s="100" t="str">
        <f t="shared" si="1"/>
        <v>ROUGE</v>
      </c>
      <c r="F3" s="100" t="str">
        <f>'Bon de fabrication ELDECOR'!E21</f>
        <v/>
      </c>
      <c r="G3" s="101" t="str">
        <f>'Bon de fabrication ELDECOR'!$F$19</f>
        <v/>
      </c>
      <c r="H3" s="100"/>
      <c r="I3" s="100"/>
      <c r="J3" s="100"/>
    </row>
    <row r="4" spans="1:15">
      <c r="B4" t="str">
        <f>'Feuille de saisie'!$F$6</f>
        <v>PLACARD 1</v>
      </c>
      <c r="C4" s="100">
        <f>'Feuille de saisie'!J10</f>
        <v>0</v>
      </c>
      <c r="D4" s="100" t="str">
        <f t="shared" si="0"/>
        <v>PLACARD 10</v>
      </c>
      <c r="E4" s="100">
        <f t="shared" si="1"/>
        <v>0</v>
      </c>
      <c r="F4" s="100" t="str">
        <f>'Bon de fabrication ELDECOR'!E22</f>
        <v/>
      </c>
      <c r="G4" s="101" t="str">
        <f>'Bon de fabrication ELDECOR'!$F$19</f>
        <v/>
      </c>
      <c r="H4" s="100"/>
      <c r="I4" s="100"/>
      <c r="J4" s="100"/>
    </row>
    <row r="5" spans="1:15">
      <c r="B5" t="str">
        <f>'Feuille de saisie'!$F$6</f>
        <v>PLACARD 1</v>
      </c>
      <c r="C5" s="100" t="e">
        <f>'Feuille de saisie'!#REF!</f>
        <v>#REF!</v>
      </c>
      <c r="D5" s="100" t="e">
        <f t="shared" si="0"/>
        <v>#REF!</v>
      </c>
      <c r="E5" s="100" t="e">
        <f t="shared" si="1"/>
        <v>#REF!</v>
      </c>
      <c r="F5" s="100" t="str">
        <f>'Bon de fabrication ELDECOR'!E38</f>
        <v/>
      </c>
      <c r="G5" s="101" t="str">
        <f>'Bon de fabrication ELDECOR'!$F$19</f>
        <v/>
      </c>
      <c r="H5" s="100"/>
      <c r="I5" s="100"/>
      <c r="J5" s="100"/>
    </row>
    <row r="6" spans="1:15">
      <c r="A6" t="s">
        <v>109</v>
      </c>
      <c r="C6" s="102" t="s">
        <v>110</v>
      </c>
      <c r="D6" s="100" t="str">
        <f t="shared" si="0"/>
        <v>vert</v>
      </c>
      <c r="E6" s="100" t="str">
        <f t="shared" si="1"/>
        <v>vert</v>
      </c>
      <c r="F6" s="102">
        <v>2</v>
      </c>
      <c r="G6" s="101" t="str">
        <f>'Bon de fabrication ELDECOR'!$F$19</f>
        <v/>
      </c>
      <c r="H6" s="102"/>
      <c r="I6" s="102"/>
      <c r="J6" s="102"/>
    </row>
    <row r="7" spans="1:15">
      <c r="C7" s="102"/>
      <c r="D7" s="100" t="str">
        <f t="shared" si="0"/>
        <v/>
      </c>
      <c r="E7" s="100">
        <f t="shared" si="1"/>
        <v>0</v>
      </c>
      <c r="F7" s="102">
        <v>2</v>
      </c>
      <c r="G7" s="101" t="str">
        <f>'Bon de fabrication ELDECOR'!$F$19</f>
        <v/>
      </c>
      <c r="H7" s="102"/>
      <c r="I7" s="102"/>
      <c r="J7" s="102"/>
    </row>
    <row r="8" spans="1:15">
      <c r="C8" s="102"/>
      <c r="D8" s="100" t="str">
        <f t="shared" si="0"/>
        <v/>
      </c>
      <c r="E8" s="100">
        <f t="shared" si="1"/>
        <v>0</v>
      </c>
      <c r="F8" s="102"/>
      <c r="G8" s="101" t="str">
        <f>'Bon de fabrication ELDECOR'!$F$19</f>
        <v/>
      </c>
      <c r="H8" s="102"/>
      <c r="I8" s="102"/>
      <c r="J8" s="102"/>
    </row>
    <row r="9" spans="1:15">
      <c r="C9" s="102"/>
      <c r="D9" s="100" t="str">
        <f t="shared" si="0"/>
        <v/>
      </c>
      <c r="E9" s="100">
        <f t="shared" si="1"/>
        <v>0</v>
      </c>
      <c r="F9" s="102">
        <v>2</v>
      </c>
      <c r="G9" s="101" t="str">
        <f>'Bon de fabrication ELDECOR'!$F$19</f>
        <v/>
      </c>
      <c r="H9" s="102"/>
      <c r="I9" s="102"/>
      <c r="J9" s="102"/>
    </row>
    <row r="10" spans="1:15">
      <c r="C10" s="102"/>
      <c r="D10" s="100" t="str">
        <f t="shared" si="0"/>
        <v/>
      </c>
      <c r="E10" s="100">
        <f t="shared" si="1"/>
        <v>0</v>
      </c>
      <c r="F10" s="102">
        <v>2</v>
      </c>
      <c r="G10" s="101" t="str">
        <f>'Bon de fabrication ELDECOR'!$F$19</f>
        <v/>
      </c>
      <c r="H10" s="102"/>
      <c r="I10" s="102"/>
      <c r="J10" s="102"/>
      <c r="K10" t="s">
        <v>113</v>
      </c>
      <c r="M10" t="s">
        <v>112</v>
      </c>
    </row>
    <row r="11" spans="1:15">
      <c r="C11" s="102"/>
      <c r="D11" s="100" t="str">
        <f t="shared" si="0"/>
        <v/>
      </c>
      <c r="E11" s="100">
        <f t="shared" si="1"/>
        <v>0</v>
      </c>
      <c r="F11" s="102"/>
      <c r="G11" s="101" t="str">
        <f>'Bon de fabrication ELDECOR'!$F$19</f>
        <v/>
      </c>
      <c r="H11" s="102"/>
      <c r="I11" s="102"/>
      <c r="J11" s="102"/>
      <c r="K11">
        <v>2</v>
      </c>
      <c r="L11" t="str">
        <f>+K10&amp;K11</f>
        <v>PLACARD2</v>
      </c>
      <c r="M11" t="s">
        <v>110</v>
      </c>
      <c r="N11" t="str">
        <f>L11&amp;M11</f>
        <v>PLACARD2vert</v>
      </c>
      <c r="O11" t="e">
        <f>VLOOKUP(N11,D:J,4,0)</f>
        <v>#N/A</v>
      </c>
    </row>
    <row r="12" spans="1:15">
      <c r="C12" s="102"/>
      <c r="D12" s="100" t="str">
        <f t="shared" si="0"/>
        <v/>
      </c>
      <c r="E12" s="100">
        <f t="shared" si="1"/>
        <v>0</v>
      </c>
      <c r="F12" s="102"/>
      <c r="G12" s="101" t="str">
        <f>'Bon de fabrication ELDECOR'!$F$19</f>
        <v/>
      </c>
      <c r="H12" s="102"/>
      <c r="I12" s="102"/>
      <c r="J12" s="102"/>
      <c r="K12">
        <v>1</v>
      </c>
      <c r="M12" t="s">
        <v>110</v>
      </c>
    </row>
    <row r="13" spans="1:15">
      <c r="D13" s="100" t="str">
        <f t="shared" si="0"/>
        <v/>
      </c>
      <c r="G13" s="101" t="str">
        <f>'Bon de fabrication ELDECOR'!$F$19</f>
        <v/>
      </c>
    </row>
    <row r="14" spans="1:15">
      <c r="G14" s="101" t="str">
        <f>'Bon de fabrication ELDECOR'!$F$19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45"/>
  <sheetViews>
    <sheetView topLeftCell="A10" zoomScale="85" zoomScaleNormal="85" workbookViewId="0">
      <selection activeCell="I19" sqref="I19"/>
    </sheetView>
  </sheetViews>
  <sheetFormatPr baseColWidth="10" defaultRowHeight="12.75"/>
  <cols>
    <col min="1" max="1" width="18.85546875" customWidth="1"/>
    <col min="4" max="4" width="13.28515625" customWidth="1"/>
    <col min="7" max="7" width="11.7109375" bestFit="1" customWidth="1"/>
    <col min="9" max="9" width="15.140625" customWidth="1"/>
  </cols>
  <sheetData>
    <row r="1" spans="1:10">
      <c r="F1" s="164"/>
    </row>
    <row r="2" spans="1:10">
      <c r="A2" s="146" t="s">
        <v>147</v>
      </c>
      <c r="B2">
        <f>'Feuille de saisie'!K17</f>
        <v>4</v>
      </c>
      <c r="D2" s="146" t="s">
        <v>104</v>
      </c>
      <c r="F2" s="164"/>
      <c r="G2" s="146" t="s">
        <v>168</v>
      </c>
    </row>
    <row r="3" spans="1:10">
      <c r="A3" s="146" t="s">
        <v>16</v>
      </c>
      <c r="B3">
        <f>'Feuille de saisie'!K8</f>
        <v>3</v>
      </c>
      <c r="F3" s="164"/>
    </row>
    <row r="4" spans="1:10">
      <c r="F4" s="164"/>
    </row>
    <row r="5" spans="1:10">
      <c r="F5" s="164"/>
    </row>
    <row r="6" spans="1:10">
      <c r="A6" s="157" t="s">
        <v>151</v>
      </c>
      <c r="B6" s="152" t="s">
        <v>156</v>
      </c>
      <c r="C6" s="152" t="s">
        <v>157</v>
      </c>
      <c r="D6" s="152" t="s">
        <v>158</v>
      </c>
      <c r="E6" s="162" t="s">
        <v>150</v>
      </c>
      <c r="F6" s="157" t="s">
        <v>169</v>
      </c>
      <c r="G6" s="165" t="s">
        <v>10</v>
      </c>
      <c r="H6" s="165" t="s">
        <v>157</v>
      </c>
      <c r="I6" s="165" t="s">
        <v>158</v>
      </c>
      <c r="J6" s="165" t="s">
        <v>150</v>
      </c>
    </row>
    <row r="7" spans="1:10">
      <c r="A7" s="152" t="s">
        <v>161</v>
      </c>
      <c r="B7" s="154" t="str">
        <f>IF(D7="Miroir",('Feuille de calcul'!$F$13-5),IF(D7="Décor",'Feuille de calcul'!$F$13,""))</f>
        <v/>
      </c>
      <c r="C7" s="154" t="str">
        <f>IF('Feuille de saisie'!G26="",'Feuille de saisie'!G27,'Feuille de saisie'!G26)</f>
        <v/>
      </c>
      <c r="D7" s="156">
        <f>IF('Feuille de saisie'!E38="",'Feuille de saisie'!H39,'Feuille de saisie'!E38)</f>
        <v>0</v>
      </c>
      <c r="E7" s="163">
        <f>IF('Feuille de saisie'!I39="",'Feuille de saisie'!F38,'Feuille de saisie'!I39)</f>
        <v>0</v>
      </c>
      <c r="F7" s="152" t="s">
        <v>171</v>
      </c>
      <c r="G7" s="154">
        <f>IF(J7=0,"",'Feuille de calcul'!$F$13)</f>
        <v>683.06666666666661</v>
      </c>
      <c r="H7" s="154">
        <f>IF(J7=0,"",'Feuille de calcul'!$D$13)</f>
        <v>2456</v>
      </c>
      <c r="I7" s="153" t="str">
        <f>IF(OR(J7="ARGENT",J7="BRONZE"),"Miroir",IF(J7&gt;1,"Décor",""))</f>
        <v>Décor</v>
      </c>
      <c r="J7" s="153" t="str">
        <f>'Feuille de saisie'!D11</f>
        <v>VERT</v>
      </c>
    </row>
    <row r="8" spans="1:10">
      <c r="A8" s="152" t="s">
        <v>160</v>
      </c>
      <c r="B8" s="154" t="str">
        <f>IF(D8="Miroir",('Feuille de calcul'!$F$13-5),IF(D8="Décor",'Feuille de calcul'!$F$13,""))</f>
        <v/>
      </c>
      <c r="C8" s="154" t="str">
        <f>IF('Feuille de saisie'!H26="",'Feuille de saisie'!H27,'Feuille de saisie'!H26)</f>
        <v/>
      </c>
      <c r="D8" s="156">
        <f>IF('Feuille de saisie'!E34="",'Feuille de saisie'!H36,'Feuille de saisie'!E34)</f>
        <v>0</v>
      </c>
      <c r="E8" s="163">
        <f>IF('Feuille de saisie'!F34="",'Feuille de saisie'!I36,'Feuille de saisie'!F34)</f>
        <v>0</v>
      </c>
      <c r="F8" s="152" t="s">
        <v>170</v>
      </c>
      <c r="G8" s="154">
        <f>IF(J8=0,"",'Feuille de calcul'!$F$13)</f>
        <v>683.06666666666661</v>
      </c>
      <c r="H8" s="154">
        <f>IF(J8=0,"",'Feuille de calcul'!$D$13)</f>
        <v>2456</v>
      </c>
      <c r="I8" s="153" t="str">
        <f t="shared" ref="I8:I14" si="0">IF(OR(J8="ARGENT",J8="BRONZE"),"Miroir",IF(J8&gt;1,"Décor",""))</f>
        <v>Décor</v>
      </c>
      <c r="J8" s="153" t="str">
        <f>'Feuille de saisie'!D12</f>
        <v>JAUNE</v>
      </c>
    </row>
    <row r="9" spans="1:10">
      <c r="A9" s="152" t="s">
        <v>159</v>
      </c>
      <c r="B9" s="154" t="str">
        <f>IF(D9="Miroir",('Feuille de calcul'!$F$13-5),IF(D9="Décor",'Feuille de calcul'!$F$13,""))</f>
        <v/>
      </c>
      <c r="C9" s="154" t="str">
        <f>IF('Feuille de saisie'!I26="",'Feuille de saisie'!I27,'Feuille de saisie'!I26)</f>
        <v/>
      </c>
      <c r="D9" s="156" t="str">
        <f>IF('Feuille de saisie'!H33="","",'Feuille de saisie'!H33)</f>
        <v/>
      </c>
      <c r="E9" s="163">
        <f>IF('Feuille de saisie'!I33="",0,'Feuille de saisie'!I33)</f>
        <v>0</v>
      </c>
      <c r="F9" s="152" t="s">
        <v>172</v>
      </c>
      <c r="G9" s="154">
        <f>IF(J9=0,"",'Feuille de calcul'!$F$13)</f>
        <v>683.06666666666661</v>
      </c>
      <c r="H9" s="154">
        <f>IF(J9=0,"",'Feuille de calcul'!$D$13)</f>
        <v>2456</v>
      </c>
      <c r="I9" s="153" t="str">
        <f t="shared" si="0"/>
        <v>Décor</v>
      </c>
      <c r="J9" s="153" t="str">
        <f>'Feuille de saisie'!D13</f>
        <v>ROUGE</v>
      </c>
    </row>
    <row r="10" spans="1:10">
      <c r="A10" s="152" t="s">
        <v>162</v>
      </c>
      <c r="B10" s="154" t="str">
        <f>IF(D10="Miroir",('Feuille de calcul'!$F$13-5),IF(D10="Décor",'Feuille de calcul'!$F$13,""))</f>
        <v/>
      </c>
      <c r="C10" s="154" t="str">
        <f>IF('Feuille de saisie'!J26="",'Feuille de saisie'!J27,'Feuille de saisie'!J26)</f>
        <v/>
      </c>
      <c r="D10" s="156">
        <f>IF('Feuille de saisie'!E30="",'Feuille de saisie'!H30,'Feuille de saisie'!E30)</f>
        <v>0</v>
      </c>
      <c r="E10" s="163">
        <f>IF('Feuille de saisie'!F30="",'Feuille de saisie'!I30,'Feuille de saisie'!F30)</f>
        <v>0</v>
      </c>
      <c r="F10" s="152" t="s">
        <v>173</v>
      </c>
      <c r="G10" s="154"/>
      <c r="H10" s="154" t="str">
        <f>IF(J10=0,"",'Feuille de calcul'!$D$13)</f>
        <v/>
      </c>
      <c r="I10" s="153" t="str">
        <f t="shared" si="0"/>
        <v/>
      </c>
      <c r="J10" s="153">
        <f>'Feuille de saisie'!D14</f>
        <v>0</v>
      </c>
    </row>
    <row r="11" spans="1:10">
      <c r="A11" s="158" t="s">
        <v>163</v>
      </c>
      <c r="B11">
        <f>IF('Feuille de saisie'!B26&gt;1,1,0)</f>
        <v>0</v>
      </c>
      <c r="F11" s="152" t="s">
        <v>174</v>
      </c>
      <c r="G11" s="154" t="str">
        <f>IF(J11=0,"",'Feuille de calcul'!$F$13)</f>
        <v/>
      </c>
      <c r="H11" s="154" t="str">
        <f>IF(J11=0,"",'Feuille de calcul'!$D$13)</f>
        <v/>
      </c>
      <c r="I11" s="153" t="str">
        <f t="shared" si="0"/>
        <v/>
      </c>
      <c r="J11" s="153">
        <f>'Feuille de saisie'!I11</f>
        <v>0</v>
      </c>
    </row>
    <row r="12" spans="1:10">
      <c r="F12" s="152" t="s">
        <v>175</v>
      </c>
      <c r="G12" s="154" t="str">
        <f>IF(J12=0,"",'Feuille de calcul'!$F$13)</f>
        <v/>
      </c>
      <c r="H12" s="154" t="str">
        <f>IF(J12=0,"",'Feuille de calcul'!$D$13)</f>
        <v/>
      </c>
      <c r="I12" s="153" t="str">
        <f t="shared" si="0"/>
        <v/>
      </c>
      <c r="J12" s="153">
        <f>'Feuille de saisie'!I12</f>
        <v>0</v>
      </c>
    </row>
    <row r="13" spans="1:10">
      <c r="F13" s="152" t="s">
        <v>176</v>
      </c>
      <c r="G13" s="154" t="str">
        <f>IF(J13=0,"",'Feuille de calcul'!$F$13)</f>
        <v/>
      </c>
      <c r="H13" s="154" t="str">
        <f>IF(J13=0,"",'Feuille de calcul'!$D$13)</f>
        <v/>
      </c>
      <c r="I13" s="153" t="str">
        <f t="shared" si="0"/>
        <v/>
      </c>
      <c r="J13" s="153">
        <f>'Feuille de saisie'!I13</f>
        <v>0</v>
      </c>
    </row>
    <row r="14" spans="1:10">
      <c r="F14" s="152" t="s">
        <v>177</v>
      </c>
      <c r="G14" s="154" t="str">
        <f>IF(J14=0,"",'Feuille de calcul'!$F$13)</f>
        <v/>
      </c>
      <c r="H14" s="154" t="str">
        <f>IF(J14=0,"",'Feuille de calcul'!$D$13)</f>
        <v/>
      </c>
      <c r="I14" s="153" t="str">
        <f t="shared" si="0"/>
        <v/>
      </c>
      <c r="J14" s="153">
        <f>'Feuille de saisie'!I14</f>
        <v>0</v>
      </c>
    </row>
    <row r="15" spans="1:10">
      <c r="A15" s="157" t="s">
        <v>152</v>
      </c>
      <c r="B15" s="152" t="s">
        <v>156</v>
      </c>
      <c r="C15" s="152" t="s">
        <v>157</v>
      </c>
      <c r="D15" s="152" t="s">
        <v>158</v>
      </c>
      <c r="E15" s="162" t="s">
        <v>150</v>
      </c>
      <c r="F15" s="164"/>
      <c r="G15" s="154"/>
    </row>
    <row r="16" spans="1:10">
      <c r="A16" s="152" t="s">
        <v>161</v>
      </c>
      <c r="B16" s="154" t="str">
        <f>IF(D16="Miroir",('Feuille de calcul'!$F$13-5),IF(D16="Décor",'Feuille de calcul'!$F$13,""))</f>
        <v/>
      </c>
      <c r="C16" s="155" t="str">
        <f>IF('Feuille de saisie'!G47="",'Feuille de saisie'!G48,'Feuille de saisie'!G47)</f>
        <v/>
      </c>
      <c r="D16" s="156">
        <f>IF('Feuille de saisie'!E59="",'Feuille de saisie'!H60,'Feuille de saisie'!E59)</f>
        <v>0</v>
      </c>
      <c r="E16" s="163">
        <f>IF('Feuille de saisie'!F59="",'Feuille de saisie'!I60,'Feuille de saisie'!F59)</f>
        <v>0</v>
      </c>
      <c r="F16" s="164"/>
    </row>
    <row r="17" spans="1:6">
      <c r="A17" s="152" t="s">
        <v>160</v>
      </c>
      <c r="B17" s="154" t="str">
        <f>IF(D17="Miroir",('Feuille de calcul'!$F$13-5),IF(D17="Décor",'Feuille de calcul'!$F$13,""))</f>
        <v/>
      </c>
      <c r="C17" s="155" t="str">
        <f>IF('Feuille de saisie'!H47="",'Feuille de saisie'!H48,'Feuille de saisie'!H47)</f>
        <v/>
      </c>
      <c r="D17" s="156">
        <f>IF('Feuille de saisie'!H57&gt;1,'Feuille de saisie'!H57,'Feuille de saisie'!E55)</f>
        <v>0</v>
      </c>
      <c r="E17" s="163">
        <f>IF('Feuille de saisie'!F55="",'Feuille de saisie'!I57,'Feuille de saisie'!F55)</f>
        <v>0</v>
      </c>
      <c r="F17" s="164"/>
    </row>
    <row r="18" spans="1:6">
      <c r="A18" s="152" t="s">
        <v>159</v>
      </c>
      <c r="B18" s="154" t="str">
        <f>IF(D18="Miroir",('Feuille de calcul'!$F$13-5),IF(D18="Décor",'Feuille de calcul'!$F$13,""))</f>
        <v/>
      </c>
      <c r="C18" s="155" t="str">
        <f>IF('Feuille de saisie'!I47="",'Feuille de saisie'!I48,'Feuille de saisie'!I47)</f>
        <v/>
      </c>
      <c r="D18" s="156" t="str">
        <f>IF('Feuille de saisie'!H54="","",'Feuille de saisie'!H54)</f>
        <v/>
      </c>
      <c r="E18" s="163">
        <f>IF('Feuille de saisie'!I54="",0,'Feuille de saisie'!I54)</f>
        <v>0</v>
      </c>
      <c r="F18" s="164"/>
    </row>
    <row r="19" spans="1:6">
      <c r="A19" s="152" t="s">
        <v>162</v>
      </c>
      <c r="B19" s="154" t="str">
        <f>IF(D19="Miroir",('Feuille de calcul'!$F$13-5),IF(D19="Décor",'Feuille de calcul'!$F$13,""))</f>
        <v/>
      </c>
      <c r="C19" s="155" t="str">
        <f>IF('Feuille de saisie'!J47="",'Feuille de saisie'!J48,'Feuille de saisie'!J47)</f>
        <v/>
      </c>
      <c r="D19" s="156">
        <f>IF('Feuille de saisie'!H51&gt;1,'Feuille de saisie'!H51,'Feuille de saisie'!E51)</f>
        <v>0</v>
      </c>
      <c r="E19" s="163">
        <f>IF('Feuille de saisie'!F51="",'Feuille de saisie'!I51,'Feuille de saisie'!F51)</f>
        <v>0</v>
      </c>
      <c r="F19" s="164"/>
    </row>
    <row r="20" spans="1:6">
      <c r="A20" s="158" t="s">
        <v>163</v>
      </c>
      <c r="B20">
        <f>+IF('Feuille de saisie'!B47&gt;1,1,0)</f>
        <v>0</v>
      </c>
      <c r="F20" s="164"/>
    </row>
    <row r="21" spans="1:6">
      <c r="F21" s="164"/>
    </row>
    <row r="22" spans="1:6">
      <c r="F22" s="164"/>
    </row>
    <row r="23" spans="1:6">
      <c r="F23" s="164"/>
    </row>
    <row r="24" spans="1:6">
      <c r="A24" s="157" t="s">
        <v>153</v>
      </c>
      <c r="B24" s="152" t="s">
        <v>156</v>
      </c>
      <c r="C24" s="152" t="s">
        <v>157</v>
      </c>
      <c r="D24" s="152" t="s">
        <v>158</v>
      </c>
      <c r="E24" s="162" t="s">
        <v>150</v>
      </c>
      <c r="F24" s="164"/>
    </row>
    <row r="25" spans="1:6">
      <c r="A25" s="152" t="s">
        <v>161</v>
      </c>
      <c r="B25" s="154" t="str">
        <f>IF(D25="Miroir",('Feuille de calcul'!$F$13-5),IF(D25="Décor",'Feuille de calcul'!$F$13,""))</f>
        <v/>
      </c>
      <c r="C25" s="155" t="str">
        <f>IF('Feuille de saisie'!G68="",'Feuille de saisie'!G69,'Feuille de saisie'!G68)</f>
        <v/>
      </c>
      <c r="D25" s="156">
        <f>IF('Feuille de saisie'!H72&gt;1,'Feuille de saisie'!H72,'Feuille de saisie'!E72)</f>
        <v>0</v>
      </c>
      <c r="E25" s="163">
        <f>IF('Feuille de saisie'!F80="",'Feuille de saisie'!I81,'Feuille de saisie'!F80)</f>
        <v>0</v>
      </c>
      <c r="F25" s="164"/>
    </row>
    <row r="26" spans="1:6">
      <c r="A26" s="152" t="s">
        <v>160</v>
      </c>
      <c r="B26" s="154" t="str">
        <f>IF(D26="Miroir",('Feuille de calcul'!$F$13-5),IF(D26="Décor",'Feuille de calcul'!$F$13,""))</f>
        <v/>
      </c>
      <c r="C26" s="155" t="str">
        <f>IF('Feuille de saisie'!H68="",'Feuille de saisie'!H69,'Feuille de saisie'!H68)</f>
        <v/>
      </c>
      <c r="D26" s="156">
        <f>IF('Feuille de saisie'!H78&gt;1,'Feuille de saisie'!H78,'Feuille de saisie'!E76)</f>
        <v>0</v>
      </c>
      <c r="E26" s="163">
        <f>IF('Feuille de saisie'!F76="",'Feuille de saisie'!I78,'Feuille de saisie'!F76)</f>
        <v>0</v>
      </c>
      <c r="F26" s="164"/>
    </row>
    <row r="27" spans="1:6">
      <c r="A27" s="152" t="s">
        <v>159</v>
      </c>
      <c r="B27" s="154" t="str">
        <f>IF(D27="Miroir",('Feuille de calcul'!$F$13-5),IF(D27="Décor",'Feuille de calcul'!$F$13,""))</f>
        <v/>
      </c>
      <c r="C27" s="155" t="str">
        <f>IF('Feuille de saisie'!I68="",'Feuille de saisie'!I69,'Feuille de saisie'!I68)</f>
        <v/>
      </c>
      <c r="D27" s="156" t="str">
        <f>IF('Feuille de saisie'!H75&gt;1,'Feuille de saisie'!H75,"")</f>
        <v/>
      </c>
      <c r="E27" s="163">
        <f>IF('Feuille de saisie'!I75="",0,'Feuille de saisie'!I75)</f>
        <v>0</v>
      </c>
      <c r="F27" s="164"/>
    </row>
    <row r="28" spans="1:6">
      <c r="A28" s="152" t="s">
        <v>162</v>
      </c>
      <c r="B28" s="154" t="str">
        <f>IF(D28="Miroir",('Feuille de calcul'!$F$13-5),IF(D28="Décor",'Feuille de calcul'!$F$13,""))</f>
        <v/>
      </c>
      <c r="C28" s="155" t="str">
        <f>IF('Feuille de saisie'!J68="",'Feuille de saisie'!J69,'Feuille de saisie'!J68)</f>
        <v/>
      </c>
      <c r="D28" s="156">
        <f>IF('Feuille de saisie'!H72&gt;1,'Feuille de saisie'!H72,'Feuille de saisie'!E72)</f>
        <v>0</v>
      </c>
      <c r="E28" s="163">
        <f>IF('Feuille de saisie'!F72="",'Feuille de saisie'!I72,'Feuille de saisie'!F72)</f>
        <v>0</v>
      </c>
      <c r="F28" s="164"/>
    </row>
    <row r="29" spans="1:6">
      <c r="A29" s="158" t="s">
        <v>163</v>
      </c>
      <c r="B29">
        <f>IF('Feuille de saisie'!B68&gt;1,1,0)</f>
        <v>0</v>
      </c>
      <c r="F29" s="164"/>
    </row>
    <row r="30" spans="1:6">
      <c r="F30" s="164"/>
    </row>
    <row r="31" spans="1:6">
      <c r="F31" s="164"/>
    </row>
    <row r="32" spans="1:6">
      <c r="A32" s="157" t="s">
        <v>154</v>
      </c>
      <c r="B32" s="152" t="s">
        <v>156</v>
      </c>
      <c r="C32" s="152" t="s">
        <v>157</v>
      </c>
      <c r="D32" s="152" t="s">
        <v>158</v>
      </c>
      <c r="E32" s="162" t="s">
        <v>150</v>
      </c>
      <c r="F32" s="164"/>
    </row>
    <row r="33" spans="1:6">
      <c r="A33" s="152" t="s">
        <v>161</v>
      </c>
      <c r="B33" s="154" t="str">
        <f>IF(D33="Miroir",('Feuille de calcul'!$F$13-5),IF(D33="Décor",'Feuille de calcul'!$F$13,""))</f>
        <v/>
      </c>
      <c r="C33" s="155" t="str">
        <f>IF('Feuille de saisie'!G89="",'Feuille de saisie'!G90,'Feuille de saisie'!G89)</f>
        <v/>
      </c>
      <c r="D33" s="156">
        <f>IF('Feuille de saisie'!H102&gt;1,'Feuille de saisie'!H102,'Feuille de saisie'!E101)</f>
        <v>0</v>
      </c>
      <c r="E33" s="163">
        <f>IF('Feuille de saisie'!F101="",'Feuille de saisie'!I102,'Feuille de saisie'!F101)</f>
        <v>0</v>
      </c>
      <c r="F33" s="164"/>
    </row>
    <row r="34" spans="1:6">
      <c r="A34" s="152" t="s">
        <v>160</v>
      </c>
      <c r="B34" s="154" t="str">
        <f>IF(D34="Miroir",('Feuille de calcul'!$F$13-5),IF(D34="Décor",'Feuille de calcul'!$F$13,""))</f>
        <v/>
      </c>
      <c r="C34" s="155" t="str">
        <f>IF('Feuille de saisie'!H89="",'Feuille de saisie'!H90,'Feuille de saisie'!H89)</f>
        <v/>
      </c>
      <c r="D34" s="156">
        <f>IF('Feuille de saisie'!H99&gt;1,'Feuille de saisie'!H99,'Feuille de saisie'!E97)</f>
        <v>0</v>
      </c>
      <c r="E34" s="163">
        <f>IF('Feuille de saisie'!F97="",'Feuille de saisie'!I99,'Feuille de saisie'!F97)</f>
        <v>0</v>
      </c>
      <c r="F34" s="164"/>
    </row>
    <row r="35" spans="1:6">
      <c r="A35" s="152" t="s">
        <v>159</v>
      </c>
      <c r="B35" s="154" t="str">
        <f>IF(D35="Miroir",('Feuille de calcul'!$F$13-5),IF(D35="Décor",'Feuille de calcul'!$F$13,""))</f>
        <v/>
      </c>
      <c r="C35" s="155" t="str">
        <f>IF('Feuille de saisie'!I89="",'Feuille de saisie'!I90,'Feuille de saisie'!I89)</f>
        <v/>
      </c>
      <c r="D35" s="156" t="str">
        <f>IF('Feuille de saisie'!H96&gt;1,'Feuille de saisie'!H96,"")</f>
        <v/>
      </c>
      <c r="E35" s="163">
        <f>IF('Feuille de saisie'!I96="",0,'Feuille de saisie'!I96)</f>
        <v>0</v>
      </c>
      <c r="F35" s="164"/>
    </row>
    <row r="36" spans="1:6">
      <c r="A36" s="152" t="s">
        <v>162</v>
      </c>
      <c r="B36" s="154" t="str">
        <f>IF(D36="Miroir",('Feuille de calcul'!$F$13-5),IF(D36="Décor",'Feuille de calcul'!$F$13,""))</f>
        <v/>
      </c>
      <c r="C36" s="155" t="str">
        <f>IF('Feuille de saisie'!J89="",'Feuille de saisie'!J90,'Feuille de saisie'!J89)</f>
        <v/>
      </c>
      <c r="D36" s="156">
        <f>IF('Feuille de saisie'!H93&gt;1,'Feuille de saisie'!H93,'Feuille de saisie'!E93)</f>
        <v>0</v>
      </c>
      <c r="E36" s="163">
        <f>IF('Feuille de saisie'!F93="",'Feuille de saisie'!I93,'Feuille de saisie'!F93)</f>
        <v>0</v>
      </c>
      <c r="F36" s="164"/>
    </row>
    <row r="37" spans="1:6">
      <c r="A37" s="158" t="s">
        <v>163</v>
      </c>
      <c r="B37">
        <f>IF('Feuille de saisie'!B89&gt;1,1,0)</f>
        <v>0</v>
      </c>
      <c r="F37" s="164"/>
    </row>
    <row r="38" spans="1:6">
      <c r="F38" s="164"/>
    </row>
    <row r="39" spans="1:6">
      <c r="F39" s="164"/>
    </row>
    <row r="40" spans="1:6">
      <c r="A40" s="157" t="s">
        <v>155</v>
      </c>
      <c r="B40" s="152" t="s">
        <v>156</v>
      </c>
      <c r="C40" s="152" t="s">
        <v>157</v>
      </c>
      <c r="D40" s="152" t="s">
        <v>158</v>
      </c>
      <c r="E40" s="162" t="s">
        <v>150</v>
      </c>
      <c r="F40" s="164"/>
    </row>
    <row r="41" spans="1:6">
      <c r="A41" s="152" t="s">
        <v>161</v>
      </c>
      <c r="B41" s="154" t="str">
        <f>IF(D41="Miroir",('Feuille de calcul'!$F$13-5),IF(D41="Décor",'Feuille de calcul'!$F$13,""))</f>
        <v/>
      </c>
      <c r="C41" s="155" t="str">
        <f>IF('Feuille de saisie'!G110="",'Feuille de saisie'!G111,'Feuille de saisie'!G110)</f>
        <v/>
      </c>
      <c r="D41" s="156">
        <f>IF('Feuille de saisie'!H123&gt;1,'Feuille de saisie'!H123,'Feuille de saisie'!E122)</f>
        <v>0</v>
      </c>
      <c r="E41" s="163">
        <f>IF('Feuille de saisie'!F122="",'Feuille de saisie'!I123,'Feuille de saisie'!F122)</f>
        <v>0</v>
      </c>
      <c r="F41" s="164"/>
    </row>
    <row r="42" spans="1:6">
      <c r="A42" s="152" t="s">
        <v>160</v>
      </c>
      <c r="B42" s="154" t="str">
        <f>IF(D42="Miroir",('Feuille de calcul'!$F$13-5),IF(D42="Décor",'Feuille de calcul'!$F$13,""))</f>
        <v/>
      </c>
      <c r="C42" s="155" t="str">
        <f>IF('Feuille de saisie'!H110="",'Feuille de saisie'!H111,'Feuille de saisie'!H110)</f>
        <v/>
      </c>
      <c r="D42" s="156">
        <f>IF('Feuille de saisie'!H120&gt;1,'Feuille de saisie'!H120,'Feuille de saisie'!E118)</f>
        <v>0</v>
      </c>
      <c r="E42" s="163">
        <f>IF('Feuille de saisie'!F118="",'Feuille de saisie'!I120,'Feuille de saisie'!F118)</f>
        <v>0</v>
      </c>
      <c r="F42" s="164"/>
    </row>
    <row r="43" spans="1:6">
      <c r="A43" s="152" t="s">
        <v>159</v>
      </c>
      <c r="B43" s="154" t="str">
        <f>IF(D43="Miroir",('Feuille de calcul'!$F$13-5),IF(D43="Décor",'Feuille de calcul'!$F$13,""))</f>
        <v/>
      </c>
      <c r="C43" s="155" t="str">
        <f>IF('Feuille de saisie'!I110="",'Feuille de saisie'!I111,'Feuille de saisie'!I110)</f>
        <v/>
      </c>
      <c r="D43" s="156" t="str">
        <f>IF('Feuille de saisie'!H117&gt;1,'Feuille de saisie'!H117,"")</f>
        <v/>
      </c>
      <c r="E43" s="163">
        <f>IF('Feuille de saisie'!I117="",0,'Feuille de saisie'!I117)</f>
        <v>0</v>
      </c>
      <c r="F43" s="164"/>
    </row>
    <row r="44" spans="1:6">
      <c r="A44" s="152" t="s">
        <v>162</v>
      </c>
      <c r="B44" s="154" t="str">
        <f>IF(D44="Miroir",('Feuille de calcul'!$F$13-5),IF(D44="Décor",'Feuille de calcul'!$F$13,""))</f>
        <v/>
      </c>
      <c r="C44" s="155" t="str">
        <f>IF('Feuille de saisie'!J110="",'Feuille de saisie'!J111,'Feuille de saisie'!J110)</f>
        <v/>
      </c>
      <c r="D44" s="156">
        <f>IF('Feuille de saisie'!H114&gt;1,'Feuille de saisie'!H114,'Feuille de saisie'!E114)</f>
        <v>0</v>
      </c>
      <c r="E44" s="163">
        <f>IF('Feuille de saisie'!F114="",'Feuille de saisie'!I114,'Feuille de saisie'!F114)</f>
        <v>0</v>
      </c>
      <c r="F44" s="164"/>
    </row>
    <row r="45" spans="1:6">
      <c r="A45" s="158" t="s">
        <v>163</v>
      </c>
      <c r="B45">
        <f>IF('Feuille de saisie'!B110&gt;1,1,0)</f>
        <v>0</v>
      </c>
      <c r="F45" s="16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Feuille de saisie</vt:lpstr>
      <vt:lpstr>Feuille de calcul</vt:lpstr>
      <vt:lpstr>Bon de fabrication ELDECOR</vt:lpstr>
      <vt:lpstr>Feuil1</vt:lpstr>
      <vt:lpstr>Ma feuille de calcul</vt:lpstr>
      <vt:lpstr>'Bon de fabrication ELDECOR'!Zone_d_impression</vt:lpstr>
      <vt:lpstr>'Feuille de calcul'!Zone_d_impression</vt:lpstr>
      <vt:lpstr>'Feuille de saisie'!Zone_d_impression</vt:lpstr>
    </vt:vector>
  </TitlesOfParts>
  <Company>PLACARD DECORS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SERVEUR</dc:creator>
  <cp:lastModifiedBy>CUISINES REGALON</cp:lastModifiedBy>
  <cp:lastPrinted>2015-11-05T13:59:37Z</cp:lastPrinted>
  <dcterms:created xsi:type="dcterms:W3CDTF">2004-07-01T13:32:23Z</dcterms:created>
  <dcterms:modified xsi:type="dcterms:W3CDTF">2015-11-12T08:36:22Z</dcterms:modified>
</cp:coreProperties>
</file>