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lniciu\Desktop\"/>
    </mc:Choice>
  </mc:AlternateContent>
  <bookViews>
    <workbookView xWindow="0" yWindow="0" windowWidth="28800" windowHeight="12435" tabRatio="546" firstSheet="1" activeTab="1"/>
  </bookViews>
  <sheets>
    <sheet name="TYPE" sheetId="10" state="hidden" r:id="rId1"/>
    <sheet name="Données charge" sheetId="4" r:id="rId2"/>
    <sheet name="Cum" sheetId="9" r:id="rId3"/>
    <sheet name="Graph" sheetId="14" r:id="rId4"/>
  </sheets>
  <definedNames>
    <definedName name="_xlnm._FilterDatabase" localSheetId="0" hidden="1">TYPE!$B$1:$B$52</definedName>
    <definedName name="Segment_Type">#N/A</definedName>
    <definedName name="_xlnm.Print_Area" localSheetId="1">#REF!</definedName>
  </definedNames>
  <calcPr calcId="152511"/>
  <pivotCaches>
    <pivotCache cacheId="39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9" l="1"/>
  <c r="B5" i="9"/>
  <c r="B6" i="9"/>
  <c r="B7" i="9"/>
  <c r="B8" i="9"/>
  <c r="B9" i="9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3" i="9"/>
  <c r="B24" i="9"/>
  <c r="B25" i="9"/>
  <c r="B26" i="9"/>
  <c r="B27" i="9"/>
  <c r="B28" i="9"/>
  <c r="B29" i="9"/>
  <c r="B30" i="9"/>
  <c r="B31" i="9"/>
  <c r="B32" i="9"/>
  <c r="B33" i="9"/>
  <c r="B34" i="9"/>
  <c r="B35" i="9"/>
  <c r="B36" i="9"/>
  <c r="B37" i="9"/>
  <c r="B38" i="9"/>
  <c r="B39" i="9"/>
  <c r="B40" i="9"/>
  <c r="B41" i="9"/>
  <c r="B42" i="9"/>
  <c r="B43" i="9"/>
  <c r="B44" i="9"/>
  <c r="B45" i="9"/>
  <c r="B46" i="9"/>
  <c r="B47" i="9"/>
  <c r="B48" i="9"/>
  <c r="B49" i="9"/>
  <c r="B50" i="9"/>
  <c r="B3" i="9"/>
  <c r="Z4" i="4"/>
  <c r="Z5" i="4"/>
  <c r="Z6" i="4"/>
  <c r="Z7" i="4"/>
  <c r="Z8" i="4"/>
  <c r="T4" i="4"/>
  <c r="T5" i="4"/>
  <c r="T6" i="4"/>
  <c r="T7" i="4"/>
  <c r="T8" i="4"/>
  <c r="T9" i="4"/>
  <c r="T10" i="4"/>
  <c r="T11" i="4"/>
  <c r="T12" i="4"/>
  <c r="T13" i="4"/>
  <c r="N4" i="4"/>
  <c r="N5" i="4"/>
  <c r="N6" i="4"/>
  <c r="N7" i="4"/>
  <c r="N8" i="4"/>
  <c r="N9" i="4"/>
  <c r="N10" i="4"/>
  <c r="N11" i="4"/>
  <c r="N12" i="4"/>
  <c r="N13" i="4"/>
  <c r="N14" i="4"/>
  <c r="N15" i="4"/>
  <c r="H4" i="4"/>
  <c r="H5" i="4"/>
  <c r="H6" i="4"/>
  <c r="H7" i="4"/>
  <c r="H8" i="4"/>
  <c r="H9" i="4"/>
  <c r="C4" i="9"/>
  <c r="C5" i="9"/>
  <c r="C6" i="9"/>
  <c r="C7" i="9"/>
  <c r="C8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6" i="9"/>
  <c r="C27" i="9"/>
  <c r="C28" i="9"/>
  <c r="C29" i="9"/>
  <c r="C30" i="9"/>
  <c r="C31" i="9"/>
  <c r="C32" i="9"/>
  <c r="C33" i="9"/>
  <c r="C34" i="9"/>
  <c r="C35" i="9"/>
  <c r="C36" i="9"/>
  <c r="C37" i="9"/>
  <c r="C38" i="9"/>
  <c r="C39" i="9"/>
  <c r="C40" i="9"/>
  <c r="C41" i="9"/>
  <c r="C42" i="9"/>
  <c r="C43" i="9"/>
  <c r="C44" i="9"/>
  <c r="C45" i="9"/>
  <c r="C46" i="9"/>
  <c r="C47" i="9"/>
  <c r="C48" i="9"/>
  <c r="C49" i="9"/>
  <c r="C50" i="9"/>
  <c r="AB9" i="4" l="1"/>
  <c r="AA9" i="4"/>
  <c r="V14" i="4"/>
  <c r="U14" i="4"/>
  <c r="P16" i="4"/>
  <c r="O16" i="4"/>
  <c r="J17" i="4"/>
  <c r="I17" i="4"/>
  <c r="D12" i="4"/>
  <c r="C12" i="4"/>
  <c r="G47" i="9" l="1"/>
  <c r="G48" i="9"/>
  <c r="G49" i="9"/>
  <c r="G50" i="9"/>
  <c r="G46" i="9"/>
  <c r="F47" i="9"/>
  <c r="F48" i="9"/>
  <c r="F49" i="9"/>
  <c r="F50" i="9"/>
  <c r="F46" i="9"/>
  <c r="AC5" i="4"/>
  <c r="AC6" i="4"/>
  <c r="AC7" i="4"/>
  <c r="AC8" i="4"/>
  <c r="AC4" i="4"/>
  <c r="H46" i="9" l="1"/>
  <c r="H50" i="9"/>
  <c r="H47" i="9"/>
  <c r="H49" i="9"/>
  <c r="H48" i="9"/>
  <c r="AC9" i="4"/>
  <c r="C3" i="9" l="1"/>
  <c r="G45" i="9"/>
  <c r="F45" i="9"/>
  <c r="G44" i="9"/>
  <c r="F44" i="9"/>
  <c r="G43" i="9"/>
  <c r="F43" i="9"/>
  <c r="G42" i="9"/>
  <c r="F42" i="9"/>
  <c r="G41" i="9"/>
  <c r="F41" i="9"/>
  <c r="G40" i="9"/>
  <c r="F40" i="9"/>
  <c r="G39" i="9"/>
  <c r="F39" i="9"/>
  <c r="G38" i="9"/>
  <c r="F38" i="9"/>
  <c r="G37" i="9"/>
  <c r="F37" i="9"/>
  <c r="G36" i="9"/>
  <c r="F36" i="9"/>
  <c r="G35" i="9"/>
  <c r="F35" i="9"/>
  <c r="G34" i="9"/>
  <c r="F34" i="9"/>
  <c r="G33" i="9"/>
  <c r="F33" i="9"/>
  <c r="G32" i="9"/>
  <c r="F32" i="9"/>
  <c r="G31" i="9"/>
  <c r="F31" i="9"/>
  <c r="G30" i="9"/>
  <c r="F30" i="9"/>
  <c r="G29" i="9"/>
  <c r="F29" i="9"/>
  <c r="G28" i="9"/>
  <c r="F28" i="9"/>
  <c r="G27" i="9"/>
  <c r="F27" i="9"/>
  <c r="G26" i="9"/>
  <c r="F26" i="9"/>
  <c r="G25" i="9"/>
  <c r="F25" i="9"/>
  <c r="G24" i="9"/>
  <c r="F24" i="9"/>
  <c r="G23" i="9"/>
  <c r="F23" i="9"/>
  <c r="G22" i="9"/>
  <c r="F22" i="9"/>
  <c r="G21" i="9"/>
  <c r="F21" i="9"/>
  <c r="G20" i="9"/>
  <c r="F20" i="9"/>
  <c r="G19" i="9"/>
  <c r="F19" i="9"/>
  <c r="G18" i="9"/>
  <c r="F18" i="9"/>
  <c r="G17" i="9"/>
  <c r="F17" i="9"/>
  <c r="G16" i="9"/>
  <c r="F16" i="9"/>
  <c r="G15" i="9"/>
  <c r="F15" i="9"/>
  <c r="G14" i="9"/>
  <c r="F14" i="9"/>
  <c r="G13" i="9"/>
  <c r="F13" i="9"/>
  <c r="G12" i="9"/>
  <c r="F12" i="9"/>
  <c r="G11" i="9"/>
  <c r="F11" i="9"/>
  <c r="G10" i="9"/>
  <c r="F10" i="9"/>
  <c r="G9" i="9"/>
  <c r="F9" i="9"/>
  <c r="G8" i="9"/>
  <c r="F8" i="9"/>
  <c r="G7" i="9"/>
  <c r="F7" i="9"/>
  <c r="G6" i="9"/>
  <c r="F6" i="9"/>
  <c r="G5" i="9"/>
  <c r="F5" i="9"/>
  <c r="G4" i="9"/>
  <c r="F4" i="9"/>
  <c r="G3" i="9"/>
  <c r="F3" i="9"/>
  <c r="W4" i="4" l="1"/>
  <c r="H36" i="9" s="1"/>
  <c r="W5" i="4"/>
  <c r="H37" i="9" s="1"/>
  <c r="W6" i="4"/>
  <c r="H38" i="9" s="1"/>
  <c r="W7" i="4"/>
  <c r="H39" i="9" s="1"/>
  <c r="W8" i="4"/>
  <c r="H40" i="9" s="1"/>
  <c r="W9" i="4"/>
  <c r="H41" i="9" s="1"/>
  <c r="W10" i="4"/>
  <c r="H42" i="9" s="1"/>
  <c r="W11" i="4"/>
  <c r="H43" i="9" s="1"/>
  <c r="W12" i="4"/>
  <c r="H44" i="9" s="1"/>
  <c r="W13" i="4"/>
  <c r="H45" i="9" s="1"/>
  <c r="Q5" i="4"/>
  <c r="H25" i="9" s="1"/>
  <c r="Q6" i="4"/>
  <c r="H26" i="9" s="1"/>
  <c r="Q7" i="4"/>
  <c r="H27" i="9" s="1"/>
  <c r="Q8" i="4"/>
  <c r="H28" i="9" s="1"/>
  <c r="Q9" i="4"/>
  <c r="H29" i="9" s="1"/>
  <c r="Q10" i="4"/>
  <c r="H30" i="9" s="1"/>
  <c r="Q11" i="4"/>
  <c r="H31" i="9" s="1"/>
  <c r="Q12" i="4"/>
  <c r="H32" i="9" s="1"/>
  <c r="Q13" i="4"/>
  <c r="H33" i="9" s="1"/>
  <c r="Q14" i="4"/>
  <c r="H34" i="9" s="1"/>
  <c r="Q15" i="4"/>
  <c r="H35" i="9" s="1"/>
  <c r="Q4" i="4"/>
  <c r="K5" i="4"/>
  <c r="H12" i="9" s="1"/>
  <c r="K6" i="4"/>
  <c r="H13" i="9" s="1"/>
  <c r="K7" i="4"/>
  <c r="H14" i="9" s="1"/>
  <c r="K8" i="4"/>
  <c r="H15" i="9" s="1"/>
  <c r="K9" i="4"/>
  <c r="H16" i="9" s="1"/>
  <c r="K10" i="4"/>
  <c r="H17" i="9" s="1"/>
  <c r="K11" i="4"/>
  <c r="H18" i="9" s="1"/>
  <c r="K12" i="4"/>
  <c r="H19" i="9" s="1"/>
  <c r="K13" i="4"/>
  <c r="H20" i="9" s="1"/>
  <c r="K14" i="4"/>
  <c r="H21" i="9" s="1"/>
  <c r="K15" i="4"/>
  <c r="H22" i="9" s="1"/>
  <c r="K16" i="4"/>
  <c r="H23" i="9" s="1"/>
  <c r="K4" i="4"/>
  <c r="E5" i="4"/>
  <c r="H4" i="9" s="1"/>
  <c r="E6" i="4"/>
  <c r="H5" i="9" s="1"/>
  <c r="E7" i="4"/>
  <c r="H6" i="9" s="1"/>
  <c r="E8" i="4"/>
  <c r="H7" i="9" s="1"/>
  <c r="E9" i="4"/>
  <c r="H8" i="9" s="1"/>
  <c r="E10" i="4"/>
  <c r="H9" i="9" s="1"/>
  <c r="E11" i="4"/>
  <c r="H10" i="9" s="1"/>
  <c r="E4" i="4"/>
  <c r="H3" i="9" l="1"/>
  <c r="E12" i="4"/>
  <c r="H11" i="9"/>
  <c r="K17" i="4"/>
  <c r="W14" i="4"/>
  <c r="H24" i="9"/>
  <c r="Q16" i="4"/>
</calcChain>
</file>

<file path=xl/sharedStrings.xml><?xml version="1.0" encoding="utf-8"?>
<sst xmlns="http://schemas.openxmlformats.org/spreadsheetml/2006/main" count="214" uniqueCount="52">
  <si>
    <t>PCH</t>
  </si>
  <si>
    <t>Designation PCH</t>
  </si>
  <si>
    <t>Prépa</t>
  </si>
  <si>
    <t>Act</t>
  </si>
  <si>
    <t>Tot</t>
  </si>
  <si>
    <t>Total général</t>
  </si>
  <si>
    <t>Étiquettes de lignes</t>
  </si>
  <si>
    <t>TOTAL</t>
  </si>
  <si>
    <t>PERCEUSES</t>
  </si>
  <si>
    <t>TOURS CN</t>
  </si>
  <si>
    <t>FRAISEUSES CONVENTIONNELLES</t>
  </si>
  <si>
    <t>FRAISEUSES CN</t>
  </si>
  <si>
    <t>ASSEMBLAGE</t>
  </si>
  <si>
    <t>PRODUIT</t>
  </si>
  <si>
    <t>Type</t>
  </si>
  <si>
    <t xml:space="preserve">Pôle laser </t>
  </si>
  <si>
    <t>Pôle pliage</t>
  </si>
  <si>
    <t>Pôle cintrage</t>
  </si>
  <si>
    <t>PDC</t>
  </si>
  <si>
    <t>DESIGNATION POLE</t>
  </si>
  <si>
    <t>Étiquettes de colonnes</t>
  </si>
  <si>
    <t>Capacité normale</t>
  </si>
  <si>
    <t>Capacité haute</t>
  </si>
  <si>
    <t>Total</t>
  </si>
  <si>
    <t>Prép</t>
  </si>
  <si>
    <t>Total Prép</t>
  </si>
  <si>
    <t>Acti</t>
  </si>
  <si>
    <t>Total Acti</t>
  </si>
  <si>
    <t>Total Total</t>
  </si>
  <si>
    <t>BMW</t>
  </si>
  <si>
    <t>AUDI</t>
  </si>
  <si>
    <t>MERCEDES</t>
  </si>
  <si>
    <t>WOLSWAGEN</t>
  </si>
  <si>
    <t>TOYOTA</t>
  </si>
  <si>
    <t>CHAINFREIN</t>
  </si>
  <si>
    <t>SERTISSAGE</t>
  </si>
  <si>
    <t>EBAVURAGE</t>
  </si>
  <si>
    <t>PLIAGE</t>
  </si>
  <si>
    <t>SCIAGE</t>
  </si>
  <si>
    <t>SCIAGE INTEGRALE</t>
  </si>
  <si>
    <t>SAF/Oxy</t>
  </si>
  <si>
    <t>TOURS</t>
  </si>
  <si>
    <t>SCIAGE - PERCAGE</t>
  </si>
  <si>
    <t>FRAISAGE</t>
  </si>
  <si>
    <t>GROS SCIAGE</t>
  </si>
  <si>
    <t>TRONCO</t>
  </si>
  <si>
    <t>USINAGE</t>
  </si>
  <si>
    <t>TOURNAGE</t>
  </si>
  <si>
    <t>EBA</t>
  </si>
  <si>
    <t>FRAISEUSE CN</t>
  </si>
  <si>
    <t>BR</t>
  </si>
  <si>
    <t>TARAU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</si>
</sst>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 tint="0.79998168889431442"/>
      </patternFill>
    </fill>
    <fill>
      <patternFill patternType="solid">
        <fgColor theme="7" tint="0.79998168889431442"/>
        <bgColor theme="4" tint="0.79998168889431442"/>
      </patternFill>
    </fill>
    <fill>
      <patternFill patternType="solid">
        <fgColor theme="7" tint="0.59999389629810485"/>
        <bgColor theme="4" tint="0.79998168889431442"/>
      </patternFill>
    </fill>
    <fill>
      <patternFill patternType="solid">
        <fgColor rgb="FF00B050"/>
        <bgColor theme="4" tint="0.79998168889431442"/>
      </patternFill>
    </fill>
    <fill>
      <patternFill patternType="solid">
        <fgColor rgb="FFC00000"/>
        <bgColor theme="4" tint="0.79998168889431442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Fill="1" applyBorder="1"/>
    <xf numFmtId="0" fontId="1" fillId="0" borderId="0" xfId="0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left"/>
    </xf>
    <xf numFmtId="0" fontId="1" fillId="2" borderId="5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3" borderId="1" xfId="0" applyNumberFormat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3" borderId="3" xfId="0" applyNumberFormat="1" applyFont="1" applyFill="1" applyBorder="1" applyAlignment="1">
      <alignment horizontal="center" vertical="center"/>
    </xf>
    <xf numFmtId="0" fontId="0" fillId="0" borderId="3" xfId="0" applyNumberFormat="1" applyFont="1" applyBorder="1" applyAlignment="1">
      <alignment horizontal="center" vertical="center"/>
    </xf>
    <xf numFmtId="0" fontId="0" fillId="0" borderId="0" xfId="0" pivotButton="1"/>
    <xf numFmtId="0" fontId="0" fillId="3" borderId="5" xfId="0" applyNumberFormat="1" applyFont="1" applyFill="1" applyBorder="1" applyAlignment="1">
      <alignment horizontal="center" vertical="center"/>
    </xf>
    <xf numFmtId="0" fontId="0" fillId="4" borderId="2" xfId="0" applyNumberFormat="1" applyFont="1" applyFill="1" applyBorder="1" applyAlignment="1">
      <alignment horizontal="center" vertical="center"/>
    </xf>
    <xf numFmtId="0" fontId="0" fillId="6" borderId="2" xfId="0" applyNumberFormat="1" applyFont="1" applyFill="1" applyBorder="1" applyAlignment="1">
      <alignment horizontal="center" vertical="center"/>
    </xf>
    <xf numFmtId="0" fontId="0" fillId="7" borderId="2" xfId="0" applyNumberFormat="1" applyFont="1" applyFill="1" applyBorder="1" applyAlignment="1">
      <alignment horizontal="center" vertical="center"/>
    </xf>
    <xf numFmtId="0" fontId="0" fillId="5" borderId="2" xfId="0" applyNumberFormat="1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0" fontId="4" fillId="3" borderId="3" xfId="0" applyNumberFormat="1" applyFont="1" applyFill="1" applyBorder="1" applyAlignment="1">
      <alignment horizontal="center" vertical="center"/>
    </xf>
    <xf numFmtId="0" fontId="4" fillId="8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indent="1"/>
    </xf>
    <xf numFmtId="0" fontId="0" fillId="0" borderId="10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1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2" fontId="0" fillId="3" borderId="1" xfId="0" applyNumberFormat="1" applyFont="1" applyFill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 wrapText="1"/>
    </xf>
    <xf numFmtId="0" fontId="7" fillId="0" borderId="3" xfId="0" applyFont="1" applyFill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</cellXfs>
  <cellStyles count="1">
    <cellStyle name="Normal" xfId="0" builtinId="0"/>
  </cellStyles>
  <dxfs count="111"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0" formatCode="General"/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numFmt numFmtId="2" formatCode="0.00"/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</border>
    </dxf>
    <dxf>
      <alignment horizont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[Seuil test 25.07.xlsx]Graph!Tableau croisé dynamique13</c:name>
    <c:fmtId val="1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5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5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5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5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5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6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6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6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6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6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6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6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6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6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6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7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7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7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7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7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7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7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7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7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7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8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8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8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8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8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8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8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8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8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8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9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9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9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9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9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9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9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9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9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9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0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0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0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0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0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0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0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0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0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0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5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35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5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36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6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6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363"/>
      </c:pivotFmt>
      <c:pivotFmt>
        <c:idx val="364"/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Graph!$B$3:$B$4</c:f>
              <c:strCache>
                <c:ptCount val="1"/>
                <c:pt idx="0">
                  <c:v>BMW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delete val="1"/>
          </c:dLbls>
          <c:cat>
            <c:multiLvlStrRef>
              <c:f>Graph!$A$5:$A$35</c:f>
              <c:multiLvlStrCache>
                <c:ptCount val="21"/>
                <c:lvl>
                  <c:pt idx="0">
                    <c:v>Prép</c:v>
                  </c:pt>
                  <c:pt idx="1">
                    <c:v>Acti</c:v>
                  </c:pt>
                  <c:pt idx="2">
                    <c:v>Total</c:v>
                  </c:pt>
                  <c:pt idx="3">
                    <c:v>Prép</c:v>
                  </c:pt>
                  <c:pt idx="4">
                    <c:v>Acti</c:v>
                  </c:pt>
                  <c:pt idx="5">
                    <c:v>Total</c:v>
                  </c:pt>
                  <c:pt idx="6">
                    <c:v>Prép</c:v>
                  </c:pt>
                  <c:pt idx="7">
                    <c:v>Acti</c:v>
                  </c:pt>
                  <c:pt idx="8">
                    <c:v>Total</c:v>
                  </c:pt>
                  <c:pt idx="9">
                    <c:v>Prép</c:v>
                  </c:pt>
                  <c:pt idx="10">
                    <c:v>Acti</c:v>
                  </c:pt>
                  <c:pt idx="11">
                    <c:v>Total</c:v>
                  </c:pt>
                  <c:pt idx="12">
                    <c:v>Prép</c:v>
                  </c:pt>
                  <c:pt idx="13">
                    <c:v>Acti</c:v>
                  </c:pt>
                  <c:pt idx="14">
                    <c:v>Total</c:v>
                  </c:pt>
                  <c:pt idx="15">
                    <c:v>Prép</c:v>
                  </c:pt>
                  <c:pt idx="16">
                    <c:v>Acti</c:v>
                  </c:pt>
                  <c:pt idx="17">
                    <c:v>Total</c:v>
                  </c:pt>
                  <c:pt idx="18">
                    <c:v>Prép</c:v>
                  </c:pt>
                  <c:pt idx="19">
                    <c:v>Acti</c:v>
                  </c:pt>
                  <c:pt idx="20">
                    <c:v>Total</c:v>
                  </c:pt>
                </c:lvl>
                <c:lvl>
                  <c:pt idx="0">
                    <c:v>FRAISEUSES CN</c:v>
                  </c:pt>
                  <c:pt idx="3">
                    <c:v>FRAISEUSES CONVENTIONNELLES</c:v>
                  </c:pt>
                  <c:pt idx="6">
                    <c:v>Pôle cintrage</c:v>
                  </c:pt>
                  <c:pt idx="9">
                    <c:v>Pôle pliage</c:v>
                  </c:pt>
                  <c:pt idx="12">
                    <c:v>TOURS CN</c:v>
                  </c:pt>
                  <c:pt idx="15">
                    <c:v>SCIAGE - PERCAGE</c:v>
                  </c:pt>
                  <c:pt idx="18">
                    <c:v>TOURS</c:v>
                  </c:pt>
                </c:lvl>
              </c:multiLvlStrCache>
            </c:multiLvlStrRef>
          </c:cat>
          <c:val>
            <c:numRef>
              <c:f>Graph!$B$5:$B$35</c:f>
              <c:numCache>
                <c:formatCode>0</c:formatCode>
                <c:ptCount val="21"/>
                <c:pt idx="6">
                  <c:v>1.7500000000000009</c:v>
                </c:pt>
                <c:pt idx="7">
                  <c:v>11.999999999999988</c:v>
                </c:pt>
                <c:pt idx="8">
                  <c:v>13.749999999999989</c:v>
                </c:pt>
                <c:pt idx="9">
                  <c:v>3</c:v>
                </c:pt>
                <c:pt idx="10">
                  <c:v>10.56</c:v>
                </c:pt>
                <c:pt idx="11">
                  <c:v>13.56</c:v>
                </c:pt>
                <c:pt idx="15">
                  <c:v>5.8900000000000015</c:v>
                </c:pt>
                <c:pt idx="16">
                  <c:v>31.730000000000018</c:v>
                </c:pt>
                <c:pt idx="17">
                  <c:v>37.620000000000012</c:v>
                </c:pt>
              </c:numCache>
            </c:numRef>
          </c:val>
        </c:ser>
        <c:ser>
          <c:idx val="1"/>
          <c:order val="1"/>
          <c:tx>
            <c:strRef>
              <c:f>Graph!$C$3:$C$4</c:f>
              <c:strCache>
                <c:ptCount val="1"/>
                <c:pt idx="0">
                  <c:v>AUDI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Graph!$A$5:$A$35</c:f>
              <c:multiLvlStrCache>
                <c:ptCount val="21"/>
                <c:lvl>
                  <c:pt idx="0">
                    <c:v>Prép</c:v>
                  </c:pt>
                  <c:pt idx="1">
                    <c:v>Acti</c:v>
                  </c:pt>
                  <c:pt idx="2">
                    <c:v>Total</c:v>
                  </c:pt>
                  <c:pt idx="3">
                    <c:v>Prép</c:v>
                  </c:pt>
                  <c:pt idx="4">
                    <c:v>Acti</c:v>
                  </c:pt>
                  <c:pt idx="5">
                    <c:v>Total</c:v>
                  </c:pt>
                  <c:pt idx="6">
                    <c:v>Prép</c:v>
                  </c:pt>
                  <c:pt idx="7">
                    <c:v>Acti</c:v>
                  </c:pt>
                  <c:pt idx="8">
                    <c:v>Total</c:v>
                  </c:pt>
                  <c:pt idx="9">
                    <c:v>Prép</c:v>
                  </c:pt>
                  <c:pt idx="10">
                    <c:v>Acti</c:v>
                  </c:pt>
                  <c:pt idx="11">
                    <c:v>Total</c:v>
                  </c:pt>
                  <c:pt idx="12">
                    <c:v>Prép</c:v>
                  </c:pt>
                  <c:pt idx="13">
                    <c:v>Acti</c:v>
                  </c:pt>
                  <c:pt idx="14">
                    <c:v>Total</c:v>
                  </c:pt>
                  <c:pt idx="15">
                    <c:v>Prép</c:v>
                  </c:pt>
                  <c:pt idx="16">
                    <c:v>Acti</c:v>
                  </c:pt>
                  <c:pt idx="17">
                    <c:v>Total</c:v>
                  </c:pt>
                  <c:pt idx="18">
                    <c:v>Prép</c:v>
                  </c:pt>
                  <c:pt idx="19">
                    <c:v>Acti</c:v>
                  </c:pt>
                  <c:pt idx="20">
                    <c:v>Total</c:v>
                  </c:pt>
                </c:lvl>
                <c:lvl>
                  <c:pt idx="0">
                    <c:v>FRAISEUSES CN</c:v>
                  </c:pt>
                  <c:pt idx="3">
                    <c:v>FRAISEUSES CONVENTIONNELLES</c:v>
                  </c:pt>
                  <c:pt idx="6">
                    <c:v>Pôle cintrage</c:v>
                  </c:pt>
                  <c:pt idx="9">
                    <c:v>Pôle pliage</c:v>
                  </c:pt>
                  <c:pt idx="12">
                    <c:v>TOURS CN</c:v>
                  </c:pt>
                  <c:pt idx="15">
                    <c:v>SCIAGE - PERCAGE</c:v>
                  </c:pt>
                  <c:pt idx="18">
                    <c:v>TOURS</c:v>
                  </c:pt>
                </c:lvl>
              </c:multiLvlStrCache>
            </c:multiLvlStrRef>
          </c:cat>
          <c:val>
            <c:numRef>
              <c:f>Graph!$C$5:$C$35</c:f>
              <c:numCache>
                <c:formatCode>0</c:formatCode>
                <c:ptCount val="21"/>
                <c:pt idx="0">
                  <c:v>2.8</c:v>
                </c:pt>
                <c:pt idx="1">
                  <c:v>5.37</c:v>
                </c:pt>
                <c:pt idx="2">
                  <c:v>8.1700000000000017</c:v>
                </c:pt>
                <c:pt idx="3">
                  <c:v>3.55</c:v>
                </c:pt>
                <c:pt idx="4">
                  <c:v>4.59</c:v>
                </c:pt>
                <c:pt idx="5">
                  <c:v>8.14</c:v>
                </c:pt>
                <c:pt idx="6">
                  <c:v>1.2500000000000004</c:v>
                </c:pt>
                <c:pt idx="7">
                  <c:v>1.670000000000001</c:v>
                </c:pt>
                <c:pt idx="8">
                  <c:v>2.9200000000000017</c:v>
                </c:pt>
                <c:pt idx="9">
                  <c:v>1</c:v>
                </c:pt>
                <c:pt idx="10">
                  <c:v>1.2</c:v>
                </c:pt>
                <c:pt idx="11">
                  <c:v>2.2000000000000002</c:v>
                </c:pt>
                <c:pt idx="12">
                  <c:v>5</c:v>
                </c:pt>
                <c:pt idx="13">
                  <c:v>3.7600000000000002</c:v>
                </c:pt>
                <c:pt idx="14">
                  <c:v>8.76</c:v>
                </c:pt>
                <c:pt idx="15">
                  <c:v>5.77</c:v>
                </c:pt>
                <c:pt idx="16">
                  <c:v>6.6300000000000008</c:v>
                </c:pt>
                <c:pt idx="17">
                  <c:v>12.4</c:v>
                </c:pt>
                <c:pt idx="18">
                  <c:v>1.25</c:v>
                </c:pt>
                <c:pt idx="19">
                  <c:v>3.1799999999999997</c:v>
                </c:pt>
                <c:pt idx="20">
                  <c:v>4.43</c:v>
                </c:pt>
              </c:numCache>
            </c:numRef>
          </c:val>
        </c:ser>
        <c:ser>
          <c:idx val="2"/>
          <c:order val="2"/>
          <c:tx>
            <c:strRef>
              <c:f>Graph!$D$3:$D$4</c:f>
              <c:strCache>
                <c:ptCount val="1"/>
                <c:pt idx="0">
                  <c:v>MERCEDES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delete val="1"/>
          </c:dLbls>
          <c:cat>
            <c:multiLvlStrRef>
              <c:f>Graph!$A$5:$A$35</c:f>
              <c:multiLvlStrCache>
                <c:ptCount val="21"/>
                <c:lvl>
                  <c:pt idx="0">
                    <c:v>Prép</c:v>
                  </c:pt>
                  <c:pt idx="1">
                    <c:v>Acti</c:v>
                  </c:pt>
                  <c:pt idx="2">
                    <c:v>Total</c:v>
                  </c:pt>
                  <c:pt idx="3">
                    <c:v>Prép</c:v>
                  </c:pt>
                  <c:pt idx="4">
                    <c:v>Acti</c:v>
                  </c:pt>
                  <c:pt idx="5">
                    <c:v>Total</c:v>
                  </c:pt>
                  <c:pt idx="6">
                    <c:v>Prép</c:v>
                  </c:pt>
                  <c:pt idx="7">
                    <c:v>Acti</c:v>
                  </c:pt>
                  <c:pt idx="8">
                    <c:v>Total</c:v>
                  </c:pt>
                  <c:pt idx="9">
                    <c:v>Prép</c:v>
                  </c:pt>
                  <c:pt idx="10">
                    <c:v>Acti</c:v>
                  </c:pt>
                  <c:pt idx="11">
                    <c:v>Total</c:v>
                  </c:pt>
                  <c:pt idx="12">
                    <c:v>Prép</c:v>
                  </c:pt>
                  <c:pt idx="13">
                    <c:v>Acti</c:v>
                  </c:pt>
                  <c:pt idx="14">
                    <c:v>Total</c:v>
                  </c:pt>
                  <c:pt idx="15">
                    <c:v>Prép</c:v>
                  </c:pt>
                  <c:pt idx="16">
                    <c:v>Acti</c:v>
                  </c:pt>
                  <c:pt idx="17">
                    <c:v>Total</c:v>
                  </c:pt>
                  <c:pt idx="18">
                    <c:v>Prép</c:v>
                  </c:pt>
                  <c:pt idx="19">
                    <c:v>Acti</c:v>
                  </c:pt>
                  <c:pt idx="20">
                    <c:v>Total</c:v>
                  </c:pt>
                </c:lvl>
                <c:lvl>
                  <c:pt idx="0">
                    <c:v>FRAISEUSES CN</c:v>
                  </c:pt>
                  <c:pt idx="3">
                    <c:v>FRAISEUSES CONVENTIONNELLES</c:v>
                  </c:pt>
                  <c:pt idx="6">
                    <c:v>Pôle cintrage</c:v>
                  </c:pt>
                  <c:pt idx="9">
                    <c:v>Pôle pliage</c:v>
                  </c:pt>
                  <c:pt idx="12">
                    <c:v>TOURS CN</c:v>
                  </c:pt>
                  <c:pt idx="15">
                    <c:v>SCIAGE - PERCAGE</c:v>
                  </c:pt>
                  <c:pt idx="18">
                    <c:v>TOURS</c:v>
                  </c:pt>
                </c:lvl>
              </c:multiLvlStrCache>
            </c:multiLvlStrRef>
          </c:cat>
          <c:val>
            <c:numRef>
              <c:f>Graph!$D$5:$D$35</c:f>
              <c:numCache>
                <c:formatCode>0</c:formatCode>
                <c:ptCount val="21"/>
                <c:pt idx="0">
                  <c:v>3.25</c:v>
                </c:pt>
                <c:pt idx="1">
                  <c:v>34.39</c:v>
                </c:pt>
                <c:pt idx="2">
                  <c:v>37.64</c:v>
                </c:pt>
                <c:pt idx="3">
                  <c:v>3.8</c:v>
                </c:pt>
                <c:pt idx="4">
                  <c:v>5.0200000000000005</c:v>
                </c:pt>
                <c:pt idx="5">
                  <c:v>8.82</c:v>
                </c:pt>
                <c:pt idx="6">
                  <c:v>2.4999999999999991</c:v>
                </c:pt>
                <c:pt idx="7">
                  <c:v>11.810000000000006</c:v>
                </c:pt>
                <c:pt idx="8">
                  <c:v>14.310000000000006</c:v>
                </c:pt>
                <c:pt idx="9">
                  <c:v>1.07</c:v>
                </c:pt>
                <c:pt idx="10">
                  <c:v>9.5</c:v>
                </c:pt>
                <c:pt idx="11">
                  <c:v>10.57</c:v>
                </c:pt>
                <c:pt idx="12">
                  <c:v>26.25</c:v>
                </c:pt>
                <c:pt idx="13">
                  <c:v>54.11999999999999</c:v>
                </c:pt>
                <c:pt idx="14">
                  <c:v>80.36999999999999</c:v>
                </c:pt>
                <c:pt idx="15">
                  <c:v>22.59</c:v>
                </c:pt>
                <c:pt idx="16">
                  <c:v>90.649999999999977</c:v>
                </c:pt>
                <c:pt idx="17">
                  <c:v>113.23999999999997</c:v>
                </c:pt>
                <c:pt idx="18">
                  <c:v>3.15</c:v>
                </c:pt>
                <c:pt idx="19">
                  <c:v>25.69</c:v>
                </c:pt>
                <c:pt idx="20">
                  <c:v>28.84</c:v>
                </c:pt>
              </c:numCache>
            </c:numRef>
          </c:val>
        </c:ser>
        <c:ser>
          <c:idx val="3"/>
          <c:order val="3"/>
          <c:tx>
            <c:strRef>
              <c:f>Graph!$E$3:$E$4</c:f>
              <c:strCache>
                <c:ptCount val="1"/>
                <c:pt idx="0">
                  <c:v>WOLSWAGEN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delete val="1"/>
          </c:dLbls>
          <c:cat>
            <c:multiLvlStrRef>
              <c:f>Graph!$A$5:$A$35</c:f>
              <c:multiLvlStrCache>
                <c:ptCount val="21"/>
                <c:lvl>
                  <c:pt idx="0">
                    <c:v>Prép</c:v>
                  </c:pt>
                  <c:pt idx="1">
                    <c:v>Acti</c:v>
                  </c:pt>
                  <c:pt idx="2">
                    <c:v>Total</c:v>
                  </c:pt>
                  <c:pt idx="3">
                    <c:v>Prép</c:v>
                  </c:pt>
                  <c:pt idx="4">
                    <c:v>Acti</c:v>
                  </c:pt>
                  <c:pt idx="5">
                    <c:v>Total</c:v>
                  </c:pt>
                  <c:pt idx="6">
                    <c:v>Prép</c:v>
                  </c:pt>
                  <c:pt idx="7">
                    <c:v>Acti</c:v>
                  </c:pt>
                  <c:pt idx="8">
                    <c:v>Total</c:v>
                  </c:pt>
                  <c:pt idx="9">
                    <c:v>Prép</c:v>
                  </c:pt>
                  <c:pt idx="10">
                    <c:v>Acti</c:v>
                  </c:pt>
                  <c:pt idx="11">
                    <c:v>Total</c:v>
                  </c:pt>
                  <c:pt idx="12">
                    <c:v>Prép</c:v>
                  </c:pt>
                  <c:pt idx="13">
                    <c:v>Acti</c:v>
                  </c:pt>
                  <c:pt idx="14">
                    <c:v>Total</c:v>
                  </c:pt>
                  <c:pt idx="15">
                    <c:v>Prép</c:v>
                  </c:pt>
                  <c:pt idx="16">
                    <c:v>Acti</c:v>
                  </c:pt>
                  <c:pt idx="17">
                    <c:v>Total</c:v>
                  </c:pt>
                  <c:pt idx="18">
                    <c:v>Prép</c:v>
                  </c:pt>
                  <c:pt idx="19">
                    <c:v>Acti</c:v>
                  </c:pt>
                  <c:pt idx="20">
                    <c:v>Total</c:v>
                  </c:pt>
                </c:lvl>
                <c:lvl>
                  <c:pt idx="0">
                    <c:v>FRAISEUSES CN</c:v>
                  </c:pt>
                  <c:pt idx="3">
                    <c:v>FRAISEUSES CONVENTIONNELLES</c:v>
                  </c:pt>
                  <c:pt idx="6">
                    <c:v>Pôle cintrage</c:v>
                  </c:pt>
                  <c:pt idx="9">
                    <c:v>Pôle pliage</c:v>
                  </c:pt>
                  <c:pt idx="12">
                    <c:v>TOURS CN</c:v>
                  </c:pt>
                  <c:pt idx="15">
                    <c:v>SCIAGE - PERCAGE</c:v>
                  </c:pt>
                  <c:pt idx="18">
                    <c:v>TOURS</c:v>
                  </c:pt>
                </c:lvl>
              </c:multiLvlStrCache>
            </c:multiLvlStrRef>
          </c:cat>
          <c:val>
            <c:numRef>
              <c:f>Graph!$E$5:$E$35</c:f>
              <c:numCache>
                <c:formatCode>0</c:formatCode>
                <c:ptCount val="21"/>
                <c:pt idx="0">
                  <c:v>6.6999999999999993</c:v>
                </c:pt>
                <c:pt idx="1">
                  <c:v>3.5</c:v>
                </c:pt>
                <c:pt idx="2">
                  <c:v>10.199999999999999</c:v>
                </c:pt>
                <c:pt idx="3">
                  <c:v>4.55</c:v>
                </c:pt>
                <c:pt idx="4">
                  <c:v>2.8300000000000005</c:v>
                </c:pt>
                <c:pt idx="5">
                  <c:v>7.3800000000000008</c:v>
                </c:pt>
                <c:pt idx="9">
                  <c:v>0.66</c:v>
                </c:pt>
                <c:pt idx="10">
                  <c:v>0.45</c:v>
                </c:pt>
                <c:pt idx="11">
                  <c:v>1.1100000000000001</c:v>
                </c:pt>
                <c:pt idx="12">
                  <c:v>7.25</c:v>
                </c:pt>
                <c:pt idx="13">
                  <c:v>1.6700000000000002</c:v>
                </c:pt>
                <c:pt idx="14">
                  <c:v>8.92</c:v>
                </c:pt>
                <c:pt idx="15">
                  <c:v>15.570000000000004</c:v>
                </c:pt>
                <c:pt idx="16">
                  <c:v>11.910000000000005</c:v>
                </c:pt>
                <c:pt idx="17">
                  <c:v>27.480000000000004</c:v>
                </c:pt>
                <c:pt idx="18">
                  <c:v>3.2499999999999996</c:v>
                </c:pt>
                <c:pt idx="19">
                  <c:v>2.2899999999999996</c:v>
                </c:pt>
                <c:pt idx="20">
                  <c:v>5.5399999999999991</c:v>
                </c:pt>
              </c:numCache>
            </c:numRef>
          </c:val>
        </c:ser>
        <c:ser>
          <c:idx val="4"/>
          <c:order val="4"/>
          <c:tx>
            <c:strRef>
              <c:f>Graph!$F$3:$F$4</c:f>
              <c:strCache>
                <c:ptCount val="1"/>
                <c:pt idx="0">
                  <c:v>TOYOTA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Graph!$A$5:$A$35</c:f>
              <c:multiLvlStrCache>
                <c:ptCount val="21"/>
                <c:lvl>
                  <c:pt idx="0">
                    <c:v>Prép</c:v>
                  </c:pt>
                  <c:pt idx="1">
                    <c:v>Acti</c:v>
                  </c:pt>
                  <c:pt idx="2">
                    <c:v>Total</c:v>
                  </c:pt>
                  <c:pt idx="3">
                    <c:v>Prép</c:v>
                  </c:pt>
                  <c:pt idx="4">
                    <c:v>Acti</c:v>
                  </c:pt>
                  <c:pt idx="5">
                    <c:v>Total</c:v>
                  </c:pt>
                  <c:pt idx="6">
                    <c:v>Prép</c:v>
                  </c:pt>
                  <c:pt idx="7">
                    <c:v>Acti</c:v>
                  </c:pt>
                  <c:pt idx="8">
                    <c:v>Total</c:v>
                  </c:pt>
                  <c:pt idx="9">
                    <c:v>Prép</c:v>
                  </c:pt>
                  <c:pt idx="10">
                    <c:v>Acti</c:v>
                  </c:pt>
                  <c:pt idx="11">
                    <c:v>Total</c:v>
                  </c:pt>
                  <c:pt idx="12">
                    <c:v>Prép</c:v>
                  </c:pt>
                  <c:pt idx="13">
                    <c:v>Acti</c:v>
                  </c:pt>
                  <c:pt idx="14">
                    <c:v>Total</c:v>
                  </c:pt>
                  <c:pt idx="15">
                    <c:v>Prép</c:v>
                  </c:pt>
                  <c:pt idx="16">
                    <c:v>Acti</c:v>
                  </c:pt>
                  <c:pt idx="17">
                    <c:v>Total</c:v>
                  </c:pt>
                  <c:pt idx="18">
                    <c:v>Prép</c:v>
                  </c:pt>
                  <c:pt idx="19">
                    <c:v>Acti</c:v>
                  </c:pt>
                  <c:pt idx="20">
                    <c:v>Total</c:v>
                  </c:pt>
                </c:lvl>
                <c:lvl>
                  <c:pt idx="0">
                    <c:v>FRAISEUSES CN</c:v>
                  </c:pt>
                  <c:pt idx="3">
                    <c:v>FRAISEUSES CONVENTIONNELLES</c:v>
                  </c:pt>
                  <c:pt idx="6">
                    <c:v>Pôle cintrage</c:v>
                  </c:pt>
                  <c:pt idx="9">
                    <c:v>Pôle pliage</c:v>
                  </c:pt>
                  <c:pt idx="12">
                    <c:v>TOURS CN</c:v>
                  </c:pt>
                  <c:pt idx="15">
                    <c:v>SCIAGE - PERCAGE</c:v>
                  </c:pt>
                  <c:pt idx="18">
                    <c:v>TOURS</c:v>
                  </c:pt>
                </c:lvl>
              </c:multiLvlStrCache>
            </c:multiLvlStrRef>
          </c:cat>
          <c:val>
            <c:numRef>
              <c:f>Graph!$F$5:$F$35</c:f>
              <c:numCache>
                <c:formatCode>0</c:formatCode>
                <c:ptCount val="21"/>
                <c:pt idx="6">
                  <c:v>1.4000000000000004</c:v>
                </c:pt>
                <c:pt idx="7">
                  <c:v>6.4373333333333349</c:v>
                </c:pt>
                <c:pt idx="8">
                  <c:v>7.8373333333333353</c:v>
                </c:pt>
                <c:pt idx="9">
                  <c:v>7.0000000000000007E-2</c:v>
                </c:pt>
                <c:pt idx="10">
                  <c:v>0.4</c:v>
                </c:pt>
                <c:pt idx="11">
                  <c:v>0.47000000000000003</c:v>
                </c:pt>
                <c:pt idx="15">
                  <c:v>3.3183333333333342</c:v>
                </c:pt>
                <c:pt idx="16">
                  <c:v>6.6144000000000016</c:v>
                </c:pt>
                <c:pt idx="17">
                  <c:v>9.932733333333335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95"/>
        <c:overlap val="100"/>
        <c:axId val="194258432"/>
        <c:axId val="194258824"/>
      </c:barChart>
      <c:catAx>
        <c:axId val="1942584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258824"/>
        <c:crosses val="autoZero"/>
        <c:auto val="1"/>
        <c:lblAlgn val="ctr"/>
        <c:lblOffset val="100"/>
        <c:noMultiLvlLbl val="0"/>
      </c:catAx>
      <c:valAx>
        <c:axId val="194258824"/>
        <c:scaling>
          <c:orientation val="minMax"/>
        </c:scaling>
        <c:delete val="1"/>
        <c:axPos val="r"/>
        <c:numFmt formatCode="0" sourceLinked="1"/>
        <c:majorTickMark val="none"/>
        <c:minorTickMark val="none"/>
        <c:tickLblPos val="nextTo"/>
        <c:crossAx val="194258432"/>
        <c:crosses val="max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51</xdr:row>
      <xdr:rowOff>56027</xdr:rowOff>
    </xdr:from>
    <xdr:to>
      <xdr:col>45</xdr:col>
      <xdr:colOff>51955</xdr:colOff>
      <xdr:row>112</xdr:row>
      <xdr:rowOff>86591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189887</xdr:colOff>
      <xdr:row>16</xdr:row>
      <xdr:rowOff>107525</xdr:rowOff>
    </xdr:from>
    <xdr:to>
      <xdr:col>11</xdr:col>
      <xdr:colOff>155864</xdr:colOff>
      <xdr:row>35</xdr:row>
      <xdr:rowOff>17318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Typ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442251" y="3155525"/>
              <a:ext cx="2944704" cy="352929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ELNICIUC Maxime" refreshedDate="43306.393730902775" createdVersion="5" refreshedVersion="5" minRefreshableVersion="3" recordCount="48">
  <cacheSource type="worksheet">
    <worksheetSource name="Tableau7"/>
  </cacheSource>
  <cacheFields count="9">
    <cacheField name="PCH" numFmtId="0">
      <sharedItems containsSemiMixedTypes="0" containsString="0" containsNumber="1" containsInteger="1" minValue="22101" maxValue="24901"/>
    </cacheField>
    <cacheField name="Designation PCH" numFmtId="0">
      <sharedItems/>
    </cacheField>
    <cacheField name="Type" numFmtId="0">
      <sharedItems count="14">
        <s v="SCIAGE - PERCAGE"/>
        <s v="Pôle cintrage"/>
        <s v="Pôle pliage"/>
        <s v="TOURS"/>
        <s v="FRAISEUSES CONVENTIONNELLES"/>
        <s v="TOURS CN"/>
        <s v="FRAISEUSES CN"/>
        <s v="SAF/Oxy (2x8 - 4 opérateurs)" u="1"/>
        <s v="Pôle laser " u="1"/>
        <s v="ASSEMBLAGE" u="1"/>
        <s v="SCIE/PERCEUSE/CISAILLE" u="1"/>
        <s v="TOURS CONVENTIONNELS" u="1"/>
        <s v="PERCEUSES" u="1"/>
        <s v="SAF/Oxy" u="1"/>
      </sharedItems>
    </cacheField>
    <cacheField name="Capacité normale" numFmtId="0">
      <sharedItems containsSemiMixedTypes="0" containsString="0" containsNumber="1" containsInteger="1" minValue="35" maxValue="245"/>
    </cacheField>
    <cacheField name="Capacité haute" numFmtId="0">
      <sharedItems containsSemiMixedTypes="0" containsString="0" containsNumber="1" containsInteger="1" minValue="40" maxValue="280"/>
    </cacheField>
    <cacheField name="Prépa" numFmtId="2">
      <sharedItems containsSemiMixedTypes="0" containsString="0" containsNumber="1" minValue="7.0000000000000007E-2" maxValue="26.25"/>
    </cacheField>
    <cacheField name="Act" numFmtId="2">
      <sharedItems containsSemiMixedTypes="0" containsString="0" containsNumber="1" minValue="0.1" maxValue="54.11999999999999"/>
    </cacheField>
    <cacheField name="Tot" numFmtId="2">
      <sharedItems containsSemiMixedTypes="0" containsString="0" containsNumber="1" minValue="0.27760000000000001" maxValue="80.36999999999999"/>
    </cacheField>
    <cacheField name="PRODUIT" numFmtId="0">
      <sharedItems count="12">
        <s v="BMW"/>
        <s v="AUDI"/>
        <s v="MERCEDES"/>
        <s v="WOLSWAGEN"/>
        <s v="TOYOTA"/>
        <s v="TRACTEUR" u="1"/>
        <s v="ARIVE" u="1"/>
        <s v="EHR300 REM" u="1"/>
        <s v="SPECIFS" u="1"/>
        <s v="EHR200 REM" u="1"/>
        <s v="FCT COM " u="1"/>
        <s v="WAGON" u="1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">
  <r>
    <n v="22102"/>
    <s v="CHANFREINAGE"/>
    <x v="0"/>
    <n v="245"/>
    <n v="280"/>
    <n v="0.34"/>
    <n v="2.4000000000000004"/>
    <n v="2.74"/>
    <x v="0"/>
  </r>
  <r>
    <n v="22103"/>
    <s v="SERTISSAGE TUBES RIGIDES"/>
    <x v="1"/>
    <n v="245"/>
    <n v="280"/>
    <n v="1.7500000000000009"/>
    <n v="11.999999999999988"/>
    <n v="13.749999999999989"/>
    <x v="0"/>
  </r>
  <r>
    <n v="22104"/>
    <s v="EBAVURAGE M126001/M127013/M128"/>
    <x v="0"/>
    <n v="245"/>
    <n v="280"/>
    <n v="0.17"/>
    <n v="9.6"/>
    <n v="9.77"/>
    <x v="0"/>
  </r>
  <r>
    <n v="22106"/>
    <s v="PLIAGE REDRESSAGE "/>
    <x v="2"/>
    <n v="243"/>
    <n v="276"/>
    <n v="1"/>
    <n v="6.4"/>
    <n v="7.4"/>
    <x v="0"/>
  </r>
  <r>
    <n v="22210"/>
    <s v="PETIT SCIAGE PK M00113100"/>
    <x v="0"/>
    <n v="245"/>
    <n v="280"/>
    <n v="1.29"/>
    <n v="4.42"/>
    <n v="5.71"/>
    <x v="0"/>
  </r>
  <r>
    <n v="22211"/>
    <s v="SCIAGE INTEGRE AU CINTRAGE TUB"/>
    <x v="0"/>
    <n v="245"/>
    <n v="280"/>
    <n v="3.0800000000000014"/>
    <n v="13.310000000000015"/>
    <n v="16.390000000000015"/>
    <x v="0"/>
  </r>
  <r>
    <n v="22301"/>
    <s v="GROS SCIAGE GK"/>
    <x v="0"/>
    <n v="245"/>
    <n v="280"/>
    <n v="1.01"/>
    <n v="2"/>
    <n v="3.01"/>
    <x v="0"/>
  </r>
  <r>
    <n v="22707"/>
    <s v="PLIAGE 800T/6400"/>
    <x v="2"/>
    <n v="243"/>
    <n v="276"/>
    <n v="2"/>
    <n v="4.16"/>
    <n v="6.16"/>
    <x v="0"/>
  </r>
  <r>
    <n v="22103"/>
    <s v="SERTISSAGE TUBES RIGIDES"/>
    <x v="1"/>
    <n v="245"/>
    <n v="280"/>
    <n v="1.2500000000000004"/>
    <n v="1.670000000000001"/>
    <n v="2.9200000000000017"/>
    <x v="1"/>
  </r>
  <r>
    <n v="22104"/>
    <s v="EBAVURAGE M126001/M127013/M128"/>
    <x v="0"/>
    <n v="245"/>
    <n v="280"/>
    <n v="0.34"/>
    <n v="1.85"/>
    <n v="2.19"/>
    <x v="1"/>
  </r>
  <r>
    <n v="22106"/>
    <s v="PLIAGE REDRESSAGE "/>
    <x v="2"/>
    <n v="243"/>
    <n v="276"/>
    <n v="1"/>
    <n v="1.2"/>
    <n v="2.2000000000000002"/>
    <x v="1"/>
  </r>
  <r>
    <n v="22210"/>
    <s v="PETIT SCIAGE PK M00113100"/>
    <x v="0"/>
    <n v="245"/>
    <n v="280"/>
    <n v="2.0699999999999998"/>
    <n v="1.1400000000000001"/>
    <n v="3.21"/>
    <x v="1"/>
  </r>
  <r>
    <n v="22211"/>
    <s v="SCIAGE INTEGRE AU CINTRAGE TUB"/>
    <x v="0"/>
    <n v="245"/>
    <n v="280"/>
    <n v="1.9200000000000006"/>
    <n v="0.86000000000000021"/>
    <n v="2.7800000000000007"/>
    <x v="1"/>
  </r>
  <r>
    <n v="22301"/>
    <s v="GROS SCIAGE GK"/>
    <x v="0"/>
    <n v="245"/>
    <n v="280"/>
    <n v="0.34"/>
    <n v="0.1"/>
    <n v="0.44000000000000006"/>
    <x v="1"/>
  </r>
  <r>
    <n v="24300"/>
    <s v="SCIAGE RUBAN MISSLER DEB 280 *"/>
    <x v="0"/>
    <n v="245"/>
    <n v="280"/>
    <n v="1.0999999999999999"/>
    <n v="2.6799999999999997"/>
    <n v="3.7799999999999994"/>
    <x v="1"/>
  </r>
  <r>
    <n v="24301"/>
    <s v="TOURNAGE PARALLELE     M00   *"/>
    <x v="3"/>
    <n v="175"/>
    <n v="200"/>
    <n v="1"/>
    <n v="1.9799999999999998"/>
    <n v="2.9799999999999995"/>
    <x v="1"/>
  </r>
  <r>
    <n v="24303"/>
    <s v="TOURNAGE PARALLELE           *"/>
    <x v="3"/>
    <n v="175"/>
    <n v="200"/>
    <n v="0.25"/>
    <n v="1.2"/>
    <n v="1.45"/>
    <x v="1"/>
  </r>
  <r>
    <n v="24502"/>
    <s v="FRAISAGE UNIV          M00   *"/>
    <x v="4"/>
    <n v="105"/>
    <n v="120"/>
    <n v="3.55"/>
    <n v="4.59"/>
    <n v="8.14"/>
    <x v="1"/>
  </r>
  <r>
    <n v="24611"/>
    <s v="TOUR CN HES 32               *"/>
    <x v="5"/>
    <n v="140"/>
    <n v="160"/>
    <n v="5"/>
    <n v="3.7600000000000002"/>
    <n v="8.76"/>
    <x v="1"/>
  </r>
  <r>
    <n v="24701"/>
    <s v="CENTRE USINAGE CU FV65       *"/>
    <x v="6"/>
    <n v="35"/>
    <n v="40"/>
    <n v="0.8"/>
    <n v="2.2200000000000002"/>
    <n v="3.0200000000000005"/>
    <x v="1"/>
  </r>
  <r>
    <n v="24901"/>
    <s v="FRAISAGE ALESAGE ZAYER L8300 *"/>
    <x v="6"/>
    <n v="35"/>
    <n v="40"/>
    <n v="2"/>
    <n v="3.15"/>
    <n v="5.15"/>
    <x v="1"/>
  </r>
  <r>
    <n v="22101"/>
    <s v="PETIT PERCAGE                M"/>
    <x v="0"/>
    <n v="245"/>
    <n v="280"/>
    <n v="3.3099999999999996"/>
    <n v="30.030000000000005"/>
    <n v="33.340000000000003"/>
    <x v="2"/>
  </r>
  <r>
    <n v="22102"/>
    <s v="CHANFREINAGE"/>
    <x v="0"/>
    <n v="245"/>
    <n v="280"/>
    <n v="1.02"/>
    <n v="0.70000000000000007"/>
    <n v="1.7200000000000002"/>
    <x v="2"/>
  </r>
  <r>
    <n v="22103"/>
    <s v="SERTISSAGE TUBES RIGIDES"/>
    <x v="1"/>
    <n v="245"/>
    <n v="280"/>
    <n v="2.4999999999999991"/>
    <n v="11.810000000000006"/>
    <n v="14.310000000000006"/>
    <x v="2"/>
  </r>
  <r>
    <n v="22104"/>
    <s v="EBAVURAGE M126001/M127013/M128"/>
    <x v="0"/>
    <n v="245"/>
    <n v="280"/>
    <n v="1.5099999999999998"/>
    <n v="10.040000000000001"/>
    <n v="11.55"/>
    <x v="2"/>
  </r>
  <r>
    <n v="22106"/>
    <s v="PLIAGE REDRESSAGE "/>
    <x v="2"/>
    <n v="243"/>
    <n v="276"/>
    <n v="1.07"/>
    <n v="9.5"/>
    <n v="10.57"/>
    <x v="2"/>
  </r>
  <r>
    <n v="22210"/>
    <s v="PETIT SCIAGE PK M00113100"/>
    <x v="0"/>
    <n v="245"/>
    <n v="280"/>
    <n v="6.9899999999999984"/>
    <n v="14.569999999999999"/>
    <n v="21.559999999999995"/>
    <x v="2"/>
  </r>
  <r>
    <n v="22211"/>
    <s v="SCIAGE INTEGRE AU CINTRAGE TUB"/>
    <x v="0"/>
    <n v="245"/>
    <n v="280"/>
    <n v="4.7200000000000024"/>
    <n v="14.139999999999983"/>
    <n v="18.859999999999985"/>
    <x v="2"/>
  </r>
  <r>
    <n v="24300"/>
    <s v="SCIAGE RUBAN MISSLER DEB 280 *"/>
    <x v="0"/>
    <n v="245"/>
    <n v="280"/>
    <n v="5.04"/>
    <n v="21.169999999999991"/>
    <n v="26.20999999999999"/>
    <x v="2"/>
  </r>
  <r>
    <n v="24301"/>
    <s v="TOURNAGE PARALLELE     M00   *"/>
    <x v="3"/>
    <n v="175"/>
    <n v="200"/>
    <n v="3.15"/>
    <n v="25.69"/>
    <n v="28.84"/>
    <x v="2"/>
  </r>
  <r>
    <n v="24502"/>
    <s v="FRAISAGE UNIV          M00   *"/>
    <x v="4"/>
    <n v="105"/>
    <n v="120"/>
    <n v="3.8"/>
    <n v="5.0200000000000005"/>
    <n v="8.82"/>
    <x v="2"/>
  </r>
  <r>
    <n v="24611"/>
    <s v="TOUR CN HES 32               *"/>
    <x v="5"/>
    <n v="140"/>
    <n v="160"/>
    <n v="26.25"/>
    <n v="54.11999999999999"/>
    <n v="80.36999999999999"/>
    <x v="2"/>
  </r>
  <r>
    <n v="24701"/>
    <s v="CENTRE USINAGE CU FV65       *"/>
    <x v="6"/>
    <n v="35"/>
    <n v="40"/>
    <n v="3.25"/>
    <n v="34.39"/>
    <n v="37.64"/>
    <x v="2"/>
  </r>
  <r>
    <n v="22102"/>
    <s v="CHANFREINAGE"/>
    <x v="0"/>
    <n v="245"/>
    <n v="280"/>
    <n v="7.0300000000000011"/>
    <n v="8.3800000000000043"/>
    <n v="15.410000000000005"/>
    <x v="3"/>
  </r>
  <r>
    <n v="22104"/>
    <s v="EBAVURAGE M126001/M127013/M128"/>
    <x v="0"/>
    <n v="245"/>
    <n v="280"/>
    <n v="2.6699999999999995"/>
    <n v="1.04"/>
    <n v="3.7099999999999995"/>
    <x v="3"/>
  </r>
  <r>
    <n v="22106"/>
    <s v="PLIAGE REDRESSAGE "/>
    <x v="2"/>
    <n v="243"/>
    <n v="276"/>
    <n v="0.66"/>
    <n v="0.45"/>
    <n v="1.1100000000000001"/>
    <x v="3"/>
  </r>
  <r>
    <n v="22210"/>
    <s v="PETIT SCIAGE PK M00113100"/>
    <x v="0"/>
    <n v="245"/>
    <n v="280"/>
    <n v="3.2000000000000011"/>
    <n v="1.6600000000000004"/>
    <n v="4.8600000000000012"/>
    <x v="3"/>
  </r>
  <r>
    <n v="24300"/>
    <s v="SCIAGE RUBAN MISSLER DEB 280 *"/>
    <x v="0"/>
    <n v="245"/>
    <n v="280"/>
    <n v="2.6700000000000008"/>
    <n v="0.83"/>
    <n v="3.5000000000000009"/>
    <x v="3"/>
  </r>
  <r>
    <n v="24301"/>
    <s v="TOURNAGE PARALLELE     M00   *"/>
    <x v="3"/>
    <n v="175"/>
    <n v="200"/>
    <n v="3.2499999999999996"/>
    <n v="2.2899999999999996"/>
    <n v="5.5399999999999991"/>
    <x v="3"/>
  </r>
  <r>
    <n v="24502"/>
    <s v="FRAISAGE UNIV          M00   *"/>
    <x v="4"/>
    <n v="105"/>
    <n v="120"/>
    <n v="4.55"/>
    <n v="2.8300000000000005"/>
    <n v="7.3800000000000008"/>
    <x v="3"/>
  </r>
  <r>
    <n v="24611"/>
    <s v="TOUR CN HES 32               *"/>
    <x v="5"/>
    <n v="140"/>
    <n v="160"/>
    <n v="7.25"/>
    <n v="1.6700000000000002"/>
    <n v="8.92"/>
    <x v="3"/>
  </r>
  <r>
    <n v="24701"/>
    <s v="CENTRE USINAGE CU FV65       *"/>
    <x v="6"/>
    <n v="35"/>
    <n v="40"/>
    <n v="1.25"/>
    <n v="0.24"/>
    <n v="1.49"/>
    <x v="3"/>
  </r>
  <r>
    <n v="24901"/>
    <s v="FRAISAGE ALESAGE ZAYER L8300 *"/>
    <x v="6"/>
    <n v="35"/>
    <n v="40"/>
    <n v="5.4499999999999993"/>
    <n v="3.26"/>
    <n v="8.7099999999999991"/>
    <x v="3"/>
  </r>
  <r>
    <n v="22102"/>
    <s v="CHANFREINAGE"/>
    <x v="0"/>
    <n v="245"/>
    <n v="280"/>
    <n v="0.22266666666666668"/>
    <n v="2.6933333333333334"/>
    <n v="2.9159999999999999"/>
    <x v="4"/>
  </r>
  <r>
    <n v="22103"/>
    <s v="SERTISSAGE TUBES RIGIDES"/>
    <x v="1"/>
    <n v="245"/>
    <n v="280"/>
    <n v="1.4000000000000004"/>
    <n v="6.4373333333333349"/>
    <n v="7.8373333333333353"/>
    <x v="4"/>
  </r>
  <r>
    <n v="22106"/>
    <s v="PLIAGE REDRESSAGE "/>
    <x v="2"/>
    <n v="243"/>
    <n v="276"/>
    <n v="7.0000000000000007E-2"/>
    <n v="0.4"/>
    <n v="0.47000000000000003"/>
    <x v="4"/>
  </r>
  <r>
    <n v="22210"/>
    <s v="PETIT SCIAGE PK M00113100"/>
    <x v="0"/>
    <n v="245"/>
    <n v="280"/>
    <n v="0.17333333333333334"/>
    <n v="0.10426666666666666"/>
    <n v="0.27760000000000001"/>
    <x v="4"/>
  </r>
  <r>
    <n v="22211"/>
    <s v="SCIAGE INTEGRE AU CINTRAGE TUB"/>
    <x v="0"/>
    <n v="245"/>
    <n v="280"/>
    <n v="2.9223333333333343"/>
    <n v="3.8168000000000011"/>
    <n v="6.739133333333335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3" cacheId="39" dataOnRows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chartFormat="47">
  <location ref="A3:G35" firstHeaderRow="1" firstDataRow="2" firstDataCol="1"/>
  <pivotFields count="9">
    <pivotField showAll="0"/>
    <pivotField showAll="0"/>
    <pivotField axis="axisRow" showAll="0">
      <items count="15">
        <item m="1" x="9"/>
        <item x="6"/>
        <item x="4"/>
        <item m="1" x="12"/>
        <item x="1"/>
        <item m="1" x="8"/>
        <item x="2"/>
        <item m="1" x="7"/>
        <item m="1" x="10"/>
        <item x="5"/>
        <item m="1" x="11"/>
        <item x="0"/>
        <item m="1" x="13"/>
        <item x="3"/>
        <item t="default"/>
      </items>
    </pivotField>
    <pivotField showAll="0"/>
    <pivotField showAll="0"/>
    <pivotField dataField="1" showAll="0" defaultSubtotal="0"/>
    <pivotField dataField="1" showAll="0" defaultSubtotal="0"/>
    <pivotField dataField="1" showAll="0" defaultSubtotal="0"/>
    <pivotField axis="axisCol" showAll="0">
      <items count="13">
        <item m="1" x="6"/>
        <item m="1" x="9"/>
        <item m="1" x="7"/>
        <item m="1" x="10"/>
        <item m="1" x="5"/>
        <item m="1" x="11"/>
        <item m="1" x="8"/>
        <item x="0"/>
        <item x="1"/>
        <item x="2"/>
        <item x="3"/>
        <item x="4"/>
        <item t="default"/>
      </items>
    </pivotField>
  </pivotFields>
  <rowFields count="2">
    <field x="2"/>
    <field x="-2"/>
  </rowFields>
  <rowItems count="31">
    <i>
      <x v="1"/>
    </i>
    <i r="1">
      <x/>
    </i>
    <i r="1" i="1">
      <x v="1"/>
    </i>
    <i r="1" i="2">
      <x v="2"/>
    </i>
    <i>
      <x v="2"/>
    </i>
    <i r="1">
      <x/>
    </i>
    <i r="1" i="1">
      <x v="1"/>
    </i>
    <i r="1" i="2">
      <x v="2"/>
    </i>
    <i>
      <x v="4"/>
    </i>
    <i r="1">
      <x/>
    </i>
    <i r="1" i="1">
      <x v="1"/>
    </i>
    <i r="1" i="2">
      <x v="2"/>
    </i>
    <i>
      <x v="6"/>
    </i>
    <i r="1">
      <x/>
    </i>
    <i r="1" i="1">
      <x v="1"/>
    </i>
    <i r="1" i="2">
      <x v="2"/>
    </i>
    <i>
      <x v="9"/>
    </i>
    <i r="1">
      <x/>
    </i>
    <i r="1" i="1">
      <x v="1"/>
    </i>
    <i r="1" i="2">
      <x v="2"/>
    </i>
    <i>
      <x v="11"/>
    </i>
    <i r="1">
      <x/>
    </i>
    <i r="1" i="1">
      <x v="1"/>
    </i>
    <i r="1" i="2">
      <x v="2"/>
    </i>
    <i>
      <x v="13"/>
    </i>
    <i r="1">
      <x/>
    </i>
    <i r="1" i="1">
      <x v="1"/>
    </i>
    <i r="1" i="2">
      <x v="2"/>
    </i>
    <i t="grand">
      <x/>
    </i>
    <i t="grand" i="1">
      <x/>
    </i>
    <i t="grand" i="2">
      <x/>
    </i>
  </rowItems>
  <colFields count="1">
    <field x="8"/>
  </colFields>
  <colItems count="6">
    <i>
      <x v="7"/>
    </i>
    <i>
      <x v="8"/>
    </i>
    <i>
      <x v="9"/>
    </i>
    <i>
      <x v="10"/>
    </i>
    <i>
      <x v="11"/>
    </i>
    <i t="grand">
      <x/>
    </i>
  </colItems>
  <dataFields count="3">
    <dataField name="Prép" fld="5" baseField="2" baseItem="1"/>
    <dataField name="Acti" fld="6" baseField="2" baseItem="1"/>
    <dataField name="Total" fld="7" baseField="2" baseItem="1"/>
  </dataFields>
  <formats count="22">
    <format dxfId="41">
      <pivotArea collapsedLevelsAreSubtotals="1" fieldPosition="0">
        <references count="2">
          <reference field="4294967294" count="3">
            <x v="0"/>
            <x v="1"/>
            <x v="2"/>
          </reference>
          <reference field="2" count="1" selected="0">
            <x v="0"/>
          </reference>
        </references>
      </pivotArea>
    </format>
    <format dxfId="42">
      <pivotArea collapsedLevelsAreSubtotals="1" fieldPosition="0">
        <references count="1">
          <reference field="2" count="1">
            <x v="1"/>
          </reference>
        </references>
      </pivotArea>
    </format>
    <format dxfId="43">
      <pivotArea collapsedLevelsAreSubtotals="1" fieldPosition="0">
        <references count="2">
          <reference field="4294967294" count="3">
            <x v="0"/>
            <x v="1"/>
            <x v="2"/>
          </reference>
          <reference field="2" count="1" selected="0">
            <x v="1"/>
          </reference>
        </references>
      </pivotArea>
    </format>
    <format dxfId="44">
      <pivotArea collapsedLevelsAreSubtotals="1" fieldPosition="0">
        <references count="1">
          <reference field="2" count="1">
            <x v="2"/>
          </reference>
        </references>
      </pivotArea>
    </format>
    <format dxfId="45">
      <pivotArea collapsedLevelsAreSubtotals="1" fieldPosition="0">
        <references count="2">
          <reference field="4294967294" count="3">
            <x v="0"/>
            <x v="1"/>
            <x v="2"/>
          </reference>
          <reference field="2" count="1" selected="0">
            <x v="2"/>
          </reference>
        </references>
      </pivotArea>
    </format>
    <format dxfId="46">
      <pivotArea collapsedLevelsAreSubtotals="1" fieldPosition="0">
        <references count="1">
          <reference field="2" count="1">
            <x v="3"/>
          </reference>
        </references>
      </pivotArea>
    </format>
    <format dxfId="47">
      <pivotArea collapsedLevelsAreSubtotals="1" fieldPosition="0">
        <references count="2">
          <reference field="4294967294" count="3">
            <x v="0"/>
            <x v="1"/>
            <x v="2"/>
          </reference>
          <reference field="2" count="1" selected="0">
            <x v="3"/>
          </reference>
        </references>
      </pivotArea>
    </format>
    <format dxfId="48">
      <pivotArea collapsedLevelsAreSubtotals="1" fieldPosition="0">
        <references count="1">
          <reference field="2" count="1">
            <x v="4"/>
          </reference>
        </references>
      </pivotArea>
    </format>
    <format dxfId="49">
      <pivotArea collapsedLevelsAreSubtotals="1" fieldPosition="0">
        <references count="2">
          <reference field="4294967294" count="3">
            <x v="0"/>
            <x v="1"/>
            <x v="2"/>
          </reference>
          <reference field="2" count="1" selected="0">
            <x v="4"/>
          </reference>
        </references>
      </pivotArea>
    </format>
    <format dxfId="50">
      <pivotArea collapsedLevelsAreSubtotals="1" fieldPosition="0">
        <references count="1">
          <reference field="2" count="1">
            <x v="5"/>
          </reference>
        </references>
      </pivotArea>
    </format>
    <format dxfId="51">
      <pivotArea collapsedLevelsAreSubtotals="1" fieldPosition="0">
        <references count="2">
          <reference field="4294967294" count="3">
            <x v="0"/>
            <x v="1"/>
            <x v="2"/>
          </reference>
          <reference field="2" count="1" selected="0">
            <x v="5"/>
          </reference>
        </references>
      </pivotArea>
    </format>
    <format dxfId="52">
      <pivotArea collapsedLevelsAreSubtotals="1" fieldPosition="0">
        <references count="1">
          <reference field="2" count="1">
            <x v="6"/>
          </reference>
        </references>
      </pivotArea>
    </format>
    <format dxfId="53">
      <pivotArea collapsedLevelsAreSubtotals="1" fieldPosition="0">
        <references count="2">
          <reference field="4294967294" count="3">
            <x v="0"/>
            <x v="1"/>
            <x v="2"/>
          </reference>
          <reference field="2" count="1" selected="0">
            <x v="6"/>
          </reference>
        </references>
      </pivotArea>
    </format>
    <format dxfId="54">
      <pivotArea collapsedLevelsAreSubtotals="1" fieldPosition="0">
        <references count="1">
          <reference field="2" count="1">
            <x v="7"/>
          </reference>
        </references>
      </pivotArea>
    </format>
    <format dxfId="55">
      <pivotArea collapsedLevelsAreSubtotals="1" fieldPosition="0">
        <references count="2">
          <reference field="4294967294" count="3">
            <x v="0"/>
            <x v="1"/>
            <x v="2"/>
          </reference>
          <reference field="2" count="1" selected="0">
            <x v="7"/>
          </reference>
        </references>
      </pivotArea>
    </format>
    <format dxfId="56">
      <pivotArea collapsedLevelsAreSubtotals="1" fieldPosition="0">
        <references count="1">
          <reference field="2" count="1">
            <x v="8"/>
          </reference>
        </references>
      </pivotArea>
    </format>
    <format dxfId="57">
      <pivotArea collapsedLevelsAreSubtotals="1" fieldPosition="0">
        <references count="2">
          <reference field="4294967294" count="3">
            <x v="0"/>
            <x v="1"/>
            <x v="2"/>
          </reference>
          <reference field="2" count="1" selected="0">
            <x v="8"/>
          </reference>
        </references>
      </pivotArea>
    </format>
    <format dxfId="58">
      <pivotArea collapsedLevelsAreSubtotals="1" fieldPosition="0">
        <references count="1">
          <reference field="2" count="1">
            <x v="9"/>
          </reference>
        </references>
      </pivotArea>
    </format>
    <format dxfId="59">
      <pivotArea collapsedLevelsAreSubtotals="1" fieldPosition="0">
        <references count="2">
          <reference field="4294967294" count="3">
            <x v="0"/>
            <x v="1"/>
            <x v="2"/>
          </reference>
          <reference field="2" count="1" selected="0">
            <x v="9"/>
          </reference>
        </references>
      </pivotArea>
    </format>
    <format dxfId="60">
      <pivotArea collapsedLevelsAreSubtotals="1" fieldPosition="0">
        <references count="1">
          <reference field="2" count="1">
            <x v="10"/>
          </reference>
        </references>
      </pivotArea>
    </format>
    <format dxfId="61">
      <pivotArea collapsedLevelsAreSubtotals="1" fieldPosition="0">
        <references count="2">
          <reference field="4294967294" count="3">
            <x v="0"/>
            <x v="1"/>
            <x v="2"/>
          </reference>
          <reference field="2" count="1" selected="0">
            <x v="10"/>
          </reference>
        </references>
      </pivotArea>
    </format>
    <format dxfId="62">
      <pivotArea field="2" outline="0" collapsedLevelsAreSubtotals="1" axis="axisRow" fieldPosition="0">
        <references count="1">
          <reference field="4294967294" count="3" selected="0">
            <x v="0"/>
            <x v="1"/>
            <x v="2"/>
          </reference>
        </references>
      </pivotArea>
    </format>
  </formats>
  <chartFormats count="26"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1"/>
          </reference>
          <reference field="8" count="1" selected="0">
            <x v="0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2"/>
          </reference>
          <reference field="8" count="1" selected="0">
            <x v="0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1"/>
          </reference>
          <reference field="8" count="1" selected="0">
            <x v="1"/>
          </reference>
        </references>
      </pivotArea>
    </chartFormat>
    <chartFormat chart="1" format="5" series="1">
      <pivotArea type="data" outline="0" fieldPosition="0">
        <references count="2">
          <reference field="4294967294" count="1" selected="0">
            <x v="2"/>
          </reference>
          <reference field="8" count="1" selected="0">
            <x v="1"/>
          </reference>
        </references>
      </pivotArea>
    </chartFormat>
    <chartFormat chart="1" format="6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2"/>
          </reference>
        </references>
      </pivotArea>
    </chartFormat>
    <chartFormat chart="1" format="7" series="1">
      <pivotArea type="data" outline="0" fieldPosition="0">
        <references count="2">
          <reference field="4294967294" count="1" selected="0">
            <x v="1"/>
          </reference>
          <reference field="8" count="1" selected="0">
            <x v="2"/>
          </reference>
        </references>
      </pivotArea>
    </chartFormat>
    <chartFormat chart="1" format="8" series="1">
      <pivotArea type="data" outline="0" fieldPosition="0">
        <references count="2">
          <reference field="4294967294" count="1" selected="0">
            <x v="2"/>
          </reference>
          <reference field="8" count="1" selected="0">
            <x v="2"/>
          </reference>
        </references>
      </pivotArea>
    </chartFormat>
    <chartFormat chart="1" format="9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3"/>
          </reference>
        </references>
      </pivotArea>
    </chartFormat>
    <chartFormat chart="1" format="10" series="1">
      <pivotArea type="data" outline="0" fieldPosition="0">
        <references count="2">
          <reference field="4294967294" count="1" selected="0">
            <x v="1"/>
          </reference>
          <reference field="8" count="1" selected="0">
            <x v="3"/>
          </reference>
        </references>
      </pivotArea>
    </chartFormat>
    <chartFormat chart="1" format="11" series="1">
      <pivotArea type="data" outline="0" fieldPosition="0">
        <references count="2">
          <reference field="4294967294" count="1" selected="0">
            <x v="2"/>
          </reference>
          <reference field="8" count="1" selected="0">
            <x v="3"/>
          </reference>
        </references>
      </pivotArea>
    </chartFormat>
    <chartFormat chart="1" format="12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4"/>
          </reference>
        </references>
      </pivotArea>
    </chartFormat>
    <chartFormat chart="1" format="13" series="1">
      <pivotArea type="data" outline="0" fieldPosition="0">
        <references count="2">
          <reference field="4294967294" count="1" selected="0">
            <x v="1"/>
          </reference>
          <reference field="8" count="1" selected="0">
            <x v="4"/>
          </reference>
        </references>
      </pivotArea>
    </chartFormat>
    <chartFormat chart="1" format="14" series="1">
      <pivotArea type="data" outline="0" fieldPosition="0">
        <references count="2">
          <reference field="4294967294" count="1" selected="0">
            <x v="2"/>
          </reference>
          <reference field="8" count="1" selected="0">
            <x v="4"/>
          </reference>
        </references>
      </pivotArea>
    </chartFormat>
    <chartFormat chart="1" format="15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5"/>
          </reference>
        </references>
      </pivotArea>
    </chartFormat>
    <chartFormat chart="1" format="16" series="1">
      <pivotArea type="data" outline="0" fieldPosition="0">
        <references count="2">
          <reference field="4294967294" count="1" selected="0">
            <x v="1"/>
          </reference>
          <reference field="8" count="1" selected="0">
            <x v="5"/>
          </reference>
        </references>
      </pivotArea>
    </chartFormat>
    <chartFormat chart="1" format="17" series="1">
      <pivotArea type="data" outline="0" fieldPosition="0">
        <references count="2">
          <reference field="4294967294" count="1" selected="0">
            <x v="2"/>
          </reference>
          <reference field="8" count="1" selected="0">
            <x v="5"/>
          </reference>
        </references>
      </pivotArea>
    </chartFormat>
    <chartFormat chart="1" format="357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6"/>
          </reference>
        </references>
      </pivotArea>
    </chartFormat>
    <chartFormat chart="1" format="358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7"/>
          </reference>
        </references>
      </pivotArea>
    </chartFormat>
    <chartFormat chart="1" format="359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8"/>
          </reference>
        </references>
      </pivotArea>
    </chartFormat>
    <chartFormat chart="1" format="360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9"/>
          </reference>
        </references>
      </pivotArea>
    </chartFormat>
    <chartFormat chart="1" format="361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0"/>
          </reference>
        </references>
      </pivotArea>
    </chartFormat>
    <chartFormat chart="1" format="362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1"/>
          </reference>
        </references>
      </pivotArea>
    </chartFormat>
    <chartFormat chart="1" format="363">
      <pivotArea type="data" outline="0" fieldPosition="0">
        <references count="3">
          <reference field="4294967294" count="1" selected="0">
            <x v="1"/>
          </reference>
          <reference field="2" count="1" selected="0">
            <x v="5"/>
          </reference>
          <reference field="8" count="1" selected="0">
            <x v="9"/>
          </reference>
        </references>
      </pivotArea>
    </chartFormat>
    <chartFormat chart="1" format="364">
      <pivotArea type="data" outline="0" fieldPosition="0">
        <references count="3">
          <reference field="4294967294" count="1" selected="0">
            <x v="1"/>
          </reference>
          <reference field="2" count="1" selected="0">
            <x v="5"/>
          </reference>
          <reference field="8" count="1" selected="0">
            <x v="1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e" sourceName="Type">
  <pivotTables>
    <pivotTable tabId="14" name="Tableau croisé dynamique13"/>
  </pivotTables>
  <data>
    <tabular pivotCacheId="1">
      <items count="14">
        <i x="6" s="1"/>
        <i x="4" s="1"/>
        <i x="1" s="1"/>
        <i x="2" s="1"/>
        <i x="0" s="1"/>
        <i x="3" s="1"/>
        <i x="5" s="1"/>
        <i x="9" s="1" nd="1"/>
        <i x="12" s="1" nd="1"/>
        <i x="8" s="1" nd="1"/>
        <i x="13" s="1" nd="1"/>
        <i x="7" s="1" nd="1"/>
        <i x="10" s="1" nd="1"/>
        <i x="11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ype" cache="Segment_Type" caption="Type" startItem="3" rowHeight="241300"/>
</slicers>
</file>

<file path=xl/tables/table1.xml><?xml version="1.0" encoding="utf-8"?>
<table xmlns="http://schemas.openxmlformats.org/spreadsheetml/2006/main" id="9" name="Tableau9" displayName="Tableau9" ref="A1:B52" totalsRowShown="0" headerRowDxfId="27" dataDxfId="26" headerRowBorderDxfId="110" tableBorderDxfId="109" totalsRowBorderDxfId="108">
  <autoFilter ref="A1:B52"/>
  <tableColumns count="2">
    <tableColumn id="2" name="PDC" dataDxfId="29"/>
    <tableColumn id="1" name="DESIGNATION POLE" dataDxfId="2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3:E11" totalsRowShown="0" headerRowDxfId="107" dataDxfId="105" headerRowBorderDxfId="106" tableBorderDxfId="104">
  <autoFilter ref="A3:E11"/>
  <tableColumns count="5">
    <tableColumn id="1" name="PCH" dataDxfId="103"/>
    <tableColumn id="2" name="Designation PCH" dataDxfId="102"/>
    <tableColumn id="3" name="Prépa" dataDxfId="101"/>
    <tableColumn id="4" name="Act" dataDxfId="100"/>
    <tableColumn id="5" name="Tot" dataDxfId="99">
      <calculatedColumnFormula>C4+D4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G3:K16" totalsRowShown="0" headerRowDxfId="98" dataDxfId="96" headerRowBorderDxfId="97" tableBorderDxfId="95" totalsRowBorderDxfId="94">
  <autoFilter ref="G3:K16"/>
  <tableColumns count="5">
    <tableColumn id="1" name="PCH" dataDxfId="93"/>
    <tableColumn id="2" name="Designation PCH" dataDxfId="25">
      <calculatedColumnFormula>VLOOKUP(G4,A39:B46,2,FALSE)</calculatedColumnFormula>
    </tableColumn>
    <tableColumn id="3" name="Prépa" dataDxfId="92"/>
    <tableColumn id="4" name="Act" dataDxfId="91"/>
    <tableColumn id="5" name="Tot" dataDxfId="90">
      <calculatedColumnFormula>I4+J4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M3:Q15" totalsRowShown="0" headerRowDxfId="89" dataDxfId="87" headerRowBorderDxfId="88" tableBorderDxfId="86">
  <autoFilter ref="M3:Q15"/>
  <tableColumns count="5">
    <tableColumn id="1" name="PCH" dataDxfId="85"/>
    <tableColumn id="2" name="Designation PCH" dataDxfId="24">
      <calculatedColumnFormula>VLOOKUP(M4,A:E,2,FALSE)</calculatedColumnFormula>
    </tableColumn>
    <tableColumn id="3" name="Prépa" dataDxfId="84"/>
    <tableColumn id="4" name="Act" dataDxfId="83"/>
    <tableColumn id="5" name="Tot" dataDxfId="82">
      <calculatedColumnFormula>O4+P4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S3:W13" totalsRowShown="0" headerRowDxfId="81" dataDxfId="79" headerRowBorderDxfId="80" tableBorderDxfId="78">
  <autoFilter ref="S3:W13"/>
  <tableColumns count="5">
    <tableColumn id="1" name="PCH" dataDxfId="77"/>
    <tableColumn id="2" name="Designation PCH" dataDxfId="23">
      <calculatedColumnFormula>VLOOKUP(S4,A:E,2,FALSE)</calculatedColumnFormula>
    </tableColumn>
    <tableColumn id="3" name="Prépa" dataDxfId="76"/>
    <tableColumn id="4" name="Act" dataDxfId="75"/>
    <tableColumn id="5" name="Tot" dataDxfId="74">
      <calculatedColumnFormula>U4+V4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bleau8" displayName="Tableau8" ref="Y3:AC8" totalsRowShown="0" headerRowDxfId="73" dataDxfId="71" headerRowBorderDxfId="72" tableBorderDxfId="70">
  <autoFilter ref="Y3:AC8"/>
  <tableColumns count="5">
    <tableColumn id="1" name="PCH" dataDxfId="69"/>
    <tableColumn id="2" name="Designation PCH" dataDxfId="22">
      <calculatedColumnFormula>VLOOKUP(Y4,A39:B54,2,FALSE)</calculatedColumnFormula>
    </tableColumn>
    <tableColumn id="3" name="Prépa" dataDxfId="68"/>
    <tableColumn id="4" name="Act" dataDxfId="67"/>
    <tableColumn id="5" name="Tot" dataDxfId="66">
      <calculatedColumnFormula>AA4+AB4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A2:I50" totalsRowShown="0" headerRowDxfId="31" dataDxfId="30" headerRowBorderDxfId="65" tableBorderDxfId="64" totalsRowBorderDxfId="63">
  <autoFilter ref="A2:I50"/>
  <tableColumns count="9">
    <tableColumn id="1" name="PCH" dataDxfId="40"/>
    <tableColumn id="2" name="Designation PCH" dataDxfId="39">
      <calculatedColumnFormula>VLOOKUP(A3,'Données charge'!A:AC,2,FALSE)</calculatedColumnFormula>
    </tableColumn>
    <tableColumn id="3" name="Type" dataDxfId="38">
      <calculatedColumnFormula>VLOOKUP(A3,Tableau9[],2,FALSE)</calculatedColumnFormula>
    </tableColumn>
    <tableColumn id="4" name="Capacité normale" dataDxfId="37"/>
    <tableColumn id="5" name="Capacité haute" dataDxfId="36"/>
    <tableColumn id="6" name="Prépa" dataDxfId="35"/>
    <tableColumn id="7" name="Act" dataDxfId="34"/>
    <tableColumn id="8" name="Tot" dataDxfId="33"/>
    <tableColumn id="9" name="PRODUIT" dataDxfId="3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2"/>
  <sheetViews>
    <sheetView workbookViewId="0">
      <selection activeCell="F32" sqref="F32"/>
    </sheetView>
  </sheetViews>
  <sheetFormatPr baseColWidth="10" defaultRowHeight="15" x14ac:dyDescent="0.25"/>
  <cols>
    <col min="1" max="1" width="10.5703125" bestFit="1" customWidth="1"/>
    <col min="2" max="2" width="30.5703125" bestFit="1" customWidth="1"/>
  </cols>
  <sheetData>
    <row r="1" spans="1:2" x14ac:dyDescent="0.25">
      <c r="A1" s="53" t="s">
        <v>18</v>
      </c>
      <c r="B1" s="54" t="s">
        <v>19</v>
      </c>
    </row>
    <row r="2" spans="1:2" x14ac:dyDescent="0.25">
      <c r="A2" s="55">
        <v>22101</v>
      </c>
      <c r="B2" s="56" t="s">
        <v>42</v>
      </c>
    </row>
    <row r="3" spans="1:2" x14ac:dyDescent="0.25">
      <c r="A3" s="55">
        <v>22102</v>
      </c>
      <c r="B3" s="56" t="s">
        <v>42</v>
      </c>
    </row>
    <row r="4" spans="1:2" x14ac:dyDescent="0.25">
      <c r="A4" s="55">
        <v>22103</v>
      </c>
      <c r="B4" s="56" t="s">
        <v>17</v>
      </c>
    </row>
    <row r="5" spans="1:2" x14ac:dyDescent="0.25">
      <c r="A5" s="55">
        <v>22104</v>
      </c>
      <c r="B5" s="56" t="s">
        <v>42</v>
      </c>
    </row>
    <row r="6" spans="1:2" ht="18" customHeight="1" x14ac:dyDescent="0.25">
      <c r="A6" s="55">
        <v>22106</v>
      </c>
      <c r="B6" s="56" t="s">
        <v>16</v>
      </c>
    </row>
    <row r="7" spans="1:2" ht="18.75" customHeight="1" x14ac:dyDescent="0.25">
      <c r="A7" s="55">
        <v>22201</v>
      </c>
      <c r="B7" s="56" t="s">
        <v>42</v>
      </c>
    </row>
    <row r="8" spans="1:2" ht="18.75" customHeight="1" x14ac:dyDescent="0.25">
      <c r="A8" s="55">
        <v>22202</v>
      </c>
      <c r="B8" s="56" t="s">
        <v>42</v>
      </c>
    </row>
    <row r="9" spans="1:2" ht="18.75" customHeight="1" x14ac:dyDescent="0.25">
      <c r="A9" s="55">
        <v>22210</v>
      </c>
      <c r="B9" s="56" t="s">
        <v>42</v>
      </c>
    </row>
    <row r="10" spans="1:2" ht="18.75" customHeight="1" x14ac:dyDescent="0.25">
      <c r="A10" s="55">
        <v>22211</v>
      </c>
      <c r="B10" s="56" t="s">
        <v>42</v>
      </c>
    </row>
    <row r="11" spans="1:2" ht="18.75" customHeight="1" x14ac:dyDescent="0.25">
      <c r="A11" s="55">
        <v>22213</v>
      </c>
      <c r="B11" s="56" t="s">
        <v>42</v>
      </c>
    </row>
    <row r="12" spans="1:2" ht="18.75" customHeight="1" x14ac:dyDescent="0.25">
      <c r="A12" s="55">
        <v>22301</v>
      </c>
      <c r="B12" s="56" t="s">
        <v>42</v>
      </c>
    </row>
    <row r="13" spans="1:2" ht="18.75" customHeight="1" x14ac:dyDescent="0.25">
      <c r="A13" s="55">
        <v>22310</v>
      </c>
      <c r="B13" s="56" t="s">
        <v>16</v>
      </c>
    </row>
    <row r="14" spans="1:2" ht="18.75" customHeight="1" x14ac:dyDescent="0.25">
      <c r="A14" s="55">
        <v>22320</v>
      </c>
      <c r="B14" s="56" t="s">
        <v>42</v>
      </c>
    </row>
    <row r="15" spans="1:2" ht="18.75" customHeight="1" x14ac:dyDescent="0.25">
      <c r="A15" s="55">
        <v>22401</v>
      </c>
      <c r="B15" s="56" t="s">
        <v>42</v>
      </c>
    </row>
    <row r="16" spans="1:2" ht="20.25" customHeight="1" x14ac:dyDescent="0.25">
      <c r="A16" s="55">
        <v>22501</v>
      </c>
      <c r="B16" s="56" t="s">
        <v>17</v>
      </c>
    </row>
    <row r="17" spans="1:2" ht="16.5" customHeight="1" x14ac:dyDescent="0.25">
      <c r="A17" s="55">
        <v>22502</v>
      </c>
      <c r="B17" s="56" t="s">
        <v>17</v>
      </c>
    </row>
    <row r="18" spans="1:2" ht="16.5" customHeight="1" x14ac:dyDescent="0.25">
      <c r="A18" s="55">
        <v>22602</v>
      </c>
      <c r="B18" s="56" t="s">
        <v>42</v>
      </c>
    </row>
    <row r="19" spans="1:2" ht="19.5" customHeight="1" x14ac:dyDescent="0.25">
      <c r="A19" s="55">
        <v>22701</v>
      </c>
      <c r="B19" s="56" t="s">
        <v>16</v>
      </c>
    </row>
    <row r="20" spans="1:2" x14ac:dyDescent="0.25">
      <c r="A20" s="55">
        <v>22702</v>
      </c>
      <c r="B20" s="56" t="s">
        <v>16</v>
      </c>
    </row>
    <row r="21" spans="1:2" x14ac:dyDescent="0.25">
      <c r="A21" s="55">
        <v>22703</v>
      </c>
      <c r="B21" s="56" t="s">
        <v>16</v>
      </c>
    </row>
    <row r="22" spans="1:2" x14ac:dyDescent="0.25">
      <c r="A22" s="55">
        <v>22704</v>
      </c>
      <c r="B22" s="56" t="s">
        <v>16</v>
      </c>
    </row>
    <row r="23" spans="1:2" x14ac:dyDescent="0.25">
      <c r="A23" s="55">
        <v>22705</v>
      </c>
      <c r="B23" s="56" t="s">
        <v>16</v>
      </c>
    </row>
    <row r="24" spans="1:2" x14ac:dyDescent="0.25">
      <c r="A24" s="55">
        <v>22706</v>
      </c>
      <c r="B24" s="56" t="s">
        <v>16</v>
      </c>
    </row>
    <row r="25" spans="1:2" x14ac:dyDescent="0.25">
      <c r="A25" s="55">
        <v>22707</v>
      </c>
      <c r="B25" s="56" t="s">
        <v>16</v>
      </c>
    </row>
    <row r="26" spans="1:2" x14ac:dyDescent="0.25">
      <c r="A26" s="55">
        <v>22710</v>
      </c>
      <c r="B26" s="56" t="s">
        <v>40</v>
      </c>
    </row>
    <row r="27" spans="1:2" x14ac:dyDescent="0.25">
      <c r="A27" s="55">
        <v>22711</v>
      </c>
      <c r="B27" s="56" t="s">
        <v>40</v>
      </c>
    </row>
    <row r="28" spans="1:2" x14ac:dyDescent="0.25">
      <c r="A28" s="55">
        <v>22801</v>
      </c>
      <c r="B28" s="56" t="s">
        <v>16</v>
      </c>
    </row>
    <row r="29" spans="1:2" x14ac:dyDescent="0.25">
      <c r="A29" s="55">
        <v>22903</v>
      </c>
      <c r="B29" s="56" t="s">
        <v>15</v>
      </c>
    </row>
    <row r="30" spans="1:2" x14ac:dyDescent="0.25">
      <c r="A30" s="55">
        <v>22904</v>
      </c>
      <c r="B30" s="56" t="s">
        <v>15</v>
      </c>
    </row>
    <row r="31" spans="1:2" x14ac:dyDescent="0.25">
      <c r="A31" s="55">
        <v>22905</v>
      </c>
      <c r="B31" s="56" t="s">
        <v>15</v>
      </c>
    </row>
    <row r="32" spans="1:2" x14ac:dyDescent="0.25">
      <c r="A32" s="55">
        <v>22906</v>
      </c>
      <c r="B32" s="56" t="s">
        <v>15</v>
      </c>
    </row>
    <row r="33" spans="1:2" x14ac:dyDescent="0.25">
      <c r="A33" s="55">
        <v>23301</v>
      </c>
      <c r="B33" s="56" t="s">
        <v>42</v>
      </c>
    </row>
    <row r="34" spans="1:2" x14ac:dyDescent="0.25">
      <c r="A34" s="55">
        <v>23302</v>
      </c>
      <c r="B34" s="56" t="s">
        <v>42</v>
      </c>
    </row>
    <row r="35" spans="1:2" x14ac:dyDescent="0.25">
      <c r="A35" s="55">
        <v>23303</v>
      </c>
      <c r="B35" s="56" t="s">
        <v>16</v>
      </c>
    </row>
    <row r="36" spans="1:2" x14ac:dyDescent="0.25">
      <c r="A36" s="55">
        <v>23304</v>
      </c>
      <c r="B36" s="56" t="s">
        <v>17</v>
      </c>
    </row>
    <row r="37" spans="1:2" x14ac:dyDescent="0.25">
      <c r="A37" s="55">
        <v>23602</v>
      </c>
      <c r="B37" s="56" t="s">
        <v>42</v>
      </c>
    </row>
    <row r="38" spans="1:2" x14ac:dyDescent="0.25">
      <c r="A38" s="55">
        <v>23701</v>
      </c>
      <c r="B38" s="56" t="s">
        <v>16</v>
      </c>
    </row>
    <row r="39" spans="1:2" x14ac:dyDescent="0.25">
      <c r="A39" s="55">
        <v>23901</v>
      </c>
      <c r="B39" s="56" t="s">
        <v>42</v>
      </c>
    </row>
    <row r="40" spans="1:2" x14ac:dyDescent="0.25">
      <c r="A40" s="55">
        <v>24201</v>
      </c>
      <c r="B40" s="56" t="s">
        <v>42</v>
      </c>
    </row>
    <row r="41" spans="1:2" x14ac:dyDescent="0.25">
      <c r="A41" s="55">
        <v>24202</v>
      </c>
      <c r="B41" s="57" t="s">
        <v>8</v>
      </c>
    </row>
    <row r="42" spans="1:2" x14ac:dyDescent="0.25">
      <c r="A42" s="55">
        <v>24204</v>
      </c>
      <c r="B42" s="57" t="s">
        <v>12</v>
      </c>
    </row>
    <row r="43" spans="1:2" x14ac:dyDescent="0.25">
      <c r="A43" s="55">
        <v>24300</v>
      </c>
      <c r="B43" s="56" t="s">
        <v>42</v>
      </c>
    </row>
    <row r="44" spans="1:2" x14ac:dyDescent="0.25">
      <c r="A44" s="55">
        <v>24301</v>
      </c>
      <c r="B44" s="56" t="s">
        <v>41</v>
      </c>
    </row>
    <row r="45" spans="1:2" x14ac:dyDescent="0.25">
      <c r="A45" s="55">
        <v>24303</v>
      </c>
      <c r="B45" s="56" t="s">
        <v>41</v>
      </c>
    </row>
    <row r="46" spans="1:2" x14ac:dyDescent="0.25">
      <c r="A46" s="55">
        <v>24502</v>
      </c>
      <c r="B46" s="56" t="s">
        <v>10</v>
      </c>
    </row>
    <row r="47" spans="1:2" ht="15" customHeight="1" x14ac:dyDescent="0.25">
      <c r="A47" s="55">
        <v>24601</v>
      </c>
      <c r="B47" s="56" t="s">
        <v>10</v>
      </c>
    </row>
    <row r="48" spans="1:2" x14ac:dyDescent="0.25">
      <c r="A48" s="55">
        <v>24611</v>
      </c>
      <c r="B48" s="57" t="s">
        <v>9</v>
      </c>
    </row>
    <row r="49" spans="1:2" x14ac:dyDescent="0.25">
      <c r="A49" s="55">
        <v>24701</v>
      </c>
      <c r="B49" s="56" t="s">
        <v>11</v>
      </c>
    </row>
    <row r="50" spans="1:2" x14ac:dyDescent="0.25">
      <c r="A50" s="55">
        <v>24901</v>
      </c>
      <c r="B50" s="56" t="s">
        <v>11</v>
      </c>
    </row>
    <row r="51" spans="1:2" x14ac:dyDescent="0.25">
      <c r="A51" s="55">
        <v>24902</v>
      </c>
      <c r="B51" s="56" t="s">
        <v>11</v>
      </c>
    </row>
    <row r="52" spans="1:2" x14ac:dyDescent="0.25">
      <c r="A52" s="58">
        <v>25401</v>
      </c>
      <c r="B52" s="56" t="s">
        <v>42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C55"/>
  <sheetViews>
    <sheetView tabSelected="1" topLeftCell="H1" zoomScale="70" zoomScaleNormal="70" workbookViewId="0">
      <selection activeCell="N25" sqref="N25"/>
    </sheetView>
  </sheetViews>
  <sheetFormatPr baseColWidth="10" defaultRowHeight="15" x14ac:dyDescent="0.25"/>
  <cols>
    <col min="1" max="1" width="13.140625" bestFit="1" customWidth="1"/>
    <col min="2" max="2" width="36.85546875" bestFit="1" customWidth="1"/>
    <col min="3" max="3" width="14.85546875" bestFit="1" customWidth="1"/>
    <col min="4" max="4" width="12.140625" bestFit="1" customWidth="1"/>
    <col min="5" max="5" width="12" bestFit="1" customWidth="1"/>
    <col min="6" max="6" width="12.140625" bestFit="1" customWidth="1"/>
    <col min="7" max="7" width="13.140625" bestFit="1" customWidth="1"/>
    <col min="8" max="8" width="30.5703125" bestFit="1" customWidth="1"/>
    <col min="9" max="9" width="14.85546875" bestFit="1" customWidth="1"/>
    <col min="10" max="10" width="12.5703125" bestFit="1" customWidth="1"/>
    <col min="11" max="11" width="10" customWidth="1"/>
    <col min="12" max="12" width="7.42578125" customWidth="1"/>
    <col min="13" max="13" width="13.140625" bestFit="1" customWidth="1"/>
    <col min="14" max="14" width="38.5703125" bestFit="1" customWidth="1"/>
    <col min="15" max="15" width="14.85546875" bestFit="1" customWidth="1"/>
    <col min="16" max="16" width="12.85546875" customWidth="1"/>
    <col min="17" max="17" width="13.140625" bestFit="1" customWidth="1"/>
    <col min="18" max="18" width="6" style="7" customWidth="1"/>
    <col min="19" max="19" width="8.42578125" customWidth="1"/>
    <col min="20" max="20" width="36.85546875" bestFit="1" customWidth="1"/>
    <col min="21" max="21" width="10.140625" customWidth="1"/>
    <col min="22" max="22" width="7.28515625" customWidth="1"/>
    <col min="23" max="23" width="7.42578125" bestFit="1" customWidth="1"/>
    <col min="24" max="24" width="4.140625" customWidth="1"/>
    <col min="25" max="25" width="13.140625" bestFit="1" customWidth="1"/>
    <col min="26" max="26" width="33" bestFit="1" customWidth="1"/>
    <col min="27" max="27" width="10.42578125" customWidth="1"/>
    <col min="28" max="28" width="7.28515625" customWidth="1"/>
    <col min="29" max="29" width="7.140625" customWidth="1"/>
  </cols>
  <sheetData>
    <row r="1" spans="1:29" x14ac:dyDescent="0.25">
      <c r="A1" s="44" t="s">
        <v>29</v>
      </c>
      <c r="B1" s="44"/>
      <c r="C1" s="44"/>
      <c r="D1" s="44"/>
      <c r="E1" s="44"/>
      <c r="G1" s="44" t="s">
        <v>30</v>
      </c>
      <c r="H1" s="44"/>
      <c r="I1" s="44"/>
      <c r="J1" s="44"/>
      <c r="K1" s="44"/>
      <c r="M1" s="44" t="s">
        <v>31</v>
      </c>
      <c r="N1" s="44"/>
      <c r="O1" s="44"/>
      <c r="P1" s="44"/>
      <c r="Q1" s="44"/>
      <c r="R1" s="2"/>
      <c r="S1" s="46" t="s">
        <v>32</v>
      </c>
      <c r="T1" s="47"/>
      <c r="U1" s="47"/>
      <c r="V1" s="47"/>
      <c r="W1" s="48"/>
      <c r="Y1" s="43" t="s">
        <v>33</v>
      </c>
      <c r="Z1" s="43"/>
      <c r="AA1" s="43"/>
      <c r="AB1" s="43"/>
      <c r="AC1" s="43"/>
    </row>
    <row r="2" spans="1:29" x14ac:dyDescent="0.25">
      <c r="Y2" s="1"/>
      <c r="Z2" s="1"/>
      <c r="AA2" s="1"/>
      <c r="AB2" s="1"/>
      <c r="AC2" s="1"/>
    </row>
    <row r="3" spans="1:29" x14ac:dyDescent="0.25">
      <c r="A3" s="11" t="s">
        <v>0</v>
      </c>
      <c r="B3" s="11" t="s">
        <v>1</v>
      </c>
      <c r="C3" s="11" t="s">
        <v>2</v>
      </c>
      <c r="D3" s="11" t="s">
        <v>3</v>
      </c>
      <c r="E3" s="11" t="s">
        <v>4</v>
      </c>
      <c r="G3" s="14" t="s">
        <v>0</v>
      </c>
      <c r="H3" s="12" t="s">
        <v>1</v>
      </c>
      <c r="I3" s="12" t="s">
        <v>2</v>
      </c>
      <c r="J3" s="12" t="s">
        <v>3</v>
      </c>
      <c r="K3" s="13" t="s">
        <v>4</v>
      </c>
      <c r="M3" s="31" t="s">
        <v>0</v>
      </c>
      <c r="N3" s="31" t="s">
        <v>1</v>
      </c>
      <c r="O3" s="31" t="s">
        <v>2</v>
      </c>
      <c r="P3" s="31" t="s">
        <v>3</v>
      </c>
      <c r="Q3" s="31" t="s">
        <v>4</v>
      </c>
      <c r="R3" s="8"/>
      <c r="S3" s="31" t="s">
        <v>0</v>
      </c>
      <c r="T3" s="31" t="s">
        <v>1</v>
      </c>
      <c r="U3" s="31" t="s">
        <v>2</v>
      </c>
      <c r="V3" s="31" t="s">
        <v>3</v>
      </c>
      <c r="W3" s="31" t="s">
        <v>4</v>
      </c>
      <c r="Y3" s="31" t="s">
        <v>0</v>
      </c>
      <c r="Z3" s="31" t="s">
        <v>1</v>
      </c>
      <c r="AA3" s="31" t="s">
        <v>2</v>
      </c>
      <c r="AB3" s="31" t="s">
        <v>3</v>
      </c>
      <c r="AC3" s="31" t="s">
        <v>4</v>
      </c>
    </row>
    <row r="4" spans="1:29" x14ac:dyDescent="0.25">
      <c r="A4" s="3">
        <v>22102</v>
      </c>
      <c r="B4" s="6" t="s">
        <v>34</v>
      </c>
      <c r="C4" s="3">
        <v>0.34</v>
      </c>
      <c r="D4" s="3">
        <v>2.4000000000000004</v>
      </c>
      <c r="E4" s="6">
        <f t="shared" ref="E4:E11" si="0">C4+D4</f>
        <v>2.74</v>
      </c>
      <c r="G4" s="37">
        <v>22103</v>
      </c>
      <c r="H4" s="6" t="str">
        <f t="shared" ref="H4:H9" si="1">VLOOKUP(G4,A39:B46,2,FALSE)</f>
        <v>SERTISSAGE</v>
      </c>
      <c r="I4" s="3">
        <v>1.2500000000000004</v>
      </c>
      <c r="J4" s="3">
        <v>1.670000000000001</v>
      </c>
      <c r="K4" s="27">
        <f t="shared" ref="K4:K16" si="2">I4+J4</f>
        <v>2.9200000000000017</v>
      </c>
      <c r="M4" s="32">
        <v>22101</v>
      </c>
      <c r="N4" s="4" t="e">
        <f t="shared" ref="N4:N15" si="3">VLOOKUP(M4,A:E,2,FALSE)</f>
        <v>#N/A</v>
      </c>
      <c r="O4" s="4">
        <v>3.3099999999999996</v>
      </c>
      <c r="P4" s="4">
        <v>30.030000000000005</v>
      </c>
      <c r="Q4" s="4">
        <f t="shared" ref="Q4:Q15" si="4">O4+P4</f>
        <v>33.340000000000003</v>
      </c>
      <c r="S4" s="3">
        <v>22102</v>
      </c>
      <c r="T4" s="6" t="str">
        <f t="shared" ref="T4:T13" si="5">VLOOKUP(S4,A:E,2,FALSE)</f>
        <v>CHAINFREIN</v>
      </c>
      <c r="U4" s="6">
        <v>7.0300000000000011</v>
      </c>
      <c r="V4" s="6">
        <v>8.3800000000000043</v>
      </c>
      <c r="W4" s="6">
        <f t="shared" ref="W4:W13" si="6">U4+V4</f>
        <v>15.410000000000005</v>
      </c>
      <c r="Y4" s="32">
        <v>22102</v>
      </c>
      <c r="Z4" s="4" t="str">
        <f t="shared" ref="Z4:Z6" si="7">VLOOKUP(Y4,A39:B54,2,FALSE)</f>
        <v>CHAINFREIN</v>
      </c>
      <c r="AA4" s="5">
        <v>0.22266666666666668</v>
      </c>
      <c r="AB4" s="5">
        <v>2.6933333333333334</v>
      </c>
      <c r="AC4" s="41">
        <f>AA4+AB4</f>
        <v>2.9159999999999999</v>
      </c>
    </row>
    <row r="5" spans="1:29" x14ac:dyDescent="0.25">
      <c r="A5" s="3">
        <v>22103</v>
      </c>
      <c r="B5" s="6" t="s">
        <v>35</v>
      </c>
      <c r="C5" s="3">
        <v>1.7500000000000009</v>
      </c>
      <c r="D5" s="3">
        <v>11.999999999999988</v>
      </c>
      <c r="E5" s="6">
        <f t="shared" si="0"/>
        <v>13.749999999999989</v>
      </c>
      <c r="G5" s="37">
        <v>22104</v>
      </c>
      <c r="H5" s="6" t="str">
        <f t="shared" si="1"/>
        <v>EBAVURAGE</v>
      </c>
      <c r="I5" s="3">
        <v>0.34</v>
      </c>
      <c r="J5" s="3">
        <v>1.85</v>
      </c>
      <c r="K5" s="27">
        <f t="shared" si="2"/>
        <v>2.19</v>
      </c>
      <c r="M5" s="32">
        <v>22102</v>
      </c>
      <c r="N5" s="4" t="str">
        <f t="shared" si="3"/>
        <v>CHAINFREIN</v>
      </c>
      <c r="O5" s="4">
        <v>1.02</v>
      </c>
      <c r="P5" s="4">
        <v>0.70000000000000007</v>
      </c>
      <c r="Q5" s="4">
        <f t="shared" si="4"/>
        <v>1.7200000000000002</v>
      </c>
      <c r="S5" s="3">
        <v>22104</v>
      </c>
      <c r="T5" s="6" t="str">
        <f t="shared" si="5"/>
        <v>EBAVURAGE</v>
      </c>
      <c r="U5" s="6">
        <v>2.6699999999999995</v>
      </c>
      <c r="V5" s="6">
        <v>1.04</v>
      </c>
      <c r="W5" s="6">
        <f t="shared" si="6"/>
        <v>3.7099999999999995</v>
      </c>
      <c r="Y5" s="32">
        <v>22103</v>
      </c>
      <c r="Z5" s="4" t="str">
        <f t="shared" si="7"/>
        <v>SERTISSAGE</v>
      </c>
      <c r="AA5" s="5">
        <v>1.4000000000000004</v>
      </c>
      <c r="AB5" s="5">
        <v>6.4373333333333349</v>
      </c>
      <c r="AC5" s="41">
        <f t="shared" ref="AC5:AC8" si="8">AA5+AB5</f>
        <v>7.8373333333333353</v>
      </c>
    </row>
    <row r="6" spans="1:29" x14ac:dyDescent="0.25">
      <c r="A6" s="3">
        <v>22104</v>
      </c>
      <c r="B6" s="6" t="s">
        <v>36</v>
      </c>
      <c r="C6" s="3">
        <v>0.17</v>
      </c>
      <c r="D6" s="3">
        <v>9.6</v>
      </c>
      <c r="E6" s="6">
        <f t="shared" si="0"/>
        <v>9.77</v>
      </c>
      <c r="G6" s="37">
        <v>22106</v>
      </c>
      <c r="H6" s="6" t="str">
        <f t="shared" si="1"/>
        <v>PLIAGE</v>
      </c>
      <c r="I6" s="3">
        <v>1</v>
      </c>
      <c r="J6" s="3">
        <v>1.2</v>
      </c>
      <c r="K6" s="27">
        <f t="shared" si="2"/>
        <v>2.2000000000000002</v>
      </c>
      <c r="M6" s="32">
        <v>22103</v>
      </c>
      <c r="N6" s="4" t="str">
        <f t="shared" si="3"/>
        <v>SERTISSAGE</v>
      </c>
      <c r="O6" s="4">
        <v>2.4999999999999991</v>
      </c>
      <c r="P6" s="4">
        <v>11.810000000000006</v>
      </c>
      <c r="Q6" s="4">
        <f t="shared" si="4"/>
        <v>14.310000000000006</v>
      </c>
      <c r="S6" s="3">
        <v>22106</v>
      </c>
      <c r="T6" s="6" t="str">
        <f t="shared" si="5"/>
        <v>PLIAGE</v>
      </c>
      <c r="U6" s="6">
        <v>0.66</v>
      </c>
      <c r="V6" s="6">
        <v>0.45</v>
      </c>
      <c r="W6" s="6">
        <f t="shared" si="6"/>
        <v>1.1100000000000001</v>
      </c>
      <c r="Y6" s="32">
        <v>22106</v>
      </c>
      <c r="Z6" s="4" t="str">
        <f t="shared" si="7"/>
        <v>PLIAGE</v>
      </c>
      <c r="AA6" s="5">
        <v>7.0000000000000007E-2</v>
      </c>
      <c r="AB6" s="5">
        <v>0.4</v>
      </c>
      <c r="AC6" s="41">
        <f t="shared" si="8"/>
        <v>0.47000000000000003</v>
      </c>
    </row>
    <row r="7" spans="1:29" x14ac:dyDescent="0.25">
      <c r="A7" s="3">
        <v>22106</v>
      </c>
      <c r="B7" s="6" t="s">
        <v>37</v>
      </c>
      <c r="C7" s="3">
        <v>1</v>
      </c>
      <c r="D7" s="3">
        <v>6.4</v>
      </c>
      <c r="E7" s="6">
        <f t="shared" si="0"/>
        <v>7.4</v>
      </c>
      <c r="G7" s="37">
        <v>22210</v>
      </c>
      <c r="H7" s="6" t="str">
        <f t="shared" si="1"/>
        <v>SCIAGE</v>
      </c>
      <c r="I7" s="3">
        <v>2.0699999999999998</v>
      </c>
      <c r="J7" s="3">
        <v>1.1400000000000001</v>
      </c>
      <c r="K7" s="27">
        <f t="shared" si="2"/>
        <v>3.21</v>
      </c>
      <c r="M7" s="32">
        <v>22104</v>
      </c>
      <c r="N7" s="4" t="str">
        <f t="shared" si="3"/>
        <v>EBAVURAGE</v>
      </c>
      <c r="O7" s="4">
        <v>1.5099999999999998</v>
      </c>
      <c r="P7" s="4">
        <v>10.040000000000001</v>
      </c>
      <c r="Q7" s="4">
        <f t="shared" si="4"/>
        <v>11.55</v>
      </c>
      <c r="S7" s="3">
        <v>22210</v>
      </c>
      <c r="T7" s="6" t="str">
        <f t="shared" si="5"/>
        <v>SCIAGE</v>
      </c>
      <c r="U7" s="6">
        <v>3.2000000000000011</v>
      </c>
      <c r="V7" s="6">
        <v>1.6600000000000004</v>
      </c>
      <c r="W7" s="6">
        <f t="shared" si="6"/>
        <v>4.8600000000000012</v>
      </c>
      <c r="Y7" s="32">
        <v>22210</v>
      </c>
      <c r="Z7" s="4" t="str">
        <f>VLOOKUP(Y7,A43:B58,2,FALSE)</f>
        <v>SCIAGE</v>
      </c>
      <c r="AA7" s="5">
        <v>0.17333333333333334</v>
      </c>
      <c r="AB7" s="5">
        <v>0.10426666666666666</v>
      </c>
      <c r="AC7" s="41">
        <f t="shared" si="8"/>
        <v>0.27760000000000001</v>
      </c>
    </row>
    <row r="8" spans="1:29" x14ac:dyDescent="0.25">
      <c r="A8" s="3">
        <v>22210</v>
      </c>
      <c r="B8" s="6" t="s">
        <v>38</v>
      </c>
      <c r="C8" s="3">
        <v>1.29</v>
      </c>
      <c r="D8" s="3">
        <v>4.42</v>
      </c>
      <c r="E8" s="6">
        <f t="shared" si="0"/>
        <v>5.71</v>
      </c>
      <c r="G8" s="37">
        <v>22211</v>
      </c>
      <c r="H8" s="6" t="str">
        <f t="shared" si="1"/>
        <v>SCIAGE INTEGRALE</v>
      </c>
      <c r="I8" s="3">
        <v>1.9200000000000006</v>
      </c>
      <c r="J8" s="3">
        <v>0.86000000000000021</v>
      </c>
      <c r="K8" s="27">
        <f t="shared" si="2"/>
        <v>2.7800000000000007</v>
      </c>
      <c r="M8" s="32">
        <v>22106</v>
      </c>
      <c r="N8" s="4" t="str">
        <f t="shared" si="3"/>
        <v>PLIAGE</v>
      </c>
      <c r="O8" s="4">
        <v>1.07</v>
      </c>
      <c r="P8" s="4">
        <v>9.5</v>
      </c>
      <c r="Q8" s="4">
        <f t="shared" si="4"/>
        <v>10.57</v>
      </c>
      <c r="S8" s="3">
        <v>24300</v>
      </c>
      <c r="T8" s="6" t="str">
        <f t="shared" si="5"/>
        <v>USINAGE</v>
      </c>
      <c r="U8" s="6">
        <v>2.6700000000000008</v>
      </c>
      <c r="V8" s="6">
        <v>0.83</v>
      </c>
      <c r="W8" s="6">
        <f t="shared" si="6"/>
        <v>3.5000000000000009</v>
      </c>
      <c r="Y8" s="32">
        <v>22211</v>
      </c>
      <c r="Z8" s="4" t="str">
        <f>VLOOKUP(Y8,A44:B59,2,FALSE)</f>
        <v>SCIAGE INTEGRALE</v>
      </c>
      <c r="AA8" s="5">
        <v>2.9223333333333343</v>
      </c>
      <c r="AB8" s="5">
        <v>3.8168000000000011</v>
      </c>
      <c r="AC8" s="41">
        <f t="shared" si="8"/>
        <v>6.739133333333335</v>
      </c>
    </row>
    <row r="9" spans="1:29" x14ac:dyDescent="0.25">
      <c r="A9" s="3">
        <v>22211</v>
      </c>
      <c r="B9" s="6" t="s">
        <v>39</v>
      </c>
      <c r="C9" s="3">
        <v>3.0800000000000014</v>
      </c>
      <c r="D9" s="3">
        <v>13.310000000000015</v>
      </c>
      <c r="E9" s="6">
        <f t="shared" si="0"/>
        <v>16.390000000000015</v>
      </c>
      <c r="G9" s="37">
        <v>22301</v>
      </c>
      <c r="H9" s="6" t="str">
        <f t="shared" si="1"/>
        <v>GROS SCIAGE</v>
      </c>
      <c r="I9" s="3">
        <v>0.34</v>
      </c>
      <c r="J9" s="3">
        <v>0.1</v>
      </c>
      <c r="K9" s="27">
        <f t="shared" si="2"/>
        <v>0.44000000000000006</v>
      </c>
      <c r="M9" s="32">
        <v>22210</v>
      </c>
      <c r="N9" s="4" t="str">
        <f t="shared" si="3"/>
        <v>SCIAGE</v>
      </c>
      <c r="O9" s="4">
        <v>6.9899999999999984</v>
      </c>
      <c r="P9" s="4">
        <v>14.569999999999999</v>
      </c>
      <c r="Q9" s="4">
        <f t="shared" si="4"/>
        <v>21.559999999999995</v>
      </c>
      <c r="S9" s="3">
        <v>24301</v>
      </c>
      <c r="T9" s="6" t="str">
        <f t="shared" si="5"/>
        <v>FRAISAGE</v>
      </c>
      <c r="U9" s="6">
        <v>3.2499999999999996</v>
      </c>
      <c r="V9" s="6">
        <v>2.2899999999999996</v>
      </c>
      <c r="W9" s="6">
        <f t="shared" si="6"/>
        <v>5.5399999999999991</v>
      </c>
      <c r="Y9" s="45" t="s">
        <v>7</v>
      </c>
      <c r="Z9" s="45"/>
      <c r="AA9" s="51">
        <f>SUM(Tableau8[Prépa])</f>
        <v>4.7883333333333349</v>
      </c>
      <c r="AB9" s="40">
        <f>SUM(Tableau8[Act])</f>
        <v>13.451733333333335</v>
      </c>
      <c r="AC9" s="40">
        <f>SUM(Tableau8[Tot])</f>
        <v>18.240066666666671</v>
      </c>
    </row>
    <row r="10" spans="1:29" x14ac:dyDescent="0.25">
      <c r="A10" s="3">
        <v>22301</v>
      </c>
      <c r="B10" s="6" t="s">
        <v>44</v>
      </c>
      <c r="C10" s="3">
        <v>1.01</v>
      </c>
      <c r="D10" s="3">
        <v>2</v>
      </c>
      <c r="E10" s="6">
        <f t="shared" si="0"/>
        <v>3.01</v>
      </c>
      <c r="G10" s="37">
        <v>24300</v>
      </c>
      <c r="H10" s="6" t="s">
        <v>46</v>
      </c>
      <c r="I10" s="3">
        <v>1.0999999999999999</v>
      </c>
      <c r="J10" s="3">
        <v>2.6799999999999997</v>
      </c>
      <c r="K10" s="27">
        <f t="shared" si="2"/>
        <v>3.7799999999999994</v>
      </c>
      <c r="M10" s="32">
        <v>22211</v>
      </c>
      <c r="N10" s="4" t="str">
        <f t="shared" si="3"/>
        <v>SCIAGE INTEGRALE</v>
      </c>
      <c r="O10" s="4">
        <v>4.7200000000000024</v>
      </c>
      <c r="P10" s="4">
        <v>14.139999999999983</v>
      </c>
      <c r="Q10" s="4">
        <f t="shared" si="4"/>
        <v>18.859999999999985</v>
      </c>
      <c r="S10" s="3">
        <v>24502</v>
      </c>
      <c r="T10" s="6" t="str">
        <f t="shared" si="5"/>
        <v>EBA</v>
      </c>
      <c r="U10" s="6">
        <v>4.55</v>
      </c>
      <c r="V10" s="6">
        <v>2.8300000000000005</v>
      </c>
      <c r="W10" s="6">
        <f t="shared" si="6"/>
        <v>7.3800000000000008</v>
      </c>
    </row>
    <row r="11" spans="1:29" x14ac:dyDescent="0.25">
      <c r="A11" s="3">
        <v>22707</v>
      </c>
      <c r="B11" s="6" t="s">
        <v>45</v>
      </c>
      <c r="C11" s="3">
        <v>2</v>
      </c>
      <c r="D11" s="3">
        <v>4.16</v>
      </c>
      <c r="E11" s="6">
        <f t="shared" si="0"/>
        <v>6.16</v>
      </c>
      <c r="G11" s="37">
        <v>24301</v>
      </c>
      <c r="H11" s="6" t="s">
        <v>43</v>
      </c>
      <c r="I11" s="3">
        <v>1</v>
      </c>
      <c r="J11" s="3">
        <v>1.9799999999999998</v>
      </c>
      <c r="K11" s="27">
        <f t="shared" si="2"/>
        <v>2.9799999999999995</v>
      </c>
      <c r="M11" s="32">
        <v>24300</v>
      </c>
      <c r="N11" s="4" t="str">
        <f t="shared" si="3"/>
        <v>USINAGE</v>
      </c>
      <c r="O11" s="4">
        <v>5.04</v>
      </c>
      <c r="P11" s="4">
        <v>21.169999999999991</v>
      </c>
      <c r="Q11" s="4">
        <f t="shared" si="4"/>
        <v>26.20999999999999</v>
      </c>
      <c r="S11" s="3">
        <v>24611</v>
      </c>
      <c r="T11" s="6" t="str">
        <f t="shared" si="5"/>
        <v>FRAISEUSE CN</v>
      </c>
      <c r="U11" s="6">
        <v>7.25</v>
      </c>
      <c r="V11" s="6">
        <v>1.6700000000000002</v>
      </c>
      <c r="W11" s="6">
        <f t="shared" si="6"/>
        <v>8.92</v>
      </c>
    </row>
    <row r="12" spans="1:29" x14ac:dyDescent="0.25">
      <c r="A12" s="45" t="s">
        <v>7</v>
      </c>
      <c r="B12" s="45"/>
      <c r="C12" s="40">
        <f>SUM(Tableau1[Prépa])</f>
        <v>10.640000000000002</v>
      </c>
      <c r="D12" s="40">
        <f>SUM(Tableau1[Act])</f>
        <v>54.290000000000006</v>
      </c>
      <c r="E12" s="40">
        <f>SUM(Tableau1[Tot])</f>
        <v>64.930000000000007</v>
      </c>
      <c r="G12" s="37">
        <v>24303</v>
      </c>
      <c r="H12" s="6" t="s">
        <v>47</v>
      </c>
      <c r="I12" s="3">
        <v>0.25</v>
      </c>
      <c r="J12" s="3">
        <v>1.2</v>
      </c>
      <c r="K12" s="27">
        <f t="shared" si="2"/>
        <v>1.45</v>
      </c>
      <c r="M12" s="32">
        <v>24301</v>
      </c>
      <c r="N12" s="4" t="str">
        <f t="shared" si="3"/>
        <v>FRAISAGE</v>
      </c>
      <c r="O12" s="4">
        <v>3.15</v>
      </c>
      <c r="P12" s="4">
        <v>25.69</v>
      </c>
      <c r="Q12" s="4">
        <f t="shared" si="4"/>
        <v>28.84</v>
      </c>
      <c r="S12" s="3">
        <v>24701</v>
      </c>
      <c r="T12" s="6" t="str">
        <f t="shared" si="5"/>
        <v>BR</v>
      </c>
      <c r="U12" s="6">
        <v>1.25</v>
      </c>
      <c r="V12" s="6">
        <v>0.24</v>
      </c>
      <c r="W12" s="6">
        <f t="shared" si="6"/>
        <v>1.49</v>
      </c>
    </row>
    <row r="13" spans="1:29" x14ac:dyDescent="0.25">
      <c r="G13" s="37">
        <v>24502</v>
      </c>
      <c r="H13" s="6" t="s">
        <v>48</v>
      </c>
      <c r="I13" s="3">
        <v>3.55</v>
      </c>
      <c r="J13" s="3">
        <v>4.59</v>
      </c>
      <c r="K13" s="27">
        <f t="shared" si="2"/>
        <v>8.14</v>
      </c>
      <c r="M13" s="32">
        <v>24502</v>
      </c>
      <c r="N13" s="4" t="str">
        <f t="shared" si="3"/>
        <v>EBA</v>
      </c>
      <c r="O13" s="4">
        <v>3.8</v>
      </c>
      <c r="P13" s="4">
        <v>5.0200000000000005</v>
      </c>
      <c r="Q13" s="4">
        <f t="shared" si="4"/>
        <v>8.82</v>
      </c>
      <c r="S13" s="3">
        <v>24901</v>
      </c>
      <c r="T13" s="6" t="str">
        <f t="shared" si="5"/>
        <v>TARAU</v>
      </c>
      <c r="U13" s="6">
        <v>5.4499999999999993</v>
      </c>
      <c r="V13" s="6">
        <v>3.26</v>
      </c>
      <c r="W13" s="6">
        <f t="shared" si="6"/>
        <v>8.7099999999999991</v>
      </c>
    </row>
    <row r="14" spans="1:29" x14ac:dyDescent="0.25">
      <c r="G14" s="37">
        <v>24611</v>
      </c>
      <c r="H14" s="6" t="s">
        <v>49</v>
      </c>
      <c r="I14" s="3">
        <v>5</v>
      </c>
      <c r="J14" s="3">
        <v>3.7600000000000002</v>
      </c>
      <c r="K14" s="27">
        <f t="shared" si="2"/>
        <v>8.76</v>
      </c>
      <c r="M14" s="32">
        <v>24611</v>
      </c>
      <c r="N14" s="4" t="str">
        <f t="shared" si="3"/>
        <v>FRAISEUSE CN</v>
      </c>
      <c r="O14" s="4">
        <v>26.25</v>
      </c>
      <c r="P14" s="4">
        <v>54.11999999999999</v>
      </c>
      <c r="Q14" s="4">
        <f t="shared" si="4"/>
        <v>80.36999999999999</v>
      </c>
      <c r="S14" s="45" t="s">
        <v>7</v>
      </c>
      <c r="T14" s="45"/>
      <c r="U14" s="40">
        <f>SUM(Tableau5[Prépa])</f>
        <v>37.980000000000004</v>
      </c>
      <c r="V14" s="40">
        <f>SUM(Tableau5[Act])</f>
        <v>22.650000000000006</v>
      </c>
      <c r="W14" s="40">
        <f>SUM(Tableau5[Tot])</f>
        <v>60.63000000000001</v>
      </c>
    </row>
    <row r="15" spans="1:29" x14ac:dyDescent="0.25">
      <c r="G15" s="37">
        <v>24701</v>
      </c>
      <c r="H15" s="6" t="s">
        <v>50</v>
      </c>
      <c r="I15" s="3">
        <v>0.8</v>
      </c>
      <c r="J15" s="3">
        <v>2.2200000000000002</v>
      </c>
      <c r="K15" s="27">
        <f t="shared" si="2"/>
        <v>3.0200000000000005</v>
      </c>
      <c r="M15" s="32">
        <v>24701</v>
      </c>
      <c r="N15" s="4" t="str">
        <f t="shared" si="3"/>
        <v>BR</v>
      </c>
      <c r="O15" s="4">
        <v>3.25</v>
      </c>
      <c r="P15" s="4">
        <v>34.39</v>
      </c>
      <c r="Q15" s="4">
        <f t="shared" si="4"/>
        <v>37.64</v>
      </c>
    </row>
    <row r="16" spans="1:29" x14ac:dyDescent="0.25">
      <c r="G16" s="38">
        <v>24901</v>
      </c>
      <c r="H16" s="39" t="s">
        <v>51</v>
      </c>
      <c r="I16" s="36">
        <v>2</v>
      </c>
      <c r="J16" s="36">
        <v>3.15</v>
      </c>
      <c r="K16" s="28">
        <f t="shared" si="2"/>
        <v>5.15</v>
      </c>
      <c r="M16" s="45" t="s">
        <v>7</v>
      </c>
      <c r="N16" s="45"/>
      <c r="O16" s="40">
        <f>SUM(Tableau3[Prépa])</f>
        <v>62.61</v>
      </c>
      <c r="P16" s="40">
        <f>SUM(Tableau3[Act])</f>
        <v>231.17999999999995</v>
      </c>
      <c r="Q16" s="52">
        <f>SUM(Tableau3[Tot])</f>
        <v>293.78999999999996</v>
      </c>
    </row>
    <row r="17" spans="7:11" x14ac:dyDescent="0.25">
      <c r="G17" s="45" t="s">
        <v>7</v>
      </c>
      <c r="H17" s="45"/>
      <c r="I17" s="40">
        <f>SUM(Tableau2[Prépa])</f>
        <v>20.62</v>
      </c>
      <c r="J17" s="40">
        <f>SUM(Tableau2[Act])</f>
        <v>26.4</v>
      </c>
      <c r="K17" s="40">
        <f>SUM(Tableau2[Tot])</f>
        <v>47.02</v>
      </c>
    </row>
    <row r="39" spans="1:2" hidden="1" x14ac:dyDescent="0.25">
      <c r="A39" s="15">
        <v>22102</v>
      </c>
      <c r="B39" s="16" t="s">
        <v>34</v>
      </c>
    </row>
    <row r="40" spans="1:2" hidden="1" x14ac:dyDescent="0.25">
      <c r="A40" s="50">
        <v>22103</v>
      </c>
      <c r="B40" s="17" t="s">
        <v>35</v>
      </c>
    </row>
    <row r="41" spans="1:2" hidden="1" x14ac:dyDescent="0.25">
      <c r="A41" s="15">
        <v>22104</v>
      </c>
      <c r="B41" s="16" t="s">
        <v>36</v>
      </c>
    </row>
    <row r="42" spans="1:2" hidden="1" x14ac:dyDescent="0.25">
      <c r="A42" s="50">
        <v>22106</v>
      </c>
      <c r="B42" s="17" t="s">
        <v>37</v>
      </c>
    </row>
    <row r="43" spans="1:2" hidden="1" x14ac:dyDescent="0.25">
      <c r="A43" s="15">
        <v>22210</v>
      </c>
      <c r="B43" s="16" t="s">
        <v>38</v>
      </c>
    </row>
    <row r="44" spans="1:2" hidden="1" x14ac:dyDescent="0.25">
      <c r="A44" s="50">
        <v>22211</v>
      </c>
      <c r="B44" s="17" t="s">
        <v>39</v>
      </c>
    </row>
    <row r="45" spans="1:2" hidden="1" x14ac:dyDescent="0.25">
      <c r="A45" s="15">
        <v>22301</v>
      </c>
      <c r="B45" s="16" t="s">
        <v>44</v>
      </c>
    </row>
    <row r="46" spans="1:2" hidden="1" x14ac:dyDescent="0.25">
      <c r="A46" s="50">
        <v>22707</v>
      </c>
      <c r="B46" s="17" t="s">
        <v>45</v>
      </c>
    </row>
    <row r="47" spans="1:2" hidden="1" x14ac:dyDescent="0.25">
      <c r="A47" s="15">
        <v>24300</v>
      </c>
      <c r="B47" s="16" t="s">
        <v>46</v>
      </c>
    </row>
    <row r="48" spans="1:2" hidden="1" x14ac:dyDescent="0.25">
      <c r="A48" s="50">
        <v>24301</v>
      </c>
      <c r="B48" s="17" t="s">
        <v>43</v>
      </c>
    </row>
    <row r="49" spans="1:2" hidden="1" x14ac:dyDescent="0.25">
      <c r="A49" s="15">
        <v>24303</v>
      </c>
      <c r="B49" s="16" t="s">
        <v>47</v>
      </c>
    </row>
    <row r="50" spans="1:2" hidden="1" x14ac:dyDescent="0.25">
      <c r="A50" s="50">
        <v>24502</v>
      </c>
      <c r="B50" s="17" t="s">
        <v>48</v>
      </c>
    </row>
    <row r="51" spans="1:2" hidden="1" x14ac:dyDescent="0.25">
      <c r="A51" s="15">
        <v>24611</v>
      </c>
      <c r="B51" s="16" t="s">
        <v>49</v>
      </c>
    </row>
    <row r="52" spans="1:2" hidden="1" x14ac:dyDescent="0.25">
      <c r="A52" s="50">
        <v>24701</v>
      </c>
      <c r="B52" s="17" t="s">
        <v>50</v>
      </c>
    </row>
    <row r="53" spans="1:2" hidden="1" x14ac:dyDescent="0.25">
      <c r="A53" s="15">
        <v>24901</v>
      </c>
      <c r="B53" s="16" t="s">
        <v>51</v>
      </c>
    </row>
    <row r="54" spans="1:2" hidden="1" x14ac:dyDescent="0.25"/>
    <row r="55" spans="1:2" hidden="1" x14ac:dyDescent="0.25"/>
  </sheetData>
  <mergeCells count="10">
    <mergeCell ref="M16:N16"/>
    <mergeCell ref="S14:T14"/>
    <mergeCell ref="Y9:Z9"/>
    <mergeCell ref="A12:B12"/>
    <mergeCell ref="G17:H17"/>
    <mergeCell ref="Y1:AC1"/>
    <mergeCell ref="M1:Q1"/>
    <mergeCell ref="A1:E1"/>
    <mergeCell ref="G1:K1"/>
    <mergeCell ref="S1:W1"/>
  </mergeCells>
  <pageMargins left="0.7" right="0.7" top="0.75" bottom="0.75" header="0.3" footer="0.3"/>
  <pageSetup paperSize="9" scale="95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64"/>
  <sheetViews>
    <sheetView zoomScaleNormal="100" workbookViewId="0">
      <selection activeCell="K19" sqref="K19"/>
    </sheetView>
  </sheetViews>
  <sheetFormatPr baseColWidth="10" defaultRowHeight="15" x14ac:dyDescent="0.25"/>
  <cols>
    <col min="1" max="1" width="9.140625" bestFit="1" customWidth="1"/>
    <col min="2" max="2" width="34.5703125" bestFit="1" customWidth="1"/>
    <col min="3" max="3" width="30.42578125" bestFit="1" customWidth="1"/>
    <col min="4" max="5" width="13.140625" bestFit="1" customWidth="1"/>
    <col min="6" max="6" width="10.7109375" bestFit="1" customWidth="1"/>
    <col min="7" max="8" width="8.42578125" bestFit="1" customWidth="1"/>
    <col min="9" max="9" width="13.5703125" bestFit="1" customWidth="1"/>
    <col min="11" max="11" width="14.7109375" customWidth="1"/>
    <col min="12" max="12" width="16" customWidth="1"/>
    <col min="13" max="13" width="11.85546875" customWidth="1"/>
    <col min="14" max="14" width="17.5703125" customWidth="1"/>
    <col min="15" max="16" width="18.28515625" customWidth="1"/>
    <col min="17" max="17" width="14.7109375" customWidth="1"/>
    <col min="18" max="18" width="16" customWidth="1"/>
    <col min="19" max="19" width="11.85546875" customWidth="1"/>
    <col min="20" max="20" width="18.85546875" customWidth="1"/>
    <col min="21" max="22" width="18.28515625" customWidth="1"/>
    <col min="23" max="23" width="14.7109375" customWidth="1"/>
    <col min="24" max="24" width="16" customWidth="1"/>
    <col min="25" max="25" width="11.85546875" customWidth="1"/>
    <col min="26" max="26" width="31.5703125" customWidth="1"/>
    <col min="27" max="28" width="18.28515625" customWidth="1"/>
    <col min="29" max="29" width="14.7109375" customWidth="1"/>
    <col min="30" max="30" width="16" customWidth="1"/>
    <col min="31" max="31" width="11.85546875" customWidth="1"/>
    <col min="32" max="32" width="28.7109375" customWidth="1"/>
    <col min="33" max="34" width="18.28515625" customWidth="1"/>
    <col min="35" max="35" width="14.7109375" customWidth="1"/>
    <col min="36" max="36" width="16" customWidth="1"/>
    <col min="37" max="37" width="11.85546875" customWidth="1"/>
    <col min="38" max="38" width="28.7109375" customWidth="1"/>
    <col min="39" max="40" width="26.140625" customWidth="1"/>
    <col min="41" max="41" width="38.85546875" customWidth="1"/>
    <col min="42" max="42" width="36" customWidth="1"/>
    <col min="43" max="43" width="9" customWidth="1"/>
    <col min="44" max="44" width="9.28515625" customWidth="1"/>
    <col min="45" max="46" width="18.85546875" bestFit="1" customWidth="1"/>
    <col min="47" max="47" width="9" customWidth="1"/>
    <col min="48" max="49" width="9.28515625" customWidth="1"/>
    <col min="50" max="50" width="8.7109375" customWidth="1"/>
    <col min="51" max="51" width="17" bestFit="1" customWidth="1"/>
    <col min="52" max="52" width="19.5703125" bestFit="1" customWidth="1"/>
    <col min="53" max="53" width="8.7109375" customWidth="1"/>
    <col min="54" max="54" width="9" customWidth="1"/>
    <col min="55" max="55" width="9.28515625" customWidth="1"/>
    <col min="56" max="56" width="10.28515625" customWidth="1"/>
    <col min="57" max="57" width="9" customWidth="1"/>
    <col min="58" max="58" width="25.5703125" bestFit="1" customWidth="1"/>
    <col min="59" max="59" width="19.5703125" bestFit="1" customWidth="1"/>
    <col min="60" max="60" width="9" customWidth="1"/>
    <col min="61" max="64" width="9.28515625" customWidth="1"/>
    <col min="65" max="65" width="25.5703125" bestFit="1" customWidth="1"/>
    <col min="66" max="66" width="16" bestFit="1" customWidth="1"/>
    <col min="67" max="68" width="9" customWidth="1"/>
    <col min="69" max="69" width="8.7109375" customWidth="1"/>
    <col min="70" max="71" width="10.28515625" customWidth="1"/>
    <col min="72" max="72" width="22" bestFit="1" customWidth="1"/>
    <col min="73" max="73" width="17.28515625" bestFit="1" customWidth="1"/>
    <col min="74" max="74" width="8.7109375" customWidth="1"/>
    <col min="75" max="75" width="9.28515625" customWidth="1"/>
    <col min="76" max="76" width="23.28515625" bestFit="1" customWidth="1"/>
    <col min="77" max="77" width="13.140625" bestFit="1" customWidth="1"/>
    <col min="78" max="78" width="9.28515625" customWidth="1"/>
    <col min="79" max="79" width="9" customWidth="1"/>
    <col min="80" max="81" width="8.42578125" customWidth="1"/>
    <col min="82" max="82" width="9.28515625" customWidth="1"/>
    <col min="83" max="84" width="18.85546875" bestFit="1" customWidth="1"/>
    <col min="85" max="85" width="9.28515625" customWidth="1"/>
    <col min="86" max="87" width="9" customWidth="1"/>
    <col min="88" max="88" width="8.7109375" customWidth="1"/>
    <col min="89" max="89" width="17" bestFit="1" customWidth="1"/>
    <col min="90" max="90" width="19.5703125" bestFit="1" customWidth="1"/>
    <col min="91" max="91" width="8.7109375" customWidth="1"/>
    <col min="92" max="92" width="9" customWidth="1"/>
    <col min="93" max="93" width="8.42578125" customWidth="1"/>
    <col min="94" max="94" width="10.28515625" customWidth="1"/>
    <col min="95" max="95" width="9" customWidth="1"/>
    <col min="96" max="96" width="25.5703125" bestFit="1" customWidth="1"/>
    <col min="97" max="97" width="19.5703125" bestFit="1" customWidth="1"/>
    <col min="98" max="98" width="9.28515625" customWidth="1"/>
    <col min="99" max="99" width="9" customWidth="1"/>
    <col min="100" max="100" width="9.28515625" customWidth="1"/>
    <col min="101" max="102" width="8.42578125" customWidth="1"/>
    <col min="103" max="103" width="25.5703125" bestFit="1" customWidth="1"/>
    <col min="104" max="104" width="16" bestFit="1" customWidth="1"/>
    <col min="105" max="105" width="9.28515625" customWidth="1"/>
    <col min="106" max="106" width="8.7109375" customWidth="1"/>
    <col min="107" max="107" width="8.42578125" customWidth="1"/>
    <col min="108" max="109" width="10.28515625" customWidth="1"/>
    <col min="110" max="110" width="22" bestFit="1" customWidth="1"/>
    <col min="111" max="111" width="17.28515625" bestFit="1" customWidth="1"/>
    <col min="112" max="112" width="9" customWidth="1"/>
    <col min="113" max="113" width="9.28515625" customWidth="1"/>
    <col min="114" max="114" width="23.28515625" bestFit="1" customWidth="1"/>
    <col min="115" max="115" width="13.140625" bestFit="1" customWidth="1"/>
    <col min="116" max="116" width="9.28515625" customWidth="1"/>
    <col min="117" max="117" width="8.42578125" customWidth="1"/>
    <col min="118" max="119" width="9.28515625" customWidth="1"/>
    <col min="120" max="120" width="8.42578125" customWidth="1"/>
    <col min="121" max="121" width="18.85546875" bestFit="1" customWidth="1"/>
    <col min="122" max="122" width="35.42578125" bestFit="1" customWidth="1"/>
    <col min="123" max="124" width="6.85546875" customWidth="1"/>
    <col min="125" max="126" width="8.42578125" customWidth="1"/>
    <col min="127" max="127" width="17" bestFit="1" customWidth="1"/>
    <col min="128" max="128" width="19.5703125" bestFit="1" customWidth="1"/>
    <col min="129" max="131" width="6.85546875" customWidth="1"/>
    <col min="132" max="133" width="8.42578125" customWidth="1"/>
    <col min="134" max="134" width="25.5703125" bestFit="1" customWidth="1"/>
    <col min="135" max="135" width="19.5703125" bestFit="1" customWidth="1"/>
    <col min="136" max="138" width="6.85546875" customWidth="1"/>
    <col min="139" max="140" width="8.42578125" customWidth="1"/>
    <col min="141" max="141" width="25.5703125" bestFit="1" customWidth="1"/>
    <col min="142" max="142" width="16" bestFit="1" customWidth="1"/>
    <col min="143" max="145" width="6.85546875" customWidth="1"/>
    <col min="146" max="147" width="8.42578125" customWidth="1"/>
    <col min="148" max="148" width="22" bestFit="1" customWidth="1"/>
    <col min="149" max="149" width="17.28515625" bestFit="1" customWidth="1"/>
    <col min="150" max="151" width="6.85546875" customWidth="1"/>
    <col min="152" max="152" width="23.28515625" bestFit="1" customWidth="1"/>
    <col min="153" max="153" width="13.140625" bestFit="1" customWidth="1"/>
    <col min="154" max="156" width="6.85546875" customWidth="1"/>
    <col min="157" max="158" width="8.42578125" customWidth="1"/>
    <col min="159" max="159" width="18.85546875" bestFit="1" customWidth="1"/>
    <col min="160" max="160" width="28.7109375" bestFit="1" customWidth="1"/>
    <col min="161" max="162" width="26.140625" bestFit="1" customWidth="1"/>
    <col min="163" max="163" width="42.7109375" bestFit="1" customWidth="1"/>
  </cols>
  <sheetData>
    <row r="2" spans="1:10" ht="30" x14ac:dyDescent="0.25">
      <c r="A2" s="29" t="s">
        <v>0</v>
      </c>
      <c r="B2" s="30" t="s">
        <v>1</v>
      </c>
      <c r="C2" s="30" t="s">
        <v>14</v>
      </c>
      <c r="D2" s="30" t="s">
        <v>21</v>
      </c>
      <c r="E2" s="30" t="s">
        <v>22</v>
      </c>
      <c r="F2" s="30" t="s">
        <v>2</v>
      </c>
      <c r="G2" s="30" t="s">
        <v>3</v>
      </c>
      <c r="H2" s="30" t="s">
        <v>4</v>
      </c>
      <c r="I2" s="30" t="s">
        <v>13</v>
      </c>
    </row>
    <row r="3" spans="1:10" x14ac:dyDescent="0.25">
      <c r="A3" s="19">
        <v>22102</v>
      </c>
      <c r="B3" s="17" t="str">
        <f>VLOOKUP(A3,'Données charge'!A:AC,2,FALSE)</f>
        <v>CHAINFREIN</v>
      </c>
      <c r="C3" s="21" t="str">
        <f>VLOOKUP(A3,Tableau9[],2,FALSE)</f>
        <v>SCIAGE - PERCAGE</v>
      </c>
      <c r="D3" s="15">
        <v>140</v>
      </c>
      <c r="E3" s="15">
        <v>160</v>
      </c>
      <c r="F3" s="49">
        <f>VLOOKUP(A3,Tableau1[],3,FALSE)</f>
        <v>0.34</v>
      </c>
      <c r="G3" s="49">
        <f>VLOOKUP(A3,Tableau1[],4,FALSE)</f>
        <v>2.4000000000000004</v>
      </c>
      <c r="H3" s="49">
        <f>VLOOKUP(A3,Tableau1[],5,FALSE)</f>
        <v>2.74</v>
      </c>
      <c r="I3" s="22" t="s">
        <v>29</v>
      </c>
      <c r="J3" s="26"/>
    </row>
    <row r="4" spans="1:10" x14ac:dyDescent="0.25">
      <c r="A4" s="18">
        <v>22103</v>
      </c>
      <c r="B4" s="17" t="str">
        <f>VLOOKUP(A4,'Données charge'!A:AC,2,FALSE)</f>
        <v>SERTISSAGE</v>
      </c>
      <c r="C4" s="21" t="str">
        <f>VLOOKUP(A4,Tableau9[],2,FALSE)</f>
        <v>Pôle cintrage</v>
      </c>
      <c r="D4" s="15">
        <v>140</v>
      </c>
      <c r="E4" s="15">
        <v>160</v>
      </c>
      <c r="F4" s="49">
        <f>VLOOKUP(A4,Tableau1[],3,FALSE)</f>
        <v>1.7500000000000009</v>
      </c>
      <c r="G4" s="49">
        <f>VLOOKUP(A4,Tableau1[],4,FALSE)</f>
        <v>11.999999999999988</v>
      </c>
      <c r="H4" s="49">
        <f>VLOOKUP(A4,Tableau1[],5,FALSE)</f>
        <v>13.749999999999989</v>
      </c>
      <c r="I4" s="22" t="s">
        <v>29</v>
      </c>
      <c r="J4" s="26"/>
    </row>
    <row r="5" spans="1:10" x14ac:dyDescent="0.25">
      <c r="A5" s="19">
        <v>22104</v>
      </c>
      <c r="B5" s="17" t="str">
        <f>VLOOKUP(A5,'Données charge'!A:AC,2,FALSE)</f>
        <v>EBAVURAGE</v>
      </c>
      <c r="C5" s="21" t="str">
        <f>VLOOKUP(A5,Tableau9[],2,FALSE)</f>
        <v>SCIAGE - PERCAGE</v>
      </c>
      <c r="D5" s="15">
        <v>140</v>
      </c>
      <c r="E5" s="15">
        <v>160</v>
      </c>
      <c r="F5" s="49">
        <f>VLOOKUP(A5,Tableau1[],3,FALSE)</f>
        <v>0.17</v>
      </c>
      <c r="G5" s="49">
        <f>VLOOKUP(A5,Tableau1[],4,FALSE)</f>
        <v>9.6</v>
      </c>
      <c r="H5" s="49">
        <f>VLOOKUP(A5,Tableau1[],5,FALSE)</f>
        <v>9.77</v>
      </c>
      <c r="I5" s="22" t="s">
        <v>29</v>
      </c>
      <c r="J5" s="26"/>
    </row>
    <row r="6" spans="1:10" x14ac:dyDescent="0.25">
      <c r="A6" s="18">
        <v>22106</v>
      </c>
      <c r="B6" s="17" t="str">
        <f>VLOOKUP(A6,'Données charge'!A:AC,2,FALSE)</f>
        <v>PLIAGE</v>
      </c>
      <c r="C6" s="21" t="str">
        <f>VLOOKUP(A6,Tableau9[],2,FALSE)</f>
        <v>Pôle pliage</v>
      </c>
      <c r="D6" s="15">
        <v>100</v>
      </c>
      <c r="E6" s="15">
        <v>110</v>
      </c>
      <c r="F6" s="49">
        <f>VLOOKUP(A6,Tableau1[],3,FALSE)</f>
        <v>1</v>
      </c>
      <c r="G6" s="49">
        <f>VLOOKUP(A6,Tableau1[],4,FALSE)</f>
        <v>6.4</v>
      </c>
      <c r="H6" s="49">
        <f>VLOOKUP(A6,Tableau1[],5,FALSE)</f>
        <v>7.4</v>
      </c>
      <c r="I6" s="22" t="s">
        <v>29</v>
      </c>
      <c r="J6" s="26"/>
    </row>
    <row r="7" spans="1:10" x14ac:dyDescent="0.25">
      <c r="A7" s="19">
        <v>22210</v>
      </c>
      <c r="B7" s="17" t="str">
        <f>VLOOKUP(A7,'Données charge'!A:AC,2,FALSE)</f>
        <v>SCIAGE</v>
      </c>
      <c r="C7" s="21" t="str">
        <f>VLOOKUP(A7,Tableau9[],2,FALSE)</f>
        <v>SCIAGE - PERCAGE</v>
      </c>
      <c r="D7" s="15">
        <v>140</v>
      </c>
      <c r="E7" s="15">
        <v>160</v>
      </c>
      <c r="F7" s="49">
        <f>VLOOKUP(A7,Tableau1[],3,FALSE)</f>
        <v>1.29</v>
      </c>
      <c r="G7" s="49">
        <f>VLOOKUP(A7,Tableau1[],4,FALSE)</f>
        <v>4.42</v>
      </c>
      <c r="H7" s="49">
        <f>VLOOKUP(A7,Tableau1[],5,FALSE)</f>
        <v>5.71</v>
      </c>
      <c r="I7" s="22" t="s">
        <v>29</v>
      </c>
      <c r="J7" s="26"/>
    </row>
    <row r="8" spans="1:10" x14ac:dyDescent="0.25">
      <c r="A8" s="18">
        <v>22211</v>
      </c>
      <c r="B8" s="17" t="str">
        <f>VLOOKUP(A8,'Données charge'!A:AC,2,FALSE)</f>
        <v>SCIAGE INTEGRALE</v>
      </c>
      <c r="C8" s="21" t="str">
        <f>VLOOKUP(A8,Tableau9[],2,FALSE)</f>
        <v>SCIAGE - PERCAGE</v>
      </c>
      <c r="D8" s="15">
        <v>140</v>
      </c>
      <c r="E8" s="15">
        <v>160</v>
      </c>
      <c r="F8" s="49">
        <f>VLOOKUP(A8,Tableau1[],3,FALSE)</f>
        <v>3.0800000000000014</v>
      </c>
      <c r="G8" s="49">
        <f>VLOOKUP(A8,Tableau1[],4,FALSE)</f>
        <v>13.310000000000015</v>
      </c>
      <c r="H8" s="49">
        <f>VLOOKUP(A8,Tableau1[],5,FALSE)</f>
        <v>16.390000000000015</v>
      </c>
      <c r="I8" s="22" t="s">
        <v>29</v>
      </c>
      <c r="J8" s="26"/>
    </row>
    <row r="9" spans="1:10" x14ac:dyDescent="0.25">
      <c r="A9" s="18">
        <v>22301</v>
      </c>
      <c r="B9" s="17" t="str">
        <f>VLOOKUP(A9,'Données charge'!A:AC,2,FALSE)</f>
        <v>GROS SCIAGE</v>
      </c>
      <c r="C9" s="21" t="str">
        <f>VLOOKUP(A9,Tableau9[],2,FALSE)</f>
        <v>SCIAGE - PERCAGE</v>
      </c>
      <c r="D9" s="15">
        <v>140</v>
      </c>
      <c r="E9" s="15">
        <v>160</v>
      </c>
      <c r="F9" s="49">
        <f>VLOOKUP(A9,Tableau1[],3,FALSE)</f>
        <v>1.01</v>
      </c>
      <c r="G9" s="49">
        <f>VLOOKUP(A9,Tableau1[],4,FALSE)</f>
        <v>2</v>
      </c>
      <c r="H9" s="49">
        <f>VLOOKUP(A9,Tableau1[],5,FALSE)</f>
        <v>3.01</v>
      </c>
      <c r="I9" s="22" t="s">
        <v>29</v>
      </c>
      <c r="J9" s="26"/>
    </row>
    <row r="10" spans="1:10" x14ac:dyDescent="0.25">
      <c r="A10" s="19">
        <v>22707</v>
      </c>
      <c r="B10" s="17" t="str">
        <f>VLOOKUP(A10,'Données charge'!A:AC,2,FALSE)</f>
        <v>TRONCO</v>
      </c>
      <c r="C10" s="21" t="str">
        <f>VLOOKUP(A10,Tableau9[],2,FALSE)</f>
        <v>Pôle pliage</v>
      </c>
      <c r="D10" s="15">
        <v>100</v>
      </c>
      <c r="E10" s="15">
        <v>110</v>
      </c>
      <c r="F10" s="49">
        <f>VLOOKUP(A10,Tableau1[],3,FALSE)</f>
        <v>2</v>
      </c>
      <c r="G10" s="49">
        <f>VLOOKUP(A10,Tableau1[],4,FALSE)</f>
        <v>4.16</v>
      </c>
      <c r="H10" s="49">
        <f>VLOOKUP(A10,Tableau1[],5,FALSE)</f>
        <v>6.16</v>
      </c>
      <c r="I10" s="22" t="s">
        <v>29</v>
      </c>
      <c r="J10" s="26"/>
    </row>
    <row r="11" spans="1:10" x14ac:dyDescent="0.25">
      <c r="A11" s="18">
        <v>22103</v>
      </c>
      <c r="B11" s="17" t="str">
        <f>VLOOKUP(A11,'Données charge'!A:AC,2,FALSE)</f>
        <v>SERTISSAGE</v>
      </c>
      <c r="C11" s="21" t="str">
        <f>VLOOKUP(A11,Tableau9[],2,FALSE)</f>
        <v>Pôle cintrage</v>
      </c>
      <c r="D11" s="15">
        <v>140</v>
      </c>
      <c r="E11" s="15">
        <v>160</v>
      </c>
      <c r="F11" s="49">
        <f>VLOOKUP(A11,Tableau2[],3,FALSE)</f>
        <v>1.2500000000000004</v>
      </c>
      <c r="G11" s="49">
        <f>VLOOKUP(A11,Tableau2[],4,FALSE)</f>
        <v>1.670000000000001</v>
      </c>
      <c r="H11" s="49">
        <f>VLOOKUP(A11,Tableau2[],5,FALSE)</f>
        <v>2.9200000000000017</v>
      </c>
      <c r="I11" s="23" t="s">
        <v>30</v>
      </c>
      <c r="J11" s="26"/>
    </row>
    <row r="12" spans="1:10" x14ac:dyDescent="0.25">
      <c r="A12" s="19">
        <v>22104</v>
      </c>
      <c r="B12" s="17" t="str">
        <f>VLOOKUP(A12,'Données charge'!A:AC,2,FALSE)</f>
        <v>EBAVURAGE</v>
      </c>
      <c r="C12" s="21" t="str">
        <f>VLOOKUP(A12,Tableau9[],2,FALSE)</f>
        <v>SCIAGE - PERCAGE</v>
      </c>
      <c r="D12" s="15">
        <v>140</v>
      </c>
      <c r="E12" s="15">
        <v>160</v>
      </c>
      <c r="F12" s="49">
        <f>VLOOKUP(A12,Tableau2[],3,FALSE)</f>
        <v>0.34</v>
      </c>
      <c r="G12" s="49">
        <f>VLOOKUP(A12,Tableau2[],4,FALSE)</f>
        <v>1.85</v>
      </c>
      <c r="H12" s="49">
        <f>VLOOKUP(A12,Tableau2[],5,FALSE)</f>
        <v>2.19</v>
      </c>
      <c r="I12" s="23" t="s">
        <v>30</v>
      </c>
      <c r="J12" s="26"/>
    </row>
    <row r="13" spans="1:10" x14ac:dyDescent="0.25">
      <c r="A13" s="18">
        <v>22106</v>
      </c>
      <c r="B13" s="17" t="str">
        <f>VLOOKUP(A13,'Données charge'!A:AC,2,FALSE)</f>
        <v>PLIAGE</v>
      </c>
      <c r="C13" s="21" t="str">
        <f>VLOOKUP(A13,Tableau9[],2,FALSE)</f>
        <v>Pôle pliage</v>
      </c>
      <c r="D13" s="15">
        <v>100</v>
      </c>
      <c r="E13" s="15">
        <v>110</v>
      </c>
      <c r="F13" s="49">
        <f>VLOOKUP(A13,Tableau2[],3,FALSE)</f>
        <v>1</v>
      </c>
      <c r="G13" s="49">
        <f>VLOOKUP(A13,Tableau2[],4,FALSE)</f>
        <v>1.2</v>
      </c>
      <c r="H13" s="49">
        <f>VLOOKUP(A13,Tableau2[],5,FALSE)</f>
        <v>2.2000000000000002</v>
      </c>
      <c r="I13" s="23" t="s">
        <v>30</v>
      </c>
      <c r="J13" s="26"/>
    </row>
    <row r="14" spans="1:10" x14ac:dyDescent="0.25">
      <c r="A14" s="19">
        <v>22210</v>
      </c>
      <c r="B14" s="17" t="str">
        <f>VLOOKUP(A14,'Données charge'!A:AC,2,FALSE)</f>
        <v>SCIAGE</v>
      </c>
      <c r="C14" s="21" t="str">
        <f>VLOOKUP(A14,Tableau9[],2,FALSE)</f>
        <v>SCIAGE - PERCAGE</v>
      </c>
      <c r="D14" s="15">
        <v>140</v>
      </c>
      <c r="E14" s="15">
        <v>160</v>
      </c>
      <c r="F14" s="49">
        <f>VLOOKUP(A14,Tableau2[],3,FALSE)</f>
        <v>2.0699999999999998</v>
      </c>
      <c r="G14" s="49">
        <f>VLOOKUP(A14,Tableau2[],4,FALSE)</f>
        <v>1.1400000000000001</v>
      </c>
      <c r="H14" s="49">
        <f>VLOOKUP(A14,Tableau2[],5,FALSE)</f>
        <v>3.21</v>
      </c>
      <c r="I14" s="23" t="s">
        <v>30</v>
      </c>
      <c r="J14" s="26"/>
    </row>
    <row r="15" spans="1:10" x14ac:dyDescent="0.25">
      <c r="A15" s="18">
        <v>22211</v>
      </c>
      <c r="B15" s="17" t="str">
        <f>VLOOKUP(A15,'Données charge'!A:AC,2,FALSE)</f>
        <v>SCIAGE INTEGRALE</v>
      </c>
      <c r="C15" s="21" t="str">
        <f>VLOOKUP(A15,Tableau9[],2,FALSE)</f>
        <v>SCIAGE - PERCAGE</v>
      </c>
      <c r="D15" s="15">
        <v>140</v>
      </c>
      <c r="E15" s="15">
        <v>160</v>
      </c>
      <c r="F15" s="49">
        <f>VLOOKUP(A15,Tableau2[],3,FALSE)</f>
        <v>1.9200000000000006</v>
      </c>
      <c r="G15" s="49">
        <f>VLOOKUP(A15,Tableau2[],4,FALSE)</f>
        <v>0.86000000000000021</v>
      </c>
      <c r="H15" s="49">
        <f>VLOOKUP(A15,Tableau2[],5,FALSE)</f>
        <v>2.7800000000000007</v>
      </c>
      <c r="I15" s="23" t="s">
        <v>30</v>
      </c>
      <c r="J15" s="26"/>
    </row>
    <row r="16" spans="1:10" x14ac:dyDescent="0.25">
      <c r="A16" s="18">
        <v>22301</v>
      </c>
      <c r="B16" s="17" t="str">
        <f>VLOOKUP(A16,'Données charge'!A:AC,2,FALSE)</f>
        <v>GROS SCIAGE</v>
      </c>
      <c r="C16" s="21" t="str">
        <f>VLOOKUP(A16,Tableau9[],2,FALSE)</f>
        <v>SCIAGE - PERCAGE</v>
      </c>
      <c r="D16" s="15">
        <v>140</v>
      </c>
      <c r="E16" s="15">
        <v>160</v>
      </c>
      <c r="F16" s="49">
        <f>VLOOKUP(A16,Tableau2[],3,FALSE)</f>
        <v>0.34</v>
      </c>
      <c r="G16" s="49">
        <f>VLOOKUP(A16,Tableau2[],4,FALSE)</f>
        <v>0.1</v>
      </c>
      <c r="H16" s="49">
        <f>VLOOKUP(A16,Tableau2[],5,FALSE)</f>
        <v>0.44000000000000006</v>
      </c>
      <c r="I16" s="23" t="s">
        <v>30</v>
      </c>
      <c r="J16" s="26"/>
    </row>
    <row r="17" spans="1:10" x14ac:dyDescent="0.25">
      <c r="A17" s="18">
        <v>24300</v>
      </c>
      <c r="B17" s="17" t="str">
        <f>VLOOKUP(A17,'Données charge'!A:AC,2,FALSE)</f>
        <v>USINAGE</v>
      </c>
      <c r="C17" s="21" t="str">
        <f>VLOOKUP(A17,Tableau9[],2,FALSE)</f>
        <v>SCIAGE - PERCAGE</v>
      </c>
      <c r="D17" s="15">
        <v>140</v>
      </c>
      <c r="E17" s="15">
        <v>160</v>
      </c>
      <c r="F17" s="49">
        <f>VLOOKUP(A17,Tableau2[],3,FALSE)</f>
        <v>1.0999999999999999</v>
      </c>
      <c r="G17" s="49">
        <f>VLOOKUP(A17,Tableau2[],4,FALSE)</f>
        <v>2.6799999999999997</v>
      </c>
      <c r="H17" s="49">
        <f>VLOOKUP(A17,Tableau2[],5,FALSE)</f>
        <v>3.7799999999999994</v>
      </c>
      <c r="I17" s="23" t="s">
        <v>30</v>
      </c>
      <c r="J17" s="26"/>
    </row>
    <row r="18" spans="1:10" x14ac:dyDescent="0.25">
      <c r="A18" s="19">
        <v>24301</v>
      </c>
      <c r="B18" s="17" t="str">
        <f>VLOOKUP(A18,'Données charge'!A:AC,2,FALSE)</f>
        <v>FRAISAGE</v>
      </c>
      <c r="C18" s="21" t="str">
        <f>VLOOKUP(A18,Tableau9[],2,FALSE)</f>
        <v>TOURS</v>
      </c>
      <c r="D18" s="15">
        <v>120</v>
      </c>
      <c r="E18" s="15">
        <v>130</v>
      </c>
      <c r="F18" s="49">
        <f>VLOOKUP(A18,Tableau2[],3,FALSE)</f>
        <v>1</v>
      </c>
      <c r="G18" s="49">
        <f>VLOOKUP(A18,Tableau2[],4,FALSE)</f>
        <v>1.9799999999999998</v>
      </c>
      <c r="H18" s="49">
        <f>VLOOKUP(A18,Tableau2[],5,FALSE)</f>
        <v>2.9799999999999995</v>
      </c>
      <c r="I18" s="23" t="s">
        <v>30</v>
      </c>
      <c r="J18" s="26"/>
    </row>
    <row r="19" spans="1:10" x14ac:dyDescent="0.25">
      <c r="A19" s="18">
        <v>24303</v>
      </c>
      <c r="B19" s="17" t="str">
        <f>VLOOKUP(A19,'Données charge'!A:AC,2,FALSE)</f>
        <v>TOURNAGE</v>
      </c>
      <c r="C19" s="21" t="str">
        <f>VLOOKUP(A19,Tableau9[],2,FALSE)</f>
        <v>TOURS</v>
      </c>
      <c r="D19" s="15">
        <v>120</v>
      </c>
      <c r="E19" s="15">
        <v>130</v>
      </c>
      <c r="F19" s="49">
        <f>VLOOKUP(A19,Tableau2[],3,FALSE)</f>
        <v>0.25</v>
      </c>
      <c r="G19" s="49">
        <f>VLOOKUP(A19,Tableau2[],4,FALSE)</f>
        <v>1.2</v>
      </c>
      <c r="H19" s="49">
        <f>VLOOKUP(A19,Tableau2[],5,FALSE)</f>
        <v>1.45</v>
      </c>
      <c r="I19" s="23" t="s">
        <v>30</v>
      </c>
      <c r="J19" s="26"/>
    </row>
    <row r="20" spans="1:10" x14ac:dyDescent="0.25">
      <c r="A20" s="19">
        <v>24502</v>
      </c>
      <c r="B20" s="17" t="str">
        <f>VLOOKUP(A20,'Données charge'!A:AC,2,FALSE)</f>
        <v>EBA</v>
      </c>
      <c r="C20" s="21" t="str">
        <f>VLOOKUP(A20,Tableau9[],2,FALSE)</f>
        <v>FRAISEUSES CONVENTIONNELLES</v>
      </c>
      <c r="D20" s="15">
        <v>105</v>
      </c>
      <c r="E20" s="15">
        <v>120</v>
      </c>
      <c r="F20" s="49">
        <f>VLOOKUP(A20,Tableau2[],3,FALSE)</f>
        <v>3.55</v>
      </c>
      <c r="G20" s="49">
        <f>VLOOKUP(A20,Tableau2[],4,FALSE)</f>
        <v>4.59</v>
      </c>
      <c r="H20" s="49">
        <f>VLOOKUP(A20,Tableau2[],5,FALSE)</f>
        <v>8.14</v>
      </c>
      <c r="I20" s="23" t="s">
        <v>30</v>
      </c>
      <c r="J20" s="26"/>
    </row>
    <row r="21" spans="1:10" x14ac:dyDescent="0.25">
      <c r="A21" s="19">
        <v>24611</v>
      </c>
      <c r="B21" s="17" t="str">
        <f>VLOOKUP(A21,'Données charge'!A:AC,2,FALSE)</f>
        <v>FRAISEUSE CN</v>
      </c>
      <c r="C21" s="21" t="str">
        <f>VLOOKUP(A21,Tableau9[],2,FALSE)</f>
        <v>TOURS CN</v>
      </c>
      <c r="D21" s="15">
        <v>140</v>
      </c>
      <c r="E21" s="15">
        <v>160</v>
      </c>
      <c r="F21" s="49">
        <f>VLOOKUP(A21,Tableau2[],3,FALSE)</f>
        <v>5</v>
      </c>
      <c r="G21" s="49">
        <f>VLOOKUP(A21,Tableau2[],4,FALSE)</f>
        <v>3.7600000000000002</v>
      </c>
      <c r="H21" s="49">
        <f>VLOOKUP(A21,Tableau2[],5,FALSE)</f>
        <v>8.76</v>
      </c>
      <c r="I21" s="23" t="s">
        <v>30</v>
      </c>
      <c r="J21" s="26"/>
    </row>
    <row r="22" spans="1:10" x14ac:dyDescent="0.25">
      <c r="A22" s="18">
        <v>24701</v>
      </c>
      <c r="B22" s="17" t="str">
        <f>VLOOKUP(A22,'Données charge'!A:AC,2,FALSE)</f>
        <v>BR</v>
      </c>
      <c r="C22" s="21" t="str">
        <f>VLOOKUP(A22,Tableau9[],2,FALSE)</f>
        <v>FRAISEUSES CN</v>
      </c>
      <c r="D22" s="15">
        <v>35</v>
      </c>
      <c r="E22" s="15">
        <v>40</v>
      </c>
      <c r="F22" s="49">
        <f>VLOOKUP(A22,Tableau2[],3,FALSE)</f>
        <v>0.8</v>
      </c>
      <c r="G22" s="49">
        <f>VLOOKUP(A22,Tableau2[],4,FALSE)</f>
        <v>2.2200000000000002</v>
      </c>
      <c r="H22" s="49">
        <f>VLOOKUP(A22,Tableau2[],5,FALSE)</f>
        <v>3.0200000000000005</v>
      </c>
      <c r="I22" s="23" t="s">
        <v>30</v>
      </c>
      <c r="J22" s="26"/>
    </row>
    <row r="23" spans="1:10" x14ac:dyDescent="0.25">
      <c r="A23" s="19">
        <v>24901</v>
      </c>
      <c r="B23" s="17" t="str">
        <f>VLOOKUP(A23,'Données charge'!A:AC,2,FALSE)</f>
        <v>TARAU</v>
      </c>
      <c r="C23" s="21" t="str">
        <f>VLOOKUP(A23,Tableau9[],2,FALSE)</f>
        <v>FRAISEUSES CN</v>
      </c>
      <c r="D23" s="15">
        <v>35</v>
      </c>
      <c r="E23" s="15">
        <v>40</v>
      </c>
      <c r="F23" s="49">
        <f>VLOOKUP(A23,Tableau2[],3,FALSE)</f>
        <v>2</v>
      </c>
      <c r="G23" s="49">
        <f>VLOOKUP(A23,Tableau2[],4,FALSE)</f>
        <v>3.15</v>
      </c>
      <c r="H23" s="49">
        <f>VLOOKUP(A23,Tableau2[],5,FALSE)</f>
        <v>5.15</v>
      </c>
      <c r="I23" s="23" t="s">
        <v>30</v>
      </c>
      <c r="J23" s="26"/>
    </row>
    <row r="24" spans="1:10" x14ac:dyDescent="0.25">
      <c r="A24" s="18">
        <v>22101</v>
      </c>
      <c r="B24" s="17" t="e">
        <f>VLOOKUP(A24,'Données charge'!A:AC,2,FALSE)</f>
        <v>#N/A</v>
      </c>
      <c r="C24" s="21" t="str">
        <f>VLOOKUP(A24,Tableau9[],2,FALSE)</f>
        <v>SCIAGE - PERCAGE</v>
      </c>
      <c r="D24" s="15">
        <v>140</v>
      </c>
      <c r="E24" s="15">
        <v>160</v>
      </c>
      <c r="F24" s="49">
        <f>VLOOKUP(A24,Tableau3[],3,FALSE)</f>
        <v>3.3099999999999996</v>
      </c>
      <c r="G24" s="49">
        <f>VLOOKUP(A24,Tableau3[],4,FALSE)</f>
        <v>30.030000000000005</v>
      </c>
      <c r="H24" s="49">
        <f>VLOOKUP(A24,Tableau3[],5,FALSE)</f>
        <v>33.340000000000003</v>
      </c>
      <c r="I24" s="24" t="s">
        <v>31</v>
      </c>
      <c r="J24" s="26"/>
    </row>
    <row r="25" spans="1:10" x14ac:dyDescent="0.25">
      <c r="A25" s="19">
        <v>22102</v>
      </c>
      <c r="B25" s="17" t="str">
        <f>VLOOKUP(A25,'Données charge'!A:AC,2,FALSE)</f>
        <v>CHAINFREIN</v>
      </c>
      <c r="C25" s="21" t="str">
        <f>VLOOKUP(A25,Tableau9[],2,FALSE)</f>
        <v>SCIAGE - PERCAGE</v>
      </c>
      <c r="D25" s="15">
        <v>140</v>
      </c>
      <c r="E25" s="15">
        <v>160</v>
      </c>
      <c r="F25" s="49">
        <f>VLOOKUP(A25,Tableau3[],3,FALSE)</f>
        <v>1.02</v>
      </c>
      <c r="G25" s="49">
        <f>VLOOKUP(A25,Tableau3[],4,FALSE)</f>
        <v>0.70000000000000007</v>
      </c>
      <c r="H25" s="49">
        <f>VLOOKUP(A25,Tableau3[],5,FALSE)</f>
        <v>1.7200000000000002</v>
      </c>
      <c r="I25" s="24" t="s">
        <v>31</v>
      </c>
      <c r="J25" s="26"/>
    </row>
    <row r="26" spans="1:10" x14ac:dyDescent="0.25">
      <c r="A26" s="18">
        <v>22103</v>
      </c>
      <c r="B26" s="17" t="str">
        <f>VLOOKUP(A26,'Données charge'!A:AC,2,FALSE)</f>
        <v>SERTISSAGE</v>
      </c>
      <c r="C26" s="21" t="str">
        <f>VLOOKUP(A26,Tableau9[],2,FALSE)</f>
        <v>Pôle cintrage</v>
      </c>
      <c r="D26" s="15">
        <v>140</v>
      </c>
      <c r="E26" s="15">
        <v>160</v>
      </c>
      <c r="F26" s="49">
        <f>VLOOKUP(A26,Tableau3[],3,FALSE)</f>
        <v>2.4999999999999991</v>
      </c>
      <c r="G26" s="49">
        <f>VLOOKUP(A26,Tableau3[],4,FALSE)</f>
        <v>11.810000000000006</v>
      </c>
      <c r="H26" s="49">
        <f>VLOOKUP(A26,Tableau3[],5,FALSE)</f>
        <v>14.310000000000006</v>
      </c>
      <c r="I26" s="24" t="s">
        <v>31</v>
      </c>
      <c r="J26" s="26"/>
    </row>
    <row r="27" spans="1:10" x14ac:dyDescent="0.25">
      <c r="A27" s="19">
        <v>22104</v>
      </c>
      <c r="B27" s="17" t="str">
        <f>VLOOKUP(A27,'Données charge'!A:AC,2,FALSE)</f>
        <v>EBAVURAGE</v>
      </c>
      <c r="C27" s="21" t="str">
        <f>VLOOKUP(A27,Tableau9[],2,FALSE)</f>
        <v>SCIAGE - PERCAGE</v>
      </c>
      <c r="D27" s="15">
        <v>140</v>
      </c>
      <c r="E27" s="15">
        <v>160</v>
      </c>
      <c r="F27" s="49">
        <f>VLOOKUP(A27,Tableau3[],3,FALSE)</f>
        <v>1.5099999999999998</v>
      </c>
      <c r="G27" s="49">
        <f>VLOOKUP(A27,Tableau3[],4,FALSE)</f>
        <v>10.040000000000001</v>
      </c>
      <c r="H27" s="49">
        <f>VLOOKUP(A27,Tableau3[],5,FALSE)</f>
        <v>11.55</v>
      </c>
      <c r="I27" s="24" t="s">
        <v>31</v>
      </c>
      <c r="J27" s="26"/>
    </row>
    <row r="28" spans="1:10" x14ac:dyDescent="0.25">
      <c r="A28" s="18">
        <v>22106</v>
      </c>
      <c r="B28" s="17" t="str">
        <f>VLOOKUP(A28,'Données charge'!A:AC,2,FALSE)</f>
        <v>PLIAGE</v>
      </c>
      <c r="C28" s="21" t="str">
        <f>VLOOKUP(A28,Tableau9[],2,FALSE)</f>
        <v>Pôle pliage</v>
      </c>
      <c r="D28" s="15">
        <v>100</v>
      </c>
      <c r="E28" s="15">
        <v>110</v>
      </c>
      <c r="F28" s="49">
        <f>VLOOKUP(A28,Tableau3[],3,FALSE)</f>
        <v>1.07</v>
      </c>
      <c r="G28" s="49">
        <f>VLOOKUP(A28,Tableau3[],4,FALSE)</f>
        <v>9.5</v>
      </c>
      <c r="H28" s="49">
        <f>VLOOKUP(A28,Tableau3[],5,FALSE)</f>
        <v>10.57</v>
      </c>
      <c r="I28" s="24" t="s">
        <v>31</v>
      </c>
      <c r="J28" s="26"/>
    </row>
    <row r="29" spans="1:10" x14ac:dyDescent="0.25">
      <c r="A29" s="19">
        <v>22210</v>
      </c>
      <c r="B29" s="17" t="str">
        <f>VLOOKUP(A29,'Données charge'!A:AC,2,FALSE)</f>
        <v>SCIAGE</v>
      </c>
      <c r="C29" s="21" t="str">
        <f>VLOOKUP(A29,Tableau9[],2,FALSE)</f>
        <v>SCIAGE - PERCAGE</v>
      </c>
      <c r="D29" s="15">
        <v>140</v>
      </c>
      <c r="E29" s="15">
        <v>160</v>
      </c>
      <c r="F29" s="49">
        <f>VLOOKUP(A29,Tableau3[],3,FALSE)</f>
        <v>6.9899999999999984</v>
      </c>
      <c r="G29" s="49">
        <f>VLOOKUP(A29,Tableau3[],4,FALSE)</f>
        <v>14.569999999999999</v>
      </c>
      <c r="H29" s="49">
        <f>VLOOKUP(A29,Tableau3[],5,FALSE)</f>
        <v>21.559999999999995</v>
      </c>
      <c r="I29" s="24" t="s">
        <v>31</v>
      </c>
      <c r="J29" s="26"/>
    </row>
    <row r="30" spans="1:10" x14ac:dyDescent="0.25">
      <c r="A30" s="18">
        <v>22211</v>
      </c>
      <c r="B30" s="17" t="str">
        <f>VLOOKUP(A30,'Données charge'!A:AC,2,FALSE)</f>
        <v>SCIAGE INTEGRALE</v>
      </c>
      <c r="C30" s="21" t="str">
        <f>VLOOKUP(A30,Tableau9[],2,FALSE)</f>
        <v>SCIAGE - PERCAGE</v>
      </c>
      <c r="D30" s="15">
        <v>140</v>
      </c>
      <c r="E30" s="15">
        <v>160</v>
      </c>
      <c r="F30" s="49">
        <f>VLOOKUP(A30,Tableau3[],3,FALSE)</f>
        <v>4.7200000000000024</v>
      </c>
      <c r="G30" s="49">
        <f>VLOOKUP(A30,Tableau3[],4,FALSE)</f>
        <v>14.139999999999983</v>
      </c>
      <c r="H30" s="49">
        <f>VLOOKUP(A30,Tableau3[],5,FALSE)</f>
        <v>18.859999999999985</v>
      </c>
      <c r="I30" s="24" t="s">
        <v>31</v>
      </c>
      <c r="J30" s="26"/>
    </row>
    <row r="31" spans="1:10" x14ac:dyDescent="0.25">
      <c r="A31" s="18">
        <v>24300</v>
      </c>
      <c r="B31" s="17" t="str">
        <f>VLOOKUP(A31,'Données charge'!A:AC,2,FALSE)</f>
        <v>USINAGE</v>
      </c>
      <c r="C31" s="21" t="str">
        <f>VLOOKUP(A31,Tableau9[],2,FALSE)</f>
        <v>SCIAGE - PERCAGE</v>
      </c>
      <c r="D31" s="15">
        <v>140</v>
      </c>
      <c r="E31" s="15">
        <v>160</v>
      </c>
      <c r="F31" s="49">
        <f>VLOOKUP(A31,Tableau3[],3,FALSE)</f>
        <v>5.04</v>
      </c>
      <c r="G31" s="49">
        <f>VLOOKUP(A31,Tableau3[],4,FALSE)</f>
        <v>21.169999999999991</v>
      </c>
      <c r="H31" s="49">
        <f>VLOOKUP(A31,Tableau3[],5,FALSE)</f>
        <v>26.20999999999999</v>
      </c>
      <c r="I31" s="24" t="s">
        <v>31</v>
      </c>
      <c r="J31" s="26"/>
    </row>
    <row r="32" spans="1:10" x14ac:dyDescent="0.25">
      <c r="A32" s="19">
        <v>24301</v>
      </c>
      <c r="B32" s="17" t="str">
        <f>VLOOKUP(A32,'Données charge'!A:AC,2,FALSE)</f>
        <v>FRAISAGE</v>
      </c>
      <c r="C32" s="21" t="str">
        <f>VLOOKUP(A32,Tableau9[],2,FALSE)</f>
        <v>TOURS</v>
      </c>
      <c r="D32" s="15">
        <v>120</v>
      </c>
      <c r="E32" s="15">
        <v>130</v>
      </c>
      <c r="F32" s="49">
        <f>VLOOKUP(A32,Tableau3[],3,FALSE)</f>
        <v>3.15</v>
      </c>
      <c r="G32" s="49">
        <f>VLOOKUP(A32,Tableau3[],4,FALSE)</f>
        <v>25.69</v>
      </c>
      <c r="H32" s="49">
        <f>VLOOKUP(A32,Tableau3[],5,FALSE)</f>
        <v>28.84</v>
      </c>
      <c r="I32" s="24" t="s">
        <v>31</v>
      </c>
      <c r="J32" s="26"/>
    </row>
    <row r="33" spans="1:10" x14ac:dyDescent="0.25">
      <c r="A33" s="19">
        <v>24502</v>
      </c>
      <c r="B33" s="17" t="str">
        <f>VLOOKUP(A33,'Données charge'!A:AC,2,FALSE)</f>
        <v>EBA</v>
      </c>
      <c r="C33" s="21" t="str">
        <f>VLOOKUP(A33,Tableau9[],2,FALSE)</f>
        <v>FRAISEUSES CONVENTIONNELLES</v>
      </c>
      <c r="D33" s="15">
        <v>105</v>
      </c>
      <c r="E33" s="15">
        <v>120</v>
      </c>
      <c r="F33" s="49">
        <f>VLOOKUP(A33,Tableau3[],3,FALSE)</f>
        <v>3.8</v>
      </c>
      <c r="G33" s="49">
        <f>VLOOKUP(A33,Tableau3[],4,FALSE)</f>
        <v>5.0200000000000005</v>
      </c>
      <c r="H33" s="49">
        <f>VLOOKUP(A33,Tableau3[],5,FALSE)</f>
        <v>8.82</v>
      </c>
      <c r="I33" s="24" t="s">
        <v>31</v>
      </c>
      <c r="J33" s="26"/>
    </row>
    <row r="34" spans="1:10" x14ac:dyDescent="0.25">
      <c r="A34" s="19">
        <v>24611</v>
      </c>
      <c r="B34" s="17" t="str">
        <f>VLOOKUP(A34,'Données charge'!A:AC,2,FALSE)</f>
        <v>FRAISEUSE CN</v>
      </c>
      <c r="C34" s="21" t="str">
        <f>VLOOKUP(A34,Tableau9[],2,FALSE)</f>
        <v>TOURS CN</v>
      </c>
      <c r="D34" s="15">
        <v>140</v>
      </c>
      <c r="E34" s="15">
        <v>160</v>
      </c>
      <c r="F34" s="49">
        <f>VLOOKUP(A34,Tableau3[],3,FALSE)</f>
        <v>26.25</v>
      </c>
      <c r="G34" s="49">
        <f>VLOOKUP(A34,Tableau3[],4,FALSE)</f>
        <v>54.11999999999999</v>
      </c>
      <c r="H34" s="49">
        <f>VLOOKUP(A34,Tableau3[],5,FALSE)</f>
        <v>80.36999999999999</v>
      </c>
      <c r="I34" s="24" t="s">
        <v>31</v>
      </c>
      <c r="J34" s="26"/>
    </row>
    <row r="35" spans="1:10" x14ac:dyDescent="0.25">
      <c r="A35" s="18">
        <v>24701</v>
      </c>
      <c r="B35" s="17" t="str">
        <f>VLOOKUP(A35,'Données charge'!A:AC,2,FALSE)</f>
        <v>BR</v>
      </c>
      <c r="C35" s="21" t="str">
        <f>VLOOKUP(A35,Tableau9[],2,FALSE)</f>
        <v>FRAISEUSES CN</v>
      </c>
      <c r="D35" s="15">
        <v>35</v>
      </c>
      <c r="E35" s="15">
        <v>40</v>
      </c>
      <c r="F35" s="49">
        <f>VLOOKUP(A35,Tableau3[],3,FALSE)</f>
        <v>3.25</v>
      </c>
      <c r="G35" s="49">
        <f>VLOOKUP(A35,Tableau3[],4,FALSE)</f>
        <v>34.39</v>
      </c>
      <c r="H35" s="49">
        <f>VLOOKUP(A35,Tableau3[],5,FALSE)</f>
        <v>37.64</v>
      </c>
      <c r="I35" s="24" t="s">
        <v>31</v>
      </c>
      <c r="J35" s="26"/>
    </row>
    <row r="36" spans="1:10" x14ac:dyDescent="0.25">
      <c r="A36" s="19">
        <v>22102</v>
      </c>
      <c r="B36" s="17" t="str">
        <f>VLOOKUP(A36,'Données charge'!A:AC,2,FALSE)</f>
        <v>CHAINFREIN</v>
      </c>
      <c r="C36" s="21" t="str">
        <f>VLOOKUP(A36,Tableau9[],2,FALSE)</f>
        <v>SCIAGE - PERCAGE</v>
      </c>
      <c r="D36" s="15">
        <v>140</v>
      </c>
      <c r="E36" s="15">
        <v>160</v>
      </c>
      <c r="F36" s="49">
        <f>VLOOKUP(A36,Tableau5[],3,FALSE)</f>
        <v>7.0300000000000011</v>
      </c>
      <c r="G36" s="49">
        <f>VLOOKUP(A36,Tableau5[],4,FALSE)</f>
        <v>8.3800000000000043</v>
      </c>
      <c r="H36" s="49">
        <f>VLOOKUP(A36,Tableau5[],5,FALSE)</f>
        <v>15.410000000000005</v>
      </c>
      <c r="I36" s="25" t="s">
        <v>32</v>
      </c>
      <c r="J36" s="26"/>
    </row>
    <row r="37" spans="1:10" x14ac:dyDescent="0.25">
      <c r="A37" s="19">
        <v>22104</v>
      </c>
      <c r="B37" s="17" t="str">
        <f>VLOOKUP(A37,'Données charge'!A:AC,2,FALSE)</f>
        <v>EBAVURAGE</v>
      </c>
      <c r="C37" s="21" t="str">
        <f>VLOOKUP(A37,Tableau9[],2,FALSE)</f>
        <v>SCIAGE - PERCAGE</v>
      </c>
      <c r="D37" s="15">
        <v>140</v>
      </c>
      <c r="E37" s="15">
        <v>160</v>
      </c>
      <c r="F37" s="49">
        <f>VLOOKUP(A37,Tableau5[],3,FALSE)</f>
        <v>2.6699999999999995</v>
      </c>
      <c r="G37" s="49">
        <f>VLOOKUP(A37,Tableau5[],4,FALSE)</f>
        <v>1.04</v>
      </c>
      <c r="H37" s="49">
        <f>VLOOKUP(A37,Tableau5[],5,FALSE)</f>
        <v>3.7099999999999995</v>
      </c>
      <c r="I37" s="25" t="s">
        <v>32</v>
      </c>
      <c r="J37" s="26"/>
    </row>
    <row r="38" spans="1:10" x14ac:dyDescent="0.25">
      <c r="A38" s="18">
        <v>22106</v>
      </c>
      <c r="B38" s="17" t="str">
        <f>VLOOKUP(A38,'Données charge'!A:AC,2,FALSE)</f>
        <v>PLIAGE</v>
      </c>
      <c r="C38" s="21" t="str">
        <f>VLOOKUP(A38,Tableau9[],2,FALSE)</f>
        <v>Pôle pliage</v>
      </c>
      <c r="D38" s="15">
        <v>100</v>
      </c>
      <c r="E38" s="15">
        <v>110</v>
      </c>
      <c r="F38" s="49">
        <f>VLOOKUP(A38,Tableau5[],3,FALSE)</f>
        <v>0.66</v>
      </c>
      <c r="G38" s="49">
        <f>VLOOKUP(A38,Tableau5[],4,FALSE)</f>
        <v>0.45</v>
      </c>
      <c r="H38" s="49">
        <f>VLOOKUP(A38,Tableau5[],5,FALSE)</f>
        <v>1.1100000000000001</v>
      </c>
      <c r="I38" s="25" t="s">
        <v>32</v>
      </c>
      <c r="J38" s="26"/>
    </row>
    <row r="39" spans="1:10" x14ac:dyDescent="0.25">
      <c r="A39" s="19">
        <v>22210</v>
      </c>
      <c r="B39" s="17" t="str">
        <f>VLOOKUP(A39,'Données charge'!A:AC,2,FALSE)</f>
        <v>SCIAGE</v>
      </c>
      <c r="C39" s="21" t="str">
        <f>VLOOKUP(A39,Tableau9[],2,FALSE)</f>
        <v>SCIAGE - PERCAGE</v>
      </c>
      <c r="D39" s="15">
        <v>140</v>
      </c>
      <c r="E39" s="15">
        <v>160</v>
      </c>
      <c r="F39" s="49">
        <f>VLOOKUP(A39,Tableau5[],3,FALSE)</f>
        <v>3.2000000000000011</v>
      </c>
      <c r="G39" s="49">
        <f>VLOOKUP(A39,Tableau5[],4,FALSE)</f>
        <v>1.6600000000000004</v>
      </c>
      <c r="H39" s="49">
        <f>VLOOKUP(A39,Tableau5[],5,FALSE)</f>
        <v>4.8600000000000012</v>
      </c>
      <c r="I39" s="25" t="s">
        <v>32</v>
      </c>
      <c r="J39" s="26"/>
    </row>
    <row r="40" spans="1:10" x14ac:dyDescent="0.25">
      <c r="A40" s="18">
        <v>24300</v>
      </c>
      <c r="B40" s="17" t="str">
        <f>VLOOKUP(A40,'Données charge'!A:AC,2,FALSE)</f>
        <v>USINAGE</v>
      </c>
      <c r="C40" s="21" t="str">
        <f>VLOOKUP(A40,Tableau9[],2,FALSE)</f>
        <v>SCIAGE - PERCAGE</v>
      </c>
      <c r="D40" s="15">
        <v>140</v>
      </c>
      <c r="E40" s="15">
        <v>160</v>
      </c>
      <c r="F40" s="49">
        <f>VLOOKUP(A40,Tableau5[],3,FALSE)</f>
        <v>2.6700000000000008</v>
      </c>
      <c r="G40" s="49">
        <f>VLOOKUP(A40,Tableau5[],4,FALSE)</f>
        <v>0.83</v>
      </c>
      <c r="H40" s="49">
        <f>VLOOKUP(A40,Tableau5[],5,FALSE)</f>
        <v>3.5000000000000009</v>
      </c>
      <c r="I40" s="25" t="s">
        <v>32</v>
      </c>
      <c r="J40" s="26"/>
    </row>
    <row r="41" spans="1:10" x14ac:dyDescent="0.25">
      <c r="A41" s="19">
        <v>24301</v>
      </c>
      <c r="B41" s="17" t="str">
        <f>VLOOKUP(A41,'Données charge'!A:AC,2,FALSE)</f>
        <v>FRAISAGE</v>
      </c>
      <c r="C41" s="21" t="str">
        <f>VLOOKUP(A41,Tableau9[],2,FALSE)</f>
        <v>TOURS</v>
      </c>
      <c r="D41" s="15">
        <v>120</v>
      </c>
      <c r="E41" s="15">
        <v>130</v>
      </c>
      <c r="F41" s="49">
        <f>VLOOKUP(A41,Tableau5[],3,FALSE)</f>
        <v>3.2499999999999996</v>
      </c>
      <c r="G41" s="49">
        <f>VLOOKUP(A41,Tableau5[],4,FALSE)</f>
        <v>2.2899999999999996</v>
      </c>
      <c r="H41" s="49">
        <f>VLOOKUP(A41,Tableau5[],5,FALSE)</f>
        <v>5.5399999999999991</v>
      </c>
      <c r="I41" s="25" t="s">
        <v>32</v>
      </c>
      <c r="J41" s="26"/>
    </row>
    <row r="42" spans="1:10" x14ac:dyDescent="0.25">
      <c r="A42" s="19">
        <v>24502</v>
      </c>
      <c r="B42" s="17" t="str">
        <f>VLOOKUP(A42,'Données charge'!A:AC,2,FALSE)</f>
        <v>EBA</v>
      </c>
      <c r="C42" s="21" t="str">
        <f>VLOOKUP(A42,Tableau9[],2,FALSE)</f>
        <v>FRAISEUSES CONVENTIONNELLES</v>
      </c>
      <c r="D42" s="15">
        <v>105</v>
      </c>
      <c r="E42" s="15">
        <v>120</v>
      </c>
      <c r="F42" s="49">
        <f>VLOOKUP(A42,Tableau5[],3,FALSE)</f>
        <v>4.55</v>
      </c>
      <c r="G42" s="49">
        <f>VLOOKUP(A42,Tableau5[],4,FALSE)</f>
        <v>2.8300000000000005</v>
      </c>
      <c r="H42" s="49">
        <f>VLOOKUP(A42,Tableau5[],5,FALSE)</f>
        <v>7.3800000000000008</v>
      </c>
      <c r="I42" s="25" t="s">
        <v>32</v>
      </c>
      <c r="J42" s="26"/>
    </row>
    <row r="43" spans="1:10" x14ac:dyDescent="0.25">
      <c r="A43" s="19">
        <v>24611</v>
      </c>
      <c r="B43" s="17" t="str">
        <f>VLOOKUP(A43,'Données charge'!A:AC,2,FALSE)</f>
        <v>FRAISEUSE CN</v>
      </c>
      <c r="C43" s="21" t="str">
        <f>VLOOKUP(A43,Tableau9[],2,FALSE)</f>
        <v>TOURS CN</v>
      </c>
      <c r="D43" s="15">
        <v>140</v>
      </c>
      <c r="E43" s="15">
        <v>160</v>
      </c>
      <c r="F43" s="49">
        <f>VLOOKUP(A43,Tableau5[],3,FALSE)</f>
        <v>7.25</v>
      </c>
      <c r="G43" s="49">
        <f>VLOOKUP(A43,Tableau5[],4,FALSE)</f>
        <v>1.6700000000000002</v>
      </c>
      <c r="H43" s="49">
        <f>VLOOKUP(A43,Tableau5[],5,FALSE)</f>
        <v>8.92</v>
      </c>
      <c r="I43" s="25" t="s">
        <v>32</v>
      </c>
      <c r="J43" s="26"/>
    </row>
    <row r="44" spans="1:10" x14ac:dyDescent="0.25">
      <c r="A44" s="18">
        <v>24701</v>
      </c>
      <c r="B44" s="17" t="str">
        <f>VLOOKUP(A44,'Données charge'!A:AC,2,FALSE)</f>
        <v>BR</v>
      </c>
      <c r="C44" s="21" t="str">
        <f>VLOOKUP(A44,Tableau9[],2,FALSE)</f>
        <v>FRAISEUSES CN</v>
      </c>
      <c r="D44" s="15">
        <v>35</v>
      </c>
      <c r="E44" s="15">
        <v>40</v>
      </c>
      <c r="F44" s="49">
        <f>VLOOKUP(A44,Tableau5[],3,FALSE)</f>
        <v>1.25</v>
      </c>
      <c r="G44" s="49">
        <f>VLOOKUP(A44,Tableau5[],4,FALSE)</f>
        <v>0.24</v>
      </c>
      <c r="H44" s="49">
        <f>VLOOKUP(A44,Tableau5[],5,FALSE)</f>
        <v>1.49</v>
      </c>
      <c r="I44" s="25" t="s">
        <v>32</v>
      </c>
      <c r="J44" s="26"/>
    </row>
    <row r="45" spans="1:10" x14ac:dyDescent="0.25">
      <c r="A45" s="19">
        <v>24901</v>
      </c>
      <c r="B45" s="17" t="str">
        <f>VLOOKUP(A45,'Données charge'!A:AC,2,FALSE)</f>
        <v>TARAU</v>
      </c>
      <c r="C45" s="21" t="str">
        <f>VLOOKUP(A45,Tableau9[],2,FALSE)</f>
        <v>FRAISEUSES CN</v>
      </c>
      <c r="D45" s="15">
        <v>35</v>
      </c>
      <c r="E45" s="15">
        <v>40</v>
      </c>
      <c r="F45" s="49">
        <f>VLOOKUP(A45,Tableau5[],3,FALSE)</f>
        <v>5.4499999999999993</v>
      </c>
      <c r="G45" s="49">
        <f>VLOOKUP(A45,Tableau5[],4,FALSE)</f>
        <v>3.26</v>
      </c>
      <c r="H45" s="49">
        <f>VLOOKUP(A45,Tableau5[],5,FALSE)</f>
        <v>8.7099999999999991</v>
      </c>
      <c r="I45" s="25" t="s">
        <v>32</v>
      </c>
      <c r="J45" s="26"/>
    </row>
    <row r="46" spans="1:10" x14ac:dyDescent="0.25">
      <c r="A46" s="33">
        <v>22102</v>
      </c>
      <c r="B46" s="17" t="str">
        <f>VLOOKUP(A46,'Données charge'!A:AC,2,FALSE)</f>
        <v>CHAINFREIN</v>
      </c>
      <c r="C46" s="21" t="str">
        <f>VLOOKUP(A46,Tableau9[],2,FALSE)</f>
        <v>SCIAGE - PERCAGE</v>
      </c>
      <c r="D46" s="15">
        <v>140</v>
      </c>
      <c r="E46" s="15">
        <v>160</v>
      </c>
      <c r="F46" s="49">
        <f>VLOOKUP(A46,Tableau8[#All],3,FALSE)</f>
        <v>0.22266666666666668</v>
      </c>
      <c r="G46" s="49">
        <f>VLOOKUP(A46,Tableau8[#All],4,FALSE)</f>
        <v>2.6933333333333334</v>
      </c>
      <c r="H46" s="49">
        <f>F46+G46</f>
        <v>2.9159999999999999</v>
      </c>
      <c r="I46" s="34" t="s">
        <v>33</v>
      </c>
      <c r="J46" s="26"/>
    </row>
    <row r="47" spans="1:10" x14ac:dyDescent="0.25">
      <c r="A47" s="33">
        <v>22103</v>
      </c>
      <c r="B47" s="17" t="str">
        <f>VLOOKUP(A47,'Données charge'!A:AC,2,FALSE)</f>
        <v>SERTISSAGE</v>
      </c>
      <c r="C47" s="21" t="str">
        <f>VLOOKUP(A47,Tableau9[],2,FALSE)</f>
        <v>Pôle cintrage</v>
      </c>
      <c r="D47" s="15">
        <v>140</v>
      </c>
      <c r="E47" s="15">
        <v>160</v>
      </c>
      <c r="F47" s="49">
        <f>VLOOKUP(A47,Tableau8[#All],3,FALSE)</f>
        <v>1.4000000000000004</v>
      </c>
      <c r="G47" s="49">
        <f>VLOOKUP(A47,Tableau8[#All],4,FALSE)</f>
        <v>6.4373333333333349</v>
      </c>
      <c r="H47" s="49">
        <f t="shared" ref="H47:H50" si="0">F47+G47</f>
        <v>7.8373333333333353</v>
      </c>
      <c r="I47" s="34" t="s">
        <v>33</v>
      </c>
      <c r="J47" s="26"/>
    </row>
    <row r="48" spans="1:10" x14ac:dyDescent="0.25">
      <c r="A48" s="33">
        <v>22106</v>
      </c>
      <c r="B48" s="17" t="str">
        <f>VLOOKUP(A48,'Données charge'!A:AC,2,FALSE)</f>
        <v>PLIAGE</v>
      </c>
      <c r="C48" s="21" t="str">
        <f>VLOOKUP(A48,Tableau9[],2,FALSE)</f>
        <v>Pôle pliage</v>
      </c>
      <c r="D48" s="15">
        <v>100</v>
      </c>
      <c r="E48" s="15">
        <v>110</v>
      </c>
      <c r="F48" s="49">
        <f>VLOOKUP(A48,Tableau8[#All],3,FALSE)</f>
        <v>7.0000000000000007E-2</v>
      </c>
      <c r="G48" s="49">
        <f>VLOOKUP(A48,Tableau8[#All],4,FALSE)</f>
        <v>0.4</v>
      </c>
      <c r="H48" s="49">
        <f t="shared" si="0"/>
        <v>0.47000000000000003</v>
      </c>
      <c r="I48" s="34" t="s">
        <v>33</v>
      </c>
      <c r="J48" s="26"/>
    </row>
    <row r="49" spans="1:10" x14ac:dyDescent="0.25">
      <c r="A49" s="33">
        <v>22210</v>
      </c>
      <c r="B49" s="17" t="str">
        <f>VLOOKUP(A49,'Données charge'!A:AC,2,FALSE)</f>
        <v>SCIAGE</v>
      </c>
      <c r="C49" s="21" t="str">
        <f>VLOOKUP(A49,Tableau9[],2,FALSE)</f>
        <v>SCIAGE - PERCAGE</v>
      </c>
      <c r="D49" s="15">
        <v>140</v>
      </c>
      <c r="E49" s="15">
        <v>160</v>
      </c>
      <c r="F49" s="49">
        <f>VLOOKUP(A49,Tableau8[#All],3,FALSE)</f>
        <v>0.17333333333333334</v>
      </c>
      <c r="G49" s="49">
        <f>VLOOKUP(A49,Tableau8[#All],4,FALSE)</f>
        <v>0.10426666666666666</v>
      </c>
      <c r="H49" s="49">
        <f t="shared" si="0"/>
        <v>0.27760000000000001</v>
      </c>
      <c r="I49" s="34" t="s">
        <v>33</v>
      </c>
      <c r="J49" s="26"/>
    </row>
    <row r="50" spans="1:10" x14ac:dyDescent="0.25">
      <c r="A50" s="33">
        <v>22211</v>
      </c>
      <c r="B50" s="17" t="str">
        <f>VLOOKUP(A50,'Données charge'!A:AC,2,FALSE)</f>
        <v>SCIAGE INTEGRALE</v>
      </c>
      <c r="C50" s="21" t="str">
        <f>VLOOKUP(A50,Tableau9[],2,FALSE)</f>
        <v>SCIAGE - PERCAGE</v>
      </c>
      <c r="D50" s="15">
        <v>140</v>
      </c>
      <c r="E50" s="15">
        <v>160</v>
      </c>
      <c r="F50" s="49">
        <f>VLOOKUP(A50,Tableau8[#All],3,FALSE)</f>
        <v>2.9223333333333343</v>
      </c>
      <c r="G50" s="49">
        <f>VLOOKUP(A50,Tableau8[#All],4,FALSE)</f>
        <v>3.8168000000000011</v>
      </c>
      <c r="H50" s="49">
        <f t="shared" si="0"/>
        <v>6.739133333333335</v>
      </c>
      <c r="I50" s="34" t="s">
        <v>33</v>
      </c>
      <c r="J50" s="26"/>
    </row>
    <row r="54" spans="1:10" x14ac:dyDescent="0.25">
      <c r="F54" s="7"/>
      <c r="G54" s="7"/>
      <c r="H54" s="7"/>
    </row>
    <row r="55" spans="1:10" x14ac:dyDescent="0.25">
      <c r="F55" s="7"/>
      <c r="G55" s="7"/>
      <c r="H55" s="7"/>
    </row>
    <row r="56" spans="1:10" x14ac:dyDescent="0.25">
      <c r="F56" s="7"/>
      <c r="G56" s="7"/>
      <c r="H56" s="7"/>
    </row>
    <row r="57" spans="1:10" x14ac:dyDescent="0.25">
      <c r="F57" s="7"/>
      <c r="G57" s="7"/>
      <c r="H57" s="7"/>
    </row>
    <row r="58" spans="1:10" x14ac:dyDescent="0.25">
      <c r="F58" s="7"/>
      <c r="G58" s="7"/>
      <c r="H58" s="7"/>
    </row>
    <row r="59" spans="1:10" x14ac:dyDescent="0.25">
      <c r="F59" s="7"/>
      <c r="G59" s="7"/>
      <c r="H59" s="7"/>
    </row>
    <row r="60" spans="1:10" x14ac:dyDescent="0.25">
      <c r="F60" s="7"/>
      <c r="G60" s="7"/>
      <c r="H60" s="7"/>
    </row>
    <row r="61" spans="1:10" x14ac:dyDescent="0.25">
      <c r="F61" s="7"/>
      <c r="G61" s="7"/>
      <c r="H61" s="7"/>
    </row>
    <row r="62" spans="1:10" x14ac:dyDescent="0.25">
      <c r="F62" s="7"/>
      <c r="G62" s="7"/>
      <c r="H62" s="7"/>
    </row>
    <row r="63" spans="1:10" x14ac:dyDescent="0.25">
      <c r="F63" s="7"/>
      <c r="G63" s="7"/>
      <c r="H63" s="7"/>
    </row>
    <row r="64" spans="1:10" x14ac:dyDescent="0.25">
      <c r="F64" s="7"/>
      <c r="G64" s="7"/>
      <c r="H64" s="7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35"/>
  <sheetViews>
    <sheetView showGridLines="0" topLeftCell="A46" zoomScale="55" zoomScaleNormal="55" workbookViewId="0">
      <selection activeCell="R33" sqref="R33"/>
    </sheetView>
  </sheetViews>
  <sheetFormatPr baseColWidth="10" defaultRowHeight="15" x14ac:dyDescent="0.25"/>
  <cols>
    <col min="1" max="1" width="46.5703125" customWidth="1"/>
    <col min="2" max="2" width="33.7109375" customWidth="1"/>
    <col min="3" max="3" width="8.42578125" bestFit="1" customWidth="1"/>
    <col min="4" max="4" width="16.28515625" bestFit="1" customWidth="1"/>
    <col min="5" max="5" width="18.5703125" bestFit="1" customWidth="1"/>
    <col min="6" max="6" width="12.5703125" bestFit="1" customWidth="1"/>
    <col min="7" max="9" width="17.5703125" bestFit="1" customWidth="1"/>
    <col min="10" max="10" width="4.140625" customWidth="1"/>
    <col min="11" max="14" width="5.140625" customWidth="1"/>
    <col min="15" max="15" width="4.140625" customWidth="1"/>
    <col min="16" max="18" width="5.140625" customWidth="1"/>
    <col min="19" max="24" width="6.140625" customWidth="1"/>
    <col min="25" max="25" width="5.5703125" customWidth="1"/>
    <col min="26" max="26" width="11.140625" customWidth="1"/>
    <col min="27" max="27" width="13.85546875" customWidth="1"/>
    <col min="28" max="28" width="5.140625" customWidth="1"/>
    <col min="29" max="29" width="4.140625" customWidth="1"/>
    <col min="30" max="43" width="5.140625" customWidth="1"/>
    <col min="44" max="44" width="4.140625" customWidth="1"/>
    <col min="45" max="48" width="5.140625" customWidth="1"/>
    <col min="49" max="57" width="6.140625" customWidth="1"/>
    <col min="58" max="58" width="7.140625" customWidth="1"/>
    <col min="59" max="59" width="17" customWidth="1"/>
    <col min="60" max="60" width="13.85546875" customWidth="1"/>
    <col min="61" max="74" width="5.140625" customWidth="1"/>
    <col min="75" max="75" width="4.140625" customWidth="1"/>
    <col min="76" max="89" width="5.140625" customWidth="1"/>
    <col min="90" max="91" width="6.140625" customWidth="1"/>
    <col min="92" max="92" width="5.5703125" customWidth="1"/>
    <col min="93" max="93" width="17" customWidth="1"/>
    <col min="94" max="94" width="11.28515625" customWidth="1"/>
    <col min="95" max="111" width="5.140625" customWidth="1"/>
    <col min="112" max="126" width="6.140625" customWidth="1"/>
    <col min="127" max="127" width="5.140625" customWidth="1"/>
    <col min="128" max="130" width="6.140625" customWidth="1"/>
    <col min="131" max="132" width="7.140625" customWidth="1"/>
    <col min="133" max="133" width="5.5703125" customWidth="1"/>
    <col min="134" max="134" width="14.28515625" customWidth="1"/>
    <col min="135" max="135" width="12" customWidth="1"/>
    <col min="136" max="139" width="5.140625" customWidth="1"/>
    <col min="140" max="140" width="5.5703125" customWidth="1"/>
    <col min="141" max="141" width="15" customWidth="1"/>
    <col min="142" max="142" width="10.42578125" customWidth="1"/>
    <col min="143" max="155" width="5.140625" customWidth="1"/>
    <col min="156" max="156" width="2.140625" customWidth="1"/>
    <col min="157" max="171" width="5.140625" customWidth="1"/>
    <col min="172" max="174" width="6.140625" customWidth="1"/>
    <col min="175" max="175" width="5.5703125" customWidth="1"/>
    <col min="176" max="176" width="13.42578125" customWidth="1"/>
    <col min="177" max="177" width="12.5703125" customWidth="1"/>
    <col min="178" max="179" width="5.85546875" customWidth="1"/>
    <col min="180" max="181" width="6.85546875" customWidth="1"/>
    <col min="182" max="182" width="7.85546875" customWidth="1"/>
    <col min="183" max="183" width="6.85546875" customWidth="1"/>
    <col min="184" max="184" width="7.42578125" customWidth="1"/>
    <col min="185" max="185" width="29.140625" bestFit="1" customWidth="1"/>
    <col min="186" max="186" width="12.5703125" bestFit="1" customWidth="1"/>
  </cols>
  <sheetData>
    <row r="3" spans="1:7" x14ac:dyDescent="0.25">
      <c r="B3" s="20" t="s">
        <v>20</v>
      </c>
    </row>
    <row r="4" spans="1:7" x14ac:dyDescent="0.25">
      <c r="A4" s="20" t="s">
        <v>6</v>
      </c>
      <c r="B4" t="s">
        <v>29</v>
      </c>
      <c r="C4" t="s">
        <v>30</v>
      </c>
      <c r="D4" t="s">
        <v>31</v>
      </c>
      <c r="E4" t="s">
        <v>32</v>
      </c>
      <c r="F4" t="s">
        <v>33</v>
      </c>
      <c r="G4" t="s">
        <v>5</v>
      </c>
    </row>
    <row r="5" spans="1:7" x14ac:dyDescent="0.25">
      <c r="A5" s="10" t="s">
        <v>11</v>
      </c>
      <c r="B5" s="42"/>
      <c r="C5" s="42"/>
      <c r="D5" s="42"/>
      <c r="E5" s="42"/>
      <c r="F5" s="42"/>
      <c r="G5" s="42"/>
    </row>
    <row r="6" spans="1:7" x14ac:dyDescent="0.25">
      <c r="A6" s="35" t="s">
        <v>24</v>
      </c>
      <c r="B6" s="42"/>
      <c r="C6" s="42">
        <v>2.8</v>
      </c>
      <c r="D6" s="42">
        <v>3.25</v>
      </c>
      <c r="E6" s="42">
        <v>6.6999999999999993</v>
      </c>
      <c r="F6" s="42"/>
      <c r="G6" s="42">
        <v>12.75</v>
      </c>
    </row>
    <row r="7" spans="1:7" x14ac:dyDescent="0.25">
      <c r="A7" s="35" t="s">
        <v>26</v>
      </c>
      <c r="B7" s="42"/>
      <c r="C7" s="42">
        <v>5.37</v>
      </c>
      <c r="D7" s="42">
        <v>34.39</v>
      </c>
      <c r="E7" s="42">
        <v>3.5</v>
      </c>
      <c r="F7" s="42"/>
      <c r="G7" s="42">
        <v>43.26</v>
      </c>
    </row>
    <row r="8" spans="1:7" x14ac:dyDescent="0.25">
      <c r="A8" s="35" t="s">
        <v>23</v>
      </c>
      <c r="B8" s="42"/>
      <c r="C8" s="42">
        <v>8.1700000000000017</v>
      </c>
      <c r="D8" s="42">
        <v>37.64</v>
      </c>
      <c r="E8" s="42">
        <v>10.199999999999999</v>
      </c>
      <c r="F8" s="42"/>
      <c r="G8" s="42">
        <v>56.010000000000005</v>
      </c>
    </row>
    <row r="9" spans="1:7" x14ac:dyDescent="0.25">
      <c r="A9" s="10" t="s">
        <v>10</v>
      </c>
      <c r="B9" s="42"/>
      <c r="C9" s="42"/>
      <c r="D9" s="42"/>
      <c r="E9" s="42"/>
      <c r="F9" s="42"/>
      <c r="G9" s="42"/>
    </row>
    <row r="10" spans="1:7" x14ac:dyDescent="0.25">
      <c r="A10" s="35" t="s">
        <v>24</v>
      </c>
      <c r="B10" s="42"/>
      <c r="C10" s="42">
        <v>3.55</v>
      </c>
      <c r="D10" s="42">
        <v>3.8</v>
      </c>
      <c r="E10" s="42">
        <v>4.55</v>
      </c>
      <c r="F10" s="42"/>
      <c r="G10" s="42">
        <v>11.899999999999999</v>
      </c>
    </row>
    <row r="11" spans="1:7" x14ac:dyDescent="0.25">
      <c r="A11" s="35" t="s">
        <v>26</v>
      </c>
      <c r="B11" s="42"/>
      <c r="C11" s="42">
        <v>4.59</v>
      </c>
      <c r="D11" s="42">
        <v>5.0200000000000005</v>
      </c>
      <c r="E11" s="42">
        <v>2.8300000000000005</v>
      </c>
      <c r="F11" s="42"/>
      <c r="G11" s="42">
        <v>12.44</v>
      </c>
    </row>
    <row r="12" spans="1:7" x14ac:dyDescent="0.25">
      <c r="A12" s="35" t="s">
        <v>23</v>
      </c>
      <c r="B12" s="42"/>
      <c r="C12" s="42">
        <v>8.14</v>
      </c>
      <c r="D12" s="42">
        <v>8.82</v>
      </c>
      <c r="E12" s="42">
        <v>7.3800000000000008</v>
      </c>
      <c r="F12" s="42"/>
      <c r="G12" s="42">
        <v>24.340000000000003</v>
      </c>
    </row>
    <row r="13" spans="1:7" x14ac:dyDescent="0.25">
      <c r="A13" s="10" t="s">
        <v>17</v>
      </c>
      <c r="B13" s="42"/>
      <c r="C13" s="42"/>
      <c r="D13" s="42"/>
      <c r="E13" s="42"/>
      <c r="F13" s="42"/>
      <c r="G13" s="42"/>
    </row>
    <row r="14" spans="1:7" x14ac:dyDescent="0.25">
      <c r="A14" s="35" t="s">
        <v>24</v>
      </c>
      <c r="B14" s="42">
        <v>1.7500000000000009</v>
      </c>
      <c r="C14" s="42">
        <v>1.2500000000000004</v>
      </c>
      <c r="D14" s="42">
        <v>2.4999999999999991</v>
      </c>
      <c r="E14" s="42"/>
      <c r="F14" s="42">
        <v>1.4000000000000004</v>
      </c>
      <c r="G14" s="42">
        <v>6.9</v>
      </c>
    </row>
    <row r="15" spans="1:7" x14ac:dyDescent="0.25">
      <c r="A15" s="35" t="s">
        <v>26</v>
      </c>
      <c r="B15" s="42">
        <v>11.999999999999988</v>
      </c>
      <c r="C15" s="42">
        <v>1.670000000000001</v>
      </c>
      <c r="D15" s="42">
        <v>11.810000000000006</v>
      </c>
      <c r="E15" s="42"/>
      <c r="F15" s="42">
        <v>6.4373333333333349</v>
      </c>
      <c r="G15" s="42">
        <v>31.917333333333332</v>
      </c>
    </row>
    <row r="16" spans="1:7" x14ac:dyDescent="0.25">
      <c r="A16" s="35" t="s">
        <v>23</v>
      </c>
      <c r="B16" s="42">
        <v>13.749999999999989</v>
      </c>
      <c r="C16" s="42">
        <v>2.9200000000000017</v>
      </c>
      <c r="D16" s="42">
        <v>14.310000000000006</v>
      </c>
      <c r="E16" s="42"/>
      <c r="F16" s="42">
        <v>7.8373333333333353</v>
      </c>
      <c r="G16" s="42">
        <v>38.81733333333333</v>
      </c>
    </row>
    <row r="17" spans="1:7" x14ac:dyDescent="0.25">
      <c r="A17" s="10" t="s">
        <v>16</v>
      </c>
      <c r="B17" s="42"/>
      <c r="C17" s="42"/>
      <c r="D17" s="42"/>
      <c r="E17" s="42"/>
      <c r="F17" s="42"/>
      <c r="G17" s="42"/>
    </row>
    <row r="18" spans="1:7" x14ac:dyDescent="0.25">
      <c r="A18" s="35" t="s">
        <v>24</v>
      </c>
      <c r="B18" s="42">
        <v>3</v>
      </c>
      <c r="C18" s="42">
        <v>1</v>
      </c>
      <c r="D18" s="42">
        <v>1.07</v>
      </c>
      <c r="E18" s="42">
        <v>0.66</v>
      </c>
      <c r="F18" s="42">
        <v>7.0000000000000007E-2</v>
      </c>
      <c r="G18" s="42">
        <v>5.8000000000000007</v>
      </c>
    </row>
    <row r="19" spans="1:7" x14ac:dyDescent="0.25">
      <c r="A19" s="35" t="s">
        <v>26</v>
      </c>
      <c r="B19" s="42">
        <v>10.56</v>
      </c>
      <c r="C19" s="42">
        <v>1.2</v>
      </c>
      <c r="D19" s="42">
        <v>9.5</v>
      </c>
      <c r="E19" s="42">
        <v>0.45</v>
      </c>
      <c r="F19" s="42">
        <v>0.4</v>
      </c>
      <c r="G19" s="42">
        <v>22.109999999999996</v>
      </c>
    </row>
    <row r="20" spans="1:7" x14ac:dyDescent="0.25">
      <c r="A20" s="35" t="s">
        <v>23</v>
      </c>
      <c r="B20" s="42">
        <v>13.56</v>
      </c>
      <c r="C20" s="42">
        <v>2.2000000000000002</v>
      </c>
      <c r="D20" s="42">
        <v>10.57</v>
      </c>
      <c r="E20" s="42">
        <v>1.1100000000000001</v>
      </c>
      <c r="F20" s="42">
        <v>0.47000000000000003</v>
      </c>
      <c r="G20" s="42">
        <v>27.91</v>
      </c>
    </row>
    <row r="21" spans="1:7" x14ac:dyDescent="0.25">
      <c r="A21" s="10" t="s">
        <v>9</v>
      </c>
      <c r="B21" s="42"/>
      <c r="C21" s="42"/>
      <c r="D21" s="42"/>
      <c r="E21" s="42"/>
      <c r="F21" s="42"/>
      <c r="G21" s="42"/>
    </row>
    <row r="22" spans="1:7" x14ac:dyDescent="0.25">
      <c r="A22" s="35" t="s">
        <v>24</v>
      </c>
      <c r="B22" s="42"/>
      <c r="C22" s="42">
        <v>5</v>
      </c>
      <c r="D22" s="42">
        <v>26.25</v>
      </c>
      <c r="E22" s="42">
        <v>7.25</v>
      </c>
      <c r="F22" s="42"/>
      <c r="G22" s="42">
        <v>38.5</v>
      </c>
    </row>
    <row r="23" spans="1:7" x14ac:dyDescent="0.25">
      <c r="A23" s="35" t="s">
        <v>26</v>
      </c>
      <c r="B23" s="42"/>
      <c r="C23" s="42">
        <v>3.7600000000000002</v>
      </c>
      <c r="D23" s="42">
        <v>54.11999999999999</v>
      </c>
      <c r="E23" s="42">
        <v>1.6700000000000002</v>
      </c>
      <c r="F23" s="42"/>
      <c r="G23" s="42">
        <v>59.54999999999999</v>
      </c>
    </row>
    <row r="24" spans="1:7" x14ac:dyDescent="0.25">
      <c r="A24" s="35" t="s">
        <v>23</v>
      </c>
      <c r="B24" s="42"/>
      <c r="C24" s="42">
        <v>8.76</v>
      </c>
      <c r="D24" s="42">
        <v>80.36999999999999</v>
      </c>
      <c r="E24" s="42">
        <v>8.92</v>
      </c>
      <c r="F24" s="42"/>
      <c r="G24" s="42">
        <v>98.05</v>
      </c>
    </row>
    <row r="25" spans="1:7" x14ac:dyDescent="0.25">
      <c r="A25" s="10" t="s">
        <v>42</v>
      </c>
      <c r="B25" s="9"/>
      <c r="C25" s="9"/>
      <c r="D25" s="9"/>
      <c r="E25" s="9"/>
      <c r="F25" s="9"/>
      <c r="G25" s="9"/>
    </row>
    <row r="26" spans="1:7" x14ac:dyDescent="0.25">
      <c r="A26" s="35" t="s">
        <v>24</v>
      </c>
      <c r="B26" s="42">
        <v>5.8900000000000015</v>
      </c>
      <c r="C26" s="42">
        <v>5.77</v>
      </c>
      <c r="D26" s="42">
        <v>22.59</v>
      </c>
      <c r="E26" s="42">
        <v>15.570000000000004</v>
      </c>
      <c r="F26" s="42">
        <v>3.3183333333333342</v>
      </c>
      <c r="G26" s="42">
        <v>53.138333333333343</v>
      </c>
    </row>
    <row r="27" spans="1:7" x14ac:dyDescent="0.25">
      <c r="A27" s="35" t="s">
        <v>26</v>
      </c>
      <c r="B27" s="42">
        <v>31.730000000000018</v>
      </c>
      <c r="C27" s="42">
        <v>6.6300000000000008</v>
      </c>
      <c r="D27" s="42">
        <v>90.649999999999977</v>
      </c>
      <c r="E27" s="42">
        <v>11.910000000000005</v>
      </c>
      <c r="F27" s="42">
        <v>6.6144000000000016</v>
      </c>
      <c r="G27" s="42">
        <v>147.53439999999998</v>
      </c>
    </row>
    <row r="28" spans="1:7" x14ac:dyDescent="0.25">
      <c r="A28" s="35" t="s">
        <v>23</v>
      </c>
      <c r="B28" s="42">
        <v>37.620000000000012</v>
      </c>
      <c r="C28" s="42">
        <v>12.4</v>
      </c>
      <c r="D28" s="42">
        <v>113.23999999999997</v>
      </c>
      <c r="E28" s="42">
        <v>27.480000000000004</v>
      </c>
      <c r="F28" s="42">
        <v>9.932733333333335</v>
      </c>
      <c r="G28" s="42">
        <v>200.67273333333335</v>
      </c>
    </row>
    <row r="29" spans="1:7" x14ac:dyDescent="0.25">
      <c r="A29" s="10" t="s">
        <v>41</v>
      </c>
      <c r="B29" s="9"/>
      <c r="C29" s="9"/>
      <c r="D29" s="9"/>
      <c r="E29" s="9"/>
      <c r="F29" s="9"/>
      <c r="G29" s="9"/>
    </row>
    <row r="30" spans="1:7" x14ac:dyDescent="0.25">
      <c r="A30" s="35" t="s">
        <v>24</v>
      </c>
      <c r="B30" s="42"/>
      <c r="C30" s="42">
        <v>1.25</v>
      </c>
      <c r="D30" s="42">
        <v>3.15</v>
      </c>
      <c r="E30" s="42">
        <v>3.2499999999999996</v>
      </c>
      <c r="F30" s="42"/>
      <c r="G30" s="42">
        <v>7.65</v>
      </c>
    </row>
    <row r="31" spans="1:7" x14ac:dyDescent="0.25">
      <c r="A31" s="35" t="s">
        <v>26</v>
      </c>
      <c r="B31" s="42"/>
      <c r="C31" s="42">
        <v>3.1799999999999997</v>
      </c>
      <c r="D31" s="42">
        <v>25.69</v>
      </c>
      <c r="E31" s="42">
        <v>2.2899999999999996</v>
      </c>
      <c r="F31" s="42"/>
      <c r="G31" s="42">
        <v>31.16</v>
      </c>
    </row>
    <row r="32" spans="1:7" x14ac:dyDescent="0.25">
      <c r="A32" s="35" t="s">
        <v>23</v>
      </c>
      <c r="B32" s="42"/>
      <c r="C32" s="42">
        <v>4.43</v>
      </c>
      <c r="D32" s="42">
        <v>28.84</v>
      </c>
      <c r="E32" s="42">
        <v>5.5399999999999991</v>
      </c>
      <c r="F32" s="42"/>
      <c r="G32" s="42">
        <v>38.809999999999995</v>
      </c>
    </row>
    <row r="33" spans="1:7" x14ac:dyDescent="0.25">
      <c r="A33" s="10" t="s">
        <v>25</v>
      </c>
      <c r="B33" s="42">
        <v>10.640000000000002</v>
      </c>
      <c r="C33" s="42">
        <v>20.619999999999997</v>
      </c>
      <c r="D33" s="42">
        <v>62.609999999999992</v>
      </c>
      <c r="E33" s="42">
        <v>37.980000000000004</v>
      </c>
      <c r="F33" s="42">
        <v>4.7883333333333349</v>
      </c>
      <c r="G33" s="42">
        <v>136.63833333333335</v>
      </c>
    </row>
    <row r="34" spans="1:7" x14ac:dyDescent="0.25">
      <c r="A34" s="10" t="s">
        <v>27</v>
      </c>
      <c r="B34" s="42">
        <v>54.290000000000006</v>
      </c>
      <c r="C34" s="42">
        <v>26.400000000000006</v>
      </c>
      <c r="D34" s="42">
        <v>231.17999999999998</v>
      </c>
      <c r="E34" s="42">
        <v>22.650000000000006</v>
      </c>
      <c r="F34" s="42">
        <v>13.451733333333337</v>
      </c>
      <c r="G34" s="42">
        <v>347.97173333333336</v>
      </c>
    </row>
    <row r="35" spans="1:7" x14ac:dyDescent="0.25">
      <c r="A35" s="10" t="s">
        <v>28</v>
      </c>
      <c r="B35" s="42">
        <v>64.930000000000007</v>
      </c>
      <c r="C35" s="42">
        <v>47.02</v>
      </c>
      <c r="D35" s="42">
        <v>293.78999999999991</v>
      </c>
      <c r="E35" s="42">
        <v>60.63</v>
      </c>
      <c r="F35" s="42">
        <v>18.240066666666671</v>
      </c>
      <c r="G35" s="42">
        <v>484.61006666666668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TYPE</vt:lpstr>
      <vt:lpstr>Données charge</vt:lpstr>
      <vt:lpstr>Cum</vt:lpstr>
      <vt:lpstr>Graph</vt:lpstr>
    </vt:vector>
  </TitlesOfParts>
  <Company>LOHR Industrie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MELNICIUC Maxime</dc:creator>
  <cp:lastModifiedBy>MELNICIUC Maxime</cp:lastModifiedBy>
  <cp:lastPrinted>2018-07-19T10:00:19Z</cp:lastPrinted>
  <dcterms:created xsi:type="dcterms:W3CDTF">2018-07-10T09:00:18Z</dcterms:created>
  <dcterms:modified xsi:type="dcterms:W3CDTF">2018-07-25T07:32:22Z</dcterms:modified>
</cp:coreProperties>
</file>