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15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ann/Downloads/"/>
    </mc:Choice>
  </mc:AlternateContent>
  <bookViews>
    <workbookView xWindow="0" yWindow="460" windowWidth="28800" windowHeight="17460" activeTab="3"/>
  </bookViews>
  <sheets>
    <sheet name="Calendrier auto" sheetId="38" r:id="rId1"/>
    <sheet name="Stats 2015" sheetId="22" r:id="rId2"/>
    <sheet name="Data" sheetId="13" r:id="rId3"/>
    <sheet name="Janvier 2015" sheetId="40" r:id="rId4"/>
  </sheets>
  <definedNames>
    <definedName name="An" localSheetId="3">'Janvier 2015'!$AJ$28</definedName>
    <definedName name="An">'Calendrier auto'!$AI$28</definedName>
    <definedName name="Fer">Data!$F$2:$F$12</definedName>
    <definedName name="Fériés">Data!$N$2:$N$14</definedName>
    <definedName name="O" localSheetId="0">'Calendrier auto'!$A$2</definedName>
    <definedName name="O" localSheetId="3">'Janvier 2015'!$B$2</definedName>
    <definedName name="Paques">Data!$N$3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40" l="1"/>
  <c r="I10" i="40"/>
  <c r="P9" i="40"/>
  <c r="P10" i="40"/>
  <c r="Q9" i="40"/>
  <c r="Q8" i="40"/>
  <c r="Q10" i="40"/>
  <c r="R9" i="40"/>
  <c r="R8" i="40"/>
  <c r="R10" i="40"/>
  <c r="AC10" i="40"/>
  <c r="D11" i="40"/>
  <c r="I11" i="40"/>
  <c r="P11" i="40"/>
  <c r="Q11" i="40"/>
  <c r="R11" i="40"/>
  <c r="S9" i="40"/>
  <c r="S8" i="40"/>
  <c r="S11" i="40"/>
  <c r="T9" i="40"/>
  <c r="T8" i="40"/>
  <c r="T11" i="40"/>
  <c r="U9" i="40"/>
  <c r="U8" i="40"/>
  <c r="U11" i="40"/>
  <c r="AC11" i="40"/>
  <c r="D12" i="40"/>
  <c r="D13" i="40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I12" i="40"/>
  <c r="P12" i="40"/>
  <c r="Q12" i="40"/>
  <c r="R12" i="40"/>
  <c r="S12" i="40"/>
  <c r="T12" i="40"/>
  <c r="U12" i="40"/>
  <c r="AC12" i="40"/>
  <c r="I13" i="40"/>
  <c r="P13" i="40"/>
  <c r="Q13" i="40"/>
  <c r="R13" i="40"/>
  <c r="S13" i="40"/>
  <c r="T13" i="40"/>
  <c r="U13" i="40"/>
  <c r="AC13" i="40"/>
  <c r="I14" i="40"/>
  <c r="P14" i="40"/>
  <c r="Q14" i="40"/>
  <c r="R14" i="40"/>
  <c r="S14" i="40"/>
  <c r="T14" i="40"/>
  <c r="U14" i="40"/>
  <c r="AC14" i="40"/>
  <c r="I15" i="40"/>
  <c r="P15" i="40"/>
  <c r="Q15" i="40"/>
  <c r="R15" i="40"/>
  <c r="S15" i="40"/>
  <c r="T15" i="40"/>
  <c r="U15" i="40"/>
  <c r="AC15" i="40"/>
  <c r="I16" i="40"/>
  <c r="P16" i="40"/>
  <c r="Q16" i="40"/>
  <c r="R16" i="40"/>
  <c r="S16" i="40"/>
  <c r="T16" i="40"/>
  <c r="U16" i="40"/>
  <c r="AC16" i="40"/>
  <c r="I17" i="40"/>
  <c r="P17" i="40"/>
  <c r="Q17" i="40"/>
  <c r="R17" i="40"/>
  <c r="S17" i="40"/>
  <c r="T17" i="40"/>
  <c r="U17" i="40"/>
  <c r="AC17" i="40"/>
  <c r="I18" i="40"/>
  <c r="P18" i="40"/>
  <c r="Q18" i="40"/>
  <c r="R18" i="40"/>
  <c r="S18" i="40"/>
  <c r="T18" i="40"/>
  <c r="U18" i="40"/>
  <c r="AC18" i="40"/>
  <c r="I19" i="40"/>
  <c r="P19" i="40"/>
  <c r="Q19" i="40"/>
  <c r="R19" i="40"/>
  <c r="S19" i="40"/>
  <c r="T19" i="40"/>
  <c r="U19" i="40"/>
  <c r="AC19" i="40"/>
  <c r="I20" i="40"/>
  <c r="P20" i="40"/>
  <c r="Q20" i="40"/>
  <c r="R20" i="40"/>
  <c r="S20" i="40"/>
  <c r="T20" i="40"/>
  <c r="U20" i="40"/>
  <c r="AC20" i="40"/>
  <c r="I21" i="40"/>
  <c r="P21" i="40"/>
  <c r="Q21" i="40"/>
  <c r="R21" i="40"/>
  <c r="S21" i="40"/>
  <c r="T21" i="40"/>
  <c r="U21" i="40"/>
  <c r="AC21" i="40"/>
  <c r="I22" i="40"/>
  <c r="P22" i="40"/>
  <c r="Q22" i="40"/>
  <c r="R22" i="40"/>
  <c r="S22" i="40"/>
  <c r="T22" i="40"/>
  <c r="U22" i="40"/>
  <c r="AC22" i="40"/>
  <c r="I23" i="40"/>
  <c r="P23" i="40"/>
  <c r="Q23" i="40"/>
  <c r="R23" i="40"/>
  <c r="S23" i="40"/>
  <c r="T23" i="40"/>
  <c r="U23" i="40"/>
  <c r="AC23" i="40"/>
  <c r="I24" i="40"/>
  <c r="P24" i="40"/>
  <c r="Q24" i="40"/>
  <c r="R24" i="40"/>
  <c r="S24" i="40"/>
  <c r="T24" i="40"/>
  <c r="U24" i="40"/>
  <c r="AC24" i="40"/>
  <c r="I25" i="40"/>
  <c r="P25" i="40"/>
  <c r="Q25" i="40"/>
  <c r="R25" i="40"/>
  <c r="S25" i="40"/>
  <c r="T25" i="40"/>
  <c r="U25" i="40"/>
  <c r="AC25" i="40"/>
  <c r="I26" i="40"/>
  <c r="P26" i="40"/>
  <c r="Q26" i="40"/>
  <c r="R26" i="40"/>
  <c r="S26" i="40"/>
  <c r="T26" i="40"/>
  <c r="U26" i="40"/>
  <c r="AC26" i="40"/>
  <c r="I27" i="40"/>
  <c r="P27" i="40"/>
  <c r="Q27" i="40"/>
  <c r="R27" i="40"/>
  <c r="S27" i="40"/>
  <c r="T27" i="40"/>
  <c r="U27" i="40"/>
  <c r="AC27" i="40"/>
  <c r="I28" i="40"/>
  <c r="P28" i="40"/>
  <c r="Q28" i="40"/>
  <c r="R28" i="40"/>
  <c r="S28" i="40"/>
  <c r="T28" i="40"/>
  <c r="U28" i="40"/>
  <c r="AC28" i="40"/>
  <c r="I29" i="40"/>
  <c r="P29" i="40"/>
  <c r="Q29" i="40"/>
  <c r="R29" i="40"/>
  <c r="S29" i="40"/>
  <c r="T29" i="40"/>
  <c r="U29" i="40"/>
  <c r="AC29" i="40"/>
  <c r="I30" i="40"/>
  <c r="P30" i="40"/>
  <c r="Q30" i="40"/>
  <c r="R30" i="40"/>
  <c r="S30" i="40"/>
  <c r="T30" i="40"/>
  <c r="U30" i="40"/>
  <c r="AC30" i="40"/>
  <c r="I31" i="40"/>
  <c r="P31" i="40"/>
  <c r="Q31" i="40"/>
  <c r="R31" i="40"/>
  <c r="S31" i="40"/>
  <c r="T31" i="40"/>
  <c r="U31" i="40"/>
  <c r="AC31" i="40"/>
  <c r="I32" i="40"/>
  <c r="P32" i="40"/>
  <c r="Q32" i="40"/>
  <c r="R32" i="40"/>
  <c r="S32" i="40"/>
  <c r="T32" i="40"/>
  <c r="U32" i="40"/>
  <c r="AC32" i="40"/>
  <c r="I33" i="40"/>
  <c r="P33" i="40"/>
  <c r="Q33" i="40"/>
  <c r="R33" i="40"/>
  <c r="S33" i="40"/>
  <c r="T33" i="40"/>
  <c r="U33" i="40"/>
  <c r="AC33" i="40"/>
  <c r="I34" i="40"/>
  <c r="P34" i="40"/>
  <c r="Q34" i="40"/>
  <c r="R34" i="40"/>
  <c r="S34" i="40"/>
  <c r="T34" i="40"/>
  <c r="U34" i="40"/>
  <c r="AC34" i="40"/>
  <c r="I35" i="40"/>
  <c r="P35" i="40"/>
  <c r="Q35" i="40"/>
  <c r="R35" i="40"/>
  <c r="S35" i="40"/>
  <c r="T35" i="40"/>
  <c r="U35" i="40"/>
  <c r="AC35" i="40"/>
  <c r="I36" i="40"/>
  <c r="P36" i="40"/>
  <c r="Q36" i="40"/>
  <c r="R36" i="40"/>
  <c r="S36" i="40"/>
  <c r="T36" i="40"/>
  <c r="U36" i="40"/>
  <c r="AC36" i="40"/>
  <c r="I37" i="40"/>
  <c r="P37" i="40"/>
  <c r="Q37" i="40"/>
  <c r="R37" i="40"/>
  <c r="S37" i="40"/>
  <c r="T37" i="40"/>
  <c r="U37" i="40"/>
  <c r="AC37" i="40"/>
  <c r="I38" i="40"/>
  <c r="P38" i="40"/>
  <c r="Q38" i="40"/>
  <c r="R38" i="40"/>
  <c r="S38" i="40"/>
  <c r="T38" i="40"/>
  <c r="U38" i="40"/>
  <c r="AC38" i="40"/>
  <c r="I39" i="40"/>
  <c r="P39" i="40"/>
  <c r="Q39" i="40"/>
  <c r="R39" i="40"/>
  <c r="S39" i="40"/>
  <c r="T39" i="40"/>
  <c r="U39" i="40"/>
  <c r="AC39" i="40"/>
  <c r="I40" i="40"/>
  <c r="P40" i="40"/>
  <c r="Q40" i="40"/>
  <c r="R40" i="40"/>
  <c r="S40" i="40"/>
  <c r="T40" i="40"/>
  <c r="U40" i="40"/>
  <c r="AC40" i="40"/>
  <c r="AC41" i="40"/>
  <c r="AB10" i="40"/>
  <c r="AB11" i="40"/>
  <c r="AB12" i="40"/>
  <c r="AB13" i="40"/>
  <c r="AB14" i="40"/>
  <c r="AB15" i="40"/>
  <c r="AB16" i="40"/>
  <c r="AB17" i="40"/>
  <c r="AB18" i="40"/>
  <c r="AB19" i="40"/>
  <c r="AB20" i="40"/>
  <c r="AB21" i="40"/>
  <c r="AB22" i="40"/>
  <c r="AB23" i="40"/>
  <c r="AB24" i="40"/>
  <c r="AB25" i="40"/>
  <c r="AB26" i="40"/>
  <c r="AB27" i="40"/>
  <c r="AB28" i="40"/>
  <c r="AB29" i="40"/>
  <c r="AB30" i="40"/>
  <c r="AB31" i="40"/>
  <c r="AB32" i="40"/>
  <c r="AB33" i="40"/>
  <c r="AB34" i="40"/>
  <c r="AB35" i="40"/>
  <c r="AB36" i="40"/>
  <c r="AB37" i="40"/>
  <c r="AB38" i="40"/>
  <c r="AB39" i="40"/>
  <c r="AB40" i="40"/>
  <c r="AB41" i="40"/>
  <c r="X41" i="40"/>
  <c r="C10" i="40"/>
  <c r="W10" i="40"/>
  <c r="C11" i="40"/>
  <c r="W11" i="40"/>
  <c r="C12" i="40"/>
  <c r="W12" i="40"/>
  <c r="C13" i="40"/>
  <c r="W13" i="40"/>
  <c r="C14" i="40"/>
  <c r="W14" i="40"/>
  <c r="C15" i="40"/>
  <c r="W15" i="40"/>
  <c r="C16" i="40"/>
  <c r="W16" i="40"/>
  <c r="C17" i="40"/>
  <c r="W17" i="40"/>
  <c r="C18" i="40"/>
  <c r="W18" i="40"/>
  <c r="C19" i="40"/>
  <c r="W19" i="40"/>
  <c r="C20" i="40"/>
  <c r="W20" i="40"/>
  <c r="C21" i="40"/>
  <c r="W21" i="40"/>
  <c r="C22" i="40"/>
  <c r="W22" i="40"/>
  <c r="C23" i="40"/>
  <c r="W23" i="40"/>
  <c r="C24" i="40"/>
  <c r="W24" i="40"/>
  <c r="C25" i="40"/>
  <c r="W25" i="40"/>
  <c r="C26" i="40"/>
  <c r="W26" i="40"/>
  <c r="C27" i="40"/>
  <c r="W27" i="40"/>
  <c r="C28" i="40"/>
  <c r="W28" i="40"/>
  <c r="C29" i="40"/>
  <c r="W29" i="40"/>
  <c r="C30" i="40"/>
  <c r="W30" i="40"/>
  <c r="C31" i="40"/>
  <c r="W31" i="40"/>
  <c r="C32" i="40"/>
  <c r="W32" i="40"/>
  <c r="C33" i="40"/>
  <c r="W33" i="40"/>
  <c r="C34" i="40"/>
  <c r="W34" i="40"/>
  <c r="C35" i="40"/>
  <c r="W35" i="40"/>
  <c r="C36" i="40"/>
  <c r="W36" i="40"/>
  <c r="C37" i="40"/>
  <c r="W37" i="40"/>
  <c r="C38" i="40"/>
  <c r="W38" i="40"/>
  <c r="C39" i="40"/>
  <c r="W39" i="40"/>
  <c r="C40" i="40"/>
  <c r="W40" i="40"/>
  <c r="W41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V41" i="40"/>
  <c r="U41" i="40"/>
  <c r="T41" i="40"/>
  <c r="S41" i="40"/>
  <c r="R41" i="40"/>
  <c r="Q41" i="40"/>
  <c r="P41" i="40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M41" i="40"/>
  <c r="L41" i="40"/>
  <c r="K41" i="40"/>
  <c r="J41" i="40"/>
  <c r="I41" i="40"/>
  <c r="H41" i="40"/>
  <c r="G41" i="40"/>
  <c r="F41" i="40"/>
  <c r="E41" i="40"/>
  <c r="D41" i="40"/>
  <c r="AA40" i="40"/>
  <c r="Z40" i="40"/>
  <c r="Y40" i="40"/>
  <c r="X40" i="40"/>
  <c r="L40" i="40"/>
  <c r="AA39" i="40"/>
  <c r="Z39" i="40"/>
  <c r="Y39" i="40"/>
  <c r="X39" i="40"/>
  <c r="L39" i="40"/>
  <c r="AF38" i="40"/>
  <c r="AA38" i="40"/>
  <c r="Z38" i="40"/>
  <c r="Y38" i="40"/>
  <c r="X38" i="40"/>
  <c r="L38" i="40"/>
  <c r="AA37" i="40"/>
  <c r="Z37" i="40"/>
  <c r="Y37" i="40"/>
  <c r="X37" i="40"/>
  <c r="L37" i="40"/>
  <c r="AF36" i="40"/>
  <c r="AA36" i="40"/>
  <c r="Z36" i="40"/>
  <c r="Y36" i="40"/>
  <c r="X36" i="40"/>
  <c r="L36" i="40"/>
  <c r="AA35" i="40"/>
  <c r="Z35" i="40"/>
  <c r="Y35" i="40"/>
  <c r="X35" i="40"/>
  <c r="L35" i="40"/>
  <c r="AF34" i="40"/>
  <c r="AA34" i="40"/>
  <c r="Z34" i="40"/>
  <c r="Y34" i="40"/>
  <c r="X34" i="40"/>
  <c r="L34" i="40"/>
  <c r="AA33" i="40"/>
  <c r="Z33" i="40"/>
  <c r="Y33" i="40"/>
  <c r="X33" i="40"/>
  <c r="L33" i="40"/>
  <c r="AF32" i="40"/>
  <c r="AA32" i="40"/>
  <c r="Z32" i="40"/>
  <c r="Y32" i="40"/>
  <c r="X32" i="40"/>
  <c r="L32" i="40"/>
  <c r="AA31" i="40"/>
  <c r="Z31" i="40"/>
  <c r="Y31" i="40"/>
  <c r="X31" i="40"/>
  <c r="L31" i="40"/>
  <c r="AF30" i="40"/>
  <c r="AA30" i="40"/>
  <c r="Z30" i="40"/>
  <c r="Y30" i="40"/>
  <c r="X30" i="40"/>
  <c r="L30" i="40"/>
  <c r="AA29" i="40"/>
  <c r="Z29" i="40"/>
  <c r="Y29" i="40"/>
  <c r="X29" i="40"/>
  <c r="L29" i="40"/>
  <c r="Z11" i="40"/>
  <c r="AA11" i="40"/>
  <c r="AF28" i="40"/>
  <c r="AA28" i="40"/>
  <c r="Z28" i="40"/>
  <c r="Y28" i="40"/>
  <c r="X28" i="40"/>
  <c r="L28" i="40"/>
  <c r="AA27" i="40"/>
  <c r="Z27" i="40"/>
  <c r="Y27" i="40"/>
  <c r="X27" i="40"/>
  <c r="L27" i="40"/>
  <c r="Z9" i="40"/>
  <c r="AF26" i="40"/>
  <c r="AA26" i="40"/>
  <c r="Z26" i="40"/>
  <c r="Y26" i="40"/>
  <c r="X26" i="40"/>
  <c r="L26" i="40"/>
  <c r="AA25" i="40"/>
  <c r="Z25" i="40"/>
  <c r="Y25" i="40"/>
  <c r="X25" i="40"/>
  <c r="L25" i="40"/>
  <c r="Z10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7" i="40"/>
  <c r="AA10" i="40"/>
  <c r="AA12" i="40"/>
  <c r="AA13" i="40"/>
  <c r="AA14" i="40"/>
  <c r="AA15" i="40"/>
  <c r="AA16" i="40"/>
  <c r="AA17" i="40"/>
  <c r="AA18" i="40"/>
  <c r="AA19" i="40"/>
  <c r="AA20" i="40"/>
  <c r="AA21" i="40"/>
  <c r="AA22" i="40"/>
  <c r="AA23" i="40"/>
  <c r="AA24" i="40"/>
  <c r="AA7" i="40"/>
  <c r="AF24" i="40"/>
  <c r="Y24" i="40"/>
  <c r="X24" i="40"/>
  <c r="L24" i="40"/>
  <c r="Y23" i="40"/>
  <c r="X23" i="40"/>
  <c r="L23" i="40"/>
  <c r="AF22" i="40"/>
  <c r="Y22" i="40"/>
  <c r="X22" i="40"/>
  <c r="L22" i="40"/>
  <c r="Y21" i="40"/>
  <c r="X21" i="40"/>
  <c r="L21" i="40"/>
  <c r="AF20" i="40"/>
  <c r="Y20" i="40"/>
  <c r="X20" i="40"/>
  <c r="L20" i="40"/>
  <c r="Y19" i="40"/>
  <c r="X19" i="40"/>
  <c r="L19" i="40"/>
  <c r="AI16" i="40"/>
  <c r="AK16" i="40"/>
  <c r="AK17" i="40"/>
  <c r="AK18" i="40"/>
  <c r="AF18" i="40"/>
  <c r="Y18" i="40"/>
  <c r="X18" i="40"/>
  <c r="L18" i="40"/>
  <c r="Y17" i="40"/>
  <c r="X17" i="40"/>
  <c r="L17" i="40"/>
  <c r="X7" i="40"/>
  <c r="Y7" i="40"/>
  <c r="AF16" i="40"/>
  <c r="Y16" i="40"/>
  <c r="X16" i="40"/>
  <c r="L16" i="40"/>
  <c r="Y15" i="40"/>
  <c r="X15" i="40"/>
  <c r="L15" i="40"/>
  <c r="AF14" i="40"/>
  <c r="Y14" i="40"/>
  <c r="X14" i="40"/>
  <c r="L14" i="40"/>
  <c r="Y13" i="40"/>
  <c r="X13" i="40"/>
  <c r="L13" i="40"/>
  <c r="V7" i="40"/>
  <c r="AI5" i="40"/>
  <c r="AK5" i="40"/>
  <c r="W7" i="40"/>
  <c r="AI6" i="40"/>
  <c r="AK6" i="40"/>
  <c r="AI7" i="40"/>
  <c r="AK7" i="40"/>
  <c r="AI8" i="40"/>
  <c r="AK8" i="40"/>
  <c r="Z5" i="40"/>
  <c r="AI9" i="40"/>
  <c r="AK9" i="40"/>
  <c r="AI10" i="40"/>
  <c r="AK10" i="40"/>
  <c r="AI11" i="40"/>
  <c r="AK11" i="40"/>
  <c r="AK12" i="40"/>
  <c r="AF12" i="40"/>
  <c r="Y12" i="40"/>
  <c r="X12" i="40"/>
  <c r="L12" i="40"/>
  <c r="Y11" i="40"/>
  <c r="X11" i="40"/>
  <c r="L11" i="40"/>
  <c r="AF10" i="40"/>
  <c r="Y10" i="40"/>
  <c r="X10" i="40"/>
  <c r="L10" i="40"/>
  <c r="AB9" i="40"/>
  <c r="X9" i="40"/>
  <c r="V9" i="40"/>
  <c r="M9" i="40"/>
  <c r="L9" i="40"/>
  <c r="AF8" i="40"/>
  <c r="AC7" i="40"/>
  <c r="AB7" i="40"/>
  <c r="U7" i="40"/>
  <c r="T7" i="40"/>
  <c r="S7" i="40"/>
  <c r="R7" i="40"/>
  <c r="Q7" i="40"/>
  <c r="P7" i="40"/>
  <c r="AF6" i="40"/>
  <c r="D6" i="40"/>
  <c r="AB5" i="40"/>
  <c r="X5" i="40"/>
  <c r="V5" i="40"/>
  <c r="AF4" i="40"/>
  <c r="C10" i="38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M1" i="13"/>
  <c r="N2" i="13"/>
  <c r="N14" i="13"/>
  <c r="N13" i="13"/>
  <c r="N12" i="13"/>
  <c r="N11" i="13"/>
  <c r="N10" i="13"/>
  <c r="N3" i="13"/>
  <c r="N9" i="13"/>
  <c r="N8" i="13"/>
  <c r="N7" i="13"/>
  <c r="N6" i="13"/>
  <c r="N5" i="13"/>
  <c r="N4" i="13"/>
  <c r="H10" i="38"/>
  <c r="O9" i="38"/>
  <c r="O10" i="38"/>
  <c r="P9" i="38"/>
  <c r="P10" i="38"/>
  <c r="AA10" i="38"/>
  <c r="Q9" i="38"/>
  <c r="Q10" i="38"/>
  <c r="AB10" i="38"/>
  <c r="H11" i="38"/>
  <c r="O11" i="38"/>
  <c r="P11" i="38"/>
  <c r="R9" i="38"/>
  <c r="R11" i="38"/>
  <c r="S9" i="38"/>
  <c r="S11" i="38"/>
  <c r="AA11" i="38"/>
  <c r="Q11" i="38"/>
  <c r="T9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B10" i="38"/>
  <c r="B11" i="38"/>
  <c r="B12" i="38"/>
  <c r="B13" i="38"/>
  <c r="C41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AA5" i="38"/>
  <c r="D41" i="38"/>
  <c r="E41" i="38"/>
  <c r="C6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X7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8" i="38"/>
  <c r="AJ8" i="38"/>
  <c r="Y5" i="38"/>
  <c r="AH9" i="38"/>
  <c r="AJ9" i="38"/>
  <c r="AH11" i="38"/>
  <c r="AJ11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U5" i="38"/>
  <c r="W41" i="38"/>
  <c r="X41" i="38"/>
  <c r="Y41" i="38"/>
  <c r="Z41" i="38"/>
  <c r="W7" i="38"/>
  <c r="W5" i="38"/>
  <c r="AH7" i="38"/>
  <c r="AJ7" i="38"/>
  <c r="AH10" i="38"/>
  <c r="AJ10" i="38"/>
  <c r="AJ12" i="38"/>
  <c r="AE16" i="38"/>
  <c r="Y41" i="40"/>
  <c r="Z41" i="40"/>
  <c r="AA41" i="40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<sst xmlns="http://schemas.openxmlformats.org/spreadsheetml/2006/main" count="294" uniqueCount="139">
  <si>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</si>
  <si>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</si>
  <si>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</si>
  <si>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</si>
  <si>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</si>
  <si>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</si>
  <si>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</si>
  <si>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</si>
  <si>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</si>
  <si>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</si>
  <si>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</si>
  <si>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</si>
  <si>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</si>
  <si>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</si>
  <si>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</si>
  <si>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</si>
  <si>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</si>
  <si>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</si>
  <si>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</si>
  <si>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</si>
  <si>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</si>
  <si>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</si>
  <si>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</si>
  <si>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</si>
  <si>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</si>
  <si>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</si>
  <si>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</si>
  <si>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</si>
  <si>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</si>
  <si>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</si>
  <si>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</si>
  <si>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</si>
  <si>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</si>
  <si>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</si>
  <si>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</si>
  <si>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</si>
  <si>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</si>
  <si>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</si>
  <si>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</si>
  <si>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</si>
  <si>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</si>
  <si>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</si>
  <si>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</si>
  <si>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</si>
  <si>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</si>
  <si>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</si>
  <si>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</si>
  <si>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</si>
  <si>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</si>
  <si>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</si>
  <si>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</si>
  <si>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</si>
  <si>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</si>
  <si>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</si>
  <si>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</si>
  <si>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</si>
  <si>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</si>
  <si>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</si>
  <si>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</si>
  <si>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</si>
  <si>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</si>
  <si>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</si>
  <si>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</si>
  <si>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</si>
  <si>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</si>
  <si>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</si>
  <si>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</si>
  <si>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</si>
  <si>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</si>
  <si>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</si>
  <si>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</si>
  <si>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</si>
  <si>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</si>
  <si>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</si>
  <si>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</si>
  <si>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</si>
  <si>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</si>
  <si>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</si>
  <si>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</si>
  <si>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</si>
  <si>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</si>
  <si>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</si>
  <si>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</si>
  <si>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</si>
  <si>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</si>
  <si>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</si>
  <si>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</si>
  <si>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</si>
  <si>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</si>
  <si>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</si>
  <si>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</si>
  <si>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</si>
  <si>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</si>
  <si>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</si>
  <si>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</si>
  <si>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</si>
  <si>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</si>
  <si>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</si>
  <si>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</si>
  <si>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</si>
  <si>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</si>
  <si>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</si>
  <si>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</si>
  <si>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</si>
  <si>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</si>
  <si>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</si>
  <si>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</si>
  <si>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</si>
  <si>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</si>
  <si>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</si>
  <si>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</si>
  <si>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</si>
  <si>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</si>
  <si>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</si>
  <si>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</si>
  <si>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</si>
  <si>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</si>
  <si>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</si>
  <si>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</si>
  <si>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</si>
  <si>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</si>
  <si>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</si>
  <si>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</si>
  <si>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</si>
  <si>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</si>
  <si>
    <t>http://forum.excel-pratique.com/excel/aidez-moi-a-comprendre-son-tableur-svp-t70268.html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</si>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</sst>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[$-F800]dddd\,\ mmmm\ dd\,\ yyyy;\-0;;@"/>
  </numFmts>
  <fonts count="6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  <font>
      <sz val="12"/>
      <color theme="0"/>
      <name val="Calibri"/>
      <family val="2"/>
      <scheme val="minor"/>
    </font>
    <font>
      <sz val="20"/>
      <color rgb="FF92D050"/>
      <name val="Calibri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indexed="1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</fills>
  <borders count="244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/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 style="thin">
        <color theme="1"/>
      </left>
      <right/>
      <top style="hair">
        <color theme="1"/>
      </top>
      <bottom style="medium">
        <color theme="1"/>
      </bottom>
      <diagonal/>
    </border>
    <border>
      <left/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hair">
        <color rgb="FF0087E8"/>
      </top>
      <bottom style="hair">
        <color rgb="FF0087E8"/>
      </bottom>
      <diagonal/>
    </border>
    <border>
      <left style="medium">
        <color theme="1"/>
      </left>
      <right style="thin">
        <color rgb="FF0087E8"/>
      </right>
      <top/>
      <bottom style="medium">
        <color theme="1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theme="1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theme="1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theme="1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theme="1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theme="1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thin">
        <color rgb="FF0087E8"/>
      </left>
      <right style="thin">
        <color rgb="FF0087E8"/>
      </right>
      <top style="medium">
        <color theme="1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theme="1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medium">
        <color theme="1"/>
      </top>
      <bottom style="hair">
        <color rgb="FF0087E8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0" tint="-4.9989318521683403E-2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0" tint="-4.9989318521683403E-2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0" tint="-4.9989318521683403E-2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medium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medium">
        <color theme="1"/>
      </bottom>
      <diagonal/>
    </border>
  </borders>
  <cellStyleXfs count="24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537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  <xf numFmtId="0" fontId="22" fillId="6" borderId="0" xfId="23" applyFill="1"/>
    <xf numFmtId="172" fontId="0" fillId="25" borderId="164" xfId="0" applyNumberFormat="1" applyFill="1" applyBorder="1"/>
    <xf numFmtId="0" fontId="0" fillId="0" borderId="0" xfId="0" applyAlignment="1">
      <alignment horizontal="center"/>
    </xf>
    <xf numFmtId="173" fontId="2" fillId="0" borderId="4" xfId="0" applyNumberFormat="1" applyFont="1" applyFill="1" applyBorder="1" applyAlignment="1">
      <alignment horizontal="center" vertical="center"/>
    </xf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0" fontId="33" fillId="26" borderId="7" xfId="0" applyFont="1" applyFill="1" applyBorder="1" applyAlignment="1">
      <alignment vertical="center"/>
    </xf>
    <xf numFmtId="0" fontId="52" fillId="26" borderId="0" xfId="0" applyFont="1" applyFill="1" applyBorder="1" applyAlignment="1">
      <alignment horizontal="center"/>
    </xf>
    <xf numFmtId="0" fontId="28" fillId="26" borderId="7" xfId="0" applyFont="1" applyFill="1" applyBorder="1" applyAlignment="1">
      <alignment vertical="center"/>
    </xf>
    <xf numFmtId="164" fontId="47" fillId="26" borderId="0" xfId="0" applyNumberFormat="1" applyFont="1" applyFill="1" applyBorder="1" applyAlignment="1">
      <alignment horizontal="center" vertical="center"/>
    </xf>
    <xf numFmtId="0" fontId="0" fillId="26" borderId="0" xfId="0" applyFill="1"/>
    <xf numFmtId="0" fontId="21" fillId="26" borderId="0" xfId="0" applyFont="1" applyFill="1" applyBorder="1" applyAlignment="1">
      <alignment vertical="center"/>
    </xf>
    <xf numFmtId="0" fontId="14" fillId="26" borderId="0" xfId="0" applyFont="1" applyFill="1" applyBorder="1" applyAlignment="1">
      <alignment vertical="center"/>
    </xf>
    <xf numFmtId="0" fontId="33" fillId="26" borderId="0" xfId="0" applyFont="1" applyFill="1" applyBorder="1" applyAlignment="1">
      <alignment vertical="center"/>
    </xf>
    <xf numFmtId="0" fontId="20" fillId="26" borderId="0" xfId="0" applyFont="1" applyFill="1" applyBorder="1" applyAlignment="1">
      <alignment vertical="center"/>
    </xf>
    <xf numFmtId="0" fontId="13" fillId="26" borderId="0" xfId="0" applyFont="1" applyFill="1" applyBorder="1" applyAlignment="1">
      <alignment horizontal="center" vertical="center"/>
    </xf>
    <xf numFmtId="0" fontId="53" fillId="26" borderId="0" xfId="0" applyFont="1" applyFill="1" applyBorder="1" applyAlignment="1">
      <alignment horizontal="center" vertical="center"/>
    </xf>
    <xf numFmtId="0" fontId="38" fillId="26" borderId="0" xfId="0" applyFont="1" applyFill="1"/>
    <xf numFmtId="0" fontId="29" fillId="27" borderId="0" xfId="0" applyFont="1" applyFill="1" applyBorder="1" applyAlignment="1">
      <alignment horizontal="center"/>
    </xf>
    <xf numFmtId="0" fontId="9" fillId="26" borderId="0" xfId="0" applyFont="1" applyFill="1" applyBorder="1" applyAlignment="1">
      <alignment horizontal="center" vertical="center"/>
    </xf>
    <xf numFmtId="0" fontId="35" fillId="26" borderId="0" xfId="0" applyFont="1" applyFill="1" applyBorder="1" applyAlignment="1">
      <alignment vertical="center"/>
    </xf>
    <xf numFmtId="0" fontId="0" fillId="26" borderId="0" xfId="0" applyFill="1" applyAlignment="1">
      <alignment horizontal="center" vertical="center"/>
    </xf>
    <xf numFmtId="0" fontId="0" fillId="26" borderId="0" xfId="0" applyNumberFormat="1" applyFill="1" applyAlignment="1">
      <alignment horizontal="center" vertical="center"/>
    </xf>
    <xf numFmtId="0" fontId="0" fillId="26" borderId="0" xfId="0" applyFill="1" applyBorder="1" applyAlignment="1">
      <alignment horizontal="center" vertical="center"/>
    </xf>
    <xf numFmtId="0" fontId="0" fillId="26" borderId="0" xfId="0" applyFill="1" applyBorder="1" applyAlignment="1">
      <alignment vertical="center"/>
    </xf>
    <xf numFmtId="49" fontId="34" fillId="26" borderId="0" xfId="0" applyNumberFormat="1" applyFont="1" applyFill="1" applyBorder="1" applyAlignment="1">
      <alignment horizontal="center" vertical="center"/>
    </xf>
    <xf numFmtId="0" fontId="0" fillId="26" borderId="0" xfId="0" applyFill="1" applyBorder="1" applyAlignment="1"/>
    <xf numFmtId="0" fontId="0" fillId="26" borderId="0" xfId="0" applyFill="1" applyBorder="1"/>
    <xf numFmtId="0" fontId="22" fillId="26" borderId="0" xfId="23" applyFill="1"/>
    <xf numFmtId="0" fontId="5" fillId="26" borderId="0" xfId="0" applyFont="1" applyFill="1" applyAlignment="1">
      <alignment vertical="center"/>
    </xf>
    <xf numFmtId="0" fontId="2" fillId="26" borderId="0" xfId="0" applyFont="1" applyFill="1" applyBorder="1"/>
    <xf numFmtId="0" fontId="0" fillId="26" borderId="0" xfId="0" applyFill="1" applyAlignment="1">
      <alignment vertical="center"/>
    </xf>
    <xf numFmtId="0" fontId="42" fillId="26" borderId="0" xfId="0" applyFont="1" applyFill="1" applyBorder="1" applyAlignment="1">
      <alignment vertical="center"/>
    </xf>
    <xf numFmtId="167" fontId="46" fillId="26" borderId="0" xfId="0" applyNumberFormat="1" applyFont="1" applyFill="1" applyBorder="1" applyAlignment="1">
      <alignment horizontal="center" vertical="center"/>
    </xf>
    <xf numFmtId="0" fontId="2" fillId="26" borderId="0" xfId="0" applyFont="1" applyFill="1" applyBorder="1" applyAlignment="1">
      <alignment horizontal="center"/>
    </xf>
    <xf numFmtId="0" fontId="5" fillId="26" borderId="0" xfId="0" applyFont="1" applyFill="1" applyBorder="1" applyAlignment="1">
      <alignment horizontal="center"/>
    </xf>
    <xf numFmtId="0" fontId="5" fillId="26" borderId="0" xfId="0" applyFont="1" applyFill="1" applyBorder="1" applyAlignment="1">
      <alignment vertical="center"/>
    </xf>
    <xf numFmtId="0" fontId="42" fillId="27" borderId="0" xfId="0" applyFont="1" applyFill="1" applyBorder="1" applyAlignment="1">
      <alignment vertical="center"/>
    </xf>
    <xf numFmtId="0" fontId="10" fillId="26" borderId="0" xfId="0" applyFont="1" applyFill="1"/>
    <xf numFmtId="20" fontId="53" fillId="17" borderId="168" xfId="0" applyNumberFormat="1" applyFont="1" applyFill="1" applyBorder="1" applyAlignment="1">
      <alignment horizontal="center" vertical="center"/>
    </xf>
    <xf numFmtId="20" fontId="53" fillId="17" borderId="169" xfId="0" applyNumberFormat="1" applyFont="1" applyFill="1" applyBorder="1" applyAlignment="1">
      <alignment horizontal="center" vertical="center"/>
    </xf>
    <xf numFmtId="0" fontId="13" fillId="17" borderId="172" xfId="0" applyFont="1" applyFill="1" applyBorder="1" applyAlignment="1">
      <alignment horizontal="center" vertical="center"/>
    </xf>
    <xf numFmtId="0" fontId="13" fillId="17" borderId="166" xfId="0" applyFont="1" applyFill="1" applyBorder="1" applyAlignment="1">
      <alignment horizontal="center" vertical="center"/>
    </xf>
    <xf numFmtId="0" fontId="57" fillId="17" borderId="175" xfId="0" applyFont="1" applyFill="1" applyBorder="1" applyAlignment="1">
      <alignment horizontal="center" vertical="center"/>
    </xf>
    <xf numFmtId="164" fontId="2" fillId="0" borderId="73" xfId="0" applyNumberFormat="1" applyFont="1" applyBorder="1" applyAlignment="1">
      <alignment horizontal="center" vertical="center"/>
    </xf>
    <xf numFmtId="164" fontId="2" fillId="0" borderId="176" xfId="0" applyNumberFormat="1" applyFont="1" applyBorder="1" applyAlignment="1">
      <alignment horizontal="center" vertical="center"/>
    </xf>
    <xf numFmtId="164" fontId="2" fillId="0" borderId="178" xfId="0" applyNumberFormat="1" applyFont="1" applyBorder="1" applyAlignment="1">
      <alignment horizontal="center" vertical="center"/>
    </xf>
    <xf numFmtId="173" fontId="2" fillId="0" borderId="179" xfId="0" applyNumberFormat="1" applyFont="1" applyFill="1" applyBorder="1" applyAlignment="1">
      <alignment horizontal="center" vertical="center"/>
    </xf>
    <xf numFmtId="164" fontId="2" fillId="5" borderId="180" xfId="0" applyNumberFormat="1" applyFont="1" applyFill="1" applyBorder="1" applyAlignment="1">
      <alignment horizontal="center" vertical="center"/>
    </xf>
    <xf numFmtId="169" fontId="2" fillId="0" borderId="180" xfId="0" applyNumberFormat="1" applyFont="1" applyBorder="1" applyAlignment="1">
      <alignment horizontal="center" vertical="center"/>
    </xf>
    <xf numFmtId="170" fontId="24" fillId="7" borderId="180" xfId="0" applyNumberFormat="1" applyFont="1" applyFill="1" applyBorder="1" applyAlignment="1">
      <alignment horizontal="center" vertical="center"/>
    </xf>
    <xf numFmtId="171" fontId="50" fillId="8" borderId="181" xfId="0" applyNumberFormat="1" applyFont="1" applyFill="1" applyBorder="1" applyAlignment="1">
      <alignment horizontal="center" vertical="center"/>
    </xf>
    <xf numFmtId="169" fontId="50" fillId="8" borderId="182" xfId="0" applyNumberFormat="1" applyFont="1" applyFill="1" applyBorder="1" applyAlignment="1">
      <alignment horizontal="center" vertical="center"/>
    </xf>
    <xf numFmtId="0" fontId="2" fillId="8" borderId="183" xfId="0" applyNumberFormat="1" applyFont="1" applyFill="1" applyBorder="1" applyAlignment="1">
      <alignment horizontal="center" vertical="center"/>
    </xf>
    <xf numFmtId="171" fontId="2" fillId="8" borderId="184" xfId="0" applyNumberFormat="1" applyFont="1" applyFill="1" applyBorder="1" applyAlignment="1">
      <alignment horizontal="center" vertical="center"/>
    </xf>
    <xf numFmtId="170" fontId="19" fillId="16" borderId="185" xfId="4" applyNumberFormat="1" applyFont="1" applyFill="1" applyBorder="1" applyAlignment="1">
      <alignment horizontal="center" vertical="center"/>
    </xf>
    <xf numFmtId="0" fontId="5" fillId="5" borderId="186" xfId="0" applyFont="1" applyFill="1" applyBorder="1" applyAlignment="1">
      <alignment horizontal="center" vertical="center"/>
    </xf>
    <xf numFmtId="0" fontId="16" fillId="12" borderId="189" xfId="0" applyFont="1" applyFill="1" applyBorder="1" applyAlignment="1">
      <alignment horizontal="center" vertical="center"/>
    </xf>
    <xf numFmtId="0" fontId="16" fillId="12" borderId="190" xfId="0" applyFont="1" applyFill="1" applyBorder="1" applyAlignment="1">
      <alignment horizontal="center" vertical="center"/>
    </xf>
    <xf numFmtId="0" fontId="27" fillId="12" borderId="190" xfId="0" applyFont="1" applyFill="1" applyBorder="1" applyAlignment="1">
      <alignment horizontal="center" vertical="center"/>
    </xf>
    <xf numFmtId="0" fontId="16" fillId="12" borderId="191" xfId="0" applyFont="1" applyFill="1" applyBorder="1" applyAlignment="1">
      <alignment horizontal="center" vertical="center"/>
    </xf>
    <xf numFmtId="165" fontId="1" fillId="17" borderId="197" xfId="0" applyNumberFormat="1" applyFont="1" applyFill="1" applyBorder="1" applyAlignment="1">
      <alignment horizontal="center" vertical="center"/>
    </xf>
    <xf numFmtId="0" fontId="30" fillId="22" borderId="198" xfId="0" applyFont="1" applyFill="1" applyBorder="1" applyAlignment="1">
      <alignment horizontal="center" vertical="center"/>
    </xf>
    <xf numFmtId="0" fontId="30" fillId="22" borderId="199" xfId="0" applyFont="1" applyFill="1" applyBorder="1" applyAlignment="1">
      <alignment horizontal="center" vertical="center"/>
    </xf>
    <xf numFmtId="0" fontId="30" fillId="22" borderId="200" xfId="0" applyFont="1" applyFill="1" applyBorder="1" applyAlignment="1">
      <alignment horizontal="center" vertical="center"/>
    </xf>
    <xf numFmtId="0" fontId="6" fillId="17" borderId="201" xfId="0" applyFont="1" applyFill="1" applyBorder="1" applyAlignment="1">
      <alignment horizontal="center" vertical="center"/>
    </xf>
    <xf numFmtId="0" fontId="6" fillId="17" borderId="202" xfId="0" applyFont="1" applyFill="1" applyBorder="1" applyAlignment="1">
      <alignment horizontal="center" vertical="center"/>
    </xf>
    <xf numFmtId="0" fontId="6" fillId="17" borderId="202" xfId="0" applyNumberFormat="1" applyFont="1" applyFill="1" applyBorder="1" applyAlignment="1">
      <alignment horizontal="center" vertical="center"/>
    </xf>
    <xf numFmtId="0" fontId="15" fillId="6" borderId="204" xfId="0" applyFont="1" applyFill="1" applyBorder="1" applyAlignment="1">
      <alignment horizontal="center" vertical="center"/>
    </xf>
    <xf numFmtId="0" fontId="6" fillId="17" borderId="205" xfId="0" applyFont="1" applyFill="1" applyBorder="1" applyAlignment="1">
      <alignment horizontal="center" vertical="center"/>
    </xf>
    <xf numFmtId="0" fontId="6" fillId="17" borderId="206" xfId="0" applyFont="1" applyFill="1" applyBorder="1" applyAlignment="1">
      <alignment horizontal="center" vertical="center"/>
    </xf>
    <xf numFmtId="0" fontId="6" fillId="17" borderId="207" xfId="0" applyFont="1" applyFill="1" applyBorder="1" applyAlignment="1">
      <alignment horizontal="center" vertical="center"/>
    </xf>
    <xf numFmtId="0" fontId="30" fillId="22" borderId="208" xfId="0" applyFont="1" applyFill="1" applyBorder="1" applyAlignment="1">
      <alignment horizontal="center" vertical="center"/>
    </xf>
    <xf numFmtId="0" fontId="6" fillId="17" borderId="209" xfId="0" applyFont="1" applyFill="1" applyBorder="1" applyAlignment="1">
      <alignment horizontal="center" vertical="center"/>
    </xf>
    <xf numFmtId="0" fontId="26" fillId="17" borderId="189" xfId="0" applyFont="1" applyFill="1" applyBorder="1" applyAlignment="1">
      <alignment horizontal="center" vertical="center"/>
    </xf>
    <xf numFmtId="0" fontId="26" fillId="17" borderId="190" xfId="0" applyFont="1" applyFill="1" applyBorder="1" applyAlignment="1">
      <alignment horizontal="center" vertical="center"/>
    </xf>
    <xf numFmtId="0" fontId="4" fillId="17" borderId="76" xfId="0" applyNumberFormat="1" applyFont="1" applyFill="1" applyBorder="1" applyAlignment="1">
      <alignment horizontal="center" vertical="center"/>
    </xf>
    <xf numFmtId="0" fontId="59" fillId="17" borderId="171" xfId="0" applyNumberFormat="1" applyFont="1" applyFill="1" applyBorder="1" applyAlignment="1">
      <alignment horizontal="center" vertical="center"/>
    </xf>
    <xf numFmtId="0" fontId="59" fillId="17" borderId="173" xfId="0" applyNumberFormat="1" applyFont="1" applyFill="1" applyBorder="1" applyAlignment="1">
      <alignment horizontal="center" vertical="center"/>
    </xf>
    <xf numFmtId="0" fontId="59" fillId="17" borderId="174" xfId="0" applyNumberFormat="1" applyFont="1" applyFill="1" applyBorder="1" applyAlignment="1">
      <alignment horizontal="center" vertical="center"/>
    </xf>
    <xf numFmtId="0" fontId="20" fillId="12" borderId="189" xfId="0" applyFont="1" applyFill="1" applyBorder="1" applyAlignment="1">
      <alignment horizontal="center" vertical="center"/>
    </xf>
    <xf numFmtId="0" fontId="20" fillId="12" borderId="190" xfId="0" applyFont="1" applyFill="1" applyBorder="1" applyAlignment="1">
      <alignment horizontal="center" vertical="center"/>
    </xf>
    <xf numFmtId="0" fontId="20" fillId="12" borderId="191" xfId="0" applyFont="1" applyFill="1" applyBorder="1" applyAlignment="1">
      <alignment horizontal="center" vertical="center"/>
    </xf>
    <xf numFmtId="0" fontId="53" fillId="17" borderId="192" xfId="0" applyFont="1" applyFill="1" applyBorder="1" applyAlignment="1">
      <alignment horizontal="center" vertical="center"/>
    </xf>
    <xf numFmtId="0" fontId="53" fillId="17" borderId="165" xfId="0" applyFont="1" applyFill="1" applyBorder="1" applyAlignment="1">
      <alignment horizontal="center" vertical="center"/>
    </xf>
    <xf numFmtId="0" fontId="53" fillId="17" borderId="193" xfId="0" applyFont="1" applyFill="1" applyBorder="1" applyAlignment="1">
      <alignment horizontal="center" vertical="center"/>
    </xf>
    <xf numFmtId="0" fontId="20" fillId="17" borderId="192" xfId="0" applyFont="1" applyFill="1" applyBorder="1" applyAlignment="1">
      <alignment horizontal="center" vertical="center"/>
    </xf>
    <xf numFmtId="0" fontId="20" fillId="17" borderId="165" xfId="0" applyFont="1" applyFill="1" applyBorder="1" applyAlignment="1">
      <alignment horizontal="center" vertical="center"/>
    </xf>
    <xf numFmtId="0" fontId="26" fillId="17" borderId="165" xfId="0" applyFont="1" applyFill="1" applyBorder="1" applyAlignment="1">
      <alignment horizontal="center" vertical="center"/>
    </xf>
    <xf numFmtId="0" fontId="20" fillId="17" borderId="193" xfId="0" applyFont="1" applyFill="1" applyBorder="1" applyAlignment="1">
      <alignment horizontal="center" vertical="center"/>
    </xf>
    <xf numFmtId="0" fontId="20" fillId="17" borderId="165" xfId="0" applyFont="1" applyFill="1" applyBorder="1" applyAlignment="1">
      <alignment horizontal="center" vertical="center"/>
    </xf>
    <xf numFmtId="0" fontId="20" fillId="17" borderId="193" xfId="0" applyFont="1" applyFill="1" applyBorder="1" applyAlignment="1">
      <alignment horizontal="center" vertical="center"/>
    </xf>
    <xf numFmtId="0" fontId="26" fillId="17" borderId="165" xfId="0" applyFont="1" applyFill="1" applyBorder="1" applyAlignment="1">
      <alignment horizontal="center" vertical="center"/>
    </xf>
    <xf numFmtId="0" fontId="20" fillId="17" borderId="192" xfId="0" applyFont="1" applyFill="1" applyBorder="1" applyAlignment="1">
      <alignment horizontal="center" vertical="center"/>
    </xf>
    <xf numFmtId="0" fontId="4" fillId="17" borderId="165" xfId="0" applyFont="1" applyFill="1" applyBorder="1" applyAlignment="1">
      <alignment horizontal="center" vertical="center"/>
    </xf>
    <xf numFmtId="20" fontId="60" fillId="28" borderId="192" xfId="0" applyNumberFormat="1" applyFont="1" applyFill="1" applyBorder="1" applyAlignment="1">
      <alignment horizontal="center" vertical="center"/>
    </xf>
    <xf numFmtId="0" fontId="60" fillId="28" borderId="165" xfId="0" applyFont="1" applyFill="1" applyBorder="1" applyAlignment="1">
      <alignment horizontal="center" vertical="center"/>
    </xf>
    <xf numFmtId="20" fontId="60" fillId="28" borderId="165" xfId="0" applyNumberFormat="1" applyFont="1" applyFill="1" applyBorder="1" applyAlignment="1">
      <alignment horizontal="center" vertical="center"/>
    </xf>
    <xf numFmtId="0" fontId="60" fillId="28" borderId="193" xfId="0" applyFont="1" applyFill="1" applyBorder="1" applyAlignment="1">
      <alignment horizontal="center" vertical="center"/>
    </xf>
    <xf numFmtId="20" fontId="36" fillId="20" borderId="192" xfId="0" applyNumberFormat="1" applyFont="1" applyFill="1" applyBorder="1" applyAlignment="1">
      <alignment horizontal="center" vertical="center"/>
    </xf>
    <xf numFmtId="20" fontId="36" fillId="20" borderId="165" xfId="0" applyNumberFormat="1" applyFont="1" applyFill="1" applyBorder="1" applyAlignment="1">
      <alignment horizontal="center" vertical="center"/>
    </xf>
    <xf numFmtId="169" fontId="36" fillId="20" borderId="165" xfId="0" applyNumberFormat="1" applyFont="1" applyFill="1" applyBorder="1" applyAlignment="1">
      <alignment horizontal="center" vertical="center"/>
    </xf>
    <xf numFmtId="169" fontId="36" fillId="20" borderId="193" xfId="0" applyNumberFormat="1" applyFont="1" applyFill="1" applyBorder="1" applyAlignment="1">
      <alignment horizontal="center" vertical="center"/>
    </xf>
    <xf numFmtId="20" fontId="32" fillId="20" borderId="194" xfId="0" applyNumberFormat="1" applyFont="1" applyFill="1" applyBorder="1" applyAlignment="1">
      <alignment horizontal="center" vertical="center"/>
    </xf>
    <xf numFmtId="20" fontId="32" fillId="20" borderId="195" xfId="0" applyNumberFormat="1" applyFont="1" applyFill="1" applyBorder="1" applyAlignment="1">
      <alignment horizontal="center" vertical="center"/>
    </xf>
    <xf numFmtId="169" fontId="32" fillId="20" borderId="195" xfId="0" applyNumberFormat="1" applyFont="1" applyFill="1" applyBorder="1" applyAlignment="1">
      <alignment horizontal="center" vertical="center"/>
    </xf>
    <xf numFmtId="169" fontId="32" fillId="20" borderId="196" xfId="0" applyNumberFormat="1" applyFont="1" applyFill="1" applyBorder="1" applyAlignment="1">
      <alignment horizontal="center" vertical="center"/>
    </xf>
    <xf numFmtId="0" fontId="61" fillId="17" borderId="170" xfId="0" applyNumberFormat="1" applyFont="1" applyFill="1" applyBorder="1" applyAlignment="1">
      <alignment horizontal="center" vertical="center"/>
    </xf>
    <xf numFmtId="0" fontId="61" fillId="17" borderId="187" xfId="0" applyNumberFormat="1" applyFont="1" applyFill="1" applyBorder="1" applyAlignment="1">
      <alignment horizontal="center" vertical="center"/>
    </xf>
    <xf numFmtId="170" fontId="61" fillId="17" borderId="187" xfId="0" applyNumberFormat="1" applyFont="1" applyFill="1" applyBorder="1" applyAlignment="1">
      <alignment horizontal="center" vertical="center"/>
    </xf>
    <xf numFmtId="168" fontId="61" fillId="17" borderId="187" xfId="0" applyNumberFormat="1" applyFont="1" applyFill="1" applyBorder="1" applyAlignment="1">
      <alignment horizontal="center" vertical="center"/>
    </xf>
    <xf numFmtId="169" fontId="61" fillId="17" borderId="187" xfId="0" applyNumberFormat="1" applyFont="1" applyFill="1" applyBorder="1" applyAlignment="1">
      <alignment horizontal="center" vertical="center"/>
    </xf>
    <xf numFmtId="169" fontId="61" fillId="17" borderId="188" xfId="0" applyNumberFormat="1" applyFont="1" applyFill="1" applyBorder="1" applyAlignment="1">
      <alignment horizontal="center" vertical="center"/>
    </xf>
    <xf numFmtId="169" fontId="62" fillId="28" borderId="192" xfId="3" applyNumberFormat="1" applyFont="1" applyFill="1" applyBorder="1" applyAlignment="1">
      <alignment horizontal="center" vertical="center"/>
    </xf>
    <xf numFmtId="169" fontId="62" fillId="28" borderId="165" xfId="3" applyNumberFormat="1" applyFont="1" applyFill="1" applyBorder="1" applyAlignment="1">
      <alignment horizontal="center" vertical="center"/>
    </xf>
    <xf numFmtId="0" fontId="62" fillId="28" borderId="194" xfId="3" applyFont="1" applyFill="1" applyBorder="1" applyAlignment="1">
      <alignment horizontal="center" vertical="center"/>
    </xf>
    <xf numFmtId="0" fontId="62" fillId="28" borderId="195" xfId="3" applyFont="1" applyFill="1" applyBorder="1" applyAlignment="1">
      <alignment horizontal="center" vertical="center"/>
    </xf>
    <xf numFmtId="168" fontId="62" fillId="28" borderId="165" xfId="3" applyNumberFormat="1" applyFont="1" applyFill="1" applyBorder="1" applyAlignment="1">
      <alignment horizontal="center" vertical="center"/>
    </xf>
    <xf numFmtId="168" fontId="62" fillId="28" borderId="192" xfId="3" applyNumberFormat="1" applyFont="1" applyFill="1" applyBorder="1" applyAlignment="1">
      <alignment horizontal="center" vertical="center"/>
    </xf>
    <xf numFmtId="169" fontId="62" fillId="28" borderId="165" xfId="0" applyNumberFormat="1" applyFont="1" applyFill="1" applyBorder="1" applyAlignment="1">
      <alignment horizontal="center" vertical="center"/>
    </xf>
    <xf numFmtId="0" fontId="62" fillId="28" borderId="165" xfId="0" applyFont="1" applyFill="1" applyBorder="1" applyAlignment="1">
      <alignment horizontal="center" vertical="center"/>
    </xf>
    <xf numFmtId="169" fontId="62" fillId="28" borderId="193" xfId="3" applyNumberFormat="1" applyFont="1" applyFill="1" applyBorder="1" applyAlignment="1">
      <alignment horizontal="center" vertical="center"/>
    </xf>
    <xf numFmtId="0" fontId="62" fillId="28" borderId="196" xfId="3" applyFont="1" applyFill="1" applyBorder="1" applyAlignment="1">
      <alignment horizontal="center" vertical="center"/>
    </xf>
    <xf numFmtId="0" fontId="63" fillId="28" borderId="195" xfId="0" applyNumberFormat="1" applyFont="1" applyFill="1" applyBorder="1" applyAlignment="1">
      <alignment horizontal="center" vertical="center"/>
    </xf>
    <xf numFmtId="169" fontId="62" fillId="28" borderId="165" xfId="0" applyNumberFormat="1" applyFont="1" applyFill="1" applyBorder="1" applyAlignment="1">
      <alignment horizontal="center" vertical="center"/>
    </xf>
    <xf numFmtId="168" fontId="62" fillId="28" borderId="193" xfId="3" applyNumberFormat="1" applyFont="1" applyFill="1" applyBorder="1" applyAlignment="1">
      <alignment horizontal="center" vertical="center"/>
    </xf>
    <xf numFmtId="173" fontId="2" fillId="0" borderId="213" xfId="0" applyNumberFormat="1" applyFont="1" applyFill="1" applyBorder="1" applyAlignment="1">
      <alignment horizontal="center" vertical="center"/>
    </xf>
    <xf numFmtId="164" fontId="2" fillId="5" borderId="213" xfId="0" applyNumberFormat="1" applyFont="1" applyFill="1" applyBorder="1" applyAlignment="1">
      <alignment horizontal="center" vertical="center"/>
    </xf>
    <xf numFmtId="169" fontId="2" fillId="0" borderId="213" xfId="0" applyNumberFormat="1" applyFont="1" applyBorder="1" applyAlignment="1">
      <alignment horizontal="center" vertical="center"/>
    </xf>
    <xf numFmtId="170" fontId="24" fillId="7" borderId="213" xfId="0" applyNumberFormat="1" applyFont="1" applyFill="1" applyBorder="1" applyAlignment="1">
      <alignment horizontal="center" vertical="center"/>
    </xf>
    <xf numFmtId="171" fontId="50" fillId="8" borderId="214" xfId="0" applyNumberFormat="1" applyFont="1" applyFill="1" applyBorder="1" applyAlignment="1">
      <alignment horizontal="center" vertical="center"/>
    </xf>
    <xf numFmtId="169" fontId="50" fillId="8" borderId="215" xfId="0" applyNumberFormat="1" applyFont="1" applyFill="1" applyBorder="1" applyAlignment="1">
      <alignment horizontal="center" vertical="center"/>
    </xf>
    <xf numFmtId="0" fontId="2" fillId="8" borderId="216" xfId="0" applyNumberFormat="1" applyFont="1" applyFill="1" applyBorder="1" applyAlignment="1">
      <alignment horizontal="center" vertical="center"/>
    </xf>
    <xf numFmtId="171" fontId="2" fillId="8" borderId="217" xfId="0" applyNumberFormat="1" applyFont="1" applyFill="1" applyBorder="1" applyAlignment="1">
      <alignment horizontal="center" vertical="center"/>
    </xf>
    <xf numFmtId="170" fontId="19" fillId="16" borderId="218" xfId="4" applyNumberFormat="1" applyFont="1" applyFill="1" applyBorder="1" applyAlignment="1">
      <alignment horizontal="center" vertical="center"/>
    </xf>
    <xf numFmtId="0" fontId="5" fillId="5" borderId="219" xfId="0" applyFont="1" applyFill="1" applyBorder="1" applyAlignment="1">
      <alignment horizontal="center" vertical="center"/>
    </xf>
    <xf numFmtId="169" fontId="42" fillId="0" borderId="104" xfId="0" applyNumberFormat="1" applyFont="1" applyBorder="1" applyAlignment="1">
      <alignment horizontal="center" vertical="center"/>
    </xf>
    <xf numFmtId="0" fontId="49" fillId="5" borderId="111" xfId="0" applyFont="1" applyFill="1" applyBorder="1" applyAlignment="1">
      <alignment horizontal="center" vertical="center"/>
    </xf>
    <xf numFmtId="0" fontId="64" fillId="28" borderId="194" xfId="0" applyFont="1" applyFill="1" applyBorder="1" applyAlignment="1">
      <alignment horizontal="center" vertical="center"/>
    </xf>
    <xf numFmtId="169" fontId="64" fillId="28" borderId="195" xfId="0" applyNumberFormat="1" applyFont="1" applyFill="1" applyBorder="1" applyAlignment="1">
      <alignment horizontal="center" vertical="center"/>
    </xf>
    <xf numFmtId="0" fontId="48" fillId="17" borderId="167" xfId="0" applyNumberFormat="1" applyFont="1" applyFill="1" applyBorder="1" applyAlignment="1">
      <alignment horizontal="center" vertical="center"/>
    </xf>
    <xf numFmtId="0" fontId="6" fillId="17" borderId="167" xfId="0" applyFont="1" applyFill="1" applyBorder="1" applyAlignment="1">
      <alignment horizontal="center" vertical="center"/>
    </xf>
    <xf numFmtId="0" fontId="3" fillId="17" borderId="220" xfId="0" applyFont="1" applyFill="1" applyBorder="1" applyAlignment="1">
      <alignment horizontal="center" vertical="center"/>
    </xf>
    <xf numFmtId="0" fontId="3" fillId="17" borderId="221" xfId="0" applyFont="1" applyFill="1" applyBorder="1" applyAlignment="1">
      <alignment horizontal="center" vertical="center"/>
    </xf>
    <xf numFmtId="0" fontId="3" fillId="17" borderId="222" xfId="0" applyFont="1" applyFill="1" applyBorder="1" applyAlignment="1">
      <alignment horizontal="center" vertical="center"/>
    </xf>
    <xf numFmtId="170" fontId="62" fillId="28" borderId="238" xfId="4" applyNumberFormat="1" applyFont="1" applyFill="1" applyBorder="1" applyAlignment="1">
      <alignment horizontal="center" vertical="center"/>
    </xf>
    <xf numFmtId="170" fontId="62" fillId="28" borderId="239" xfId="4" applyNumberFormat="1" applyFont="1" applyFill="1" applyBorder="1" applyAlignment="1">
      <alignment horizontal="center" vertical="center"/>
    </xf>
    <xf numFmtId="170" fontId="62" fillId="28" borderId="240" xfId="4" applyNumberFormat="1" applyFont="1" applyFill="1" applyBorder="1" applyAlignment="1">
      <alignment horizontal="center" vertical="center"/>
    </xf>
    <xf numFmtId="170" fontId="62" fillId="28" borderId="241" xfId="4" applyNumberFormat="1" applyFont="1" applyFill="1" applyBorder="1" applyAlignment="1">
      <alignment horizontal="center" vertical="center"/>
    </xf>
    <xf numFmtId="170" fontId="62" fillId="28" borderId="242" xfId="4" applyNumberFormat="1" applyFont="1" applyFill="1" applyBorder="1" applyAlignment="1">
      <alignment horizontal="center" vertical="center"/>
    </xf>
    <xf numFmtId="170" fontId="62" fillId="28" borderId="243" xfId="4" applyNumberFormat="1" applyFont="1" applyFill="1" applyBorder="1" applyAlignment="1">
      <alignment horizontal="center" vertical="center"/>
    </xf>
    <xf numFmtId="0" fontId="47" fillId="12" borderId="189" xfId="0" applyFont="1" applyFill="1" applyBorder="1" applyAlignment="1">
      <alignment horizontal="center" vertical="center"/>
    </xf>
    <xf numFmtId="0" fontId="47" fillId="12" borderId="191" xfId="0" applyFont="1" applyFill="1" applyBorder="1" applyAlignment="1">
      <alignment horizontal="center" vertical="center"/>
    </xf>
    <xf numFmtId="0" fontId="4" fillId="28" borderId="192" xfId="0" applyFont="1" applyFill="1" applyBorder="1" applyAlignment="1">
      <alignment horizontal="center" vertical="center"/>
    </xf>
    <xf numFmtId="0" fontId="61" fillId="28" borderId="193" xfId="0" applyFont="1" applyFill="1" applyBorder="1" applyAlignment="1">
      <alignment horizontal="center" vertical="center"/>
    </xf>
    <xf numFmtId="0" fontId="20" fillId="26" borderId="192" xfId="0" applyFont="1" applyFill="1" applyBorder="1" applyAlignment="1">
      <alignment horizontal="center" vertical="center"/>
    </xf>
    <xf numFmtId="0" fontId="20" fillId="26" borderId="193" xfId="0" applyFont="1" applyFill="1" applyBorder="1" applyAlignment="1">
      <alignment horizontal="center" vertical="center"/>
    </xf>
    <xf numFmtId="0" fontId="7" fillId="26" borderId="192" xfId="0" applyFont="1" applyFill="1" applyBorder="1" applyAlignment="1">
      <alignment horizontal="center" vertical="center"/>
    </xf>
    <xf numFmtId="0" fontId="7" fillId="26" borderId="193" xfId="0" applyFont="1" applyFill="1" applyBorder="1" applyAlignment="1">
      <alignment horizontal="center" vertical="center"/>
    </xf>
    <xf numFmtId="169" fontId="61" fillId="28" borderId="193" xfId="0" applyNumberFormat="1" applyFont="1" applyFill="1" applyBorder="1" applyAlignment="1">
      <alignment horizontal="center" vertical="center"/>
    </xf>
    <xf numFmtId="167" fontId="61" fillId="28" borderId="193" xfId="0" applyNumberFormat="1" applyFont="1" applyFill="1" applyBorder="1" applyAlignment="1">
      <alignment horizontal="center" vertical="center"/>
    </xf>
    <xf numFmtId="0" fontId="8" fillId="26" borderId="192" xfId="0" applyFont="1" applyFill="1" applyBorder="1" applyAlignment="1">
      <alignment horizontal="center" vertical="center"/>
    </xf>
    <xf numFmtId="0" fontId="8" fillId="26" borderId="193" xfId="0" applyFont="1" applyFill="1" applyBorder="1" applyAlignment="1">
      <alignment horizontal="center" vertical="center"/>
    </xf>
    <xf numFmtId="0" fontId="5" fillId="26" borderId="192" xfId="0" applyFont="1" applyFill="1" applyBorder="1" applyAlignment="1">
      <alignment horizontal="center" vertical="center"/>
    </xf>
    <xf numFmtId="0" fontId="5" fillId="26" borderId="193" xfId="0" applyFont="1" applyFill="1" applyBorder="1" applyAlignment="1">
      <alignment horizontal="center" vertical="center"/>
    </xf>
    <xf numFmtId="0" fontId="43" fillId="31" borderId="192" xfId="0" applyFont="1" applyFill="1" applyBorder="1" applyAlignment="1">
      <alignment horizontal="center" vertical="center"/>
    </xf>
    <xf numFmtId="0" fontId="61" fillId="31" borderId="193" xfId="0" applyNumberFormat="1" applyFont="1" applyFill="1" applyBorder="1" applyAlignment="1">
      <alignment horizontal="center" vertical="center"/>
    </xf>
    <xf numFmtId="169" fontId="61" fillId="31" borderId="193" xfId="0" applyNumberFormat="1" applyFont="1" applyFill="1" applyBorder="1" applyAlignment="1">
      <alignment horizontal="center" vertical="center"/>
    </xf>
    <xf numFmtId="0" fontId="61" fillId="28" borderId="193" xfId="0" applyNumberFormat="1" applyFont="1" applyFill="1" applyBorder="1" applyAlignment="1">
      <alignment horizontal="center" vertical="center"/>
    </xf>
    <xf numFmtId="0" fontId="0" fillId="26" borderId="192" xfId="0" applyFill="1" applyBorder="1" applyAlignment="1">
      <alignment horizontal="center" vertical="center"/>
    </xf>
    <xf numFmtId="0" fontId="0" fillId="26" borderId="193" xfId="0" applyFill="1" applyBorder="1" applyAlignment="1">
      <alignment horizontal="center" vertical="center"/>
    </xf>
    <xf numFmtId="171" fontId="61" fillId="31" borderId="193" xfId="0" applyNumberFormat="1" applyFont="1" applyFill="1" applyBorder="1" applyAlignment="1">
      <alignment horizontal="center" vertical="center"/>
    </xf>
    <xf numFmtId="0" fontId="42" fillId="27" borderId="192" xfId="0" applyFont="1" applyFill="1" applyBorder="1" applyAlignment="1">
      <alignment horizontal="center" vertical="center"/>
    </xf>
    <xf numFmtId="0" fontId="42" fillId="27" borderId="193" xfId="0" applyFont="1" applyFill="1" applyBorder="1" applyAlignment="1">
      <alignment horizontal="center" vertical="center"/>
    </xf>
    <xf numFmtId="171" fontId="61" fillId="28" borderId="193" xfId="0" applyNumberFormat="1" applyFont="1" applyFill="1" applyBorder="1" applyAlignment="1">
      <alignment horizontal="center" vertical="center"/>
    </xf>
    <xf numFmtId="0" fontId="4" fillId="28" borderId="192" xfId="0" applyNumberFormat="1" applyFont="1" applyFill="1" applyBorder="1" applyAlignment="1">
      <alignment horizontal="center" vertical="center"/>
    </xf>
    <xf numFmtId="0" fontId="5" fillId="26" borderId="194" xfId="0" applyFont="1" applyFill="1" applyBorder="1" applyAlignment="1">
      <alignment horizontal="center" vertical="center"/>
    </xf>
    <xf numFmtId="0" fontId="5" fillId="26" borderId="196" xfId="0" applyFont="1" applyFill="1" applyBorder="1" applyAlignment="1">
      <alignment horizontal="center" vertical="center"/>
    </xf>
    <xf numFmtId="0" fontId="58" fillId="17" borderId="210" xfId="0" applyFont="1" applyFill="1" applyBorder="1" applyAlignment="1">
      <alignment horizontal="center" vertical="center"/>
    </xf>
    <xf numFmtId="0" fontId="58" fillId="17" borderId="203" xfId="0" applyFont="1" applyFill="1" applyBorder="1" applyAlignment="1">
      <alignment horizontal="center" vertical="center"/>
    </xf>
    <xf numFmtId="0" fontId="6" fillId="17" borderId="211" xfId="0" applyFont="1" applyFill="1" applyBorder="1" applyAlignment="1">
      <alignment horizontal="center" vertical="center"/>
    </xf>
    <xf numFmtId="0" fontId="6" fillId="17" borderId="212" xfId="0" applyFont="1" applyFill="1" applyBorder="1" applyAlignment="1">
      <alignment horizontal="center" vertical="center"/>
    </xf>
    <xf numFmtId="0" fontId="6" fillId="17" borderId="177" xfId="0" applyFont="1" applyFill="1" applyBorder="1" applyAlignment="1">
      <alignment horizontal="center" vertical="center"/>
    </xf>
    <xf numFmtId="170" fontId="16" fillId="29" borderId="226" xfId="4" applyNumberFormat="1" applyFont="1" applyFill="1" applyBorder="1" applyAlignment="1">
      <alignment horizontal="center" vertical="center"/>
    </xf>
    <xf numFmtId="170" fontId="16" fillId="29" borderId="227" xfId="4" applyNumberFormat="1" applyFont="1" applyFill="1" applyBorder="1" applyAlignment="1">
      <alignment horizontal="center" vertical="center"/>
    </xf>
    <xf numFmtId="170" fontId="4" fillId="29" borderId="226" xfId="0" applyNumberFormat="1" applyFont="1" applyFill="1" applyBorder="1" applyAlignment="1">
      <alignment horizontal="center" vertical="center"/>
    </xf>
    <xf numFmtId="170" fontId="4" fillId="29" borderId="227" xfId="0" applyNumberFormat="1" applyFont="1" applyFill="1" applyBorder="1" applyAlignment="1">
      <alignment horizontal="center" vertical="center"/>
    </xf>
    <xf numFmtId="170" fontId="16" fillId="29" borderId="231" xfId="4" applyNumberFormat="1" applyFont="1" applyFill="1" applyBorder="1" applyAlignment="1">
      <alignment horizontal="center" vertical="center"/>
    </xf>
    <xf numFmtId="170" fontId="16" fillId="29" borderId="232" xfId="4" applyNumberFormat="1" applyFont="1" applyFill="1" applyBorder="1" applyAlignment="1">
      <alignment horizontal="center" vertical="center"/>
    </xf>
    <xf numFmtId="170" fontId="4" fillId="29" borderId="231" xfId="0" applyNumberFormat="1" applyFont="1" applyFill="1" applyBorder="1" applyAlignment="1">
      <alignment horizontal="center" vertical="center"/>
    </xf>
    <xf numFmtId="170" fontId="4" fillId="29" borderId="232" xfId="0" applyNumberFormat="1" applyFont="1" applyFill="1" applyBorder="1" applyAlignment="1">
      <alignment horizontal="center" vertical="center"/>
    </xf>
    <xf numFmtId="170" fontId="16" fillId="29" borderId="236" xfId="4" applyNumberFormat="1" applyFont="1" applyFill="1" applyBorder="1" applyAlignment="1">
      <alignment horizontal="center" vertical="center"/>
    </xf>
    <xf numFmtId="170" fontId="16" fillId="29" borderId="237" xfId="4" applyNumberFormat="1" applyFont="1" applyFill="1" applyBorder="1" applyAlignment="1">
      <alignment horizontal="center" vertical="center"/>
    </xf>
    <xf numFmtId="170" fontId="4" fillId="29" borderId="236" xfId="0" applyNumberFormat="1" applyFont="1" applyFill="1" applyBorder="1" applyAlignment="1">
      <alignment horizontal="center" vertical="center"/>
    </xf>
    <xf numFmtId="170" fontId="4" fillId="29" borderId="237" xfId="0" applyNumberFormat="1" applyFont="1" applyFill="1" applyBorder="1" applyAlignment="1">
      <alignment horizontal="center" vertical="center"/>
    </xf>
    <xf numFmtId="170" fontId="25" fillId="30" borderId="223" xfId="0" applyNumberFormat="1" applyFont="1" applyFill="1" applyBorder="1" applyAlignment="1">
      <alignment horizontal="center" vertical="center"/>
    </xf>
    <xf numFmtId="170" fontId="25" fillId="30" borderId="224" xfId="0" applyNumberFormat="1" applyFont="1" applyFill="1" applyBorder="1" applyAlignment="1">
      <alignment horizontal="center" vertical="center"/>
    </xf>
    <xf numFmtId="170" fontId="25" fillId="30" borderId="225" xfId="0" applyNumberFormat="1" applyFont="1" applyFill="1" applyBorder="1" applyAlignment="1">
      <alignment horizontal="center" vertical="center"/>
    </xf>
    <xf numFmtId="170" fontId="25" fillId="30" borderId="226" xfId="0" applyNumberFormat="1" applyFont="1" applyFill="1" applyBorder="1" applyAlignment="1">
      <alignment horizontal="center" vertical="center"/>
    </xf>
    <xf numFmtId="170" fontId="25" fillId="30" borderId="228" xfId="0" applyNumberFormat="1" applyFont="1" applyFill="1" applyBorder="1" applyAlignment="1">
      <alignment horizontal="center" vertical="center"/>
    </xf>
    <xf numFmtId="170" fontId="25" fillId="30" borderId="229" xfId="0" applyNumberFormat="1" applyFont="1" applyFill="1" applyBorder="1" applyAlignment="1">
      <alignment horizontal="center" vertical="center"/>
    </xf>
    <xf numFmtId="170" fontId="25" fillId="30" borderId="230" xfId="0" applyNumberFormat="1" applyFont="1" applyFill="1" applyBorder="1" applyAlignment="1">
      <alignment horizontal="center" vertical="center"/>
    </xf>
    <xf numFmtId="170" fontId="25" fillId="30" borderId="231" xfId="0" applyNumberFormat="1" applyFont="1" applyFill="1" applyBorder="1" applyAlignment="1">
      <alignment horizontal="center" vertical="center"/>
    </xf>
    <xf numFmtId="170" fontId="25" fillId="30" borderId="233" xfId="0" applyNumberFormat="1" applyFont="1" applyFill="1" applyBorder="1" applyAlignment="1">
      <alignment horizontal="center" vertical="center"/>
    </xf>
    <xf numFmtId="170" fontId="25" fillId="30" borderId="234" xfId="0" applyNumberFormat="1" applyFont="1" applyFill="1" applyBorder="1" applyAlignment="1">
      <alignment horizontal="center" vertical="center"/>
    </xf>
    <xf numFmtId="170" fontId="25" fillId="30" borderId="235" xfId="0" applyNumberFormat="1" applyFont="1" applyFill="1" applyBorder="1" applyAlignment="1">
      <alignment horizontal="center" vertical="center"/>
    </xf>
    <xf numFmtId="170" fontId="25" fillId="30" borderId="236" xfId="0" applyNumberFormat="1" applyFont="1" applyFill="1" applyBorder="1" applyAlignment="1">
      <alignment horizontal="center" vertical="center"/>
    </xf>
  </cellXfs>
  <cellStyles count="24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8"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E0FD9F"/>
      <color rgb="FFBFE771"/>
      <color rgb="FF0087E8"/>
      <color rgb="FFA2C45F"/>
      <color rgb="FFAEFB88"/>
      <color rgb="FFD0FC7C"/>
      <color rgb="FF99E352"/>
      <color rgb="FFC6FDC3"/>
      <color rgb="FFD2FDCC"/>
      <color rgb="FFB0FCB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oneCellAnchor>
    <xdr:from>
      <xdr:col>11</xdr:col>
      <xdr:colOff>112889</xdr:colOff>
      <xdr:row>3</xdr:row>
      <xdr:rowOff>42333</xdr:rowOff>
    </xdr:from>
    <xdr:ext cx="184731" cy="264560"/>
    <xdr:sp macro="" textlink="">
      <xdr:nvSpPr>
        <xdr:cNvPr id="9" name="ZoneTexte 8"/>
        <xdr:cNvSpPr txBox="1"/>
      </xdr:nvSpPr>
      <xdr:spPr>
        <a:xfrm>
          <a:off x="8015111" y="63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3175</xdr:colOff>
      <xdr:row>15</xdr:row>
      <xdr:rowOff>3175</xdr:rowOff>
    </xdr:from>
    <xdr:to>
      <xdr:col>14</xdr:col>
      <xdr:colOff>0</xdr:colOff>
      <xdr:row>22</xdr:row>
      <xdr:rowOff>38100</xdr:rowOff>
    </xdr:to>
    <xdr:sp macro="" textlink="">
      <xdr:nvSpPr>
        <xdr:cNvPr id="2" name="ZoneTexte 1"/>
        <xdr:cNvSpPr txBox="1"/>
      </xdr:nvSpPr>
      <xdr:spPr>
        <a:xfrm>
          <a:off x="10696575" y="2860675"/>
          <a:ext cx="3413125" cy="136842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Ne pas modifier</a:t>
          </a:r>
        </a:p>
        <a:p>
          <a:endParaRPr lang="fr-FR" sz="1100"/>
        </a:p>
        <a:p>
          <a:r>
            <a:rPr lang="fr-FR" sz="1200" b="1">
              <a:solidFill>
                <a:schemeClr val="bg1"/>
              </a:solidFill>
            </a:rPr>
            <a:t>Jours fériés calculés automatiquement en</a:t>
          </a:r>
          <a:r>
            <a:rPr lang="fr-FR" sz="1200" b="1" baseline="0">
              <a:solidFill>
                <a:schemeClr val="bg1"/>
              </a:solidFill>
            </a:rPr>
            <a:t> fonction de l'année que vous entrez dans votre feuille.</a:t>
          </a:r>
        </a:p>
        <a:p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18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33858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14</xdr:col>
      <xdr:colOff>451551</xdr:colOff>
      <xdr:row>2</xdr:row>
      <xdr:rowOff>28223</xdr:rowOff>
    </xdr:from>
    <xdr:to>
      <xdr:col>14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570151" y="409223"/>
          <a:ext cx="3429004" cy="451555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155222</xdr:colOff>
      <xdr:row>31</xdr:row>
      <xdr:rowOff>127003</xdr:rowOff>
    </xdr:from>
    <xdr:to>
      <xdr:col>36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744222" y="6438903"/>
          <a:ext cx="3692878" cy="609597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4" Type="http://schemas.openxmlformats.org/officeDocument/2006/relationships/vmlDrawing" Target="../drawings/vmlDrawing1.vml"/><Relationship Id="rId5" Type="http://schemas.openxmlformats.org/officeDocument/2006/relationships/comments" Target="../comments1.xml"/><Relationship Id="rId1" Type="http://schemas.openxmlformats.org/officeDocument/2006/relationships/hyperlink" Target="http://forum.excel-pratique.com/excel/aidez-moi-a-comprendre-son-tableur-svp-t70268.html" TargetMode="External"/><Relationship Id="rId2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omments" Target="../comments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zoomScale="90" zoomScaleNormal="90" zoomScalePageLayoutView="90" workbookViewId="0">
      <selection activeCell="AI30" sqref="AI30"/>
    </sheetView>
  </sheetViews>
  <sheetFormatPr baseColWidth="10" defaultRowHeight="15" x14ac:dyDescent="0.2"/>
  <cols>
    <col min="1" max="1" width="5.33203125" customWidth="1"/>
    <col min="2" max="2" width="10.33203125" hidden="1" customWidth="1"/>
    <col min="3" max="3" width="28.5" bestFit="1" customWidth="1"/>
    <col min="4" max="5" width="11.83203125" customWidth="1"/>
    <col min="6" max="8" width="7.6640625" customWidth="1"/>
    <col min="9" max="13" width="7.83203125" customWidth="1"/>
    <col min="14" max="14" width="56" customWidth="1"/>
    <col min="15" max="20" width="12.33203125" hidden="1" customWidth="1"/>
    <col min="21" max="28" width="9.1640625" hidden="1" customWidth="1"/>
    <col min="29" max="29" width="2.83203125" hidden="1" customWidth="1"/>
    <col min="30" max="30" width="23.83203125" hidden="1" customWidth="1"/>
    <col min="31" max="31" width="10.33203125" hidden="1" customWidth="1"/>
    <col min="32" max="32" width="2.6640625" customWidth="1"/>
    <col min="33" max="33" width="22.6640625" customWidth="1"/>
    <col min="34" max="34" width="9.83203125" customWidth="1"/>
    <col min="35" max="35" width="9.6640625" customWidth="1"/>
    <col min="36" max="36" width="9.83203125" customWidth="1"/>
    <col min="37" max="37" width="17.83203125" customWidth="1"/>
    <col min="38" max="38" width="15.5" customWidth="1"/>
    <col min="39" max="39" width="18.5" customWidth="1"/>
    <col min="41" max="41" width="4.6640625" customWidth="1"/>
  </cols>
  <sheetData>
    <row r="1" spans="1:41" ht="15" customHeight="1" x14ac:dyDescent="0.2">
      <c r="A1" s="20"/>
      <c r="B1" s="154"/>
      <c r="C1" s="20"/>
      <c r="D1" s="20"/>
      <c r="E1" s="20"/>
      <c r="F1" s="154"/>
      <c r="G1" s="11"/>
      <c r="H1" s="11"/>
      <c r="I1" s="20"/>
      <c r="J1" s="11"/>
      <c r="K1" s="20"/>
      <c r="L1" s="20"/>
      <c r="M1" s="20"/>
      <c r="N1" s="147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220" t="s">
        <v>125</v>
      </c>
      <c r="AM1" s="5"/>
      <c r="AN1" s="5"/>
      <c r="AO1" s="5"/>
    </row>
    <row r="2" spans="1:41" ht="15" customHeight="1" thickBot="1" x14ac:dyDescent="0.3">
      <c r="A2" s="21"/>
      <c r="B2" s="21"/>
      <c r="C2" s="5"/>
      <c r="D2" s="5"/>
      <c r="E2" s="5"/>
      <c r="F2" s="101"/>
      <c r="G2" s="296"/>
      <c r="H2" s="296"/>
      <c r="I2" s="156"/>
      <c r="J2" s="5"/>
      <c r="K2" s="21"/>
      <c r="L2" s="21"/>
      <c r="M2" s="21"/>
      <c r="N2" s="147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 x14ac:dyDescent="0.2">
      <c r="A3" s="4"/>
      <c r="B3" s="4"/>
      <c r="C3" s="5"/>
      <c r="D3" s="5"/>
      <c r="E3" s="5"/>
      <c r="F3" s="5"/>
      <c r="G3" s="296"/>
      <c r="H3" s="296"/>
      <c r="I3" s="156"/>
      <c r="J3" s="69"/>
      <c r="K3" s="69"/>
      <c r="L3" s="69"/>
      <c r="M3" s="69"/>
      <c r="N3" s="147"/>
      <c r="O3" s="5"/>
      <c r="P3" s="70"/>
      <c r="Q3" s="71"/>
      <c r="R3" s="70"/>
      <c r="S3" s="4"/>
      <c r="T3" s="4"/>
      <c r="U3" s="301" t="s">
        <v>73</v>
      </c>
      <c r="V3" s="302"/>
      <c r="W3" s="303" t="s">
        <v>71</v>
      </c>
      <c r="X3" s="304"/>
      <c r="Y3" s="301" t="s">
        <v>72</v>
      </c>
      <c r="Z3" s="302"/>
      <c r="AA3" s="301" t="s">
        <v>74</v>
      </c>
      <c r="AB3" s="302"/>
      <c r="AC3" s="4"/>
      <c r="AD3" s="268" t="s">
        <v>123</v>
      </c>
      <c r="AE3" s="269"/>
      <c r="AF3" s="5"/>
      <c r="AG3" s="270" t="s">
        <v>32</v>
      </c>
      <c r="AH3" s="271"/>
      <c r="AI3" s="271"/>
      <c r="AJ3" s="272"/>
      <c r="AK3" s="5"/>
      <c r="AL3" s="5"/>
      <c r="AM3" s="5"/>
      <c r="AN3" s="5"/>
      <c r="AO3" s="5"/>
    </row>
    <row r="4" spans="1:41" ht="15" customHeight="1" x14ac:dyDescent="0.2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7"/>
      <c r="O4" s="5"/>
      <c r="P4" s="5"/>
      <c r="Q4" s="5"/>
      <c r="R4" s="5"/>
      <c r="S4" s="5"/>
      <c r="T4" s="5"/>
      <c r="U4" s="273" t="s">
        <v>59</v>
      </c>
      <c r="V4" s="274"/>
      <c r="W4" s="305" t="s">
        <v>70</v>
      </c>
      <c r="X4" s="306"/>
      <c r="Y4" s="273" t="s">
        <v>60</v>
      </c>
      <c r="Z4" s="274"/>
      <c r="AA4" s="273" t="s">
        <v>56</v>
      </c>
      <c r="AB4" s="274"/>
      <c r="AC4" s="5"/>
      <c r="AD4" s="157" t="s">
        <v>2</v>
      </c>
      <c r="AE4" s="158">
        <f>COUNTA(F10:F40)</f>
        <v>0</v>
      </c>
      <c r="AF4" s="5"/>
      <c r="AG4" s="187"/>
      <c r="AH4" s="188" t="s">
        <v>51</v>
      </c>
      <c r="AI4" s="189" t="s">
        <v>38</v>
      </c>
      <c r="AJ4" s="190" t="s">
        <v>24</v>
      </c>
      <c r="AK4" s="5"/>
      <c r="AL4" s="5"/>
      <c r="AM4" s="5"/>
      <c r="AN4" s="5"/>
      <c r="AO4" s="5"/>
    </row>
    <row r="5" spans="1:41" ht="15" customHeight="1" x14ac:dyDescent="0.2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7"/>
      <c r="O5" s="307" t="s">
        <v>48</v>
      </c>
      <c r="P5" s="308"/>
      <c r="Q5" s="309"/>
      <c r="R5" s="310" t="s">
        <v>49</v>
      </c>
      <c r="S5" s="308"/>
      <c r="T5" s="311"/>
      <c r="U5" s="282">
        <f>SUM(U7+V7)</f>
        <v>0</v>
      </c>
      <c r="V5" s="283"/>
      <c r="W5" s="280">
        <f>SUM(W7+X7)</f>
        <v>0</v>
      </c>
      <c r="X5" s="281"/>
      <c r="Y5" s="282">
        <f>SUM(Y7+Z7)</f>
        <v>0</v>
      </c>
      <c r="Z5" s="283"/>
      <c r="AA5" s="300">
        <f>SUMPRODUCT((MONTH($C$10:$C$42=$D$8)*($B$10:$B$42&lt;&gt;"")*($AA$10:$AB$42)))</f>
        <v>0</v>
      </c>
      <c r="AB5" s="300"/>
      <c r="AC5" s="5"/>
      <c r="AD5" s="278"/>
      <c r="AE5" s="279"/>
      <c r="AF5" s="5"/>
      <c r="AG5" s="183" t="s">
        <v>1</v>
      </c>
      <c r="AH5" s="184">
        <f>SUM(U7+Y7)*24</f>
        <v>0</v>
      </c>
      <c r="AI5" s="185">
        <v>9.93</v>
      </c>
      <c r="AJ5" s="186">
        <f t="shared" ref="AJ5:AJ11" si="0">AH5*AI5</f>
        <v>0</v>
      </c>
      <c r="AK5" s="5"/>
      <c r="AL5" s="5"/>
      <c r="AM5" s="5"/>
      <c r="AN5" s="5"/>
      <c r="AO5" s="5"/>
    </row>
    <row r="6" spans="1:41" ht="16" customHeight="1" x14ac:dyDescent="0.2">
      <c r="A6" s="6"/>
      <c r="B6" s="7"/>
      <c r="C6" s="297" t="str">
        <f>UPPER(TEXT($C10,"mmmm aaaa"))</f>
        <v>FÉVRIER 2017</v>
      </c>
      <c r="D6" s="199" t="s">
        <v>54</v>
      </c>
      <c r="E6" s="200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7" t="s">
        <v>82</v>
      </c>
      <c r="AE6" s="158">
        <f>SUMPRODUCT((($B$10:$B$40="férié")*(WEEKDAY($C$10:$C$40)&lt;&gt;1)+($B$10:$B$40="se"))*($M$10:$M$40&gt;0))</f>
        <v>0</v>
      </c>
      <c r="AF6" s="5"/>
      <c r="AG6" s="168" t="s">
        <v>33</v>
      </c>
      <c r="AH6" s="77">
        <f>SUM(V7+Z7)*24</f>
        <v>0</v>
      </c>
      <c r="AI6" s="78">
        <v>0.99299999999999999</v>
      </c>
      <c r="AJ6" s="169">
        <f t="shared" si="0"/>
        <v>0</v>
      </c>
      <c r="AK6" s="5"/>
      <c r="AL6" s="5"/>
      <c r="AM6" s="5"/>
      <c r="AN6" s="5"/>
      <c r="AO6" s="5"/>
    </row>
    <row r="7" spans="1:41" ht="16" customHeight="1" x14ac:dyDescent="0.2">
      <c r="A7" s="6"/>
      <c r="B7" s="7"/>
      <c r="C7" s="298"/>
      <c r="D7" s="201" t="s">
        <v>55</v>
      </c>
      <c r="E7" s="202">
        <v>0.25</v>
      </c>
      <c r="F7" s="5"/>
      <c r="G7" s="9"/>
      <c r="H7" s="9"/>
      <c r="I7" s="5"/>
      <c r="J7" s="5"/>
      <c r="K7" s="286" t="s">
        <v>75</v>
      </c>
      <c r="L7" s="287"/>
      <c r="M7" s="14" t="s">
        <v>51</v>
      </c>
      <c r="N7" s="288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259"/>
      <c r="AE7" s="260"/>
      <c r="AF7" s="5"/>
      <c r="AG7" s="168" t="s">
        <v>35</v>
      </c>
      <c r="AH7" s="77">
        <f>W7*24</f>
        <v>0</v>
      </c>
      <c r="AI7" s="78">
        <v>0.99299999999999999</v>
      </c>
      <c r="AJ7" s="169">
        <f t="shared" si="0"/>
        <v>0</v>
      </c>
      <c r="AK7" s="5"/>
      <c r="AL7" s="5"/>
      <c r="AM7" s="5"/>
      <c r="AN7" s="5"/>
      <c r="AO7" s="5"/>
    </row>
    <row r="8" spans="1:41" ht="16" customHeight="1" x14ac:dyDescent="0.2">
      <c r="A8" s="5"/>
      <c r="B8" s="5"/>
      <c r="C8" s="299"/>
      <c r="D8" s="204" t="s">
        <v>23</v>
      </c>
      <c r="E8" s="203"/>
      <c r="F8" s="197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4" t="s">
        <v>112</v>
      </c>
      <c r="N8" s="289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273" t="s">
        <v>63</v>
      </c>
      <c r="V8" s="274"/>
      <c r="W8" s="275" t="s">
        <v>4</v>
      </c>
      <c r="X8" s="276"/>
      <c r="Y8" s="273" t="s">
        <v>3</v>
      </c>
      <c r="Z8" s="274"/>
      <c r="AA8" s="277" t="s">
        <v>2</v>
      </c>
      <c r="AB8" s="277"/>
      <c r="AC8" s="8"/>
      <c r="AD8" s="157" t="s">
        <v>89</v>
      </c>
      <c r="AE8" s="159">
        <f>SUM(M10:M40)</f>
        <v>0</v>
      </c>
      <c r="AF8" s="5"/>
      <c r="AG8" s="168" t="s">
        <v>34</v>
      </c>
      <c r="AH8" s="77">
        <f>X7*24</f>
        <v>0</v>
      </c>
      <c r="AI8" s="78">
        <v>1.88</v>
      </c>
      <c r="AJ8" s="169">
        <f t="shared" si="0"/>
        <v>0</v>
      </c>
      <c r="AK8" s="5"/>
      <c r="AL8" s="5"/>
      <c r="AM8" s="5"/>
      <c r="AN8" s="5"/>
      <c r="AO8" s="5"/>
    </row>
    <row r="9" spans="1:41" ht="16" customHeight="1" x14ac:dyDescent="0.2">
      <c r="A9" s="12" t="s">
        <v>5</v>
      </c>
      <c r="B9" s="58" t="s">
        <v>40</v>
      </c>
      <c r="C9" s="155" t="s">
        <v>25</v>
      </c>
      <c r="D9" s="198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5" t="s">
        <v>83</v>
      </c>
      <c r="N9" s="290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291">
        <f>SUMPRODUCT((($B$10:$B$40="férié")*(WEEKDAY($C$10:$C$40)&lt;&gt;1)+($B$10:$B$40="se"))*($M$10:$M$40&gt;0))</f>
        <v>0</v>
      </c>
      <c r="V9" s="292"/>
      <c r="W9" s="293">
        <f>SUMPRODUCT((WEEKDAY($C$10:$C$40)=1)*($M$10:$M$40&gt;0))</f>
        <v>0</v>
      </c>
      <c r="X9" s="294"/>
      <c r="Y9" s="291">
        <f>SUMPRODUCT(($B$10:$B$40="férié")*($M$10:$M$40&gt;0))</f>
        <v>0</v>
      </c>
      <c r="Z9" s="292"/>
      <c r="AA9" s="295">
        <f>COUNTA(F10:F40)</f>
        <v>0</v>
      </c>
      <c r="AB9" s="295"/>
      <c r="AC9" s="8"/>
      <c r="AD9" s="259"/>
      <c r="AE9" s="260"/>
      <c r="AF9" s="5"/>
      <c r="AG9" s="168" t="s">
        <v>36</v>
      </c>
      <c r="AH9" s="77">
        <f>Y5*24</f>
        <v>0</v>
      </c>
      <c r="AI9" s="78">
        <v>9.93</v>
      </c>
      <c r="AJ9" s="169">
        <f t="shared" si="0"/>
        <v>0</v>
      </c>
      <c r="AK9" s="5"/>
      <c r="AL9" s="5"/>
      <c r="AM9" s="5"/>
      <c r="AN9" s="5"/>
      <c r="AO9" s="5"/>
    </row>
    <row r="10" spans="1:41" ht="16" x14ac:dyDescent="0.2">
      <c r="A10" s="31">
        <v>1</v>
      </c>
      <c r="B10" s="32" t="str">
        <f t="shared" ref="B10:B40" si="1">IF(C10="","",IF(COUNTIF(Fer,C10)&gt;0,"Férié",IF(WEEKDAY(C10,2)&lt;=6,"Se","Dim")))</f>
        <v>Se</v>
      </c>
      <c r="C10" s="223">
        <f>DATE(AI28,AI26,1)</f>
        <v>42767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205"/>
      <c r="K10" s="206" t="str">
        <f t="shared" ref="K10:K40" si="3">IF(M10*24&gt;=6,"1","")</f>
        <v/>
      </c>
      <c r="L10" s="211" t="str">
        <f t="shared" ref="L10:L40" si="4">IF(D10="Maitre chien",H10+I10+J10,"")</f>
        <v/>
      </c>
      <c r="M10" s="212">
        <f t="shared" ref="M10:M40" si="5">SUM(H10,I10,J10)</f>
        <v>0</v>
      </c>
      <c r="N10" s="213"/>
      <c r="O10" s="110" t="str">
        <f t="shared" ref="O10:O40" si="6"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7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 t="shared" ref="W10:W40" si="8">(WEEKDAY($C10)=1)*($AA10)</f>
        <v>0</v>
      </c>
      <c r="X10" s="40">
        <f t="shared" ref="X10:X40" si="9"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 t="shared" ref="AA10:AA40" si="10">SUM(I10,P10,S10)</f>
        <v>0</v>
      </c>
      <c r="AB10" s="108">
        <f t="shared" ref="AB10:AB40" si="11">SUM(J10,O10,Q10,R10,T10)</f>
        <v>0</v>
      </c>
      <c r="AC10" s="8"/>
      <c r="AD10" s="157" t="s">
        <v>93</v>
      </c>
      <c r="AE10" s="160">
        <f>SUMIF(C10:C40,"&gt;0",AA10:AA40)</f>
        <v>0</v>
      </c>
      <c r="AF10" s="5"/>
      <c r="AG10" s="170" t="s">
        <v>37</v>
      </c>
      <c r="AH10" s="77">
        <f>SUM(AH5:AH8)</f>
        <v>0</v>
      </c>
      <c r="AI10" s="78">
        <v>0.13100000000000001</v>
      </c>
      <c r="AJ10" s="169">
        <f t="shared" si="0"/>
        <v>0</v>
      </c>
      <c r="AK10" s="5"/>
      <c r="AL10" s="5"/>
      <c r="AM10" s="5"/>
      <c r="AN10" s="5"/>
      <c r="AO10" s="5"/>
    </row>
    <row r="11" spans="1:41" ht="17" thickBot="1" x14ac:dyDescent="0.25">
      <c r="A11" s="10">
        <v>2</v>
      </c>
      <c r="B11" s="41" t="str">
        <f t="shared" si="1"/>
        <v>Se</v>
      </c>
      <c r="C11" s="223">
        <f>IF(C10=0,0,IF(MONTH(C10+1)=MONTH($C$10),C10+1,0))</f>
        <v>42768</v>
      </c>
      <c r="D11" s="42"/>
      <c r="E11" s="42"/>
      <c r="F11" s="43"/>
      <c r="G11" s="43"/>
      <c r="H11" s="44" t="str">
        <f t="shared" si="2"/>
        <v/>
      </c>
      <c r="I11" s="73"/>
      <c r="J11" s="207"/>
      <c r="K11" s="208" t="str">
        <f t="shared" si="3"/>
        <v/>
      </c>
      <c r="L11" s="214" t="str">
        <f t="shared" si="4"/>
        <v/>
      </c>
      <c r="M11" s="215">
        <f t="shared" si="5"/>
        <v>0</v>
      </c>
      <c r="N11" s="216"/>
      <c r="O11" s="111" t="str">
        <f t="shared" si="6"/>
        <v/>
      </c>
      <c r="P11" s="37" t="str">
        <f t="shared" si="7"/>
        <v/>
      </c>
      <c r="Q11" s="45" t="str">
        <f t="shared" si="7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 t="shared" si="8"/>
        <v>0</v>
      </c>
      <c r="X11" s="49">
        <f t="shared" si="9"/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 t="shared" si="10"/>
        <v>0</v>
      </c>
      <c r="AB11" s="109">
        <f t="shared" si="11"/>
        <v>0</v>
      </c>
      <c r="AC11" s="8"/>
      <c r="AD11" s="284"/>
      <c r="AE11" s="285"/>
      <c r="AF11" s="5"/>
      <c r="AG11" s="171" t="s">
        <v>39</v>
      </c>
      <c r="AH11" s="172">
        <f>SUM(AH6+AH8)</f>
        <v>0</v>
      </c>
      <c r="AI11" s="174"/>
      <c r="AJ11" s="175">
        <f t="shared" si="0"/>
        <v>0</v>
      </c>
      <c r="AK11" s="5"/>
      <c r="AL11" s="5"/>
      <c r="AM11" s="5"/>
      <c r="AN11" s="5"/>
      <c r="AO11" s="5"/>
    </row>
    <row r="12" spans="1:41" ht="17" thickBot="1" x14ac:dyDescent="0.25">
      <c r="A12" s="10">
        <v>3</v>
      </c>
      <c r="B12" s="41" t="str">
        <f t="shared" si="1"/>
        <v>Se</v>
      </c>
      <c r="C12" s="223">
        <f t="shared" ref="C12:C40" si="12">IF(C11=0,0,IF(MONTH(C11+1)=MONTH($C$10),C11+1,0))</f>
        <v>42769</v>
      </c>
      <c r="D12" s="42"/>
      <c r="E12" s="42"/>
      <c r="F12" s="43"/>
      <c r="G12" s="43"/>
      <c r="H12" s="44" t="str">
        <f t="shared" si="2"/>
        <v/>
      </c>
      <c r="I12" s="73"/>
      <c r="J12" s="207"/>
      <c r="K12" s="208" t="str">
        <f t="shared" si="3"/>
        <v/>
      </c>
      <c r="L12" s="214" t="str">
        <f t="shared" si="4"/>
        <v/>
      </c>
      <c r="M12" s="215">
        <f t="shared" si="5"/>
        <v>0</v>
      </c>
      <c r="N12" s="216"/>
      <c r="O12" s="111" t="str">
        <f t="shared" si="6"/>
        <v/>
      </c>
      <c r="P12" s="37" t="str">
        <f t="shared" si="7"/>
        <v/>
      </c>
      <c r="Q12" s="45" t="str">
        <f t="shared" si="7"/>
        <v/>
      </c>
      <c r="R12" s="46" t="str">
        <f t="shared" ref="R12:R40" si="13">IF(OR(Q11="",R$9=""),"",IF($F11&gt;$G11,MAX(,MIN(R$9,$G11+24/24)-MAX(R$8,$F11)),MAX(,MIN(R$9,$G11)-MAX(R$8,$F11))))</f>
        <v/>
      </c>
      <c r="S12" s="47" t="str">
        <f t="shared" ref="S12:T27" si="14">IF(OR(R12="",S$9=""),"",IF($F11&gt;$G11,MAX(,MIN(S$9,$G11+24/24)-MAX(S$8,$F11)),MAX(,MIN(S$9,$G11)-MAX(S$8,$F11))))</f>
        <v/>
      </c>
      <c r="T12" s="103" t="str">
        <f t="shared" si="14"/>
        <v/>
      </c>
      <c r="U12" s="55">
        <f>SUMPRODUCT(($B$12="se")*($AA$12))</f>
        <v>0</v>
      </c>
      <c r="V12" s="53">
        <f>SUMPRODUCT(($B$12="se")*($AB$12))</f>
        <v>0</v>
      </c>
      <c r="W12" s="48">
        <f t="shared" si="8"/>
        <v>0</v>
      </c>
      <c r="X12" s="49">
        <f t="shared" si="9"/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 t="shared" si="10"/>
        <v>0</v>
      </c>
      <c r="AB12" s="109">
        <f t="shared" si="11"/>
        <v>0</v>
      </c>
      <c r="AC12" s="8"/>
      <c r="AD12" s="157" t="s">
        <v>94</v>
      </c>
      <c r="AE12" s="160">
        <f>SUMIF(C10:C40,"&gt;0",AB10:AB40)</f>
        <v>0</v>
      </c>
      <c r="AF12" s="5"/>
      <c r="AG12" s="79"/>
      <c r="AH12" s="23"/>
      <c r="AI12" s="181" t="s">
        <v>98</v>
      </c>
      <c r="AJ12" s="182">
        <f>SUM(AJ5:AJ11)</f>
        <v>0</v>
      </c>
      <c r="AK12" s="5"/>
      <c r="AL12" s="5"/>
      <c r="AM12" s="5"/>
      <c r="AN12" s="5"/>
      <c r="AO12" s="5"/>
    </row>
    <row r="13" spans="1:41" ht="17" thickBot="1" x14ac:dyDescent="0.25">
      <c r="A13" s="10">
        <v>4</v>
      </c>
      <c r="B13" s="41" t="str">
        <f t="shared" si="1"/>
        <v>Se</v>
      </c>
      <c r="C13" s="223">
        <f t="shared" si="12"/>
        <v>42770</v>
      </c>
      <c r="D13" s="42"/>
      <c r="E13" s="42"/>
      <c r="F13" s="43"/>
      <c r="G13" s="43"/>
      <c r="H13" s="44" t="str">
        <f t="shared" si="2"/>
        <v/>
      </c>
      <c r="I13" s="73"/>
      <c r="J13" s="207"/>
      <c r="K13" s="208" t="str">
        <f t="shared" si="3"/>
        <v/>
      </c>
      <c r="L13" s="214" t="str">
        <f t="shared" si="4"/>
        <v/>
      </c>
      <c r="M13" s="215">
        <f t="shared" si="5"/>
        <v>0</v>
      </c>
      <c r="N13" s="216"/>
      <c r="O13" s="111" t="str">
        <f t="shared" si="6"/>
        <v/>
      </c>
      <c r="P13" s="37" t="str">
        <f t="shared" si="7"/>
        <v/>
      </c>
      <c r="Q13" s="45" t="str">
        <f t="shared" si="7"/>
        <v/>
      </c>
      <c r="R13" s="46" t="str">
        <f t="shared" si="13"/>
        <v/>
      </c>
      <c r="S13" s="47" t="str">
        <f t="shared" si="14"/>
        <v/>
      </c>
      <c r="T13" s="103" t="str">
        <f t="shared" si="14"/>
        <v/>
      </c>
      <c r="U13" s="55">
        <f>SUMPRODUCT(($B$13="se")*($AA$13))</f>
        <v>0</v>
      </c>
      <c r="V13" s="53">
        <f>SUMPRODUCT(($B$13="se")*($AB$13))</f>
        <v>0</v>
      </c>
      <c r="W13" s="48">
        <f t="shared" si="8"/>
        <v>0</v>
      </c>
      <c r="X13" s="49">
        <f t="shared" si="9"/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 t="shared" si="10"/>
        <v>0</v>
      </c>
      <c r="AB13" s="109">
        <f t="shared" si="11"/>
        <v>0</v>
      </c>
      <c r="AC13" s="8"/>
      <c r="AD13" s="226"/>
      <c r="AE13" s="227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6" x14ac:dyDescent="0.2">
      <c r="A14" s="10">
        <v>5</v>
      </c>
      <c r="B14" s="41" t="str">
        <f t="shared" si="1"/>
        <v>Dim</v>
      </c>
      <c r="C14" s="223">
        <f t="shared" si="12"/>
        <v>42771</v>
      </c>
      <c r="D14" s="42"/>
      <c r="E14" s="42"/>
      <c r="F14" s="43"/>
      <c r="G14" s="43"/>
      <c r="H14" s="44" t="str">
        <f t="shared" si="2"/>
        <v/>
      </c>
      <c r="I14" s="73"/>
      <c r="J14" s="207"/>
      <c r="K14" s="208" t="str">
        <f t="shared" si="3"/>
        <v/>
      </c>
      <c r="L14" s="214" t="str">
        <f t="shared" si="4"/>
        <v/>
      </c>
      <c r="M14" s="215">
        <f t="shared" si="5"/>
        <v>0</v>
      </c>
      <c r="N14" s="216"/>
      <c r="O14" s="111" t="str">
        <f t="shared" si="6"/>
        <v/>
      </c>
      <c r="P14" s="37" t="str">
        <f t="shared" si="7"/>
        <v/>
      </c>
      <c r="Q14" s="45" t="str">
        <f t="shared" si="7"/>
        <v/>
      </c>
      <c r="R14" s="46" t="str">
        <f t="shared" si="13"/>
        <v/>
      </c>
      <c r="S14" s="47" t="str">
        <f t="shared" si="14"/>
        <v/>
      </c>
      <c r="T14" s="103" t="str">
        <f t="shared" si="14"/>
        <v/>
      </c>
      <c r="U14" s="55">
        <f>SUMPRODUCT(($B$14="se")*($AA$14))</f>
        <v>0</v>
      </c>
      <c r="V14" s="53">
        <f>SUMPRODUCT(($B$14="se")*($AB$14))</f>
        <v>0</v>
      </c>
      <c r="W14" s="48">
        <f t="shared" si="8"/>
        <v>0</v>
      </c>
      <c r="X14" s="49">
        <f t="shared" si="9"/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 t="shared" si="10"/>
        <v>0</v>
      </c>
      <c r="AB14" s="109">
        <f t="shared" si="11"/>
        <v>0</v>
      </c>
      <c r="AC14" s="8"/>
      <c r="AD14" s="161" t="s">
        <v>103</v>
      </c>
      <c r="AE14" s="162">
        <f>SUMPRODUCT((WEEKDAY($C$10:$C$40)=1)*($M$10:$M$40&gt;0))</f>
        <v>0</v>
      </c>
      <c r="AF14" s="5"/>
      <c r="AG14" s="256" t="s">
        <v>31</v>
      </c>
      <c r="AH14" s="257"/>
      <c r="AI14" s="257"/>
      <c r="AJ14" s="258"/>
      <c r="AK14" s="5"/>
      <c r="AL14" s="5"/>
      <c r="AM14" s="5"/>
      <c r="AN14" s="5"/>
      <c r="AO14" s="5"/>
    </row>
    <row r="15" spans="1:41" ht="16" x14ac:dyDescent="0.2">
      <c r="A15" s="10">
        <v>6</v>
      </c>
      <c r="B15" s="41" t="str">
        <f t="shared" si="1"/>
        <v>Se</v>
      </c>
      <c r="C15" s="223">
        <f t="shared" si="12"/>
        <v>42772</v>
      </c>
      <c r="D15" s="42"/>
      <c r="E15" s="42"/>
      <c r="F15" s="43"/>
      <c r="G15" s="43"/>
      <c r="H15" s="44" t="str">
        <f t="shared" si="2"/>
        <v/>
      </c>
      <c r="I15" s="73"/>
      <c r="J15" s="207"/>
      <c r="K15" s="208" t="str">
        <f t="shared" si="3"/>
        <v/>
      </c>
      <c r="L15" s="214" t="str">
        <f t="shared" si="4"/>
        <v/>
      </c>
      <c r="M15" s="215">
        <f t="shared" si="5"/>
        <v>0</v>
      </c>
      <c r="N15" s="216"/>
      <c r="O15" s="111" t="str">
        <f t="shared" si="6"/>
        <v/>
      </c>
      <c r="P15" s="37" t="str">
        <f t="shared" si="7"/>
        <v/>
      </c>
      <c r="Q15" s="45" t="str">
        <f t="shared" si="7"/>
        <v/>
      </c>
      <c r="R15" s="46" t="str">
        <f t="shared" si="13"/>
        <v/>
      </c>
      <c r="S15" s="47" t="str">
        <f t="shared" si="14"/>
        <v/>
      </c>
      <c r="T15" s="103" t="str">
        <f t="shared" si="14"/>
        <v/>
      </c>
      <c r="U15" s="55">
        <f>SUMPRODUCT(($B$15="se")*($AA$15))</f>
        <v>0</v>
      </c>
      <c r="V15" s="53">
        <f>SUMPRODUCT(($B$15="se")*($AB$15))</f>
        <v>0</v>
      </c>
      <c r="W15" s="48">
        <f t="shared" si="8"/>
        <v>0</v>
      </c>
      <c r="X15" s="49">
        <f t="shared" si="9"/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 t="shared" si="10"/>
        <v>0</v>
      </c>
      <c r="AB15" s="109">
        <f t="shared" si="11"/>
        <v>0</v>
      </c>
      <c r="AC15" s="8"/>
      <c r="AD15" s="259"/>
      <c r="AE15" s="260"/>
      <c r="AF15" s="5"/>
      <c r="AG15" s="191"/>
      <c r="AH15" s="192" t="s">
        <v>24</v>
      </c>
      <c r="AI15" s="192" t="s">
        <v>38</v>
      </c>
      <c r="AJ15" s="193" t="s">
        <v>24</v>
      </c>
      <c r="AK15" s="5"/>
      <c r="AL15" s="5"/>
      <c r="AM15" s="5"/>
      <c r="AN15" s="5"/>
      <c r="AO15" s="5"/>
    </row>
    <row r="16" spans="1:41" ht="16" x14ac:dyDescent="0.2">
      <c r="A16" s="10">
        <v>7</v>
      </c>
      <c r="B16" s="41" t="str">
        <f t="shared" si="1"/>
        <v>Se</v>
      </c>
      <c r="C16" s="223">
        <f t="shared" si="12"/>
        <v>42773</v>
      </c>
      <c r="D16" s="42"/>
      <c r="E16" s="42"/>
      <c r="F16" s="43"/>
      <c r="G16" s="43"/>
      <c r="H16" s="44" t="str">
        <f t="shared" si="2"/>
        <v/>
      </c>
      <c r="I16" s="73"/>
      <c r="J16" s="207"/>
      <c r="K16" s="208" t="str">
        <f t="shared" si="3"/>
        <v/>
      </c>
      <c r="L16" s="214" t="str">
        <f t="shared" si="4"/>
        <v/>
      </c>
      <c r="M16" s="215">
        <f t="shared" si="5"/>
        <v>0</v>
      </c>
      <c r="N16" s="216"/>
      <c r="O16" s="111" t="str">
        <f t="shared" si="6"/>
        <v/>
      </c>
      <c r="P16" s="37" t="str">
        <f t="shared" si="7"/>
        <v/>
      </c>
      <c r="Q16" s="45" t="str">
        <f t="shared" si="7"/>
        <v/>
      </c>
      <c r="R16" s="46" t="str">
        <f t="shared" si="13"/>
        <v/>
      </c>
      <c r="S16" s="47" t="str">
        <f t="shared" si="14"/>
        <v/>
      </c>
      <c r="T16" s="103" t="str">
        <f t="shared" si="14"/>
        <v/>
      </c>
      <c r="U16" s="55">
        <f>SUMPRODUCT(($B$16="se")*($AA$16))</f>
        <v>0</v>
      </c>
      <c r="V16" s="53">
        <f>SUMPRODUCT(($B$16="se")*($AB$16))</f>
        <v>0</v>
      </c>
      <c r="W16" s="48">
        <f t="shared" si="8"/>
        <v>0</v>
      </c>
      <c r="X16" s="49">
        <f t="shared" si="9"/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 t="shared" si="10"/>
        <v>0</v>
      </c>
      <c r="AB16" s="109">
        <f t="shared" si="11"/>
        <v>0</v>
      </c>
      <c r="AC16" s="8"/>
      <c r="AD16" s="161" t="s">
        <v>97</v>
      </c>
      <c r="AE16" s="163">
        <f>SUM(W7+X7)</f>
        <v>0</v>
      </c>
      <c r="AF16" s="5"/>
      <c r="AG16" s="176" t="s">
        <v>100</v>
      </c>
      <c r="AH16" s="80">
        <f>COUNTA(F10:F40)</f>
        <v>0</v>
      </c>
      <c r="AI16" s="81">
        <v>3.43</v>
      </c>
      <c r="AJ16" s="177">
        <f>AH16*AI16</f>
        <v>0</v>
      </c>
      <c r="AK16" s="5"/>
      <c r="AL16" s="5"/>
      <c r="AM16" s="5"/>
      <c r="AN16" s="5"/>
      <c r="AO16" s="5"/>
    </row>
    <row r="17" spans="1:41" ht="17" thickBot="1" x14ac:dyDescent="0.25">
      <c r="A17" s="10">
        <v>8</v>
      </c>
      <c r="B17" s="41" t="str">
        <f t="shared" si="1"/>
        <v>Se</v>
      </c>
      <c r="C17" s="223">
        <f t="shared" si="12"/>
        <v>42774</v>
      </c>
      <c r="D17" s="42"/>
      <c r="E17" s="42"/>
      <c r="F17" s="43"/>
      <c r="G17" s="43"/>
      <c r="H17" s="44" t="str">
        <f t="shared" si="2"/>
        <v/>
      </c>
      <c r="I17" s="73"/>
      <c r="J17" s="207"/>
      <c r="K17" s="208" t="str">
        <f t="shared" si="3"/>
        <v/>
      </c>
      <c r="L17" s="214" t="str">
        <f t="shared" si="4"/>
        <v/>
      </c>
      <c r="M17" s="215">
        <f t="shared" si="5"/>
        <v>0</v>
      </c>
      <c r="N17" s="216"/>
      <c r="O17" s="111" t="str">
        <f t="shared" si="6"/>
        <v/>
      </c>
      <c r="P17" s="37" t="str">
        <f t="shared" si="7"/>
        <v/>
      </c>
      <c r="Q17" s="45" t="str">
        <f t="shared" si="7"/>
        <v/>
      </c>
      <c r="R17" s="46" t="str">
        <f t="shared" si="13"/>
        <v/>
      </c>
      <c r="S17" s="47" t="str">
        <f t="shared" si="14"/>
        <v/>
      </c>
      <c r="T17" s="103" t="str">
        <f t="shared" si="14"/>
        <v/>
      </c>
      <c r="U17" s="55">
        <f>SUMPRODUCT(($B$17="se")*($AA$17))</f>
        <v>0</v>
      </c>
      <c r="V17" s="53">
        <f>SUMPRODUCT(($B$17="se")*($AB$17))</f>
        <v>0</v>
      </c>
      <c r="W17" s="48">
        <f t="shared" si="8"/>
        <v>0</v>
      </c>
      <c r="X17" s="49">
        <f t="shared" si="9"/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 t="shared" si="10"/>
        <v>0</v>
      </c>
      <c r="AB17" s="109">
        <f t="shared" si="11"/>
        <v>0</v>
      </c>
      <c r="AC17" s="8"/>
      <c r="AD17" s="259"/>
      <c r="AE17" s="260"/>
      <c r="AF17" s="5"/>
      <c r="AG17" s="178" t="s">
        <v>99</v>
      </c>
      <c r="AH17" s="179"/>
      <c r="AI17" s="173">
        <v>0.81</v>
      </c>
      <c r="AJ17" s="180">
        <f>AH17*AI17</f>
        <v>0</v>
      </c>
      <c r="AK17" s="5"/>
      <c r="AL17" s="5"/>
      <c r="AM17" s="5"/>
      <c r="AN17" s="5"/>
      <c r="AO17" s="5"/>
    </row>
    <row r="18" spans="1:41" ht="16" x14ac:dyDescent="0.2">
      <c r="A18" s="10">
        <v>9</v>
      </c>
      <c r="B18" s="41" t="str">
        <f t="shared" si="1"/>
        <v>Se</v>
      </c>
      <c r="C18" s="223">
        <f t="shared" si="12"/>
        <v>42775</v>
      </c>
      <c r="D18" s="42"/>
      <c r="E18" s="42"/>
      <c r="F18" s="43"/>
      <c r="G18" s="43"/>
      <c r="H18" s="44" t="str">
        <f t="shared" si="2"/>
        <v/>
      </c>
      <c r="I18" s="73"/>
      <c r="J18" s="207"/>
      <c r="K18" s="208" t="str">
        <f t="shared" si="3"/>
        <v/>
      </c>
      <c r="L18" s="214" t="str">
        <f t="shared" si="4"/>
        <v/>
      </c>
      <c r="M18" s="215">
        <f t="shared" si="5"/>
        <v>0</v>
      </c>
      <c r="N18" s="216"/>
      <c r="O18" s="111" t="str">
        <f t="shared" si="6"/>
        <v/>
      </c>
      <c r="P18" s="37" t="str">
        <f t="shared" si="7"/>
        <v/>
      </c>
      <c r="Q18" s="45" t="str">
        <f t="shared" si="7"/>
        <v/>
      </c>
      <c r="R18" s="46" t="str">
        <f t="shared" si="13"/>
        <v/>
      </c>
      <c r="S18" s="47" t="str">
        <f t="shared" si="14"/>
        <v/>
      </c>
      <c r="T18" s="103" t="str">
        <f t="shared" si="14"/>
        <v/>
      </c>
      <c r="U18" s="55">
        <f>SUMPRODUCT(($B$18="se")*($AA$18))</f>
        <v>0</v>
      </c>
      <c r="V18" s="53">
        <f>SUMPRODUCT(($B$18="se")*($AB$18))</f>
        <v>0</v>
      </c>
      <c r="W18" s="48">
        <f t="shared" si="8"/>
        <v>0</v>
      </c>
      <c r="X18" s="49">
        <f t="shared" si="9"/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 t="shared" si="10"/>
        <v>0</v>
      </c>
      <c r="AB18" s="109">
        <f t="shared" si="11"/>
        <v>0</v>
      </c>
      <c r="AC18" s="8"/>
      <c r="AD18" s="157" t="s">
        <v>95</v>
      </c>
      <c r="AE18" s="160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7" thickBot="1" x14ac:dyDescent="0.25">
      <c r="A19" s="10">
        <v>10</v>
      </c>
      <c r="B19" s="41" t="str">
        <f t="shared" si="1"/>
        <v>Se</v>
      </c>
      <c r="C19" s="223">
        <f t="shared" si="12"/>
        <v>42776</v>
      </c>
      <c r="D19" s="42"/>
      <c r="E19" s="42"/>
      <c r="F19" s="43"/>
      <c r="G19" s="43"/>
      <c r="H19" s="44" t="str">
        <f t="shared" si="2"/>
        <v/>
      </c>
      <c r="I19" s="73"/>
      <c r="J19" s="207"/>
      <c r="K19" s="208" t="str">
        <f t="shared" si="3"/>
        <v/>
      </c>
      <c r="L19" s="214" t="str">
        <f t="shared" si="4"/>
        <v/>
      </c>
      <c r="M19" s="215">
        <f t="shared" si="5"/>
        <v>0</v>
      </c>
      <c r="N19" s="216"/>
      <c r="O19" s="111" t="str">
        <f t="shared" si="6"/>
        <v/>
      </c>
      <c r="P19" s="37" t="str">
        <f t="shared" si="7"/>
        <v/>
      </c>
      <c r="Q19" s="45" t="str">
        <f t="shared" si="7"/>
        <v/>
      </c>
      <c r="R19" s="46" t="str">
        <f t="shared" si="13"/>
        <v/>
      </c>
      <c r="S19" s="47" t="str">
        <f t="shared" si="14"/>
        <v/>
      </c>
      <c r="T19" s="103" t="str">
        <f t="shared" si="14"/>
        <v/>
      </c>
      <c r="U19" s="55">
        <f>SUMPRODUCT(($B$19="se")*($AA$19))</f>
        <v>0</v>
      </c>
      <c r="V19" s="53">
        <f>SUMPRODUCT(($B$19="se")*($AB$19))</f>
        <v>0</v>
      </c>
      <c r="W19" s="48">
        <f t="shared" si="8"/>
        <v>0</v>
      </c>
      <c r="X19" s="49">
        <f t="shared" si="9"/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 t="shared" si="10"/>
        <v>0</v>
      </c>
      <c r="AB19" s="109">
        <f t="shared" si="11"/>
        <v>0</v>
      </c>
      <c r="AC19" s="8"/>
      <c r="AD19" s="226"/>
      <c r="AE19" s="227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6" x14ac:dyDescent="0.2">
      <c r="A20" s="10">
        <v>11</v>
      </c>
      <c r="B20" s="41" t="str">
        <f t="shared" si="1"/>
        <v>Se</v>
      </c>
      <c r="C20" s="223">
        <f t="shared" si="12"/>
        <v>42777</v>
      </c>
      <c r="D20" s="42"/>
      <c r="E20" s="42"/>
      <c r="F20" s="43"/>
      <c r="G20" s="43"/>
      <c r="H20" s="44" t="str">
        <f t="shared" si="2"/>
        <v/>
      </c>
      <c r="I20" s="73"/>
      <c r="J20" s="207"/>
      <c r="K20" s="208" t="str">
        <f t="shared" si="3"/>
        <v/>
      </c>
      <c r="L20" s="214" t="str">
        <f t="shared" si="4"/>
        <v/>
      </c>
      <c r="M20" s="215">
        <f t="shared" si="5"/>
        <v>0</v>
      </c>
      <c r="N20" s="216"/>
      <c r="O20" s="111" t="str">
        <f t="shared" si="6"/>
        <v/>
      </c>
      <c r="P20" s="37" t="str">
        <f t="shared" si="7"/>
        <v/>
      </c>
      <c r="Q20" s="45" t="str">
        <f t="shared" si="7"/>
        <v/>
      </c>
      <c r="R20" s="46" t="str">
        <f t="shared" si="13"/>
        <v/>
      </c>
      <c r="S20" s="47" t="str">
        <f t="shared" si="14"/>
        <v/>
      </c>
      <c r="T20" s="103" t="str">
        <f t="shared" si="14"/>
        <v/>
      </c>
      <c r="U20" s="55">
        <f>SUMPRODUCT(($B$20="se")*($AA$20))</f>
        <v>0</v>
      </c>
      <c r="V20" s="53">
        <f>SUMPRODUCT(($B$20="se")*($AB$20))</f>
        <v>0</v>
      </c>
      <c r="W20" s="48">
        <f t="shared" si="8"/>
        <v>0</v>
      </c>
      <c r="X20" s="49">
        <f t="shared" si="9"/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 t="shared" si="10"/>
        <v>0</v>
      </c>
      <c r="AB20" s="109">
        <f t="shared" si="11"/>
        <v>0</v>
      </c>
      <c r="AC20" s="8"/>
      <c r="AD20" s="157" t="s">
        <v>96</v>
      </c>
      <c r="AE20" s="160">
        <f>SUMPRODUCT(($B$10:$B$40="dim")*($AB$10:$AB$40))</f>
        <v>0</v>
      </c>
      <c r="AF20" s="5"/>
      <c r="AG20" s="261" t="s">
        <v>104</v>
      </c>
      <c r="AH20" s="262"/>
      <c r="AI20" s="262"/>
      <c r="AJ20" s="263"/>
      <c r="AK20" s="5"/>
      <c r="AL20" s="5"/>
      <c r="AM20" s="5"/>
      <c r="AN20" s="5"/>
      <c r="AO20" s="5"/>
    </row>
    <row r="21" spans="1:41" ht="16" x14ac:dyDescent="0.2">
      <c r="A21" s="10">
        <v>12</v>
      </c>
      <c r="B21" s="41" t="str">
        <f t="shared" si="1"/>
        <v>Dim</v>
      </c>
      <c r="C21" s="223">
        <f t="shared" si="12"/>
        <v>42778</v>
      </c>
      <c r="D21" s="42"/>
      <c r="E21" s="42"/>
      <c r="F21" s="43"/>
      <c r="G21" s="43"/>
      <c r="H21" s="44" t="str">
        <f t="shared" si="2"/>
        <v/>
      </c>
      <c r="I21" s="73"/>
      <c r="J21" s="207"/>
      <c r="K21" s="208" t="str">
        <f t="shared" si="3"/>
        <v/>
      </c>
      <c r="L21" s="214" t="str">
        <f t="shared" si="4"/>
        <v/>
      </c>
      <c r="M21" s="215">
        <f t="shared" si="5"/>
        <v>0</v>
      </c>
      <c r="N21" s="216"/>
      <c r="O21" s="111" t="str">
        <f t="shared" si="6"/>
        <v/>
      </c>
      <c r="P21" s="37" t="str">
        <f t="shared" si="7"/>
        <v/>
      </c>
      <c r="Q21" s="45" t="str">
        <f t="shared" si="7"/>
        <v/>
      </c>
      <c r="R21" s="46" t="str">
        <f t="shared" si="13"/>
        <v/>
      </c>
      <c r="S21" s="47" t="str">
        <f t="shared" si="14"/>
        <v/>
      </c>
      <c r="T21" s="103" t="str">
        <f t="shared" si="14"/>
        <v/>
      </c>
      <c r="U21" s="55">
        <f>SUMPRODUCT(($B$21="se")*($AA$21))</f>
        <v>0</v>
      </c>
      <c r="V21" s="53">
        <f>SUMPRODUCT(($B$21="se")*($AB$21))</f>
        <v>0</v>
      </c>
      <c r="W21" s="48">
        <f t="shared" si="8"/>
        <v>0</v>
      </c>
      <c r="X21" s="49">
        <f t="shared" si="9"/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 t="shared" si="10"/>
        <v>0</v>
      </c>
      <c r="AB21" s="109">
        <f t="shared" si="11"/>
        <v>0</v>
      </c>
      <c r="AC21" s="8"/>
      <c r="AD21" s="226"/>
      <c r="AE21" s="227"/>
      <c r="AF21" s="5"/>
      <c r="AG21" s="264" t="s">
        <v>105</v>
      </c>
      <c r="AH21" s="265"/>
      <c r="AI21" s="266" t="s">
        <v>107</v>
      </c>
      <c r="AJ21" s="267"/>
      <c r="AK21" s="5"/>
      <c r="AL21" s="5"/>
      <c r="AM21" s="5"/>
      <c r="AN21" s="5"/>
      <c r="AO21" s="5"/>
    </row>
    <row r="22" spans="1:41" ht="16" x14ac:dyDescent="0.2">
      <c r="A22" s="10">
        <v>13</v>
      </c>
      <c r="B22" s="41" t="str">
        <f t="shared" si="1"/>
        <v>Se</v>
      </c>
      <c r="C22" s="223">
        <f t="shared" si="12"/>
        <v>42779</v>
      </c>
      <c r="D22" s="42"/>
      <c r="E22" s="42"/>
      <c r="F22" s="43"/>
      <c r="G22" s="43"/>
      <c r="H22" s="44" t="str">
        <f t="shared" si="2"/>
        <v/>
      </c>
      <c r="I22" s="73"/>
      <c r="J22" s="207"/>
      <c r="K22" s="208" t="str">
        <f t="shared" si="3"/>
        <v/>
      </c>
      <c r="L22" s="214" t="str">
        <f t="shared" si="4"/>
        <v/>
      </c>
      <c r="M22" s="215">
        <f t="shared" si="5"/>
        <v>0</v>
      </c>
      <c r="N22" s="216"/>
      <c r="O22" s="111" t="str">
        <f t="shared" si="6"/>
        <v/>
      </c>
      <c r="P22" s="37" t="str">
        <f t="shared" si="7"/>
        <v/>
      </c>
      <c r="Q22" s="45" t="str">
        <f t="shared" si="7"/>
        <v/>
      </c>
      <c r="R22" s="46" t="str">
        <f t="shared" si="13"/>
        <v/>
      </c>
      <c r="S22" s="47" t="str">
        <f t="shared" si="14"/>
        <v/>
      </c>
      <c r="T22" s="103" t="str">
        <f t="shared" si="14"/>
        <v/>
      </c>
      <c r="U22" s="55">
        <f>SUMPRODUCT(($B$22="se")*($AA$22))</f>
        <v>0</v>
      </c>
      <c r="V22" s="53">
        <f>SUMPRODUCT(($B$22="se")*($AB$22))</f>
        <v>0</v>
      </c>
      <c r="W22" s="48">
        <f t="shared" si="8"/>
        <v>0</v>
      </c>
      <c r="X22" s="49">
        <f t="shared" si="9"/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 t="shared" si="10"/>
        <v>0</v>
      </c>
      <c r="AB22" s="109">
        <f t="shared" si="11"/>
        <v>0</v>
      </c>
      <c r="AC22" s="8"/>
      <c r="AD22" s="157" t="s">
        <v>102</v>
      </c>
      <c r="AE22" s="164">
        <f>SUMPRODUCT(($B$10:$B$40="férié")*($M$10:$M$40&gt;0))</f>
        <v>0</v>
      </c>
      <c r="AF22" s="5"/>
      <c r="AG22" s="252" t="s">
        <v>106</v>
      </c>
      <c r="AH22" s="253"/>
      <c r="AI22" s="254" t="s">
        <v>108</v>
      </c>
      <c r="AJ22" s="255"/>
      <c r="AK22" s="5"/>
      <c r="AL22" s="5"/>
      <c r="AM22" s="5"/>
      <c r="AN22" s="5"/>
      <c r="AO22" s="5"/>
    </row>
    <row r="23" spans="1:41" ht="16" x14ac:dyDescent="0.2">
      <c r="A23" s="10">
        <v>14</v>
      </c>
      <c r="B23" s="41" t="str">
        <f t="shared" si="1"/>
        <v>Se</v>
      </c>
      <c r="C23" s="223">
        <f t="shared" si="12"/>
        <v>42780</v>
      </c>
      <c r="D23" s="42"/>
      <c r="E23" s="42"/>
      <c r="F23" s="43"/>
      <c r="G23" s="43"/>
      <c r="H23" s="44" t="str">
        <f t="shared" si="2"/>
        <v/>
      </c>
      <c r="I23" s="73"/>
      <c r="J23" s="207"/>
      <c r="K23" s="208" t="str">
        <f t="shared" si="3"/>
        <v/>
      </c>
      <c r="L23" s="214" t="str">
        <f t="shared" si="4"/>
        <v/>
      </c>
      <c r="M23" s="215">
        <f t="shared" si="5"/>
        <v>0</v>
      </c>
      <c r="N23" s="216"/>
      <c r="O23" s="111" t="str">
        <f t="shared" si="6"/>
        <v/>
      </c>
      <c r="P23" s="37" t="str">
        <f t="shared" si="7"/>
        <v/>
      </c>
      <c r="Q23" s="45" t="str">
        <f t="shared" si="7"/>
        <v/>
      </c>
      <c r="R23" s="46" t="str">
        <f t="shared" si="13"/>
        <v/>
      </c>
      <c r="S23" s="47" t="str">
        <f t="shared" si="14"/>
        <v/>
      </c>
      <c r="T23" s="103" t="str">
        <f t="shared" si="14"/>
        <v/>
      </c>
      <c r="U23" s="55">
        <f>SUMPRODUCT(($B$23="se")*($AA$23))</f>
        <v>0</v>
      </c>
      <c r="V23" s="53">
        <f>SUMPRODUCT(($B$23="se")*($AB$23))</f>
        <v>0</v>
      </c>
      <c r="W23" s="48">
        <f t="shared" si="8"/>
        <v>0</v>
      </c>
      <c r="X23" s="49">
        <f t="shared" si="9"/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 t="shared" si="10"/>
        <v>0</v>
      </c>
      <c r="AB23" s="109">
        <f t="shared" si="11"/>
        <v>0</v>
      </c>
      <c r="AC23" s="8"/>
      <c r="AD23" s="250"/>
      <c r="AE23" s="251"/>
      <c r="AF23" s="5"/>
      <c r="AG23" s="252" t="s">
        <v>21</v>
      </c>
      <c r="AH23" s="253"/>
      <c r="AI23" s="254" t="s">
        <v>110</v>
      </c>
      <c r="AJ23" s="255"/>
      <c r="AK23" s="5"/>
      <c r="AL23" s="5"/>
      <c r="AM23" s="5"/>
      <c r="AN23" s="5"/>
      <c r="AO23" s="5"/>
    </row>
    <row r="24" spans="1:41" ht="17" thickBot="1" x14ac:dyDescent="0.25">
      <c r="A24" s="10">
        <v>15</v>
      </c>
      <c r="B24" s="41" t="str">
        <f t="shared" si="1"/>
        <v>Se</v>
      </c>
      <c r="C24" s="223">
        <f t="shared" si="12"/>
        <v>42781</v>
      </c>
      <c r="D24" s="42"/>
      <c r="E24" s="42"/>
      <c r="F24" s="43"/>
      <c r="G24" s="43"/>
      <c r="H24" s="44" t="str">
        <f t="shared" si="2"/>
        <v/>
      </c>
      <c r="I24" s="73"/>
      <c r="J24" s="207"/>
      <c r="K24" s="208" t="str">
        <f t="shared" si="3"/>
        <v/>
      </c>
      <c r="L24" s="214" t="str">
        <f t="shared" si="4"/>
        <v/>
      </c>
      <c r="M24" s="215">
        <f t="shared" si="5"/>
        <v>0</v>
      </c>
      <c r="N24" s="216"/>
      <c r="O24" s="111" t="str">
        <f t="shared" si="6"/>
        <v/>
      </c>
      <c r="P24" s="37" t="str">
        <f t="shared" si="7"/>
        <v/>
      </c>
      <c r="Q24" s="45" t="str">
        <f t="shared" si="7"/>
        <v/>
      </c>
      <c r="R24" s="46" t="str">
        <f t="shared" si="13"/>
        <v/>
      </c>
      <c r="S24" s="47" t="str">
        <f t="shared" si="14"/>
        <v/>
      </c>
      <c r="T24" s="103" t="str">
        <f t="shared" si="14"/>
        <v/>
      </c>
      <c r="U24" s="55">
        <f>SUMPRODUCT(($B$24="se")*($AA$24))</f>
        <v>0</v>
      </c>
      <c r="V24" s="53">
        <f>SUMPRODUCT(($B$24="se")*($AB$24))</f>
        <v>0</v>
      </c>
      <c r="W24" s="48">
        <f t="shared" si="8"/>
        <v>0</v>
      </c>
      <c r="X24" s="49">
        <f t="shared" si="9"/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 t="shared" si="10"/>
        <v>0</v>
      </c>
      <c r="AB24" s="109">
        <f t="shared" si="11"/>
        <v>0</v>
      </c>
      <c r="AC24" s="8"/>
      <c r="AD24" s="157" t="s">
        <v>90</v>
      </c>
      <c r="AE24" s="160">
        <f>SUM(Y7+Z7)</f>
        <v>0</v>
      </c>
      <c r="AF24" s="5"/>
      <c r="AG24" s="230" t="s">
        <v>111</v>
      </c>
      <c r="AH24" s="231"/>
      <c r="AI24" s="240" t="s">
        <v>109</v>
      </c>
      <c r="AJ24" s="241"/>
      <c r="AK24" s="5"/>
      <c r="AL24" s="5"/>
      <c r="AM24" s="5"/>
      <c r="AN24" s="5"/>
      <c r="AO24" s="5"/>
    </row>
    <row r="25" spans="1:41" ht="16" x14ac:dyDescent="0.2">
      <c r="A25" s="10">
        <v>16</v>
      </c>
      <c r="B25" s="41" t="str">
        <f t="shared" si="1"/>
        <v>Se</v>
      </c>
      <c r="C25" s="223">
        <f t="shared" si="12"/>
        <v>42782</v>
      </c>
      <c r="D25" s="42"/>
      <c r="E25" s="42"/>
      <c r="F25" s="43"/>
      <c r="G25" s="43"/>
      <c r="H25" s="44" t="str">
        <f t="shared" si="2"/>
        <v/>
      </c>
      <c r="I25" s="73"/>
      <c r="J25" s="207"/>
      <c r="K25" s="208" t="str">
        <f t="shared" si="3"/>
        <v/>
      </c>
      <c r="L25" s="214" t="str">
        <f t="shared" si="4"/>
        <v/>
      </c>
      <c r="M25" s="215">
        <f t="shared" si="5"/>
        <v>0</v>
      </c>
      <c r="N25" s="216"/>
      <c r="O25" s="111" t="str">
        <f t="shared" si="6"/>
        <v/>
      </c>
      <c r="P25" s="37" t="str">
        <f t="shared" si="7"/>
        <v/>
      </c>
      <c r="Q25" s="45" t="str">
        <f t="shared" si="7"/>
        <v/>
      </c>
      <c r="R25" s="46" t="str">
        <f t="shared" si="13"/>
        <v/>
      </c>
      <c r="S25" s="47" t="str">
        <f t="shared" si="14"/>
        <v/>
      </c>
      <c r="T25" s="103" t="str">
        <f t="shared" si="14"/>
        <v/>
      </c>
      <c r="U25" s="55">
        <f>SUMPRODUCT(($B$25="se")*($AA$25))</f>
        <v>0</v>
      </c>
      <c r="V25" s="53">
        <f>SUMPRODUCT(($B$25="se")*($AB$25))</f>
        <v>0</v>
      </c>
      <c r="W25" s="48">
        <f t="shared" si="8"/>
        <v>0</v>
      </c>
      <c r="X25" s="49">
        <f t="shared" si="9"/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 t="shared" si="10"/>
        <v>0</v>
      </c>
      <c r="AB25" s="109">
        <f t="shared" si="11"/>
        <v>0</v>
      </c>
      <c r="AC25" s="8"/>
      <c r="AD25" s="226"/>
      <c r="AE25" s="227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6" customHeight="1" x14ac:dyDescent="0.2">
      <c r="A26" s="10">
        <v>17</v>
      </c>
      <c r="B26" s="41" t="str">
        <f t="shared" si="1"/>
        <v>Se</v>
      </c>
      <c r="C26" s="223">
        <f t="shared" si="12"/>
        <v>42783</v>
      </c>
      <c r="D26" s="42"/>
      <c r="E26" s="42"/>
      <c r="F26" s="43"/>
      <c r="G26" s="43"/>
      <c r="H26" s="44" t="str">
        <f t="shared" si="2"/>
        <v/>
      </c>
      <c r="I26" s="73"/>
      <c r="J26" s="207"/>
      <c r="K26" s="208" t="str">
        <f t="shared" si="3"/>
        <v/>
      </c>
      <c r="L26" s="214" t="str">
        <f t="shared" si="4"/>
        <v/>
      </c>
      <c r="M26" s="215">
        <f t="shared" si="5"/>
        <v>0</v>
      </c>
      <c r="N26" s="216"/>
      <c r="O26" s="111" t="str">
        <f t="shared" si="6"/>
        <v/>
      </c>
      <c r="P26" s="37" t="str">
        <f t="shared" si="7"/>
        <v/>
      </c>
      <c r="Q26" s="45" t="str">
        <f t="shared" si="7"/>
        <v/>
      </c>
      <c r="R26" s="46" t="str">
        <f t="shared" si="13"/>
        <v/>
      </c>
      <c r="S26" s="47" t="str">
        <f t="shared" si="14"/>
        <v/>
      </c>
      <c r="T26" s="103" t="str">
        <f t="shared" si="14"/>
        <v/>
      </c>
      <c r="U26" s="55">
        <f>SUMPRODUCT(($B$26="se")*($AA$26))</f>
        <v>0</v>
      </c>
      <c r="V26" s="53">
        <f>SUMPRODUCT(($B$26="se")*($AB$26))</f>
        <v>0</v>
      </c>
      <c r="W26" s="48">
        <f t="shared" si="8"/>
        <v>0</v>
      </c>
      <c r="X26" s="49">
        <f t="shared" si="9"/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 t="shared" si="10"/>
        <v>0</v>
      </c>
      <c r="AB26" s="109">
        <f t="shared" si="11"/>
        <v>0</v>
      </c>
      <c r="AC26" s="8"/>
      <c r="AD26" s="157" t="s">
        <v>91</v>
      </c>
      <c r="AE26" s="160">
        <f>SUM(Y9+Z9)</f>
        <v>0</v>
      </c>
      <c r="AF26" s="5"/>
      <c r="AG26" s="232" t="s">
        <v>121</v>
      </c>
      <c r="AH26" s="233"/>
      <c r="AI26" s="242">
        <v>2</v>
      </c>
      <c r="AJ26" s="243"/>
      <c r="AK26" s="5"/>
      <c r="AL26" s="5"/>
      <c r="AM26" s="5"/>
      <c r="AN26" s="5"/>
      <c r="AO26" s="5"/>
    </row>
    <row r="27" spans="1:41" ht="16" customHeight="1" x14ac:dyDescent="0.2">
      <c r="A27" s="10">
        <v>18</v>
      </c>
      <c r="B27" s="41" t="str">
        <f t="shared" si="1"/>
        <v>Se</v>
      </c>
      <c r="C27" s="223">
        <f t="shared" si="12"/>
        <v>42784</v>
      </c>
      <c r="D27" s="42"/>
      <c r="E27" s="42"/>
      <c r="F27" s="43"/>
      <c r="G27" s="43"/>
      <c r="H27" s="44" t="str">
        <f t="shared" si="2"/>
        <v/>
      </c>
      <c r="I27" s="73"/>
      <c r="J27" s="207"/>
      <c r="K27" s="208" t="str">
        <f t="shared" si="3"/>
        <v/>
      </c>
      <c r="L27" s="214" t="str">
        <f t="shared" si="4"/>
        <v/>
      </c>
      <c r="M27" s="215">
        <f t="shared" si="5"/>
        <v>0</v>
      </c>
      <c r="N27" s="216"/>
      <c r="O27" s="111" t="str">
        <f t="shared" si="6"/>
        <v/>
      </c>
      <c r="P27" s="37" t="str">
        <f t="shared" si="7"/>
        <v/>
      </c>
      <c r="Q27" s="45" t="str">
        <f t="shared" si="7"/>
        <v/>
      </c>
      <c r="R27" s="46" t="str">
        <f t="shared" si="13"/>
        <v/>
      </c>
      <c r="S27" s="47" t="str">
        <f t="shared" si="14"/>
        <v/>
      </c>
      <c r="T27" s="103" t="str">
        <f t="shared" si="14"/>
        <v/>
      </c>
      <c r="U27" s="55">
        <f>SUMPRODUCT(($B$27="se")*($AA$27))</f>
        <v>0</v>
      </c>
      <c r="V27" s="53">
        <f>SUMPRODUCT(($B$27="se")*($AB$27))</f>
        <v>0</v>
      </c>
      <c r="W27" s="48">
        <f t="shared" si="8"/>
        <v>0</v>
      </c>
      <c r="X27" s="49">
        <f t="shared" si="9"/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 t="shared" si="10"/>
        <v>0</v>
      </c>
      <c r="AB27" s="109">
        <f t="shared" si="11"/>
        <v>0</v>
      </c>
      <c r="AC27" s="8"/>
      <c r="AD27" s="226"/>
      <c r="AE27" s="227"/>
      <c r="AF27" s="5"/>
      <c r="AG27" s="234"/>
      <c r="AH27" s="235"/>
      <c r="AI27" s="244"/>
      <c r="AJ27" s="245"/>
      <c r="AK27" s="5"/>
      <c r="AL27" s="5"/>
      <c r="AM27" s="5"/>
      <c r="AN27" s="5"/>
      <c r="AO27" s="5"/>
    </row>
    <row r="28" spans="1:41" ht="16" customHeight="1" x14ac:dyDescent="0.2">
      <c r="A28" s="10">
        <v>19</v>
      </c>
      <c r="B28" s="41" t="str">
        <f t="shared" si="1"/>
        <v>Dim</v>
      </c>
      <c r="C28" s="223">
        <f t="shared" si="12"/>
        <v>42785</v>
      </c>
      <c r="D28" s="42"/>
      <c r="E28" s="42"/>
      <c r="F28" s="43"/>
      <c r="G28" s="43"/>
      <c r="H28" s="44" t="str">
        <f t="shared" si="2"/>
        <v/>
      </c>
      <c r="I28" s="73"/>
      <c r="J28" s="207"/>
      <c r="K28" s="208" t="str">
        <f t="shared" si="3"/>
        <v/>
      </c>
      <c r="L28" s="214" t="str">
        <f t="shared" si="4"/>
        <v/>
      </c>
      <c r="M28" s="215">
        <f t="shared" si="5"/>
        <v>0</v>
      </c>
      <c r="N28" s="216"/>
      <c r="O28" s="111" t="str">
        <f t="shared" si="6"/>
        <v/>
      </c>
      <c r="P28" s="37" t="str">
        <f t="shared" si="7"/>
        <v/>
      </c>
      <c r="Q28" s="45" t="str">
        <f t="shared" si="7"/>
        <v/>
      </c>
      <c r="R28" s="46" t="str">
        <f t="shared" si="13"/>
        <v/>
      </c>
      <c r="S28" s="47" t="str">
        <f t="shared" ref="S28:T40" si="15">IF(OR(R28="",S$9=""),"",IF($F27&gt;$G27,MAX(,MIN(S$9,$G27+24/24)-MAX(S$8,$F27)),MAX(,MIN(S$9,$G27)-MAX(S$8,$F27))))</f>
        <v/>
      </c>
      <c r="T28" s="103" t="str">
        <f t="shared" si="15"/>
        <v/>
      </c>
      <c r="U28" s="55">
        <f>SUMPRODUCT(($B$28="se")*($AA$28))</f>
        <v>0</v>
      </c>
      <c r="V28" s="53">
        <f>SUMPRODUCT(($B$28="se")*($AB$28))</f>
        <v>0</v>
      </c>
      <c r="W28" s="48">
        <f t="shared" si="8"/>
        <v>0</v>
      </c>
      <c r="X28" s="49">
        <f t="shared" si="9"/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 t="shared" si="10"/>
        <v>0</v>
      </c>
      <c r="AB28" s="109">
        <f t="shared" si="11"/>
        <v>0</v>
      </c>
      <c r="AC28" s="8"/>
      <c r="AD28" s="157" t="s">
        <v>92</v>
      </c>
      <c r="AE28" s="160">
        <f>SUM(Y11+Z11)</f>
        <v>0</v>
      </c>
      <c r="AF28" s="5"/>
      <c r="AG28" s="236" t="s">
        <v>122</v>
      </c>
      <c r="AH28" s="237"/>
      <c r="AI28" s="246">
        <v>2017</v>
      </c>
      <c r="AJ28" s="247"/>
      <c r="AK28" s="5"/>
      <c r="AL28" s="5"/>
      <c r="AM28" s="5"/>
      <c r="AN28" s="5"/>
      <c r="AO28" s="5"/>
    </row>
    <row r="29" spans="1:41" ht="16" customHeight="1" x14ac:dyDescent="0.2">
      <c r="A29" s="10">
        <v>20</v>
      </c>
      <c r="B29" s="41" t="str">
        <f t="shared" si="1"/>
        <v>Se</v>
      </c>
      <c r="C29" s="223">
        <f t="shared" si="12"/>
        <v>42786</v>
      </c>
      <c r="D29" s="42"/>
      <c r="E29" s="42"/>
      <c r="F29" s="43"/>
      <c r="G29" s="43"/>
      <c r="H29" s="44" t="str">
        <f t="shared" si="2"/>
        <v/>
      </c>
      <c r="I29" s="73"/>
      <c r="J29" s="207"/>
      <c r="K29" s="208" t="str">
        <f t="shared" si="3"/>
        <v/>
      </c>
      <c r="L29" s="214" t="str">
        <f t="shared" si="4"/>
        <v/>
      </c>
      <c r="M29" s="215">
        <f t="shared" si="5"/>
        <v>0</v>
      </c>
      <c r="N29" s="216"/>
      <c r="O29" s="111" t="str">
        <f t="shared" si="6"/>
        <v/>
      </c>
      <c r="P29" s="37" t="str">
        <f t="shared" si="7"/>
        <v/>
      </c>
      <c r="Q29" s="45" t="str">
        <f t="shared" si="7"/>
        <v/>
      </c>
      <c r="R29" s="46" t="str">
        <f t="shared" si="13"/>
        <v/>
      </c>
      <c r="S29" s="47" t="str">
        <f t="shared" si="15"/>
        <v/>
      </c>
      <c r="T29" s="103" t="str">
        <f t="shared" si="15"/>
        <v/>
      </c>
      <c r="U29" s="55">
        <f>SUMPRODUCT(($B$29="se")*($AA$29))</f>
        <v>0</v>
      </c>
      <c r="V29" s="53">
        <f>SUMPRODUCT(($B$29="se")*($AB$29))</f>
        <v>0</v>
      </c>
      <c r="W29" s="48">
        <f t="shared" si="8"/>
        <v>0</v>
      </c>
      <c r="X29" s="49">
        <f t="shared" si="9"/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 t="shared" si="10"/>
        <v>0</v>
      </c>
      <c r="AB29" s="109">
        <f t="shared" si="11"/>
        <v>0</v>
      </c>
      <c r="AC29" s="8"/>
      <c r="AD29" s="226"/>
      <c r="AE29" s="227"/>
      <c r="AF29" s="5"/>
      <c r="AG29" s="238"/>
      <c r="AH29" s="239"/>
      <c r="AI29" s="248"/>
      <c r="AJ29" s="249"/>
      <c r="AK29" s="5"/>
      <c r="AL29" s="5"/>
      <c r="AM29" s="5"/>
      <c r="AN29" s="5"/>
      <c r="AO29" s="5"/>
    </row>
    <row r="30" spans="1:41" ht="16" x14ac:dyDescent="0.2">
      <c r="A30" s="10">
        <v>21</v>
      </c>
      <c r="B30" s="41" t="str">
        <f t="shared" si="1"/>
        <v>Se</v>
      </c>
      <c r="C30" s="223">
        <f t="shared" si="12"/>
        <v>42787</v>
      </c>
      <c r="D30" s="42"/>
      <c r="E30" s="42"/>
      <c r="F30" s="43"/>
      <c r="G30" s="43"/>
      <c r="H30" s="44" t="str">
        <f t="shared" si="2"/>
        <v/>
      </c>
      <c r="I30" s="73"/>
      <c r="J30" s="207"/>
      <c r="K30" s="208" t="str">
        <f t="shared" si="3"/>
        <v/>
      </c>
      <c r="L30" s="214" t="str">
        <f t="shared" si="4"/>
        <v/>
      </c>
      <c r="M30" s="215">
        <f t="shared" si="5"/>
        <v>0</v>
      </c>
      <c r="N30" s="216"/>
      <c r="O30" s="111" t="str">
        <f t="shared" si="6"/>
        <v/>
      </c>
      <c r="P30" s="37" t="str">
        <f t="shared" ref="P30:Q40" si="16">IF(OR($C30="",O30="",P$9=""),"",IF($F30&gt;$G30,MAX(,MIN(P$9,$G30+24/24)-MAX(P$8,$F30)),MAX(,MIN(P$9,$G30)-MAX(P$8,$F30))))</f>
        <v/>
      </c>
      <c r="Q30" s="45" t="str">
        <f t="shared" si="16"/>
        <v/>
      </c>
      <c r="R30" s="46" t="str">
        <f t="shared" si="13"/>
        <v/>
      </c>
      <c r="S30" s="47" t="str">
        <f t="shared" si="15"/>
        <v/>
      </c>
      <c r="T30" s="103" t="str">
        <f t="shared" si="15"/>
        <v/>
      </c>
      <c r="U30" s="55">
        <f>SUMPRODUCT(($B$30="se")*($AA$30))</f>
        <v>0</v>
      </c>
      <c r="V30" s="53">
        <f>SUMPRODUCT(($B$30="se")*($AB$30))</f>
        <v>0</v>
      </c>
      <c r="W30" s="48">
        <f t="shared" si="8"/>
        <v>0</v>
      </c>
      <c r="X30" s="49">
        <f t="shared" si="9"/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 t="shared" si="10"/>
        <v>0</v>
      </c>
      <c r="AB30" s="109">
        <f t="shared" si="11"/>
        <v>0</v>
      </c>
      <c r="AC30" s="66"/>
      <c r="AD30" s="161" t="s">
        <v>84</v>
      </c>
      <c r="AE30" s="165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6" x14ac:dyDescent="0.2">
      <c r="A31" s="10">
        <v>22</v>
      </c>
      <c r="B31" s="41" t="str">
        <f t="shared" si="1"/>
        <v>Se</v>
      </c>
      <c r="C31" s="223">
        <f t="shared" si="12"/>
        <v>42788</v>
      </c>
      <c r="D31" s="42"/>
      <c r="E31" s="42"/>
      <c r="F31" s="43"/>
      <c r="G31" s="43"/>
      <c r="H31" s="44" t="str">
        <f t="shared" si="2"/>
        <v/>
      </c>
      <c r="I31" s="73"/>
      <c r="J31" s="207"/>
      <c r="K31" s="208" t="str">
        <f t="shared" si="3"/>
        <v/>
      </c>
      <c r="L31" s="214" t="str">
        <f t="shared" si="4"/>
        <v/>
      </c>
      <c r="M31" s="215">
        <f t="shared" si="5"/>
        <v>0</v>
      </c>
      <c r="N31" s="216"/>
      <c r="O31" s="111" t="str">
        <f t="shared" si="6"/>
        <v/>
      </c>
      <c r="P31" s="37" t="str">
        <f t="shared" si="16"/>
        <v/>
      </c>
      <c r="Q31" s="45" t="str">
        <f t="shared" si="16"/>
        <v/>
      </c>
      <c r="R31" s="46" t="str">
        <f t="shared" si="13"/>
        <v/>
      </c>
      <c r="S31" s="47" t="str">
        <f t="shared" si="15"/>
        <v/>
      </c>
      <c r="T31" s="103" t="str">
        <f t="shared" si="15"/>
        <v/>
      </c>
      <c r="U31" s="55">
        <f>SUMPRODUCT(($B$31="se")*($AA$31))</f>
        <v>0</v>
      </c>
      <c r="V31" s="53">
        <f>SUMPRODUCT(($B$31="se")*($AB$31))</f>
        <v>0</v>
      </c>
      <c r="W31" s="48">
        <f t="shared" si="8"/>
        <v>0</v>
      </c>
      <c r="X31" s="49">
        <f t="shared" si="9"/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 t="shared" si="10"/>
        <v>0</v>
      </c>
      <c r="AB31" s="109">
        <f t="shared" si="11"/>
        <v>0</v>
      </c>
      <c r="AC31" s="8"/>
      <c r="AD31" s="224"/>
      <c r="AE31" s="225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6" x14ac:dyDescent="0.2">
      <c r="A32" s="10">
        <v>23</v>
      </c>
      <c r="B32" s="41" t="str">
        <f t="shared" si="1"/>
        <v>Se</v>
      </c>
      <c r="C32" s="223">
        <f t="shared" si="12"/>
        <v>42789</v>
      </c>
      <c r="D32" s="42"/>
      <c r="E32" s="42"/>
      <c r="F32" s="43"/>
      <c r="G32" s="43"/>
      <c r="H32" s="44" t="str">
        <f t="shared" si="2"/>
        <v/>
      </c>
      <c r="I32" s="73"/>
      <c r="J32" s="207"/>
      <c r="K32" s="208" t="str">
        <f t="shared" si="3"/>
        <v/>
      </c>
      <c r="L32" s="214" t="str">
        <f t="shared" si="4"/>
        <v/>
      </c>
      <c r="M32" s="215">
        <f t="shared" si="5"/>
        <v>0</v>
      </c>
      <c r="N32" s="216"/>
      <c r="O32" s="111" t="str">
        <f t="shared" si="6"/>
        <v/>
      </c>
      <c r="P32" s="37" t="str">
        <f t="shared" si="16"/>
        <v/>
      </c>
      <c r="Q32" s="45" t="str">
        <f t="shared" si="16"/>
        <v/>
      </c>
      <c r="R32" s="46" t="str">
        <f t="shared" si="13"/>
        <v/>
      </c>
      <c r="S32" s="47" t="str">
        <f t="shared" si="15"/>
        <v/>
      </c>
      <c r="T32" s="103" t="str">
        <f t="shared" si="15"/>
        <v/>
      </c>
      <c r="U32" s="55">
        <f>SUMPRODUCT(($B$32="se")*($AA$32))</f>
        <v>0</v>
      </c>
      <c r="V32" s="53">
        <f>SUMPRODUCT(($B$32="se")*($AB$32))</f>
        <v>0</v>
      </c>
      <c r="W32" s="48">
        <f t="shared" si="8"/>
        <v>0</v>
      </c>
      <c r="X32" s="49">
        <f t="shared" si="9"/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 t="shared" si="10"/>
        <v>0</v>
      </c>
      <c r="AB32" s="109">
        <f t="shared" si="11"/>
        <v>0</v>
      </c>
      <c r="AC32" s="66"/>
      <c r="AD32" s="161" t="s">
        <v>85</v>
      </c>
      <c r="AE32" s="165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6" x14ac:dyDescent="0.2">
      <c r="A33" s="10">
        <v>24</v>
      </c>
      <c r="B33" s="41" t="str">
        <f t="shared" si="1"/>
        <v>Se</v>
      </c>
      <c r="C33" s="223">
        <f t="shared" si="12"/>
        <v>42790</v>
      </c>
      <c r="D33" s="42"/>
      <c r="E33" s="42"/>
      <c r="F33" s="43"/>
      <c r="G33" s="43"/>
      <c r="H33" s="44" t="str">
        <f t="shared" si="2"/>
        <v/>
      </c>
      <c r="I33" s="73"/>
      <c r="J33" s="207"/>
      <c r="K33" s="208" t="str">
        <f t="shared" si="3"/>
        <v/>
      </c>
      <c r="L33" s="214" t="str">
        <f t="shared" si="4"/>
        <v/>
      </c>
      <c r="M33" s="215">
        <f t="shared" si="5"/>
        <v>0</v>
      </c>
      <c r="N33" s="216"/>
      <c r="O33" s="111" t="str">
        <f t="shared" si="6"/>
        <v/>
      </c>
      <c r="P33" s="37" t="str">
        <f t="shared" si="16"/>
        <v/>
      </c>
      <c r="Q33" s="45" t="str">
        <f t="shared" si="16"/>
        <v/>
      </c>
      <c r="R33" s="46" t="str">
        <f t="shared" si="13"/>
        <v/>
      </c>
      <c r="S33" s="47" t="str">
        <f t="shared" si="15"/>
        <v/>
      </c>
      <c r="T33" s="103" t="str">
        <f t="shared" si="15"/>
        <v/>
      </c>
      <c r="U33" s="55">
        <f>SUMPRODUCT(($B$33="se")*($AA$33))</f>
        <v>0</v>
      </c>
      <c r="V33" s="53">
        <f>SUMPRODUCT(($B$33="se")*($AB$33))</f>
        <v>0</v>
      </c>
      <c r="W33" s="48">
        <f t="shared" si="8"/>
        <v>0</v>
      </c>
      <c r="X33" s="49">
        <f t="shared" si="9"/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 t="shared" si="10"/>
        <v>0</v>
      </c>
      <c r="AB33" s="109">
        <f t="shared" si="11"/>
        <v>0</v>
      </c>
      <c r="AC33" s="66"/>
      <c r="AD33" s="224"/>
      <c r="AE33" s="225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6" x14ac:dyDescent="0.2">
      <c r="A34" s="10">
        <v>25</v>
      </c>
      <c r="B34" s="41" t="str">
        <f t="shared" si="1"/>
        <v>Se</v>
      </c>
      <c r="C34" s="223">
        <f t="shared" si="12"/>
        <v>42791</v>
      </c>
      <c r="D34" s="42"/>
      <c r="E34" s="42"/>
      <c r="F34" s="43"/>
      <c r="G34" s="43"/>
      <c r="H34" s="44" t="str">
        <f t="shared" si="2"/>
        <v/>
      </c>
      <c r="I34" s="73"/>
      <c r="J34" s="207"/>
      <c r="K34" s="208" t="str">
        <f t="shared" si="3"/>
        <v/>
      </c>
      <c r="L34" s="214" t="str">
        <f t="shared" si="4"/>
        <v/>
      </c>
      <c r="M34" s="215">
        <f t="shared" si="5"/>
        <v>0</v>
      </c>
      <c r="N34" s="216"/>
      <c r="O34" s="111" t="str">
        <f t="shared" si="6"/>
        <v/>
      </c>
      <c r="P34" s="37" t="str">
        <f t="shared" si="16"/>
        <v/>
      </c>
      <c r="Q34" s="45" t="str">
        <f t="shared" si="16"/>
        <v/>
      </c>
      <c r="R34" s="46" t="str">
        <f t="shared" si="13"/>
        <v/>
      </c>
      <c r="S34" s="47" t="str">
        <f t="shared" si="15"/>
        <v/>
      </c>
      <c r="T34" s="103" t="str">
        <f t="shared" si="15"/>
        <v/>
      </c>
      <c r="U34" s="55">
        <f>SUMPRODUCT(($B$34="se")*($AA$34))</f>
        <v>0</v>
      </c>
      <c r="V34" s="53">
        <f>SUMPRODUCT(($B$34="se")*($AB$34))</f>
        <v>0</v>
      </c>
      <c r="W34" s="48">
        <f t="shared" si="8"/>
        <v>0</v>
      </c>
      <c r="X34" s="49">
        <f t="shared" si="9"/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 t="shared" si="10"/>
        <v>0</v>
      </c>
      <c r="AB34" s="109">
        <f t="shared" si="11"/>
        <v>0</v>
      </c>
      <c r="AC34" s="66"/>
      <c r="AD34" s="157" t="s">
        <v>86</v>
      </c>
      <c r="AE34" s="166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6" x14ac:dyDescent="0.2">
      <c r="A35" s="10">
        <v>26</v>
      </c>
      <c r="B35" s="41" t="str">
        <f t="shared" si="1"/>
        <v>Dim</v>
      </c>
      <c r="C35" s="223">
        <f t="shared" si="12"/>
        <v>42792</v>
      </c>
      <c r="D35" s="42"/>
      <c r="E35" s="42"/>
      <c r="F35" s="43"/>
      <c r="G35" s="43"/>
      <c r="H35" s="44" t="str">
        <f t="shared" si="2"/>
        <v/>
      </c>
      <c r="I35" s="73"/>
      <c r="J35" s="207"/>
      <c r="K35" s="208" t="str">
        <f t="shared" si="3"/>
        <v/>
      </c>
      <c r="L35" s="214" t="str">
        <f t="shared" si="4"/>
        <v/>
      </c>
      <c r="M35" s="215">
        <f t="shared" si="5"/>
        <v>0</v>
      </c>
      <c r="N35" s="216"/>
      <c r="O35" s="111" t="str">
        <f t="shared" si="6"/>
        <v/>
      </c>
      <c r="P35" s="37" t="str">
        <f t="shared" si="16"/>
        <v/>
      </c>
      <c r="Q35" s="45" t="str">
        <f t="shared" si="16"/>
        <v/>
      </c>
      <c r="R35" s="46" t="str">
        <f t="shared" si="13"/>
        <v/>
      </c>
      <c r="S35" s="47" t="str">
        <f t="shared" si="15"/>
        <v/>
      </c>
      <c r="T35" s="103" t="str">
        <f t="shared" si="15"/>
        <v/>
      </c>
      <c r="U35" s="55">
        <f>SUMPRODUCT(($B$35="se")*($AA$35))</f>
        <v>0</v>
      </c>
      <c r="V35" s="53">
        <f>SUMPRODUCT(($B$35="se")*($AB$35))</f>
        <v>0</v>
      </c>
      <c r="W35" s="48">
        <f t="shared" si="8"/>
        <v>0</v>
      </c>
      <c r="X35" s="49">
        <f t="shared" si="9"/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 t="shared" si="10"/>
        <v>0</v>
      </c>
      <c r="AB35" s="109">
        <f t="shared" si="11"/>
        <v>0</v>
      </c>
      <c r="AC35" s="66"/>
      <c r="AD35" s="226"/>
      <c r="AE35" s="227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6" x14ac:dyDescent="0.2">
      <c r="A36" s="10">
        <v>27</v>
      </c>
      <c r="B36" s="41" t="str">
        <f t="shared" si="1"/>
        <v>Se</v>
      </c>
      <c r="C36" s="223">
        <f t="shared" si="12"/>
        <v>42793</v>
      </c>
      <c r="D36" s="42"/>
      <c r="E36" s="42"/>
      <c r="F36" s="43"/>
      <c r="G36" s="43"/>
      <c r="H36" s="44" t="str">
        <f t="shared" si="2"/>
        <v/>
      </c>
      <c r="I36" s="73"/>
      <c r="J36" s="207"/>
      <c r="K36" s="208" t="str">
        <f t="shared" si="3"/>
        <v/>
      </c>
      <c r="L36" s="214" t="str">
        <f t="shared" si="4"/>
        <v/>
      </c>
      <c r="M36" s="215">
        <f t="shared" si="5"/>
        <v>0</v>
      </c>
      <c r="N36" s="216"/>
      <c r="O36" s="111" t="str">
        <f t="shared" si="6"/>
        <v/>
      </c>
      <c r="P36" s="37" t="str">
        <f t="shared" si="16"/>
        <v/>
      </c>
      <c r="Q36" s="45" t="str">
        <f t="shared" si="16"/>
        <v/>
      </c>
      <c r="R36" s="46" t="str">
        <f t="shared" si="13"/>
        <v/>
      </c>
      <c r="S36" s="47" t="str">
        <f t="shared" si="15"/>
        <v/>
      </c>
      <c r="T36" s="103" t="str">
        <f t="shared" si="15"/>
        <v/>
      </c>
      <c r="U36" s="55">
        <f>SUMPRODUCT(($B$36="se")*($AA$36))</f>
        <v>0</v>
      </c>
      <c r="V36" s="53">
        <f>SUMPRODUCT(($B$36="se")*($AB$36))</f>
        <v>0</v>
      </c>
      <c r="W36" s="48">
        <f t="shared" si="8"/>
        <v>0</v>
      </c>
      <c r="X36" s="49">
        <f t="shared" si="9"/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 t="shared" si="10"/>
        <v>0</v>
      </c>
      <c r="AB36" s="109">
        <f t="shared" si="11"/>
        <v>0</v>
      </c>
      <c r="AC36" s="66"/>
      <c r="AD36" s="157" t="s">
        <v>87</v>
      </c>
      <c r="AE36" s="164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6" x14ac:dyDescent="0.2">
      <c r="A37" s="10">
        <v>28</v>
      </c>
      <c r="B37" s="41" t="str">
        <f t="shared" si="1"/>
        <v>Se</v>
      </c>
      <c r="C37" s="223">
        <f t="shared" si="12"/>
        <v>42794</v>
      </c>
      <c r="D37" s="42"/>
      <c r="E37" s="42"/>
      <c r="F37" s="43"/>
      <c r="G37" s="43"/>
      <c r="H37" s="44" t="str">
        <f t="shared" si="2"/>
        <v/>
      </c>
      <c r="I37" s="73"/>
      <c r="J37" s="207"/>
      <c r="K37" s="208" t="str">
        <f t="shared" si="3"/>
        <v/>
      </c>
      <c r="L37" s="214" t="str">
        <f t="shared" si="4"/>
        <v/>
      </c>
      <c r="M37" s="215">
        <f t="shared" si="5"/>
        <v>0</v>
      </c>
      <c r="N37" s="216"/>
      <c r="O37" s="111" t="str">
        <f t="shared" si="6"/>
        <v/>
      </c>
      <c r="P37" s="37" t="str">
        <f t="shared" si="16"/>
        <v/>
      </c>
      <c r="Q37" s="45" t="str">
        <f t="shared" si="16"/>
        <v/>
      </c>
      <c r="R37" s="46" t="str">
        <f t="shared" si="13"/>
        <v/>
      </c>
      <c r="S37" s="47" t="str">
        <f t="shared" si="15"/>
        <v/>
      </c>
      <c r="T37" s="103" t="str">
        <f t="shared" si="15"/>
        <v/>
      </c>
      <c r="U37" s="55">
        <f>SUMPRODUCT(($B$37="se")*($AA$37))</f>
        <v>0</v>
      </c>
      <c r="V37" s="53">
        <f>SUMPRODUCT(($B$37="se")*($AB$37))</f>
        <v>0</v>
      </c>
      <c r="W37" s="48">
        <f t="shared" si="8"/>
        <v>0</v>
      </c>
      <c r="X37" s="49">
        <f t="shared" si="9"/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 t="shared" si="10"/>
        <v>0</v>
      </c>
      <c r="AB37" s="109">
        <f t="shared" si="11"/>
        <v>0</v>
      </c>
      <c r="AC37" s="66"/>
      <c r="AD37" s="226"/>
      <c r="AE37" s="227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6" x14ac:dyDescent="0.2">
      <c r="A38" s="10">
        <v>29</v>
      </c>
      <c r="B38" s="41" t="str">
        <f t="shared" si="1"/>
        <v>Se</v>
      </c>
      <c r="C38" s="223">
        <f t="shared" si="12"/>
        <v>0</v>
      </c>
      <c r="D38" s="42"/>
      <c r="E38" s="42"/>
      <c r="F38" s="43"/>
      <c r="G38" s="43"/>
      <c r="H38" s="44" t="str">
        <f t="shared" si="2"/>
        <v/>
      </c>
      <c r="I38" s="73"/>
      <c r="J38" s="207"/>
      <c r="K38" s="208" t="str">
        <f t="shared" si="3"/>
        <v/>
      </c>
      <c r="L38" s="214" t="str">
        <f t="shared" si="4"/>
        <v/>
      </c>
      <c r="M38" s="215">
        <f t="shared" si="5"/>
        <v>0</v>
      </c>
      <c r="N38" s="216"/>
      <c r="O38" s="111" t="str">
        <f t="shared" si="6"/>
        <v/>
      </c>
      <c r="P38" s="37" t="str">
        <f t="shared" si="16"/>
        <v/>
      </c>
      <c r="Q38" s="45" t="str">
        <f t="shared" si="16"/>
        <v/>
      </c>
      <c r="R38" s="46" t="str">
        <f t="shared" si="13"/>
        <v/>
      </c>
      <c r="S38" s="47" t="str">
        <f t="shared" si="15"/>
        <v/>
      </c>
      <c r="T38" s="103" t="str">
        <f t="shared" si="15"/>
        <v/>
      </c>
      <c r="U38" s="55">
        <f>SUMPRODUCT(($B$38="se")*($AA$38))</f>
        <v>0</v>
      </c>
      <c r="V38" s="53">
        <f>SUMPRODUCT(($B$38="se")*($AB$38))</f>
        <v>0</v>
      </c>
      <c r="W38" s="48">
        <f t="shared" si="8"/>
        <v>0</v>
      </c>
      <c r="X38" s="49">
        <f t="shared" si="9"/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 t="shared" si="10"/>
        <v>0</v>
      </c>
      <c r="AB38" s="109">
        <f t="shared" si="11"/>
        <v>0</v>
      </c>
      <c r="AC38" s="66"/>
      <c r="AD38" s="167" t="s">
        <v>88</v>
      </c>
      <c r="AE38" s="166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7" thickBot="1" x14ac:dyDescent="0.25">
      <c r="A39" s="10">
        <v>30</v>
      </c>
      <c r="B39" s="41" t="str">
        <f t="shared" si="1"/>
        <v>Se</v>
      </c>
      <c r="C39" s="223">
        <f t="shared" si="12"/>
        <v>0</v>
      </c>
      <c r="D39" s="42"/>
      <c r="E39" s="42"/>
      <c r="F39" s="43"/>
      <c r="G39" s="43"/>
      <c r="H39" s="44" t="str">
        <f t="shared" si="2"/>
        <v/>
      </c>
      <c r="I39" s="73"/>
      <c r="J39" s="207"/>
      <c r="K39" s="208" t="str">
        <f t="shared" si="3"/>
        <v/>
      </c>
      <c r="L39" s="214" t="str">
        <f t="shared" si="4"/>
        <v/>
      </c>
      <c r="M39" s="215">
        <f t="shared" si="5"/>
        <v>0</v>
      </c>
      <c r="N39" s="216"/>
      <c r="O39" s="111" t="str">
        <f t="shared" si="6"/>
        <v/>
      </c>
      <c r="P39" s="37" t="str">
        <f t="shared" si="16"/>
        <v/>
      </c>
      <c r="Q39" s="45" t="str">
        <f t="shared" si="16"/>
        <v/>
      </c>
      <c r="R39" s="46" t="str">
        <f t="shared" si="13"/>
        <v/>
      </c>
      <c r="S39" s="47" t="str">
        <f t="shared" si="15"/>
        <v/>
      </c>
      <c r="T39" s="103" t="str">
        <f t="shared" si="15"/>
        <v/>
      </c>
      <c r="U39" s="55">
        <f>SUMPRODUCT(($B$39="se")*($AA$39))</f>
        <v>0</v>
      </c>
      <c r="V39" s="53">
        <f>SUMPRODUCT(($B$39="se")*($AB$39))</f>
        <v>0</v>
      </c>
      <c r="W39" s="48">
        <f t="shared" si="8"/>
        <v>0</v>
      </c>
      <c r="X39" s="49">
        <f t="shared" si="9"/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 t="shared" si="10"/>
        <v>0</v>
      </c>
      <c r="AB39" s="109">
        <f t="shared" si="11"/>
        <v>0</v>
      </c>
      <c r="AC39" s="66"/>
      <c r="AD39" s="228"/>
      <c r="AE39" s="229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7" thickBot="1" x14ac:dyDescent="0.25">
      <c r="A40" s="10">
        <v>31</v>
      </c>
      <c r="B40" s="41" t="str">
        <f t="shared" si="1"/>
        <v>Se</v>
      </c>
      <c r="C40" s="223">
        <f t="shared" si="12"/>
        <v>0</v>
      </c>
      <c r="D40" s="42"/>
      <c r="E40" s="42"/>
      <c r="F40" s="43"/>
      <c r="G40" s="43"/>
      <c r="H40" s="44" t="str">
        <f t="shared" si="2"/>
        <v/>
      </c>
      <c r="I40" s="73"/>
      <c r="J40" s="209"/>
      <c r="K40" s="210" t="str">
        <f t="shared" si="3"/>
        <v/>
      </c>
      <c r="L40" s="217" t="str">
        <f t="shared" si="4"/>
        <v/>
      </c>
      <c r="M40" s="218">
        <f t="shared" si="5"/>
        <v>0</v>
      </c>
      <c r="N40" s="219"/>
      <c r="O40" s="111" t="str">
        <f t="shared" si="6"/>
        <v/>
      </c>
      <c r="P40" s="37" t="str">
        <f t="shared" si="16"/>
        <v/>
      </c>
      <c r="Q40" s="45" t="str">
        <f t="shared" si="16"/>
        <v/>
      </c>
      <c r="R40" s="46" t="str">
        <f t="shared" si="13"/>
        <v/>
      </c>
      <c r="S40" s="47" t="str">
        <f t="shared" si="15"/>
        <v/>
      </c>
      <c r="T40" s="103" t="str">
        <f t="shared" si="15"/>
        <v/>
      </c>
      <c r="U40" s="55">
        <f>SUMPRODUCT(($B$40="se")*($AA$40))</f>
        <v>0</v>
      </c>
      <c r="V40" s="53">
        <f>SUMPRODUCT(($B$40="se")*($AB$40))</f>
        <v>0</v>
      </c>
      <c r="W40" s="48">
        <f t="shared" si="8"/>
        <v>0</v>
      </c>
      <c r="X40" s="49">
        <f t="shared" si="9"/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 t="shared" si="10"/>
        <v>0</v>
      </c>
      <c r="AB40" s="109">
        <f t="shared" si="11"/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 x14ac:dyDescent="0.2">
      <c r="A41" s="152" t="s">
        <v>81</v>
      </c>
      <c r="B41" s="148"/>
      <c r="C41" s="149">
        <f>COUNTA(C10:C40)</f>
        <v>31</v>
      </c>
      <c r="D41" s="150">
        <f>COUNTA(D10:D40)</f>
        <v>0</v>
      </c>
      <c r="E41" s="150">
        <f>COUNTA(E10:E40)</f>
        <v>0</v>
      </c>
      <c r="F41" s="150">
        <f>COUNTA(F10:F40)</f>
        <v>0</v>
      </c>
      <c r="G41" s="150">
        <f>COUNTA(G10:G40)</f>
        <v>0</v>
      </c>
      <c r="H41" s="150">
        <f>SUM(H10:H40)</f>
        <v>0</v>
      </c>
      <c r="I41" s="150">
        <f>SUM(I10:I40)</f>
        <v>0</v>
      </c>
      <c r="J41" s="150">
        <f>SUM(J10:J40)</f>
        <v>0</v>
      </c>
      <c r="K41" s="150">
        <f>COUNTA(F10:F40)</f>
        <v>0</v>
      </c>
      <c r="L41" s="150">
        <f>SUM(L10:L40)</f>
        <v>0</v>
      </c>
      <c r="M41" s="150">
        <f>SUM(M10:M40)</f>
        <v>0</v>
      </c>
      <c r="N41" s="150"/>
      <c r="O41" s="153">
        <f t="shared" ref="O41:T41" si="17">SUM(O10:O40)</f>
        <v>0</v>
      </c>
      <c r="P41" s="153">
        <f t="shared" si="17"/>
        <v>0</v>
      </c>
      <c r="Q41" s="153">
        <f t="shared" si="17"/>
        <v>0</v>
      </c>
      <c r="R41" s="116">
        <f t="shared" si="17"/>
        <v>0</v>
      </c>
      <c r="S41" s="153">
        <f t="shared" si="17"/>
        <v>0</v>
      </c>
      <c r="T41" s="153">
        <f t="shared" si="17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51"/>
      <c r="AE42" s="151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 x14ac:dyDescent="0.2">
      <c r="AP49" s="95"/>
      <c r="AQ49" s="95"/>
      <c r="AR49" s="95"/>
      <c r="AS49" s="95"/>
      <c r="AT49" s="95"/>
    </row>
    <row r="50" spans="42:46" x14ac:dyDescent="0.2">
      <c r="AP50" s="95"/>
      <c r="AQ50" s="95"/>
      <c r="AR50" s="95"/>
      <c r="AS50" s="95"/>
      <c r="AT50" s="95"/>
    </row>
  </sheetData>
  <mergeCells count="61"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  <mergeCell ref="AD11:AE11"/>
    <mergeCell ref="K7:L7"/>
    <mergeCell ref="N7:N9"/>
    <mergeCell ref="U9:V9"/>
    <mergeCell ref="W9:X9"/>
    <mergeCell ref="Y9:Z9"/>
    <mergeCell ref="AA9:AB9"/>
    <mergeCell ref="AD9:AE9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I24:AJ24"/>
    <mergeCell ref="AD25:AE25"/>
    <mergeCell ref="AD27:AE27"/>
    <mergeCell ref="AD29:AE29"/>
    <mergeCell ref="AD31:AE31"/>
    <mergeCell ref="AI26:AJ27"/>
    <mergeCell ref="AI28:AJ29"/>
    <mergeCell ref="AD33:AE33"/>
    <mergeCell ref="AD35:AE35"/>
    <mergeCell ref="AD37:AE37"/>
    <mergeCell ref="AD39:AE39"/>
    <mergeCell ref="AG24:AH24"/>
    <mergeCell ref="AG26:AH27"/>
    <mergeCell ref="AG28:AH29"/>
  </mergeCells>
  <conditionalFormatting sqref="D18:E40">
    <cfRule type="expression" dxfId="7" priority="9" stopIfTrue="1">
      <formula>#REF!&lt;&gt;""</formula>
    </cfRule>
  </conditionalFormatting>
  <conditionalFormatting sqref="D18:E40">
    <cfRule type="expression" dxfId="6" priority="17" stopIfTrue="1">
      <formula>COUNTIF(Fer,#REF!)&gt;0</formula>
    </cfRule>
  </conditionalFormatting>
  <conditionalFormatting sqref="B10:C40">
    <cfRule type="expression" dxfId="5" priority="1" stopIfTrue="1">
      <formula>COUNTIF(Fériés,$C10)&gt;0</formula>
    </cfRule>
    <cfRule type="expression" dxfId="4" priority="25" stopIfTrue="1">
      <formula>WEEKDAY($C10,2)=7</formula>
    </cfRule>
  </conditionalFormatting>
  <hyperlinks>
    <hyperlink ref="AL1" r:id="rId1"/>
  </hyperlinks>
  <pageMargins left="0.7" right="0.7" top="0.75" bottom="0.75" header="0.3" footer="0.3"/>
  <pageSetup paperSize="9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 x14ac:dyDescent="0.2"/>
  <cols>
    <col min="2" max="2" width="24" customWidth="1"/>
    <col min="3" max="3" width="13.6640625" customWidth="1"/>
  </cols>
  <sheetData>
    <row r="2" spans="2:3" ht="16" x14ac:dyDescent="0.2">
      <c r="B2" s="316" t="s">
        <v>114</v>
      </c>
      <c r="C2" s="317"/>
    </row>
    <row r="3" spans="2:3" x14ac:dyDescent="0.2">
      <c r="B3" s="84" t="s">
        <v>2</v>
      </c>
      <c r="C3" s="84"/>
    </row>
    <row r="4" spans="2:3" x14ac:dyDescent="0.2">
      <c r="B4" s="318"/>
      <c r="C4" s="319"/>
    </row>
    <row r="5" spans="2:3" x14ac:dyDescent="0.2">
      <c r="B5" s="84" t="s">
        <v>82</v>
      </c>
      <c r="C5" s="84"/>
    </row>
    <row r="6" spans="2:3" x14ac:dyDescent="0.2">
      <c r="B6" s="318"/>
      <c r="C6" s="319"/>
    </row>
    <row r="7" spans="2:3" x14ac:dyDescent="0.2">
      <c r="B7" s="84" t="s">
        <v>89</v>
      </c>
      <c r="C7" s="85"/>
    </row>
    <row r="8" spans="2:3" x14ac:dyDescent="0.2">
      <c r="B8" s="318"/>
      <c r="C8" s="319"/>
    </row>
    <row r="9" spans="2:3" x14ac:dyDescent="0.2">
      <c r="B9" s="84" t="s">
        <v>93</v>
      </c>
      <c r="C9" s="86"/>
    </row>
    <row r="10" spans="2:3" x14ac:dyDescent="0.2">
      <c r="B10" s="320"/>
      <c r="C10" s="321"/>
    </row>
    <row r="11" spans="2:3" x14ac:dyDescent="0.2">
      <c r="B11" s="84" t="s">
        <v>94</v>
      </c>
      <c r="C11" s="86"/>
    </row>
    <row r="12" spans="2:3" x14ac:dyDescent="0.2">
      <c r="B12" s="312"/>
      <c r="C12" s="313"/>
    </row>
    <row r="13" spans="2:3" x14ac:dyDescent="0.2">
      <c r="B13" s="87" t="s">
        <v>103</v>
      </c>
      <c r="C13" s="88"/>
    </row>
    <row r="14" spans="2:3" x14ac:dyDescent="0.2">
      <c r="B14" s="318"/>
      <c r="C14" s="319"/>
    </row>
    <row r="15" spans="2:3" x14ac:dyDescent="0.2">
      <c r="B15" s="87" t="s">
        <v>97</v>
      </c>
      <c r="C15" s="89"/>
    </row>
    <row r="16" spans="2:3" x14ac:dyDescent="0.2">
      <c r="B16" s="318"/>
      <c r="C16" s="319"/>
    </row>
    <row r="17" spans="2:3" x14ac:dyDescent="0.2">
      <c r="B17" s="84" t="s">
        <v>95</v>
      </c>
      <c r="C17" s="86"/>
    </row>
    <row r="18" spans="2:3" x14ac:dyDescent="0.2">
      <c r="B18" s="312"/>
      <c r="C18" s="313"/>
    </row>
    <row r="19" spans="2:3" x14ac:dyDescent="0.2">
      <c r="B19" s="84" t="s">
        <v>96</v>
      </c>
      <c r="C19" s="86"/>
    </row>
    <row r="20" spans="2:3" x14ac:dyDescent="0.2">
      <c r="B20" s="312"/>
      <c r="C20" s="313"/>
    </row>
    <row r="21" spans="2:3" x14ac:dyDescent="0.2">
      <c r="B21" s="84" t="s">
        <v>102</v>
      </c>
      <c r="C21" s="90"/>
    </row>
    <row r="22" spans="2:3" x14ac:dyDescent="0.2">
      <c r="B22" s="322"/>
      <c r="C22" s="323"/>
    </row>
    <row r="23" spans="2:3" x14ac:dyDescent="0.2">
      <c r="B23" s="84" t="s">
        <v>90</v>
      </c>
      <c r="C23" s="86"/>
    </row>
    <row r="24" spans="2:3" x14ac:dyDescent="0.2">
      <c r="B24" s="312"/>
      <c r="C24" s="313"/>
    </row>
    <row r="25" spans="2:3" x14ac:dyDescent="0.2">
      <c r="B25" s="84" t="s">
        <v>91</v>
      </c>
      <c r="C25" s="86"/>
    </row>
    <row r="26" spans="2:3" x14ac:dyDescent="0.2">
      <c r="B26" s="312"/>
      <c r="C26" s="313"/>
    </row>
    <row r="27" spans="2:3" x14ac:dyDescent="0.2">
      <c r="B27" s="84" t="s">
        <v>92</v>
      </c>
      <c r="C27" s="86"/>
    </row>
    <row r="28" spans="2:3" x14ac:dyDescent="0.2">
      <c r="B28" s="312"/>
      <c r="C28" s="313"/>
    </row>
    <row r="29" spans="2:3" x14ac:dyDescent="0.2">
      <c r="B29" s="87" t="s">
        <v>84</v>
      </c>
      <c r="C29" s="91"/>
    </row>
    <row r="30" spans="2:3" x14ac:dyDescent="0.2">
      <c r="B30" s="314"/>
      <c r="C30" s="315"/>
    </row>
    <row r="31" spans="2:3" x14ac:dyDescent="0.2">
      <c r="B31" s="87" t="s">
        <v>85</v>
      </c>
      <c r="C31" s="91"/>
    </row>
    <row r="32" spans="2:3" x14ac:dyDescent="0.2">
      <c r="B32" s="314"/>
      <c r="C32" s="315"/>
    </row>
    <row r="33" spans="2:3" x14ac:dyDescent="0.2">
      <c r="B33" s="84" t="s">
        <v>86</v>
      </c>
      <c r="C33" s="92"/>
    </row>
    <row r="34" spans="2:3" x14ac:dyDescent="0.2">
      <c r="B34" s="312"/>
      <c r="C34" s="313"/>
    </row>
    <row r="35" spans="2:3" x14ac:dyDescent="0.2">
      <c r="B35" s="84" t="s">
        <v>87</v>
      </c>
      <c r="C35" s="90"/>
    </row>
    <row r="36" spans="2:3" x14ac:dyDescent="0.2">
      <c r="B36" s="312"/>
      <c r="C36" s="313"/>
    </row>
    <row r="37" spans="2:3" x14ac:dyDescent="0.2">
      <c r="B37" s="90" t="s">
        <v>88</v>
      </c>
      <c r="C37" s="92"/>
    </row>
    <row r="38" spans="2:3" x14ac:dyDescent="0.2">
      <c r="B38" s="312"/>
      <c r="C38" s="313"/>
    </row>
  </sheetData>
  <mergeCells count="19"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  <mergeCell ref="B38:C38"/>
    <mergeCell ref="B26:C26"/>
    <mergeCell ref="B28:C28"/>
    <mergeCell ref="B30:C30"/>
    <mergeCell ref="B32:C32"/>
    <mergeCell ref="B34:C34"/>
    <mergeCell ref="B36:C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N64"/>
  <sheetViews>
    <sheetView workbookViewId="0">
      <selection activeCell="F38" sqref="F38"/>
    </sheetView>
  </sheetViews>
  <sheetFormatPr baseColWidth="10" defaultRowHeight="15" x14ac:dyDescent="0.2"/>
  <cols>
    <col min="4" max="5" width="10.83203125" style="115"/>
    <col min="6" max="6" width="11.33203125" style="130" customWidth="1"/>
    <col min="7" max="7" width="12.5" style="115" customWidth="1"/>
    <col min="8" max="8" width="12.1640625" customWidth="1"/>
    <col min="10" max="10" width="17.6640625" customWidth="1"/>
    <col min="13" max="13" width="18.33203125" bestFit="1" customWidth="1"/>
    <col min="14" max="14" width="26.5" bestFit="1" customWidth="1"/>
  </cols>
  <sheetData>
    <row r="1" spans="1:14" x14ac:dyDescent="0.2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4" t="s">
        <v>41</v>
      </c>
      <c r="J1" s="335" t="s">
        <v>116</v>
      </c>
      <c r="K1" s="335"/>
      <c r="M1" s="222">
        <f>An</f>
        <v>2017</v>
      </c>
    </row>
    <row r="2" spans="1:14" x14ac:dyDescent="0.2">
      <c r="D2" s="125">
        <v>0</v>
      </c>
      <c r="E2" s="125">
        <v>1.0416666666666666E-2</v>
      </c>
      <c r="F2" s="126">
        <v>42005</v>
      </c>
      <c r="G2" s="127" t="s">
        <v>77</v>
      </c>
      <c r="H2" s="135" t="s">
        <v>20</v>
      </c>
      <c r="J2" s="143" t="s">
        <v>47</v>
      </c>
      <c r="K2" s="144"/>
      <c r="M2" t="s">
        <v>126</v>
      </c>
      <c r="N2" s="221">
        <f>DATE(An,1,1)</f>
        <v>42736</v>
      </c>
    </row>
    <row r="3" spans="1:14" x14ac:dyDescent="0.2">
      <c r="D3" s="125">
        <v>2.0833333333333332E-2</v>
      </c>
      <c r="E3" s="125">
        <v>2.0833333333333332E-2</v>
      </c>
      <c r="F3" s="126">
        <v>42100</v>
      </c>
      <c r="G3" s="127" t="s">
        <v>78</v>
      </c>
      <c r="H3" s="136" t="s">
        <v>43</v>
      </c>
      <c r="J3" s="121"/>
      <c r="K3" s="122"/>
      <c r="M3" t="s">
        <v>127</v>
      </c>
      <c r="N3" s="221">
        <f>FLOOR(DAY(MINUTE(An/38)/2+56)&amp;"/5/"&amp;An,7)-34</f>
        <v>42841</v>
      </c>
    </row>
    <row r="4" spans="1:14" x14ac:dyDescent="0.2">
      <c r="D4" s="125">
        <v>4.1666666666666664E-2</v>
      </c>
      <c r="E4" s="125">
        <v>3.125E-2</v>
      </c>
      <c r="F4" s="126">
        <v>42125</v>
      </c>
      <c r="G4" s="127" t="s">
        <v>79</v>
      </c>
      <c r="H4" s="136" t="s">
        <v>21</v>
      </c>
      <c r="J4" s="119" t="s">
        <v>28</v>
      </c>
      <c r="K4" s="120" t="s">
        <v>117</v>
      </c>
      <c r="M4" t="s">
        <v>128</v>
      </c>
      <c r="N4" s="221">
        <f>Paques+1</f>
        <v>42842</v>
      </c>
    </row>
    <row r="5" spans="1:14" x14ac:dyDescent="0.2">
      <c r="D5" s="125">
        <v>6.25E-2</v>
      </c>
      <c r="E5" s="125">
        <v>4.1666666666666664E-2</v>
      </c>
      <c r="F5" s="126">
        <v>42132</v>
      </c>
      <c r="G5" s="127" t="s">
        <v>80</v>
      </c>
      <c r="H5" s="136" t="s">
        <v>22</v>
      </c>
      <c r="J5" s="123" t="s">
        <v>29</v>
      </c>
      <c r="K5" s="124" t="s">
        <v>118</v>
      </c>
      <c r="M5" t="s">
        <v>129</v>
      </c>
      <c r="N5" s="221">
        <f>DATE(An,5,1)</f>
        <v>42856</v>
      </c>
    </row>
    <row r="6" spans="1:14" x14ac:dyDescent="0.2">
      <c r="D6" s="125">
        <v>8.3333333333333301E-2</v>
      </c>
      <c r="E6" s="125">
        <v>5.2083333333333336E-2</v>
      </c>
      <c r="F6" s="126">
        <v>42138</v>
      </c>
      <c r="G6" s="127" t="s">
        <v>101</v>
      </c>
      <c r="H6" s="137" t="s">
        <v>42</v>
      </c>
      <c r="J6" s="139" t="s">
        <v>6</v>
      </c>
      <c r="K6" s="140">
        <v>1</v>
      </c>
      <c r="M6" t="s">
        <v>130</v>
      </c>
      <c r="N6" s="221">
        <f>DATE(An,5,8)</f>
        <v>42863</v>
      </c>
    </row>
    <row r="7" spans="1:14" x14ac:dyDescent="0.2">
      <c r="D7" s="125">
        <v>0.104166666666667</v>
      </c>
      <c r="E7" s="125">
        <v>6.25E-2</v>
      </c>
      <c r="F7" s="126">
        <v>42149</v>
      </c>
      <c r="G7" s="127" t="s">
        <v>17</v>
      </c>
      <c r="H7" s="133"/>
      <c r="J7" s="138" t="s">
        <v>7</v>
      </c>
      <c r="K7" s="122">
        <v>2</v>
      </c>
      <c r="M7" t="s">
        <v>131</v>
      </c>
      <c r="N7" s="221">
        <f>Paques+39</f>
        <v>42880</v>
      </c>
    </row>
    <row r="8" spans="1:14" x14ac:dyDescent="0.2">
      <c r="D8" s="125">
        <v>0.125</v>
      </c>
      <c r="E8" s="125">
        <v>7.2916666666666671E-2</v>
      </c>
      <c r="F8" s="126">
        <v>42199</v>
      </c>
      <c r="G8" s="127" t="s">
        <v>27</v>
      </c>
      <c r="H8" s="133"/>
      <c r="J8" s="138" t="s">
        <v>8</v>
      </c>
      <c r="K8" s="122">
        <v>3</v>
      </c>
      <c r="M8" t="s">
        <v>132</v>
      </c>
      <c r="N8" s="221">
        <f>Paques+49</f>
        <v>42890</v>
      </c>
    </row>
    <row r="9" spans="1:14" x14ac:dyDescent="0.2">
      <c r="D9" s="125">
        <v>0.14583333333333301</v>
      </c>
      <c r="E9" s="125">
        <v>8.3333333333333329E-2</v>
      </c>
      <c r="F9" s="126">
        <v>42231</v>
      </c>
      <c r="G9" s="127"/>
      <c r="H9" s="133"/>
      <c r="J9" s="138" t="s">
        <v>9</v>
      </c>
      <c r="K9" s="122">
        <v>4</v>
      </c>
      <c r="M9" t="s">
        <v>133</v>
      </c>
      <c r="N9" s="221">
        <f>Paques+50</f>
        <v>42891</v>
      </c>
    </row>
    <row r="10" spans="1:14" x14ac:dyDescent="0.2">
      <c r="D10" s="125">
        <v>0.16666666666666699</v>
      </c>
      <c r="E10" s="125">
        <v>9.375E-2</v>
      </c>
      <c r="F10" s="126">
        <v>42309</v>
      </c>
      <c r="G10" s="127"/>
      <c r="H10" s="133"/>
      <c r="J10" s="138" t="s">
        <v>10</v>
      </c>
      <c r="K10" s="122">
        <v>5</v>
      </c>
      <c r="M10" t="s">
        <v>134</v>
      </c>
      <c r="N10" s="221">
        <f>DATE(An,7,14)</f>
        <v>42930</v>
      </c>
    </row>
    <row r="11" spans="1:14" x14ac:dyDescent="0.2">
      <c r="D11" s="125">
        <v>0.1875</v>
      </c>
      <c r="E11" s="125">
        <v>0.10416666666666667</v>
      </c>
      <c r="F11" s="126">
        <v>42319</v>
      </c>
      <c r="G11" s="127"/>
      <c r="H11" s="133"/>
      <c r="J11" s="138" t="s">
        <v>11</v>
      </c>
      <c r="K11" s="122">
        <v>6</v>
      </c>
      <c r="M11" t="s">
        <v>135</v>
      </c>
      <c r="N11" s="221">
        <f>DATE(An,8,15)</f>
        <v>42962</v>
      </c>
    </row>
    <row r="12" spans="1:14" x14ac:dyDescent="0.2">
      <c r="D12" s="125">
        <v>0.20833333333333301</v>
      </c>
      <c r="E12" s="125">
        <v>0.11458333333333333</v>
      </c>
      <c r="F12" s="128">
        <v>42363</v>
      </c>
      <c r="G12" s="127"/>
      <c r="H12" s="133"/>
      <c r="J12" s="138" t="s">
        <v>12</v>
      </c>
      <c r="K12" s="122">
        <v>7</v>
      </c>
      <c r="M12" t="s">
        <v>136</v>
      </c>
      <c r="N12" s="221">
        <f>DATE(An,11,1)</f>
        <v>43040</v>
      </c>
    </row>
    <row r="13" spans="1:14" x14ac:dyDescent="0.2">
      <c r="D13" s="125">
        <v>0.22916666666666699</v>
      </c>
      <c r="E13" s="125">
        <v>0.125</v>
      </c>
      <c r="F13" s="196"/>
      <c r="G13" s="127"/>
      <c r="H13" s="133"/>
      <c r="J13" s="138" t="s">
        <v>13</v>
      </c>
      <c r="K13" s="122">
        <v>8</v>
      </c>
      <c r="M13" t="s">
        <v>137</v>
      </c>
      <c r="N13" s="221">
        <f>DATE(An,11,11)</f>
        <v>43050</v>
      </c>
    </row>
    <row r="14" spans="1:14" x14ac:dyDescent="0.2">
      <c r="D14" s="125">
        <v>0.25</v>
      </c>
      <c r="E14" s="125">
        <v>0.13541666666666666</v>
      </c>
      <c r="F14" s="115"/>
      <c r="G14" s="127"/>
      <c r="J14" s="138" t="s">
        <v>14</v>
      </c>
      <c r="K14" s="122">
        <v>9</v>
      </c>
      <c r="L14" s="113"/>
      <c r="M14" t="s">
        <v>138</v>
      </c>
      <c r="N14" s="221">
        <f>DATE(An,12,25)</f>
        <v>43094</v>
      </c>
    </row>
    <row r="15" spans="1:14" x14ac:dyDescent="0.2">
      <c r="A15" s="2"/>
      <c r="B15" s="2"/>
      <c r="D15" s="125">
        <v>0.27083333333333298</v>
      </c>
      <c r="E15" s="125">
        <v>0.14583333333333334</v>
      </c>
      <c r="F15" s="115"/>
      <c r="G15" s="129"/>
      <c r="J15" s="138" t="s">
        <v>15</v>
      </c>
      <c r="K15" s="122">
        <v>10</v>
      </c>
      <c r="L15" s="3"/>
    </row>
    <row r="16" spans="1:14" x14ac:dyDescent="0.2">
      <c r="A16" s="2"/>
      <c r="B16" s="2"/>
      <c r="D16" s="125">
        <v>0.29166666666666702</v>
      </c>
      <c r="E16" s="125">
        <v>0.15625</v>
      </c>
      <c r="F16" s="115"/>
      <c r="G16" s="130"/>
      <c r="J16" s="138" t="s">
        <v>16</v>
      </c>
      <c r="K16" s="122">
        <v>11</v>
      </c>
    </row>
    <row r="17" spans="4:11" x14ac:dyDescent="0.2">
      <c r="D17" s="125">
        <v>0.3125</v>
      </c>
      <c r="E17" s="125">
        <v>0.16666666666666666</v>
      </c>
      <c r="F17" s="115"/>
      <c r="G17" s="130"/>
      <c r="J17" s="141" t="s">
        <v>18</v>
      </c>
      <c r="K17" s="142">
        <v>12</v>
      </c>
    </row>
    <row r="18" spans="4:11" x14ac:dyDescent="0.2">
      <c r="D18" s="125">
        <v>0.33333333333333298</v>
      </c>
      <c r="E18" s="125">
        <v>0.17708333333333334</v>
      </c>
      <c r="F18" s="115"/>
      <c r="G18" s="130"/>
    </row>
    <row r="19" spans="4:11" x14ac:dyDescent="0.2">
      <c r="D19" s="125">
        <v>0.35416666666666702</v>
      </c>
      <c r="E19" s="125">
        <v>0.1875</v>
      </c>
      <c r="F19" s="115"/>
      <c r="G19" s="130"/>
    </row>
    <row r="20" spans="4:11" x14ac:dyDescent="0.2">
      <c r="D20" s="125">
        <v>0.375</v>
      </c>
      <c r="E20" s="125">
        <v>0.19791666666666666</v>
      </c>
      <c r="F20" s="115"/>
      <c r="G20" s="130"/>
    </row>
    <row r="21" spans="4:11" x14ac:dyDescent="0.2">
      <c r="D21" s="125">
        <v>0.39583333333333298</v>
      </c>
      <c r="E21" s="131">
        <v>0.20833333333333334</v>
      </c>
      <c r="F21" s="115"/>
      <c r="G21" s="130"/>
    </row>
    <row r="22" spans="4:11" x14ac:dyDescent="0.2">
      <c r="D22" s="125">
        <v>0.41666666666666702</v>
      </c>
      <c r="F22" s="115"/>
      <c r="G22" s="130"/>
    </row>
    <row r="23" spans="4:11" x14ac:dyDescent="0.2">
      <c r="D23" s="125">
        <v>0.4375</v>
      </c>
    </row>
    <row r="24" spans="4:11" x14ac:dyDescent="0.2">
      <c r="D24" s="125">
        <v>0.45833333333333298</v>
      </c>
    </row>
    <row r="25" spans="4:11" x14ac:dyDescent="0.2">
      <c r="D25" s="125">
        <v>0.47916666666666702</v>
      </c>
      <c r="K25" s="1"/>
    </row>
    <row r="26" spans="4:11" x14ac:dyDescent="0.2">
      <c r="D26" s="125">
        <v>0.5</v>
      </c>
    </row>
    <row r="27" spans="4:11" x14ac:dyDescent="0.2">
      <c r="D27" s="125">
        <v>0.52083333333333304</v>
      </c>
    </row>
    <row r="28" spans="4:11" x14ac:dyDescent="0.2">
      <c r="D28" s="125">
        <v>0.54166666666666696</v>
      </c>
    </row>
    <row r="29" spans="4:11" ht="16" thickBot="1" x14ac:dyDescent="0.25">
      <c r="D29" s="125">
        <v>0.5625</v>
      </c>
    </row>
    <row r="30" spans="4:11" ht="16" thickTop="1" x14ac:dyDescent="0.2">
      <c r="D30" s="125">
        <v>0.58333333333333304</v>
      </c>
      <c r="H30" s="324" t="s">
        <v>76</v>
      </c>
      <c r="I30" s="325"/>
      <c r="J30" s="326"/>
    </row>
    <row r="31" spans="4:11" x14ac:dyDescent="0.2">
      <c r="D31" s="125">
        <v>0.60416666666666696</v>
      </c>
      <c r="H31" s="327"/>
      <c r="I31" s="328"/>
      <c r="J31" s="329"/>
    </row>
    <row r="32" spans="4:11" ht="16" thickBot="1" x14ac:dyDescent="0.25">
      <c r="D32" s="125">
        <v>0.625</v>
      </c>
      <c r="H32" s="330"/>
      <c r="I32" s="331"/>
      <c r="J32" s="332"/>
    </row>
    <row r="33" spans="4:10" ht="16" thickTop="1" x14ac:dyDescent="0.2">
      <c r="D33" s="125">
        <v>0.64583333333333304</v>
      </c>
      <c r="H33" s="333" t="s">
        <v>113</v>
      </c>
      <c r="I33" s="333"/>
      <c r="J33" s="333"/>
    </row>
    <row r="34" spans="4:10" x14ac:dyDescent="0.2">
      <c r="D34" s="125">
        <v>0.66666666666666696</v>
      </c>
      <c r="H34" s="334"/>
      <c r="I34" s="334"/>
      <c r="J34" s="334"/>
    </row>
    <row r="35" spans="4:10" x14ac:dyDescent="0.2">
      <c r="D35" s="125">
        <v>0.6875</v>
      </c>
    </row>
    <row r="36" spans="4:10" x14ac:dyDescent="0.2">
      <c r="D36" s="125">
        <v>0.70833333333333304</v>
      </c>
    </row>
    <row r="37" spans="4:10" x14ac:dyDescent="0.2">
      <c r="D37" s="125">
        <v>0.72916666666666696</v>
      </c>
    </row>
    <row r="38" spans="4:10" x14ac:dyDescent="0.2">
      <c r="D38" s="125">
        <v>0.75</v>
      </c>
    </row>
    <row r="39" spans="4:10" x14ac:dyDescent="0.2">
      <c r="D39" s="125">
        <v>0.77083333333333304</v>
      </c>
    </row>
    <row r="40" spans="4:10" x14ac:dyDescent="0.2">
      <c r="D40" s="125">
        <v>0.79166666666666696</v>
      </c>
    </row>
    <row r="41" spans="4:10" x14ac:dyDescent="0.2">
      <c r="D41" s="125">
        <v>0.8125</v>
      </c>
    </row>
    <row r="42" spans="4:10" x14ac:dyDescent="0.2">
      <c r="D42" s="125">
        <v>0.83333333333333304</v>
      </c>
    </row>
    <row r="43" spans="4:10" x14ac:dyDescent="0.2">
      <c r="D43" s="125">
        <v>0.85416666666666696</v>
      </c>
    </row>
    <row r="44" spans="4:10" x14ac:dyDescent="0.2">
      <c r="D44" s="125">
        <v>0.875</v>
      </c>
    </row>
    <row r="45" spans="4:10" x14ac:dyDescent="0.2">
      <c r="D45" s="125">
        <v>0.89583333333333304</v>
      </c>
    </row>
    <row r="46" spans="4:10" x14ac:dyDescent="0.2">
      <c r="D46" s="125">
        <v>0.91666666666666696</v>
      </c>
    </row>
    <row r="47" spans="4:10" x14ac:dyDescent="0.2">
      <c r="D47" s="125">
        <v>0.9375</v>
      </c>
    </row>
    <row r="48" spans="4:10" x14ac:dyDescent="0.2">
      <c r="D48" s="125">
        <v>0.95833333333333304</v>
      </c>
    </row>
    <row r="49" spans="3:4" x14ac:dyDescent="0.2">
      <c r="D49" s="131">
        <v>0.97916666666666696</v>
      </c>
    </row>
    <row r="50" spans="3:4" x14ac:dyDescent="0.2">
      <c r="D50" s="132"/>
    </row>
    <row r="51" spans="3:4" x14ac:dyDescent="0.2">
      <c r="C51" s="2" t="s">
        <v>28</v>
      </c>
      <c r="D51" s="2" t="s">
        <v>119</v>
      </c>
    </row>
    <row r="52" spans="3:4" x14ac:dyDescent="0.2">
      <c r="C52" s="2" t="s">
        <v>29</v>
      </c>
      <c r="D52" s="2" t="s">
        <v>120</v>
      </c>
    </row>
    <row r="53" spans="3:4" x14ac:dyDescent="0.2">
      <c r="C53" s="119" t="s">
        <v>6</v>
      </c>
      <c r="D53" s="120">
        <v>1</v>
      </c>
    </row>
    <row r="54" spans="3:4" x14ac:dyDescent="0.2">
      <c r="C54" s="145" t="s">
        <v>7</v>
      </c>
      <c r="D54" s="146">
        <v>2</v>
      </c>
    </row>
    <row r="55" spans="3:4" x14ac:dyDescent="0.2">
      <c r="C55" s="145" t="s">
        <v>8</v>
      </c>
      <c r="D55" s="146">
        <v>3</v>
      </c>
    </row>
    <row r="56" spans="3:4" x14ac:dyDescent="0.2">
      <c r="C56" s="145" t="s">
        <v>9</v>
      </c>
      <c r="D56" s="146">
        <v>4</v>
      </c>
    </row>
    <row r="57" spans="3:4" x14ac:dyDescent="0.2">
      <c r="C57" s="145" t="s">
        <v>10</v>
      </c>
      <c r="D57" s="146">
        <v>5</v>
      </c>
    </row>
    <row r="58" spans="3:4" x14ac:dyDescent="0.2">
      <c r="C58" s="145" t="s">
        <v>11</v>
      </c>
      <c r="D58" s="146">
        <v>6</v>
      </c>
    </row>
    <row r="59" spans="3:4" x14ac:dyDescent="0.2">
      <c r="C59" s="145" t="s">
        <v>12</v>
      </c>
      <c r="D59" s="146">
        <v>7</v>
      </c>
    </row>
    <row r="60" spans="3:4" x14ac:dyDescent="0.2">
      <c r="C60" s="145" t="s">
        <v>13</v>
      </c>
      <c r="D60" s="146">
        <v>8</v>
      </c>
    </row>
    <row r="61" spans="3:4" x14ac:dyDescent="0.2">
      <c r="C61" s="145" t="s">
        <v>14</v>
      </c>
      <c r="D61" s="146">
        <v>9</v>
      </c>
    </row>
    <row r="62" spans="3:4" x14ac:dyDescent="0.2">
      <c r="C62" s="145" t="s">
        <v>15</v>
      </c>
      <c r="D62" s="146">
        <v>10</v>
      </c>
    </row>
    <row r="63" spans="3:4" x14ac:dyDescent="0.2">
      <c r="C63" s="145" t="s">
        <v>16</v>
      </c>
      <c r="D63" s="146">
        <v>11</v>
      </c>
    </row>
    <row r="64" spans="3:4" x14ac:dyDescent="0.2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>
    <tabColor theme="1"/>
  </sheetPr>
  <dimension ref="A1:AU50"/>
  <sheetViews>
    <sheetView tabSelected="1" zoomScale="90" zoomScaleNormal="90" zoomScalePageLayoutView="90" workbookViewId="0">
      <selection activeCell="R16" sqref="R16"/>
    </sheetView>
  </sheetViews>
  <sheetFormatPr baseColWidth="10" defaultRowHeight="15" x14ac:dyDescent="0.2"/>
  <cols>
    <col min="2" max="2" width="5.33203125" customWidth="1"/>
    <col min="3" max="3" width="10.33203125" hidden="1" customWidth="1"/>
    <col min="4" max="4" width="28.5" bestFit="1" customWidth="1"/>
    <col min="5" max="6" width="11.83203125" customWidth="1"/>
    <col min="7" max="9" width="7.6640625" customWidth="1"/>
    <col min="10" max="14" width="7.83203125" customWidth="1"/>
    <col min="15" max="15" width="56" customWidth="1"/>
    <col min="16" max="21" width="12.33203125" customWidth="1"/>
    <col min="22" max="29" width="9.1640625" customWidth="1"/>
    <col min="30" max="30" width="2.83203125" customWidth="1"/>
    <col min="31" max="31" width="23.83203125" customWidth="1"/>
    <col min="32" max="32" width="10.33203125" customWidth="1"/>
    <col min="33" max="33" width="2.6640625" customWidth="1"/>
    <col min="34" max="34" width="22.6640625" customWidth="1"/>
    <col min="35" max="35" width="9.83203125" customWidth="1"/>
    <col min="36" max="36" width="9.6640625" customWidth="1"/>
    <col min="37" max="37" width="9.83203125" customWidth="1"/>
    <col min="38" max="38" width="17.83203125" customWidth="1"/>
    <col min="39" max="39" width="15.5" customWidth="1"/>
    <col min="40" max="40" width="18.5" customWidth="1"/>
    <col min="42" max="42" width="4.6640625" customWidth="1"/>
  </cols>
  <sheetData>
    <row r="1" spans="1:42" ht="15" customHeight="1" x14ac:dyDescent="0.2">
      <c r="A1" s="340"/>
      <c r="B1" s="336"/>
      <c r="C1" s="337"/>
      <c r="D1" s="336"/>
      <c r="E1" s="336"/>
      <c r="F1" s="336"/>
      <c r="G1" s="337"/>
      <c r="H1" s="338"/>
      <c r="I1" s="338"/>
      <c r="J1" s="336"/>
      <c r="K1" s="338"/>
      <c r="L1" s="336"/>
      <c r="M1" s="336"/>
      <c r="N1" s="336"/>
      <c r="O1" s="339"/>
      <c r="P1" s="336"/>
      <c r="Q1" s="336"/>
      <c r="R1" s="340"/>
      <c r="S1" s="340"/>
      <c r="T1" s="338"/>
      <c r="U1" s="338"/>
      <c r="V1" s="338"/>
      <c r="W1" s="338"/>
      <c r="X1" s="338"/>
      <c r="Y1" s="338"/>
      <c r="Z1" s="338"/>
      <c r="AA1" s="338"/>
      <c r="AB1" s="341"/>
      <c r="AC1" s="342"/>
      <c r="AD1" s="342"/>
      <c r="AE1" s="340"/>
      <c r="AF1" s="340"/>
      <c r="AG1" s="340"/>
      <c r="AH1" s="340"/>
      <c r="AI1" s="340"/>
      <c r="AJ1" s="340"/>
      <c r="AK1" s="340"/>
      <c r="AL1" s="340"/>
      <c r="AM1" s="358"/>
      <c r="AN1" s="340"/>
      <c r="AO1" s="340"/>
      <c r="AP1" s="340"/>
    </row>
    <row r="2" spans="1:42" ht="15" customHeight="1" thickBot="1" x14ac:dyDescent="0.3">
      <c r="A2" s="340"/>
      <c r="B2" s="343"/>
      <c r="C2" s="343"/>
      <c r="D2" s="340"/>
      <c r="E2" s="340"/>
      <c r="F2" s="340"/>
      <c r="G2" s="344"/>
      <c r="H2" s="345"/>
      <c r="I2" s="345"/>
      <c r="J2" s="346"/>
      <c r="K2" s="340"/>
      <c r="L2" s="343"/>
      <c r="M2" s="343"/>
      <c r="N2" s="343"/>
      <c r="O2" s="339"/>
      <c r="P2" s="343"/>
      <c r="Q2" s="343"/>
      <c r="R2" s="340"/>
      <c r="S2" s="347"/>
      <c r="T2" s="348"/>
      <c r="U2" s="349"/>
      <c r="V2" s="340"/>
      <c r="W2" s="340"/>
      <c r="X2" s="340"/>
      <c r="Y2" s="349"/>
      <c r="Z2" s="340"/>
      <c r="AA2" s="340"/>
      <c r="AB2" s="340"/>
      <c r="AC2" s="340"/>
      <c r="AD2" s="349"/>
      <c r="AE2" s="340"/>
      <c r="AF2" s="340"/>
      <c r="AG2" s="340"/>
      <c r="AH2" s="340"/>
      <c r="AI2" s="340"/>
      <c r="AJ2" s="340"/>
      <c r="AK2" s="340"/>
      <c r="AL2" s="340"/>
      <c r="AM2" s="340"/>
      <c r="AN2" s="340"/>
      <c r="AO2" s="340"/>
      <c r="AP2" s="340"/>
    </row>
    <row r="3" spans="1:42" ht="15" customHeight="1" x14ac:dyDescent="0.2">
      <c r="A3" s="340"/>
      <c r="B3" s="349"/>
      <c r="C3" s="349"/>
      <c r="D3" s="340"/>
      <c r="E3" s="340"/>
      <c r="F3" s="340"/>
      <c r="G3" s="340"/>
      <c r="H3" s="345"/>
      <c r="I3" s="345"/>
      <c r="J3" s="346"/>
      <c r="K3" s="350"/>
      <c r="L3" s="350"/>
      <c r="M3" s="350"/>
      <c r="N3" s="350"/>
      <c r="O3" s="339"/>
      <c r="P3" s="340"/>
      <c r="Q3" s="351"/>
      <c r="R3" s="352"/>
      <c r="S3" s="351"/>
      <c r="T3" s="349"/>
      <c r="U3" s="349"/>
      <c r="V3" s="387" t="s">
        <v>73</v>
      </c>
      <c r="W3" s="388"/>
      <c r="X3" s="389" t="s">
        <v>71</v>
      </c>
      <c r="Y3" s="389"/>
      <c r="Z3" s="388" t="s">
        <v>72</v>
      </c>
      <c r="AA3" s="388"/>
      <c r="AB3" s="388" t="s">
        <v>74</v>
      </c>
      <c r="AC3" s="390"/>
      <c r="AD3" s="349"/>
      <c r="AE3" s="481" t="s">
        <v>123</v>
      </c>
      <c r="AF3" s="482"/>
      <c r="AG3" s="340"/>
      <c r="AH3" s="270" t="s">
        <v>32</v>
      </c>
      <c r="AI3" s="271"/>
      <c r="AJ3" s="271"/>
      <c r="AK3" s="272"/>
      <c r="AL3" s="340"/>
      <c r="AM3" s="340"/>
      <c r="AN3" s="340"/>
      <c r="AO3" s="340"/>
      <c r="AP3" s="340"/>
    </row>
    <row r="4" spans="1:42" ht="15" customHeight="1" thickBot="1" x14ac:dyDescent="0.25">
      <c r="A4" s="340"/>
      <c r="B4" s="340"/>
      <c r="C4" s="340"/>
      <c r="D4" s="340"/>
      <c r="E4" s="340"/>
      <c r="F4" s="340"/>
      <c r="G4" s="340"/>
      <c r="H4" s="353"/>
      <c r="I4" s="354"/>
      <c r="J4" s="340"/>
      <c r="K4" s="350"/>
      <c r="L4" s="350"/>
      <c r="M4" s="350"/>
      <c r="N4" s="350"/>
      <c r="O4" s="339"/>
      <c r="P4" s="340"/>
      <c r="Q4" s="340"/>
      <c r="R4" s="340"/>
      <c r="S4" s="340"/>
      <c r="T4" s="340"/>
      <c r="U4" s="340"/>
      <c r="V4" s="416" t="s">
        <v>59</v>
      </c>
      <c r="W4" s="417"/>
      <c r="X4" s="418" t="s">
        <v>70</v>
      </c>
      <c r="Y4" s="418"/>
      <c r="Z4" s="417" t="s">
        <v>60</v>
      </c>
      <c r="AA4" s="417"/>
      <c r="AB4" s="417" t="s">
        <v>56</v>
      </c>
      <c r="AC4" s="419"/>
      <c r="AD4" s="340"/>
      <c r="AE4" s="483" t="s">
        <v>2</v>
      </c>
      <c r="AF4" s="484">
        <f>COUNTA(G10:G40)</f>
        <v>1</v>
      </c>
      <c r="AG4" s="340"/>
      <c r="AH4" s="187"/>
      <c r="AI4" s="188" t="s">
        <v>51</v>
      </c>
      <c r="AJ4" s="189" t="s">
        <v>38</v>
      </c>
      <c r="AK4" s="190" t="s">
        <v>24</v>
      </c>
      <c r="AL4" s="340"/>
      <c r="AM4" s="340"/>
      <c r="AN4" s="340"/>
      <c r="AO4" s="340"/>
      <c r="AP4" s="340"/>
    </row>
    <row r="5" spans="1:42" ht="15" customHeight="1" thickBot="1" x14ac:dyDescent="0.25">
      <c r="A5" s="340"/>
      <c r="B5" s="340"/>
      <c r="C5" s="340"/>
      <c r="D5" s="355"/>
      <c r="E5" s="355"/>
      <c r="F5" s="340"/>
      <c r="G5" s="340"/>
      <c r="H5" s="353"/>
      <c r="I5" s="354"/>
      <c r="J5" s="340"/>
      <c r="K5" s="350"/>
      <c r="L5" s="350"/>
      <c r="M5" s="350"/>
      <c r="N5" s="350"/>
      <c r="O5" s="339"/>
      <c r="P5" s="410" t="s">
        <v>48</v>
      </c>
      <c r="Q5" s="411"/>
      <c r="R5" s="411"/>
      <c r="S5" s="411" t="s">
        <v>49</v>
      </c>
      <c r="T5" s="411"/>
      <c r="U5" s="412"/>
      <c r="V5" s="443">
        <f>SUM(V7+W7)</f>
        <v>0</v>
      </c>
      <c r="W5" s="444"/>
      <c r="X5" s="449">
        <f>SUM(X7+Y7)</f>
        <v>0</v>
      </c>
      <c r="Y5" s="450"/>
      <c r="Z5" s="444">
        <f>SUM(Z7+AA7)</f>
        <v>0.8125</v>
      </c>
      <c r="AA5" s="444"/>
      <c r="AB5" s="444">
        <f>SUMPRODUCT((MONTH($D$10:$D$42=$E$8)*($C$10:$C$42&lt;&gt;"")*($AB$10:$AC$42)))</f>
        <v>0.8125</v>
      </c>
      <c r="AC5" s="451"/>
      <c r="AD5" s="340"/>
      <c r="AE5" s="485"/>
      <c r="AF5" s="486"/>
      <c r="AG5" s="340"/>
      <c r="AH5" s="183" t="s">
        <v>1</v>
      </c>
      <c r="AI5" s="184">
        <f>SUM(V7+Z7)*24</f>
        <v>13.5</v>
      </c>
      <c r="AJ5" s="185">
        <v>9.93</v>
      </c>
      <c r="AK5" s="186">
        <f t="shared" ref="AK5:AK11" si="0">AI5*AJ5</f>
        <v>134.05500000000001</v>
      </c>
      <c r="AL5" s="340"/>
      <c r="AM5" s="340"/>
      <c r="AN5" s="340"/>
      <c r="AO5" s="340"/>
      <c r="AP5" s="340"/>
    </row>
    <row r="6" spans="1:42" ht="16" customHeight="1" thickBot="1" x14ac:dyDescent="0.25">
      <c r="A6" s="340"/>
      <c r="B6" s="368"/>
      <c r="C6" s="7"/>
      <c r="D6" s="407" t="str">
        <f>UPPER(TEXT($D10,"mmmm aaaa"))</f>
        <v>JANVIER 2015</v>
      </c>
      <c r="E6" s="371" t="s">
        <v>54</v>
      </c>
      <c r="F6" s="369">
        <v>0.875</v>
      </c>
      <c r="G6" s="340"/>
      <c r="H6" s="340"/>
      <c r="I6" s="340"/>
      <c r="J6" s="354"/>
      <c r="K6" s="340"/>
      <c r="L6" s="340"/>
      <c r="M6" s="340"/>
      <c r="N6" s="340"/>
      <c r="O6" s="357"/>
      <c r="P6" s="413" t="s">
        <v>46</v>
      </c>
      <c r="Q6" s="414" t="s">
        <v>44</v>
      </c>
      <c r="R6" s="414" t="s">
        <v>45</v>
      </c>
      <c r="S6" s="414" t="s">
        <v>46</v>
      </c>
      <c r="T6" s="414" t="s">
        <v>44</v>
      </c>
      <c r="U6" s="415" t="s">
        <v>45</v>
      </c>
      <c r="V6" s="423" t="s">
        <v>57</v>
      </c>
      <c r="W6" s="420" t="s">
        <v>58</v>
      </c>
      <c r="X6" s="422" t="s">
        <v>68</v>
      </c>
      <c r="Y6" s="422" t="s">
        <v>69</v>
      </c>
      <c r="Z6" s="420" t="s">
        <v>61</v>
      </c>
      <c r="AA6" s="420" t="s">
        <v>62</v>
      </c>
      <c r="AB6" s="420" t="s">
        <v>1</v>
      </c>
      <c r="AC6" s="421" t="s">
        <v>33</v>
      </c>
      <c r="AD6" s="340"/>
      <c r="AE6" s="483" t="s">
        <v>82</v>
      </c>
      <c r="AF6" s="484">
        <f>SUMPRODUCT((($C$10:$C$40="férié")*(WEEKDAY($D$10:$D$40)&lt;&gt;1)+($C$10:$C$40="se"))*($N$10:$N$40&gt;0))</f>
        <v>1</v>
      </c>
      <c r="AG6" s="340"/>
      <c r="AH6" s="168" t="s">
        <v>33</v>
      </c>
      <c r="AI6" s="77">
        <f>SUM(W7+AA7)*24</f>
        <v>6</v>
      </c>
      <c r="AJ6" s="78">
        <v>0.99299999999999999</v>
      </c>
      <c r="AK6" s="169">
        <f t="shared" si="0"/>
        <v>5.9580000000000002</v>
      </c>
      <c r="AL6" s="340"/>
      <c r="AM6" s="340"/>
      <c r="AN6" s="340"/>
      <c r="AO6" s="340"/>
      <c r="AP6" s="340"/>
    </row>
    <row r="7" spans="1:42" ht="16" customHeight="1" thickBot="1" x14ac:dyDescent="0.25">
      <c r="A7" s="340"/>
      <c r="B7" s="368"/>
      <c r="C7" s="7"/>
      <c r="D7" s="408"/>
      <c r="E7" s="372" t="s">
        <v>55</v>
      </c>
      <c r="F7" s="370">
        <v>0.25</v>
      </c>
      <c r="G7" s="340"/>
      <c r="H7" s="356"/>
      <c r="I7" s="356"/>
      <c r="J7" s="340"/>
      <c r="K7" s="340"/>
      <c r="L7" s="404" t="s">
        <v>75</v>
      </c>
      <c r="M7" s="405"/>
      <c r="N7" s="394" t="s">
        <v>51</v>
      </c>
      <c r="O7" s="510" t="s">
        <v>0</v>
      </c>
      <c r="P7" s="425" t="str">
        <f>TEXT(P8,"[hh]:mm")&amp;"h"&amp;" à "&amp;TEXT(P9,"[hh]:mm")&amp;"h"</f>
        <v>00:00h à 06:00h</v>
      </c>
      <c r="Q7" s="426" t="str">
        <f>TEXT(Q8,"[hh]:mm")&amp;"h"&amp;" à "&amp;TEXT(Q9,"[hh]:mm")&amp;"h"</f>
        <v>06:00h à 21:00h</v>
      </c>
      <c r="R7" s="426" t="str">
        <f>TEXT(R8,"[hh]:mm")&amp;"h"&amp;" à "&amp;TEXT(R9,"[hh]:mm")&amp;"h"</f>
        <v>21:00h à 24:00h</v>
      </c>
      <c r="S7" s="427" t="str">
        <f>TEXT(S8,"[hh]:mm")&amp;"h"&amp;" à "&amp;TEXT(S9,"hh:mm")&amp;"h"</f>
        <v>24:00h à 06:00h</v>
      </c>
      <c r="T7" s="426" t="str">
        <f>TEXT(T8,"hh:mm")&amp;"h"&amp;" à "&amp;TEXT(T9,"hh:mm")&amp;"h"</f>
        <v>06:00h à 21:00h</v>
      </c>
      <c r="U7" s="428" t="str">
        <f>TEXT(U8,"hh:mm")&amp;"h"&amp;" à "&amp;TEXT(U9-24/24,"[hh]:mm")&amp;"h"</f>
        <v>21:00h à 24:00h</v>
      </c>
      <c r="V7" s="448">
        <f>SUMIF(D10:D40,"&gt;0",V10:V40)</f>
        <v>0</v>
      </c>
      <c r="W7" s="447">
        <f>SUMIF(D10:D40,"&gt;0",W10:W40)</f>
        <v>0</v>
      </c>
      <c r="X7" s="454">
        <f>SUMPRODUCT((WEEKDAY($D$10:$D$40)=1)*($AB$10:$AB$40))</f>
        <v>0</v>
      </c>
      <c r="Y7" s="454">
        <f>SUMPRODUCT((WEEKDAY($D$10:$D$40)=1)*($AC$10:$AC$40))</f>
        <v>0</v>
      </c>
      <c r="Z7" s="447">
        <f>SUMPRODUCT(($C$10:$C$40="férié")*($Z$10:$Z$40))</f>
        <v>0.5625</v>
      </c>
      <c r="AA7" s="447">
        <f>SUMPRODUCT(($C$10:$C$40="férié")*($AA$10:$AA$40))</f>
        <v>0.25</v>
      </c>
      <c r="AB7" s="447">
        <f>SUMIF(D10:D40,"&gt;0",AB10:AB40)</f>
        <v>0.5625</v>
      </c>
      <c r="AC7" s="455">
        <f>SUMIF(D10:D40,"&gt;0",AC10:AC40)</f>
        <v>0.25</v>
      </c>
      <c r="AD7" s="340"/>
      <c r="AE7" s="487"/>
      <c r="AF7" s="488"/>
      <c r="AG7" s="340"/>
      <c r="AH7" s="168" t="s">
        <v>35</v>
      </c>
      <c r="AI7" s="77">
        <f>X7*24</f>
        <v>0</v>
      </c>
      <c r="AJ7" s="78">
        <v>0.99299999999999999</v>
      </c>
      <c r="AK7" s="169">
        <f t="shared" si="0"/>
        <v>0</v>
      </c>
      <c r="AL7" s="340"/>
      <c r="AM7" s="340"/>
      <c r="AN7" s="340"/>
      <c r="AO7" s="340"/>
      <c r="AP7" s="340"/>
    </row>
    <row r="8" spans="1:42" ht="16" customHeight="1" thickBot="1" x14ac:dyDescent="0.25">
      <c r="A8" s="340"/>
      <c r="B8" s="340"/>
      <c r="C8" s="5"/>
      <c r="D8" s="409"/>
      <c r="E8" s="373" t="s">
        <v>23</v>
      </c>
      <c r="F8" s="391"/>
      <c r="G8" s="392" t="s">
        <v>51</v>
      </c>
      <c r="H8" s="393" t="s">
        <v>51</v>
      </c>
      <c r="I8" s="393" t="s">
        <v>51</v>
      </c>
      <c r="J8" s="393" t="s">
        <v>51</v>
      </c>
      <c r="K8" s="402" t="s">
        <v>51</v>
      </c>
      <c r="L8" s="413" t="s">
        <v>66</v>
      </c>
      <c r="M8" s="414" t="s">
        <v>67</v>
      </c>
      <c r="N8" s="508" t="s">
        <v>112</v>
      </c>
      <c r="O8" s="511"/>
      <c r="P8" s="429">
        <v>0</v>
      </c>
      <c r="Q8" s="430">
        <f>IF(ISBLANK(F7),0/24,P9)</f>
        <v>0.25</v>
      </c>
      <c r="R8" s="430">
        <f>Q9</f>
        <v>0.875</v>
      </c>
      <c r="S8" s="431">
        <f>R9</f>
        <v>1</v>
      </c>
      <c r="T8" s="431">
        <f>S9</f>
        <v>1.25</v>
      </c>
      <c r="U8" s="432">
        <f>T9</f>
        <v>1.875</v>
      </c>
      <c r="V8" s="416" t="s">
        <v>63</v>
      </c>
      <c r="W8" s="417"/>
      <c r="X8" s="424" t="s">
        <v>4</v>
      </c>
      <c r="Y8" s="424"/>
      <c r="Z8" s="417" t="s">
        <v>3</v>
      </c>
      <c r="AA8" s="417"/>
      <c r="AB8" s="417" t="s">
        <v>2</v>
      </c>
      <c r="AC8" s="419"/>
      <c r="AD8" s="357"/>
      <c r="AE8" s="483" t="s">
        <v>89</v>
      </c>
      <c r="AF8" s="489">
        <f>SUM(N10:N40)</f>
        <v>0.8125</v>
      </c>
      <c r="AG8" s="340"/>
      <c r="AH8" s="168" t="s">
        <v>34</v>
      </c>
      <c r="AI8" s="77">
        <f>Y7*24</f>
        <v>0</v>
      </c>
      <c r="AJ8" s="78">
        <v>1.88</v>
      </c>
      <c r="AK8" s="169">
        <f t="shared" si="0"/>
        <v>0</v>
      </c>
      <c r="AL8" s="340"/>
      <c r="AM8" s="340"/>
      <c r="AN8" s="340"/>
      <c r="AO8" s="340"/>
      <c r="AP8" s="340"/>
    </row>
    <row r="9" spans="1:42" ht="16" customHeight="1" thickBot="1" x14ac:dyDescent="0.25">
      <c r="A9" s="340"/>
      <c r="B9" s="471" t="s">
        <v>5</v>
      </c>
      <c r="C9" s="398" t="s">
        <v>40</v>
      </c>
      <c r="D9" s="399" t="s">
        <v>25</v>
      </c>
      <c r="E9" s="400" t="s">
        <v>19</v>
      </c>
      <c r="F9" s="401" t="s">
        <v>26</v>
      </c>
      <c r="G9" s="395" t="s">
        <v>52</v>
      </c>
      <c r="H9" s="396" t="s">
        <v>53</v>
      </c>
      <c r="I9" s="397" t="s">
        <v>124</v>
      </c>
      <c r="J9" s="396" t="s">
        <v>64</v>
      </c>
      <c r="K9" s="403" t="s">
        <v>65</v>
      </c>
      <c r="L9" s="468">
        <f>COUNTA(G10:G40)</f>
        <v>1</v>
      </c>
      <c r="M9" s="469">
        <f>SUM(M10:M40)</f>
        <v>0</v>
      </c>
      <c r="N9" s="509" t="s">
        <v>83</v>
      </c>
      <c r="O9" s="512"/>
      <c r="P9" s="433">
        <f>IF(ISBLANK(F7),"",F7)</f>
        <v>0.25</v>
      </c>
      <c r="Q9" s="434">
        <f>F6</f>
        <v>0.875</v>
      </c>
      <c r="R9" s="435">
        <f>24/24</f>
        <v>1</v>
      </c>
      <c r="S9" s="435">
        <f>IF(ISBLANK(F7),Q9+24/24,IF(P9=0/24,Q9+24/24,P9+24/24))</f>
        <v>1.25</v>
      </c>
      <c r="T9" s="435">
        <f>Q9+24/24</f>
        <v>1.875</v>
      </c>
      <c r="U9" s="436">
        <f>R9+24/24</f>
        <v>2</v>
      </c>
      <c r="V9" s="445">
        <f>SUMPRODUCT((($C$10:$C$40="férié")*(WEEKDAY($D$10:$D$40)&lt;&gt;1)+($C$10:$C$40="se"))*($N$10:$N$40&gt;0))</f>
        <v>1</v>
      </c>
      <c r="W9" s="446"/>
      <c r="X9" s="453">
        <f>SUMPRODUCT((WEEKDAY($D$10:$D$40)=1)*($N$10:$N$40&gt;0))</f>
        <v>0</v>
      </c>
      <c r="Y9" s="453"/>
      <c r="Z9" s="446">
        <f>SUMPRODUCT(($C$10:$C$40="férié")*($N$10:$N$40&gt;0))</f>
        <v>1</v>
      </c>
      <c r="AA9" s="446"/>
      <c r="AB9" s="446">
        <f>COUNTA(G10:G40)</f>
        <v>1</v>
      </c>
      <c r="AC9" s="452"/>
      <c r="AD9" s="357"/>
      <c r="AE9" s="487"/>
      <c r="AF9" s="488"/>
      <c r="AG9" s="340"/>
      <c r="AH9" s="168" t="s">
        <v>36</v>
      </c>
      <c r="AI9" s="77">
        <f>Z5*24</f>
        <v>19.5</v>
      </c>
      <c r="AJ9" s="78">
        <v>9.93</v>
      </c>
      <c r="AK9" s="169">
        <f t="shared" si="0"/>
        <v>193.63499999999999</v>
      </c>
      <c r="AL9" s="340"/>
      <c r="AM9" s="340"/>
      <c r="AN9" s="340"/>
      <c r="AO9" s="340"/>
      <c r="AP9" s="340"/>
    </row>
    <row r="10" spans="1:42" ht="16" x14ac:dyDescent="0.2">
      <c r="A10" s="340"/>
      <c r="B10" s="472">
        <v>1</v>
      </c>
      <c r="C10" s="374" t="str">
        <f t="shared" ref="C10:C40" si="1">IF(D10="","",IF(COUNTIF(Fer,D10)&gt;0,"Férié",IF(WEEKDAY(D10,2)&lt;=6,"Se","Dim")))</f>
        <v>Férié</v>
      </c>
      <c r="D10" s="456">
        <f>DATE(AJ28,AJ26,1)</f>
        <v>42005</v>
      </c>
      <c r="E10" s="457" t="s">
        <v>20</v>
      </c>
      <c r="F10" s="457" t="s">
        <v>77</v>
      </c>
      <c r="G10" s="458">
        <v>0</v>
      </c>
      <c r="H10" s="458">
        <v>0.8125</v>
      </c>
      <c r="I10" s="459">
        <f t="shared" ref="I10:I40" si="2">IF(OR(D10="",G10="",H10=""),"",IF(COUNT(F$6:F$7)=1,"",IF(H10&gt;G10,H10-G10,MOD(H10+24/24-G10,1))))</f>
        <v>0.8125</v>
      </c>
      <c r="J10" s="460"/>
      <c r="K10" s="461"/>
      <c r="L10" s="462" t="str">
        <f t="shared" ref="L10:L40" si="3">IF(N10*24&gt;=6,"1","")</f>
        <v>1</v>
      </c>
      <c r="M10" s="463" t="str">
        <f t="shared" ref="M10:M40" si="4">IF(E10="Maitre chien",I10+J10+K10,"")</f>
        <v/>
      </c>
      <c r="N10" s="464">
        <f t="shared" ref="N10:N40" si="5">SUM(I10,J10,K10)</f>
        <v>0.8125</v>
      </c>
      <c r="O10" s="465"/>
      <c r="P10" s="525">
        <f t="shared" ref="P10:P40" si="6">IF(OR($D10="",I10="",P$9=""),"",IF($G10&gt;$H10,MAX(,MIN(P$9,$H10+24/24)-MAX(P$8,$G10)),MAX(,MIN(P$9,$I10)-MAX(P$8,$G10))))</f>
        <v>0.25</v>
      </c>
      <c r="Q10" s="526">
        <f>IF(OR($D10="",P10="",Q$9=""),"",IF($G10&gt;$H10,MAX(,MIN(Q$9,$H10+24/24)-MAX(Q$8,$G10)),MAX(,MIN(Q$9,$H10)-MAX(Q$8,$G10))))</f>
        <v>0.5625</v>
      </c>
      <c r="R10" s="527">
        <f t="shared" ref="Q10:R29" si="7">IF(OR($D10="",Q10="",R$9=""),"",IF($G10&gt;$H10,MAX(,MIN(R$9,$H10+24/24)-MAX(R$8,$G10)),MAX(,MIN(R$9,$H10)-MAX(R$8,$G10))))</f>
        <v>0</v>
      </c>
      <c r="S10" s="528"/>
      <c r="T10" s="526"/>
      <c r="U10" s="527"/>
      <c r="V10" s="513">
        <f>SUMPRODUCT(($C$10="se")*($AB$10))</f>
        <v>0</v>
      </c>
      <c r="W10" s="514">
        <f>SUMPRODUCT(($C$10="se")*($AC$10))</f>
        <v>0</v>
      </c>
      <c r="X10" s="515">
        <f t="shared" ref="X10:X40" si="8">(WEEKDAY($D10)=1)*($AB10)</f>
        <v>0</v>
      </c>
      <c r="Y10" s="516">
        <f t="shared" ref="Y10:Y40" si="9">(WEEKDAY($D10)=1)*($AC10)</f>
        <v>0</v>
      </c>
      <c r="Z10" s="513">
        <f>SUMPRODUCT(($C$10="férié")*($AB$10))</f>
        <v>0.5625</v>
      </c>
      <c r="AA10" s="514">
        <f>SUMPRODUCT(($C$10="férié")*($AC$10))</f>
        <v>0.25</v>
      </c>
      <c r="AB10" s="475">
        <f t="shared" ref="AB10:AB40" si="10">SUM(J10,Q10,T10)</f>
        <v>0.5625</v>
      </c>
      <c r="AC10" s="476">
        <f t="shared" ref="AC10:AC40" si="11">SUM(K10,P10,R10,S10,U10)</f>
        <v>0.25</v>
      </c>
      <c r="AD10" s="357"/>
      <c r="AE10" s="483" t="s">
        <v>93</v>
      </c>
      <c r="AF10" s="490">
        <f>SUMIF(D10:D40,"&gt;0",AB10:AB40)</f>
        <v>0.5625</v>
      </c>
      <c r="AG10" s="340"/>
      <c r="AH10" s="170" t="s">
        <v>37</v>
      </c>
      <c r="AI10" s="77">
        <f>SUM(AI5:AI8)</f>
        <v>19.5</v>
      </c>
      <c r="AJ10" s="78">
        <v>0.13100000000000001</v>
      </c>
      <c r="AK10" s="169">
        <f t="shared" si="0"/>
        <v>2.5545</v>
      </c>
      <c r="AL10" s="340"/>
      <c r="AM10" s="340"/>
      <c r="AN10" s="340"/>
      <c r="AO10" s="340"/>
      <c r="AP10" s="340"/>
    </row>
    <row r="11" spans="1:42" ht="17" thickBot="1" x14ac:dyDescent="0.25">
      <c r="A11" s="340"/>
      <c r="B11" s="473">
        <v>2</v>
      </c>
      <c r="C11" s="375" t="str">
        <f t="shared" si="1"/>
        <v>Se</v>
      </c>
      <c r="D11" s="223">
        <f>IF(D10=0,0,IF(MONTH(D10+1)=MONTH($D$10),D10+1,0))</f>
        <v>42006</v>
      </c>
      <c r="E11" s="42"/>
      <c r="F11" s="42"/>
      <c r="G11" s="43"/>
      <c r="H11" s="43"/>
      <c r="I11" s="44" t="str">
        <f t="shared" si="2"/>
        <v/>
      </c>
      <c r="J11" s="73"/>
      <c r="K11" s="207"/>
      <c r="L11" s="208" t="str">
        <f t="shared" si="3"/>
        <v/>
      </c>
      <c r="M11" s="214" t="str">
        <f t="shared" si="4"/>
        <v/>
      </c>
      <c r="N11" s="215">
        <f t="shared" si="5"/>
        <v>0</v>
      </c>
      <c r="O11" s="216"/>
      <c r="P11" s="529" t="str">
        <f t="shared" si="6"/>
        <v/>
      </c>
      <c r="Q11" s="530" t="str">
        <f t="shared" si="7"/>
        <v/>
      </c>
      <c r="R11" s="531" t="str">
        <f t="shared" si="7"/>
        <v/>
      </c>
      <c r="S11" s="532">
        <f>IF(OR(R10="",S$9=""),"",IF($G10&gt;$H10,MAX(,MIN(S$9,$H10+24/24)-MAX(S$8,$G10)),MAX(,MIN(S$9,$H10)-MAX(S$8,$G10))))</f>
        <v>0</v>
      </c>
      <c r="T11" s="530">
        <f>IF(OR(S11="",T$9=""),"",IF($G10&gt;$H10,MAX(,MIN(T$9,$H10+24/24)-MAX(T$8,$G10)),MAX(,MIN(T$9,$H10)-MAX(T$8,$G10))))</f>
        <v>0</v>
      </c>
      <c r="U11" s="531">
        <f>IF(OR(T11="",U$9=""),"",IF($G10&gt;$H10,MAX(,MIN(U$9,$H10+24/24)-MAX(U$8,$G10)),MAX(,MIN(U$9,$H10)-MAX(U$8,$G10))))</f>
        <v>0</v>
      </c>
      <c r="V11" s="517">
        <f>SUMPRODUCT(($C$11="se")*($AB$11))</f>
        <v>0</v>
      </c>
      <c r="W11" s="518">
        <f>SUMPRODUCT(($C$11="se")*($AC$11))</f>
        <v>0</v>
      </c>
      <c r="X11" s="519">
        <f t="shared" si="8"/>
        <v>0</v>
      </c>
      <c r="Y11" s="520">
        <f t="shared" si="9"/>
        <v>0</v>
      </c>
      <c r="Z11" s="517">
        <f>SUMPRODUCT(($C$11="férié")*($AB$11))</f>
        <v>0</v>
      </c>
      <c r="AA11" s="518">
        <f>SUMPRODUCT(($C$11="férié")*($AC$11))</f>
        <v>0</v>
      </c>
      <c r="AB11" s="477">
        <f t="shared" si="10"/>
        <v>0</v>
      </c>
      <c r="AC11" s="478">
        <f t="shared" si="11"/>
        <v>0</v>
      </c>
      <c r="AD11" s="357"/>
      <c r="AE11" s="491"/>
      <c r="AF11" s="492"/>
      <c r="AG11" s="340"/>
      <c r="AH11" s="171" t="s">
        <v>39</v>
      </c>
      <c r="AI11" s="172">
        <f>SUM(AI6+AI8)</f>
        <v>6</v>
      </c>
      <c r="AJ11" s="174"/>
      <c r="AK11" s="175">
        <f t="shared" si="0"/>
        <v>0</v>
      </c>
      <c r="AL11" s="340"/>
      <c r="AM11" s="340"/>
      <c r="AN11" s="340"/>
      <c r="AO11" s="340"/>
      <c r="AP11" s="340"/>
    </row>
    <row r="12" spans="1:42" ht="17" thickBot="1" x14ac:dyDescent="0.25">
      <c r="A12" s="340"/>
      <c r="B12" s="473">
        <v>3</v>
      </c>
      <c r="C12" s="375" t="str">
        <f t="shared" si="1"/>
        <v>Se</v>
      </c>
      <c r="D12" s="223">
        <f t="shared" ref="D12:D40" si="12">IF(D11=0,0,IF(MONTH(D11+1)=MONTH($D$10),D11+1,0))</f>
        <v>42007</v>
      </c>
      <c r="E12" s="42"/>
      <c r="F12" s="42"/>
      <c r="G12" s="43"/>
      <c r="H12" s="43"/>
      <c r="I12" s="44" t="str">
        <f t="shared" si="2"/>
        <v/>
      </c>
      <c r="J12" s="73"/>
      <c r="K12" s="207"/>
      <c r="L12" s="208" t="str">
        <f t="shared" si="3"/>
        <v/>
      </c>
      <c r="M12" s="214" t="str">
        <f t="shared" si="4"/>
        <v/>
      </c>
      <c r="N12" s="215">
        <f t="shared" si="5"/>
        <v>0</v>
      </c>
      <c r="O12" s="216"/>
      <c r="P12" s="529" t="str">
        <f t="shared" si="6"/>
        <v/>
      </c>
      <c r="Q12" s="530" t="str">
        <f t="shared" si="7"/>
        <v/>
      </c>
      <c r="R12" s="531" t="str">
        <f t="shared" si="7"/>
        <v/>
      </c>
      <c r="S12" s="532" t="str">
        <f t="shared" ref="S12:S40" si="13">IF(OR(R11="",S$9=""),"",IF($G11&gt;$H11,MAX(,MIN(S$9,$H11+24/24)-MAX(S$8,$G11)),MAX(,MIN(S$9,$H11)-MAX(S$8,$G11))))</f>
        <v/>
      </c>
      <c r="T12" s="530" t="str">
        <f t="shared" ref="T12:U27" si="14">IF(OR(S12="",T$9=""),"",IF($G11&gt;$H11,MAX(,MIN(T$9,$H11+24/24)-MAX(T$8,$G11)),MAX(,MIN(T$9,$H11)-MAX(T$8,$G11))))</f>
        <v/>
      </c>
      <c r="U12" s="531" t="str">
        <f t="shared" si="14"/>
        <v/>
      </c>
      <c r="V12" s="517">
        <f>SUMPRODUCT(($C$12="se")*($AB$12))</f>
        <v>0</v>
      </c>
      <c r="W12" s="518">
        <f>SUMPRODUCT(($C$12="se")*($AC$12))</f>
        <v>0</v>
      </c>
      <c r="X12" s="519">
        <f t="shared" si="8"/>
        <v>0</v>
      </c>
      <c r="Y12" s="520">
        <f t="shared" si="9"/>
        <v>0</v>
      </c>
      <c r="Z12" s="517">
        <f>SUMPRODUCT(($C$12="férié")*($AB$12))</f>
        <v>0</v>
      </c>
      <c r="AA12" s="518">
        <f>SUMPRODUCT(($C$12="férié")*($AC$12))</f>
        <v>0</v>
      </c>
      <c r="AB12" s="477">
        <f t="shared" si="10"/>
        <v>0</v>
      </c>
      <c r="AC12" s="478">
        <f t="shared" si="11"/>
        <v>0</v>
      </c>
      <c r="AD12" s="357"/>
      <c r="AE12" s="483" t="s">
        <v>94</v>
      </c>
      <c r="AF12" s="490">
        <f>SUMIF(D10:D40,"&gt;0",AC10:AC40)</f>
        <v>0.25</v>
      </c>
      <c r="AG12" s="340"/>
      <c r="AH12" s="361"/>
      <c r="AI12" s="354"/>
      <c r="AJ12" s="181" t="s">
        <v>98</v>
      </c>
      <c r="AK12" s="182">
        <f>SUM(AK5:AK11)</f>
        <v>336.20250000000004</v>
      </c>
      <c r="AL12" s="340"/>
      <c r="AM12" s="340"/>
      <c r="AN12" s="340"/>
      <c r="AO12" s="340"/>
      <c r="AP12" s="340"/>
    </row>
    <row r="13" spans="1:42" ht="17" thickBot="1" x14ac:dyDescent="0.25">
      <c r="A13" s="340"/>
      <c r="B13" s="473">
        <v>4</v>
      </c>
      <c r="C13" s="375" t="str">
        <f t="shared" si="1"/>
        <v>Dim</v>
      </c>
      <c r="D13" s="223">
        <f t="shared" si="12"/>
        <v>42008</v>
      </c>
      <c r="E13" s="42"/>
      <c r="F13" s="42"/>
      <c r="G13" s="43"/>
      <c r="H13" s="43"/>
      <c r="I13" s="44" t="str">
        <f t="shared" si="2"/>
        <v/>
      </c>
      <c r="J13" s="73"/>
      <c r="K13" s="207"/>
      <c r="L13" s="208" t="str">
        <f t="shared" si="3"/>
        <v/>
      </c>
      <c r="M13" s="214" t="str">
        <f t="shared" si="4"/>
        <v/>
      </c>
      <c r="N13" s="215">
        <f t="shared" si="5"/>
        <v>0</v>
      </c>
      <c r="O13" s="216"/>
      <c r="P13" s="529" t="str">
        <f t="shared" si="6"/>
        <v/>
      </c>
      <c r="Q13" s="530" t="str">
        <f t="shared" si="7"/>
        <v/>
      </c>
      <c r="R13" s="531" t="str">
        <f t="shared" si="7"/>
        <v/>
      </c>
      <c r="S13" s="532" t="str">
        <f t="shared" si="13"/>
        <v/>
      </c>
      <c r="T13" s="530" t="str">
        <f t="shared" si="14"/>
        <v/>
      </c>
      <c r="U13" s="531" t="str">
        <f t="shared" si="14"/>
        <v/>
      </c>
      <c r="V13" s="517">
        <f>SUMPRODUCT(($C$13="se")*($AB$13))</f>
        <v>0</v>
      </c>
      <c r="W13" s="518">
        <f>SUMPRODUCT(($C$13="se")*($AC$13))</f>
        <v>0</v>
      </c>
      <c r="X13" s="519">
        <f t="shared" si="8"/>
        <v>0</v>
      </c>
      <c r="Y13" s="520">
        <f t="shared" si="9"/>
        <v>0</v>
      </c>
      <c r="Z13" s="517">
        <f>SUMPRODUCT(($C$13="férié")*($AB$13))</f>
        <v>0</v>
      </c>
      <c r="AA13" s="518">
        <f>SUMPRODUCT(($C$13="férié")*($AC$13))</f>
        <v>0</v>
      </c>
      <c r="AB13" s="477">
        <f t="shared" si="10"/>
        <v>0</v>
      </c>
      <c r="AC13" s="478">
        <f t="shared" si="11"/>
        <v>0</v>
      </c>
      <c r="AD13" s="357"/>
      <c r="AE13" s="493"/>
      <c r="AF13" s="494"/>
      <c r="AG13" s="340"/>
      <c r="AH13" s="340"/>
      <c r="AI13" s="340"/>
      <c r="AJ13" s="340"/>
      <c r="AK13" s="340"/>
      <c r="AL13" s="340"/>
      <c r="AM13" s="340"/>
      <c r="AN13" s="340"/>
      <c r="AO13" s="340"/>
      <c r="AP13" s="340"/>
    </row>
    <row r="14" spans="1:42" ht="16" x14ac:dyDescent="0.2">
      <c r="A14" s="340"/>
      <c r="B14" s="473">
        <v>5</v>
      </c>
      <c r="C14" s="375" t="str">
        <f t="shared" si="1"/>
        <v>Se</v>
      </c>
      <c r="D14" s="223">
        <f t="shared" si="12"/>
        <v>42009</v>
      </c>
      <c r="E14" s="42"/>
      <c r="F14" s="42"/>
      <c r="G14" s="43"/>
      <c r="H14" s="43"/>
      <c r="I14" s="44" t="str">
        <f t="shared" si="2"/>
        <v/>
      </c>
      <c r="J14" s="73"/>
      <c r="K14" s="207"/>
      <c r="L14" s="208" t="str">
        <f t="shared" si="3"/>
        <v/>
      </c>
      <c r="M14" s="214" t="str">
        <f t="shared" si="4"/>
        <v/>
      </c>
      <c r="N14" s="215">
        <f t="shared" si="5"/>
        <v>0</v>
      </c>
      <c r="O14" s="216"/>
      <c r="P14" s="529" t="str">
        <f t="shared" si="6"/>
        <v/>
      </c>
      <c r="Q14" s="530" t="str">
        <f t="shared" si="7"/>
        <v/>
      </c>
      <c r="R14" s="531" t="str">
        <f t="shared" si="7"/>
        <v/>
      </c>
      <c r="S14" s="532" t="str">
        <f t="shared" si="13"/>
        <v/>
      </c>
      <c r="T14" s="530" t="str">
        <f t="shared" si="14"/>
        <v/>
      </c>
      <c r="U14" s="531" t="str">
        <f t="shared" si="14"/>
        <v/>
      </c>
      <c r="V14" s="517">
        <f>SUMPRODUCT(($C$14="se")*($AB$14))</f>
        <v>0</v>
      </c>
      <c r="W14" s="518">
        <f>SUMPRODUCT(($C$14="se")*($AC$14))</f>
        <v>0</v>
      </c>
      <c r="X14" s="519">
        <f t="shared" si="8"/>
        <v>0</v>
      </c>
      <c r="Y14" s="520">
        <f t="shared" si="9"/>
        <v>0</v>
      </c>
      <c r="Z14" s="517">
        <f>SUMPRODUCT(($C$14="férié")*($AB$14))</f>
        <v>0</v>
      </c>
      <c r="AA14" s="518">
        <f>SUMPRODUCT(($C$14="férié")*($AC$14))</f>
        <v>0</v>
      </c>
      <c r="AB14" s="477">
        <f t="shared" si="10"/>
        <v>0</v>
      </c>
      <c r="AC14" s="478">
        <f t="shared" si="11"/>
        <v>0</v>
      </c>
      <c r="AD14" s="357"/>
      <c r="AE14" s="495" t="s">
        <v>103</v>
      </c>
      <c r="AF14" s="496">
        <f>SUMPRODUCT((WEEKDAY($D$10:$D$40)=1)*($N$10:$N$40&gt;0))</f>
        <v>0</v>
      </c>
      <c r="AG14" s="340"/>
      <c r="AH14" s="256" t="s">
        <v>31</v>
      </c>
      <c r="AI14" s="257"/>
      <c r="AJ14" s="257"/>
      <c r="AK14" s="258"/>
      <c r="AL14" s="340"/>
      <c r="AM14" s="340"/>
      <c r="AN14" s="340"/>
      <c r="AO14" s="340"/>
      <c r="AP14" s="340"/>
    </row>
    <row r="15" spans="1:42" ht="16" x14ac:dyDescent="0.2">
      <c r="A15" s="340"/>
      <c r="B15" s="473">
        <v>6</v>
      </c>
      <c r="C15" s="375" t="str">
        <f t="shared" si="1"/>
        <v>Se</v>
      </c>
      <c r="D15" s="223">
        <f t="shared" si="12"/>
        <v>42010</v>
      </c>
      <c r="E15" s="42"/>
      <c r="F15" s="42"/>
      <c r="G15" s="43"/>
      <c r="H15" s="43"/>
      <c r="I15" s="44" t="str">
        <f t="shared" si="2"/>
        <v/>
      </c>
      <c r="J15" s="73"/>
      <c r="K15" s="207"/>
      <c r="L15" s="208" t="str">
        <f t="shared" si="3"/>
        <v/>
      </c>
      <c r="M15" s="214" t="str">
        <f t="shared" si="4"/>
        <v/>
      </c>
      <c r="N15" s="215">
        <f t="shared" si="5"/>
        <v>0</v>
      </c>
      <c r="O15" s="216"/>
      <c r="P15" s="529" t="str">
        <f t="shared" si="6"/>
        <v/>
      </c>
      <c r="Q15" s="530" t="str">
        <f t="shared" si="7"/>
        <v/>
      </c>
      <c r="R15" s="531" t="str">
        <f t="shared" si="7"/>
        <v/>
      </c>
      <c r="S15" s="532" t="str">
        <f t="shared" si="13"/>
        <v/>
      </c>
      <c r="T15" s="530" t="str">
        <f t="shared" si="14"/>
        <v/>
      </c>
      <c r="U15" s="531" t="str">
        <f t="shared" si="14"/>
        <v/>
      </c>
      <c r="V15" s="517">
        <f>SUMPRODUCT(($C$15="se")*($AB$15))</f>
        <v>0</v>
      </c>
      <c r="W15" s="518">
        <f>SUMPRODUCT(($C$15="se")*($AC$15))</f>
        <v>0</v>
      </c>
      <c r="X15" s="519">
        <f t="shared" si="8"/>
        <v>0</v>
      </c>
      <c r="Y15" s="520">
        <f t="shared" si="9"/>
        <v>0</v>
      </c>
      <c r="Z15" s="517">
        <f>SUMPRODUCT(($C$15="férié")*($AB$15))</f>
        <v>0</v>
      </c>
      <c r="AA15" s="518">
        <f>SUMPRODUCT(($C$15="férié")*($AC$15))</f>
        <v>0</v>
      </c>
      <c r="AB15" s="477">
        <f t="shared" si="10"/>
        <v>0</v>
      </c>
      <c r="AC15" s="478">
        <f t="shared" si="11"/>
        <v>0</v>
      </c>
      <c r="AD15" s="357"/>
      <c r="AE15" s="487"/>
      <c r="AF15" s="488"/>
      <c r="AG15" s="340"/>
      <c r="AH15" s="191"/>
      <c r="AI15" s="192" t="s">
        <v>24</v>
      </c>
      <c r="AJ15" s="192" t="s">
        <v>38</v>
      </c>
      <c r="AK15" s="193" t="s">
        <v>24</v>
      </c>
      <c r="AL15" s="340"/>
      <c r="AM15" s="340"/>
      <c r="AN15" s="340"/>
      <c r="AO15" s="340"/>
      <c r="AP15" s="340"/>
    </row>
    <row r="16" spans="1:42" ht="16" x14ac:dyDescent="0.2">
      <c r="A16" s="340"/>
      <c r="B16" s="473">
        <v>7</v>
      </c>
      <c r="C16" s="375" t="str">
        <f t="shared" si="1"/>
        <v>Se</v>
      </c>
      <c r="D16" s="223">
        <f t="shared" si="12"/>
        <v>42011</v>
      </c>
      <c r="E16" s="42"/>
      <c r="F16" s="42"/>
      <c r="G16" s="43"/>
      <c r="H16" s="43"/>
      <c r="I16" s="44" t="str">
        <f t="shared" si="2"/>
        <v/>
      </c>
      <c r="J16" s="73"/>
      <c r="K16" s="207"/>
      <c r="L16" s="208" t="str">
        <f t="shared" si="3"/>
        <v/>
      </c>
      <c r="M16" s="214" t="str">
        <f t="shared" si="4"/>
        <v/>
      </c>
      <c r="N16" s="215">
        <f t="shared" si="5"/>
        <v>0</v>
      </c>
      <c r="O16" s="216"/>
      <c r="P16" s="529" t="str">
        <f t="shared" si="6"/>
        <v/>
      </c>
      <c r="Q16" s="530" t="str">
        <f t="shared" si="7"/>
        <v/>
      </c>
      <c r="R16" s="531" t="str">
        <f t="shared" si="7"/>
        <v/>
      </c>
      <c r="S16" s="532" t="str">
        <f t="shared" si="13"/>
        <v/>
      </c>
      <c r="T16" s="530" t="str">
        <f t="shared" si="14"/>
        <v/>
      </c>
      <c r="U16" s="531" t="str">
        <f t="shared" si="14"/>
        <v/>
      </c>
      <c r="V16" s="517">
        <f>SUMPRODUCT(($C$16="se")*($AB$16))</f>
        <v>0</v>
      </c>
      <c r="W16" s="518">
        <f>SUMPRODUCT(($C$16="se")*($AC$16))</f>
        <v>0</v>
      </c>
      <c r="X16" s="519">
        <f t="shared" si="8"/>
        <v>0</v>
      </c>
      <c r="Y16" s="520">
        <f t="shared" si="9"/>
        <v>0</v>
      </c>
      <c r="Z16" s="517">
        <f>SUMPRODUCT(($C$16="férié")*($AB$16))</f>
        <v>0</v>
      </c>
      <c r="AA16" s="518">
        <f>SUMPRODUCT(($C$16="férié")*($AC$16))</f>
        <v>0</v>
      </c>
      <c r="AB16" s="477">
        <f t="shared" si="10"/>
        <v>0</v>
      </c>
      <c r="AC16" s="478">
        <f t="shared" si="11"/>
        <v>0</v>
      </c>
      <c r="AD16" s="357"/>
      <c r="AE16" s="495" t="s">
        <v>97</v>
      </c>
      <c r="AF16" s="497">
        <f>SUM(X7+Y7)</f>
        <v>0</v>
      </c>
      <c r="AG16" s="340"/>
      <c r="AH16" s="176" t="s">
        <v>100</v>
      </c>
      <c r="AI16" s="80">
        <f>COUNTA(G10:G40)</f>
        <v>1</v>
      </c>
      <c r="AJ16" s="81">
        <v>3.43</v>
      </c>
      <c r="AK16" s="177">
        <f>AI16*AJ16</f>
        <v>3.43</v>
      </c>
      <c r="AL16" s="340"/>
      <c r="AM16" s="340"/>
      <c r="AN16" s="340"/>
      <c r="AO16" s="340"/>
      <c r="AP16" s="340"/>
    </row>
    <row r="17" spans="1:42" ht="17" thickBot="1" x14ac:dyDescent="0.25">
      <c r="A17" s="340"/>
      <c r="B17" s="473">
        <v>8</v>
      </c>
      <c r="C17" s="375" t="str">
        <f t="shared" si="1"/>
        <v>Se</v>
      </c>
      <c r="D17" s="223">
        <f t="shared" si="12"/>
        <v>42012</v>
      </c>
      <c r="E17" s="42"/>
      <c r="F17" s="42"/>
      <c r="G17" s="43"/>
      <c r="H17" s="43"/>
      <c r="I17" s="44" t="str">
        <f t="shared" si="2"/>
        <v/>
      </c>
      <c r="J17" s="73"/>
      <c r="K17" s="207"/>
      <c r="L17" s="208" t="str">
        <f t="shared" si="3"/>
        <v/>
      </c>
      <c r="M17" s="214" t="str">
        <f t="shared" si="4"/>
        <v/>
      </c>
      <c r="N17" s="215">
        <f t="shared" si="5"/>
        <v>0</v>
      </c>
      <c r="O17" s="216"/>
      <c r="P17" s="529" t="str">
        <f t="shared" si="6"/>
        <v/>
      </c>
      <c r="Q17" s="530" t="str">
        <f t="shared" si="7"/>
        <v/>
      </c>
      <c r="R17" s="531" t="str">
        <f t="shared" si="7"/>
        <v/>
      </c>
      <c r="S17" s="532" t="str">
        <f t="shared" si="13"/>
        <v/>
      </c>
      <c r="T17" s="530" t="str">
        <f t="shared" si="14"/>
        <v/>
      </c>
      <c r="U17" s="531" t="str">
        <f t="shared" si="14"/>
        <v/>
      </c>
      <c r="V17" s="517">
        <f>SUMPRODUCT(($C$17="se")*($AB$17))</f>
        <v>0</v>
      </c>
      <c r="W17" s="518">
        <f>SUMPRODUCT(($C$17="se")*($AC$17))</f>
        <v>0</v>
      </c>
      <c r="X17" s="519">
        <f t="shared" si="8"/>
        <v>0</v>
      </c>
      <c r="Y17" s="520">
        <f t="shared" si="9"/>
        <v>0</v>
      </c>
      <c r="Z17" s="517">
        <f>SUMPRODUCT(($C$17="férié")*($AB$17))</f>
        <v>0</v>
      </c>
      <c r="AA17" s="518">
        <f>SUMPRODUCT(($C$17="férié")*($AC$17))</f>
        <v>0</v>
      </c>
      <c r="AB17" s="477">
        <f t="shared" si="10"/>
        <v>0</v>
      </c>
      <c r="AC17" s="478">
        <f t="shared" si="11"/>
        <v>0</v>
      </c>
      <c r="AD17" s="357"/>
      <c r="AE17" s="487"/>
      <c r="AF17" s="488"/>
      <c r="AG17" s="340"/>
      <c r="AH17" s="178" t="s">
        <v>99</v>
      </c>
      <c r="AI17" s="179"/>
      <c r="AJ17" s="174">
        <v>0.81</v>
      </c>
      <c r="AK17" s="466">
        <f>AI17*AJ17</f>
        <v>0</v>
      </c>
      <c r="AL17" s="340"/>
      <c r="AM17" s="340"/>
      <c r="AN17" s="340"/>
      <c r="AO17" s="340"/>
      <c r="AP17" s="340"/>
    </row>
    <row r="18" spans="1:42" ht="17" thickBot="1" x14ac:dyDescent="0.25">
      <c r="A18" s="340"/>
      <c r="B18" s="473">
        <v>9</v>
      </c>
      <c r="C18" s="375" t="str">
        <f t="shared" si="1"/>
        <v>Se</v>
      </c>
      <c r="D18" s="223">
        <f t="shared" si="12"/>
        <v>42013</v>
      </c>
      <c r="E18" s="42"/>
      <c r="F18" s="42"/>
      <c r="G18" s="43"/>
      <c r="H18" s="43"/>
      <c r="I18" s="44" t="str">
        <f t="shared" si="2"/>
        <v/>
      </c>
      <c r="J18" s="73"/>
      <c r="K18" s="207"/>
      <c r="L18" s="208" t="str">
        <f t="shared" si="3"/>
        <v/>
      </c>
      <c r="M18" s="214" t="str">
        <f t="shared" si="4"/>
        <v/>
      </c>
      <c r="N18" s="215">
        <f t="shared" si="5"/>
        <v>0</v>
      </c>
      <c r="O18" s="216"/>
      <c r="P18" s="529" t="str">
        <f t="shared" si="6"/>
        <v/>
      </c>
      <c r="Q18" s="530" t="str">
        <f t="shared" si="7"/>
        <v/>
      </c>
      <c r="R18" s="531" t="str">
        <f t="shared" si="7"/>
        <v/>
      </c>
      <c r="S18" s="532" t="str">
        <f t="shared" si="13"/>
        <v/>
      </c>
      <c r="T18" s="530" t="str">
        <f t="shared" si="14"/>
        <v/>
      </c>
      <c r="U18" s="531" t="str">
        <f t="shared" si="14"/>
        <v/>
      </c>
      <c r="V18" s="517">
        <f>SUMPRODUCT(($C$18="se")*($AB$18))</f>
        <v>0</v>
      </c>
      <c r="W18" s="518">
        <f>SUMPRODUCT(($C$18="se")*($AC$18))</f>
        <v>0</v>
      </c>
      <c r="X18" s="519">
        <f t="shared" si="8"/>
        <v>0</v>
      </c>
      <c r="Y18" s="520">
        <f t="shared" si="9"/>
        <v>0</v>
      </c>
      <c r="Z18" s="517">
        <f>SUMPRODUCT(($C$18="férié")*($AB$18))</f>
        <v>0</v>
      </c>
      <c r="AA18" s="518">
        <f>SUMPRODUCT(($C$18="férié")*($AC$18))</f>
        <v>0</v>
      </c>
      <c r="AB18" s="477">
        <f t="shared" si="10"/>
        <v>0</v>
      </c>
      <c r="AC18" s="478">
        <f t="shared" si="11"/>
        <v>0</v>
      </c>
      <c r="AD18" s="357"/>
      <c r="AE18" s="483" t="s">
        <v>95</v>
      </c>
      <c r="AF18" s="490">
        <f>SUMPRODUCT(($C$10:$C$40="dim")*($AB$10:$AB$40))</f>
        <v>0</v>
      </c>
      <c r="AG18" s="340"/>
      <c r="AH18" s="362"/>
      <c r="AI18" s="363"/>
      <c r="AJ18" s="181" t="s">
        <v>98</v>
      </c>
      <c r="AK18" s="467">
        <f>SUM(AK16:AK17)</f>
        <v>3.43</v>
      </c>
      <c r="AL18" s="340"/>
      <c r="AM18" s="340"/>
      <c r="AN18" s="340"/>
      <c r="AO18" s="340"/>
      <c r="AP18" s="340"/>
    </row>
    <row r="19" spans="1:42" ht="17" thickBot="1" x14ac:dyDescent="0.25">
      <c r="A19" s="340"/>
      <c r="B19" s="473">
        <v>10</v>
      </c>
      <c r="C19" s="375" t="str">
        <f t="shared" si="1"/>
        <v>Se</v>
      </c>
      <c r="D19" s="223">
        <f t="shared" si="12"/>
        <v>42014</v>
      </c>
      <c r="E19" s="42"/>
      <c r="F19" s="42"/>
      <c r="G19" s="43"/>
      <c r="H19" s="43"/>
      <c r="I19" s="44" t="str">
        <f t="shared" si="2"/>
        <v/>
      </c>
      <c r="J19" s="73"/>
      <c r="K19" s="207"/>
      <c r="L19" s="208" t="str">
        <f t="shared" si="3"/>
        <v/>
      </c>
      <c r="M19" s="214" t="str">
        <f t="shared" si="4"/>
        <v/>
      </c>
      <c r="N19" s="215">
        <f t="shared" si="5"/>
        <v>0</v>
      </c>
      <c r="O19" s="216"/>
      <c r="P19" s="529" t="str">
        <f t="shared" si="6"/>
        <v/>
      </c>
      <c r="Q19" s="530" t="str">
        <f t="shared" si="7"/>
        <v/>
      </c>
      <c r="R19" s="531" t="str">
        <f t="shared" si="7"/>
        <v/>
      </c>
      <c r="S19" s="532" t="str">
        <f t="shared" si="13"/>
        <v/>
      </c>
      <c r="T19" s="530" t="str">
        <f t="shared" si="14"/>
        <v/>
      </c>
      <c r="U19" s="531" t="str">
        <f t="shared" si="14"/>
        <v/>
      </c>
      <c r="V19" s="517">
        <f>SUMPRODUCT(($C$19="se")*($AB$19))</f>
        <v>0</v>
      </c>
      <c r="W19" s="518">
        <f>SUMPRODUCT(($C$19="se")*($AC$19))</f>
        <v>0</v>
      </c>
      <c r="X19" s="519">
        <f t="shared" si="8"/>
        <v>0</v>
      </c>
      <c r="Y19" s="520">
        <f t="shared" si="9"/>
        <v>0</v>
      </c>
      <c r="Z19" s="517">
        <f>SUMPRODUCT(($C$19="férié")*($AB$19))</f>
        <v>0</v>
      </c>
      <c r="AA19" s="518">
        <f>SUMPRODUCT(($C$19="férié")*($AC$19))</f>
        <v>0</v>
      </c>
      <c r="AB19" s="477">
        <f t="shared" si="10"/>
        <v>0</v>
      </c>
      <c r="AC19" s="478">
        <f t="shared" si="11"/>
        <v>0</v>
      </c>
      <c r="AD19" s="357"/>
      <c r="AE19" s="493"/>
      <c r="AF19" s="494"/>
      <c r="AG19" s="340"/>
      <c r="AH19" s="340"/>
      <c r="AI19" s="340"/>
      <c r="AJ19" s="340"/>
      <c r="AK19" s="340"/>
      <c r="AL19" s="340"/>
      <c r="AM19" s="340"/>
      <c r="AN19" s="340"/>
      <c r="AO19" s="340"/>
      <c r="AP19" s="340"/>
    </row>
    <row r="20" spans="1:42" ht="16" x14ac:dyDescent="0.2">
      <c r="A20" s="340"/>
      <c r="B20" s="473">
        <v>11</v>
      </c>
      <c r="C20" s="375" t="str">
        <f t="shared" si="1"/>
        <v>Dim</v>
      </c>
      <c r="D20" s="223">
        <f t="shared" si="12"/>
        <v>42015</v>
      </c>
      <c r="E20" s="42"/>
      <c r="F20" s="42"/>
      <c r="G20" s="43"/>
      <c r="H20" s="43"/>
      <c r="I20" s="44" t="str">
        <f t="shared" si="2"/>
        <v/>
      </c>
      <c r="J20" s="73"/>
      <c r="K20" s="207"/>
      <c r="L20" s="208" t="str">
        <f t="shared" si="3"/>
        <v/>
      </c>
      <c r="M20" s="214" t="str">
        <f t="shared" si="4"/>
        <v/>
      </c>
      <c r="N20" s="215">
        <f t="shared" si="5"/>
        <v>0</v>
      </c>
      <c r="O20" s="216"/>
      <c r="P20" s="529" t="str">
        <f t="shared" si="6"/>
        <v/>
      </c>
      <c r="Q20" s="530" t="str">
        <f t="shared" si="7"/>
        <v/>
      </c>
      <c r="R20" s="531" t="str">
        <f t="shared" si="7"/>
        <v/>
      </c>
      <c r="S20" s="532" t="str">
        <f t="shared" si="13"/>
        <v/>
      </c>
      <c r="T20" s="530" t="str">
        <f t="shared" si="14"/>
        <v/>
      </c>
      <c r="U20" s="531" t="str">
        <f t="shared" si="14"/>
        <v/>
      </c>
      <c r="V20" s="517">
        <f>SUMPRODUCT(($C$20="se")*($AB$20))</f>
        <v>0</v>
      </c>
      <c r="W20" s="518">
        <f>SUMPRODUCT(($C$20="se")*($AC$20))</f>
        <v>0</v>
      </c>
      <c r="X20" s="519">
        <f t="shared" si="8"/>
        <v>0</v>
      </c>
      <c r="Y20" s="520">
        <f t="shared" si="9"/>
        <v>0</v>
      </c>
      <c r="Z20" s="517">
        <f>SUMPRODUCT(($C$20="férié")*($AB$20))</f>
        <v>0</v>
      </c>
      <c r="AA20" s="518">
        <f>SUMPRODUCT(($C$20="férié")*($AC$20))</f>
        <v>0</v>
      </c>
      <c r="AB20" s="477">
        <f t="shared" si="10"/>
        <v>0</v>
      </c>
      <c r="AC20" s="478">
        <f t="shared" si="11"/>
        <v>0</v>
      </c>
      <c r="AD20" s="357"/>
      <c r="AE20" s="483" t="s">
        <v>96</v>
      </c>
      <c r="AF20" s="490">
        <f>SUMPRODUCT(($C$10:$C$40="dim")*($AC$10:$AC$40))</f>
        <v>0</v>
      </c>
      <c r="AG20" s="340"/>
      <c r="AH20" s="261" t="s">
        <v>104</v>
      </c>
      <c r="AI20" s="262"/>
      <c r="AJ20" s="262"/>
      <c r="AK20" s="263"/>
      <c r="AL20" s="340"/>
      <c r="AM20" s="340"/>
      <c r="AN20" s="340"/>
      <c r="AO20" s="340"/>
      <c r="AP20" s="340"/>
    </row>
    <row r="21" spans="1:42" ht="16" x14ac:dyDescent="0.2">
      <c r="A21" s="340"/>
      <c r="B21" s="473">
        <v>12</v>
      </c>
      <c r="C21" s="375" t="str">
        <f t="shared" si="1"/>
        <v>Se</v>
      </c>
      <c r="D21" s="223">
        <f t="shared" si="12"/>
        <v>42016</v>
      </c>
      <c r="E21" s="42"/>
      <c r="F21" s="42"/>
      <c r="G21" s="43"/>
      <c r="H21" s="43"/>
      <c r="I21" s="44" t="str">
        <f t="shared" si="2"/>
        <v/>
      </c>
      <c r="J21" s="73"/>
      <c r="K21" s="207"/>
      <c r="L21" s="208" t="str">
        <f t="shared" si="3"/>
        <v/>
      </c>
      <c r="M21" s="214" t="str">
        <f t="shared" si="4"/>
        <v/>
      </c>
      <c r="N21" s="215">
        <f t="shared" si="5"/>
        <v>0</v>
      </c>
      <c r="O21" s="216"/>
      <c r="P21" s="529" t="str">
        <f t="shared" si="6"/>
        <v/>
      </c>
      <c r="Q21" s="530" t="str">
        <f t="shared" si="7"/>
        <v/>
      </c>
      <c r="R21" s="531" t="str">
        <f t="shared" si="7"/>
        <v/>
      </c>
      <c r="S21" s="532" t="str">
        <f t="shared" si="13"/>
        <v/>
      </c>
      <c r="T21" s="530" t="str">
        <f t="shared" si="14"/>
        <v/>
      </c>
      <c r="U21" s="531" t="str">
        <f t="shared" si="14"/>
        <v/>
      </c>
      <c r="V21" s="517">
        <f>SUMPRODUCT(($C$21="se")*($AB$21))</f>
        <v>0</v>
      </c>
      <c r="W21" s="518">
        <f>SUMPRODUCT(($C$21="se")*($AC$21))</f>
        <v>0</v>
      </c>
      <c r="X21" s="519">
        <f t="shared" si="8"/>
        <v>0</v>
      </c>
      <c r="Y21" s="520">
        <f t="shared" si="9"/>
        <v>0</v>
      </c>
      <c r="Z21" s="517">
        <f>SUMPRODUCT(($C$21="férié")*($AB$21))</f>
        <v>0</v>
      </c>
      <c r="AA21" s="518">
        <f>SUMPRODUCT(($C$21="férié")*($AC$21))</f>
        <v>0</v>
      </c>
      <c r="AB21" s="477">
        <f t="shared" si="10"/>
        <v>0</v>
      </c>
      <c r="AC21" s="478">
        <f t="shared" si="11"/>
        <v>0</v>
      </c>
      <c r="AD21" s="357"/>
      <c r="AE21" s="493"/>
      <c r="AF21" s="494"/>
      <c r="AG21" s="340"/>
      <c r="AH21" s="264" t="s">
        <v>105</v>
      </c>
      <c r="AI21" s="265"/>
      <c r="AJ21" s="266" t="s">
        <v>107</v>
      </c>
      <c r="AK21" s="267"/>
      <c r="AL21" s="340"/>
      <c r="AM21" s="340"/>
      <c r="AN21" s="340"/>
      <c r="AO21" s="340"/>
      <c r="AP21" s="340"/>
    </row>
    <row r="22" spans="1:42" ht="16" x14ac:dyDescent="0.2">
      <c r="A22" s="340"/>
      <c r="B22" s="473">
        <v>13</v>
      </c>
      <c r="C22" s="375" t="str">
        <f t="shared" si="1"/>
        <v>Se</v>
      </c>
      <c r="D22" s="223">
        <f t="shared" si="12"/>
        <v>42017</v>
      </c>
      <c r="E22" s="42"/>
      <c r="F22" s="42"/>
      <c r="G22" s="43"/>
      <c r="H22" s="43"/>
      <c r="I22" s="44" t="str">
        <f t="shared" si="2"/>
        <v/>
      </c>
      <c r="J22" s="73"/>
      <c r="K22" s="207"/>
      <c r="L22" s="208" t="str">
        <f t="shared" si="3"/>
        <v/>
      </c>
      <c r="M22" s="214" t="str">
        <f t="shared" si="4"/>
        <v/>
      </c>
      <c r="N22" s="215">
        <f t="shared" si="5"/>
        <v>0</v>
      </c>
      <c r="O22" s="216"/>
      <c r="P22" s="529" t="str">
        <f t="shared" si="6"/>
        <v/>
      </c>
      <c r="Q22" s="530" t="str">
        <f t="shared" si="7"/>
        <v/>
      </c>
      <c r="R22" s="531" t="str">
        <f t="shared" si="7"/>
        <v/>
      </c>
      <c r="S22" s="532" t="str">
        <f t="shared" si="13"/>
        <v/>
      </c>
      <c r="T22" s="530" t="str">
        <f t="shared" si="14"/>
        <v/>
      </c>
      <c r="U22" s="531" t="str">
        <f t="shared" si="14"/>
        <v/>
      </c>
      <c r="V22" s="517">
        <f>SUMPRODUCT(($C$22="se")*($AB$22))</f>
        <v>0</v>
      </c>
      <c r="W22" s="518">
        <f>SUMPRODUCT(($C$22="se")*($AC$22))</f>
        <v>0</v>
      </c>
      <c r="X22" s="519">
        <f t="shared" si="8"/>
        <v>0</v>
      </c>
      <c r="Y22" s="520">
        <f t="shared" si="9"/>
        <v>0</v>
      </c>
      <c r="Z22" s="517">
        <f>SUMPRODUCT(($C$22="férié")*($AB$22))</f>
        <v>0</v>
      </c>
      <c r="AA22" s="518">
        <f>SUMPRODUCT(($C$22="férié")*($AC$22))</f>
        <v>0</v>
      </c>
      <c r="AB22" s="477">
        <f t="shared" si="10"/>
        <v>0</v>
      </c>
      <c r="AC22" s="478">
        <f t="shared" si="11"/>
        <v>0</v>
      </c>
      <c r="AD22" s="357"/>
      <c r="AE22" s="483" t="s">
        <v>102</v>
      </c>
      <c r="AF22" s="498">
        <f>SUMPRODUCT(($C$10:$C$40="férié")*($N$10:$N$40&gt;0))</f>
        <v>1</v>
      </c>
      <c r="AG22" s="340"/>
      <c r="AH22" s="252" t="s">
        <v>106</v>
      </c>
      <c r="AI22" s="253"/>
      <c r="AJ22" s="254" t="s">
        <v>108</v>
      </c>
      <c r="AK22" s="255"/>
      <c r="AL22" s="340"/>
      <c r="AM22" s="340"/>
      <c r="AN22" s="340"/>
      <c r="AO22" s="340"/>
      <c r="AP22" s="340"/>
    </row>
    <row r="23" spans="1:42" ht="16" x14ac:dyDescent="0.2">
      <c r="A23" s="340"/>
      <c r="B23" s="473">
        <v>14</v>
      </c>
      <c r="C23" s="375" t="str">
        <f t="shared" si="1"/>
        <v>Se</v>
      </c>
      <c r="D23" s="223">
        <f t="shared" si="12"/>
        <v>42018</v>
      </c>
      <c r="E23" s="42"/>
      <c r="F23" s="42"/>
      <c r="G23" s="43"/>
      <c r="H23" s="43"/>
      <c r="I23" s="44" t="str">
        <f t="shared" si="2"/>
        <v/>
      </c>
      <c r="J23" s="73"/>
      <c r="K23" s="207"/>
      <c r="L23" s="208" t="str">
        <f t="shared" si="3"/>
        <v/>
      </c>
      <c r="M23" s="214" t="str">
        <f t="shared" si="4"/>
        <v/>
      </c>
      <c r="N23" s="215">
        <f t="shared" si="5"/>
        <v>0</v>
      </c>
      <c r="O23" s="216"/>
      <c r="P23" s="529" t="str">
        <f t="shared" si="6"/>
        <v/>
      </c>
      <c r="Q23" s="530" t="str">
        <f t="shared" si="7"/>
        <v/>
      </c>
      <c r="R23" s="531" t="str">
        <f t="shared" si="7"/>
        <v/>
      </c>
      <c r="S23" s="532" t="str">
        <f t="shared" si="13"/>
        <v/>
      </c>
      <c r="T23" s="530" t="str">
        <f t="shared" si="14"/>
        <v/>
      </c>
      <c r="U23" s="531" t="str">
        <f t="shared" si="14"/>
        <v/>
      </c>
      <c r="V23" s="517">
        <f>SUMPRODUCT(($C$23="se")*($AB$23))</f>
        <v>0</v>
      </c>
      <c r="W23" s="518">
        <f>SUMPRODUCT(($C$23="se")*($AC$23))</f>
        <v>0</v>
      </c>
      <c r="X23" s="519">
        <f t="shared" si="8"/>
        <v>0</v>
      </c>
      <c r="Y23" s="520">
        <f t="shared" si="9"/>
        <v>0</v>
      </c>
      <c r="Z23" s="517">
        <f>SUMPRODUCT(($C$23="férié")*($AB$23))</f>
        <v>0</v>
      </c>
      <c r="AA23" s="518">
        <f>SUMPRODUCT(($C$23="férié")*($AC$23))</f>
        <v>0</v>
      </c>
      <c r="AB23" s="477">
        <f t="shared" si="10"/>
        <v>0</v>
      </c>
      <c r="AC23" s="478">
        <f t="shared" si="11"/>
        <v>0</v>
      </c>
      <c r="AD23" s="357"/>
      <c r="AE23" s="499"/>
      <c r="AF23" s="500"/>
      <c r="AG23" s="340"/>
      <c r="AH23" s="252" t="s">
        <v>21</v>
      </c>
      <c r="AI23" s="253"/>
      <c r="AJ23" s="254" t="s">
        <v>110</v>
      </c>
      <c r="AK23" s="255"/>
      <c r="AL23" s="340"/>
      <c r="AM23" s="340"/>
      <c r="AN23" s="340"/>
      <c r="AO23" s="340"/>
      <c r="AP23" s="340"/>
    </row>
    <row r="24" spans="1:42" ht="17" thickBot="1" x14ac:dyDescent="0.25">
      <c r="A24" s="340"/>
      <c r="B24" s="473">
        <v>15</v>
      </c>
      <c r="C24" s="375" t="str">
        <f t="shared" si="1"/>
        <v>Se</v>
      </c>
      <c r="D24" s="223">
        <f t="shared" si="12"/>
        <v>42019</v>
      </c>
      <c r="E24" s="42"/>
      <c r="F24" s="42"/>
      <c r="G24" s="43"/>
      <c r="H24" s="43"/>
      <c r="I24" s="44" t="str">
        <f t="shared" si="2"/>
        <v/>
      </c>
      <c r="J24" s="73"/>
      <c r="K24" s="207"/>
      <c r="L24" s="208" t="str">
        <f t="shared" si="3"/>
        <v/>
      </c>
      <c r="M24" s="214" t="str">
        <f t="shared" si="4"/>
        <v/>
      </c>
      <c r="N24" s="215">
        <f t="shared" si="5"/>
        <v>0</v>
      </c>
      <c r="O24" s="216"/>
      <c r="P24" s="529" t="str">
        <f t="shared" si="6"/>
        <v/>
      </c>
      <c r="Q24" s="530" t="str">
        <f t="shared" si="7"/>
        <v/>
      </c>
      <c r="R24" s="531" t="str">
        <f t="shared" si="7"/>
        <v/>
      </c>
      <c r="S24" s="532" t="str">
        <f t="shared" si="13"/>
        <v/>
      </c>
      <c r="T24" s="530" t="str">
        <f t="shared" si="14"/>
        <v/>
      </c>
      <c r="U24" s="531" t="str">
        <f t="shared" si="14"/>
        <v/>
      </c>
      <c r="V24" s="517">
        <f>SUMPRODUCT(($C$24="se")*($AB$24))</f>
        <v>0</v>
      </c>
      <c r="W24" s="518">
        <f>SUMPRODUCT(($C$24="se")*($AC$24))</f>
        <v>0</v>
      </c>
      <c r="X24" s="519">
        <f t="shared" si="8"/>
        <v>0</v>
      </c>
      <c r="Y24" s="520">
        <f t="shared" si="9"/>
        <v>0</v>
      </c>
      <c r="Z24" s="517">
        <f>SUMPRODUCT(($C$24="férié")*($AB$24))</f>
        <v>0</v>
      </c>
      <c r="AA24" s="518">
        <f>SUMPRODUCT(($C$24="férié")*($AC$24))</f>
        <v>0</v>
      </c>
      <c r="AB24" s="477">
        <f t="shared" si="10"/>
        <v>0</v>
      </c>
      <c r="AC24" s="478">
        <f t="shared" si="11"/>
        <v>0</v>
      </c>
      <c r="AD24" s="357"/>
      <c r="AE24" s="483" t="s">
        <v>90</v>
      </c>
      <c r="AF24" s="490">
        <f>SUM(Z7+AA7)</f>
        <v>0.8125</v>
      </c>
      <c r="AG24" s="340"/>
      <c r="AH24" s="230" t="s">
        <v>111</v>
      </c>
      <c r="AI24" s="231"/>
      <c r="AJ24" s="240" t="s">
        <v>109</v>
      </c>
      <c r="AK24" s="241"/>
      <c r="AL24" s="340"/>
      <c r="AM24" s="340"/>
      <c r="AN24" s="340"/>
      <c r="AO24" s="340"/>
      <c r="AP24" s="340"/>
    </row>
    <row r="25" spans="1:42" ht="16" x14ac:dyDescent="0.2">
      <c r="A25" s="340"/>
      <c r="B25" s="473">
        <v>16</v>
      </c>
      <c r="C25" s="375" t="str">
        <f t="shared" si="1"/>
        <v>Se</v>
      </c>
      <c r="D25" s="223">
        <f t="shared" si="12"/>
        <v>42020</v>
      </c>
      <c r="E25" s="42"/>
      <c r="F25" s="42"/>
      <c r="G25" s="43"/>
      <c r="H25" s="43"/>
      <c r="I25" s="44" t="str">
        <f t="shared" si="2"/>
        <v/>
      </c>
      <c r="J25" s="73"/>
      <c r="K25" s="207"/>
      <c r="L25" s="208" t="str">
        <f t="shared" si="3"/>
        <v/>
      </c>
      <c r="M25" s="214" t="str">
        <f t="shared" si="4"/>
        <v/>
      </c>
      <c r="N25" s="215">
        <f t="shared" si="5"/>
        <v>0</v>
      </c>
      <c r="O25" s="216"/>
      <c r="P25" s="529" t="str">
        <f t="shared" si="6"/>
        <v/>
      </c>
      <c r="Q25" s="530" t="str">
        <f t="shared" si="7"/>
        <v/>
      </c>
      <c r="R25" s="531" t="str">
        <f t="shared" si="7"/>
        <v/>
      </c>
      <c r="S25" s="532" t="str">
        <f t="shared" si="13"/>
        <v/>
      </c>
      <c r="T25" s="530" t="str">
        <f t="shared" si="14"/>
        <v/>
      </c>
      <c r="U25" s="531" t="str">
        <f t="shared" si="14"/>
        <v/>
      </c>
      <c r="V25" s="517">
        <f>SUMPRODUCT(($C$25="se")*($AB$25))</f>
        <v>0</v>
      </c>
      <c r="W25" s="518">
        <f>SUMPRODUCT(($C$25="se")*($AC$25))</f>
        <v>0</v>
      </c>
      <c r="X25" s="519">
        <f t="shared" si="8"/>
        <v>0</v>
      </c>
      <c r="Y25" s="520">
        <f t="shared" si="9"/>
        <v>0</v>
      </c>
      <c r="Z25" s="517">
        <f>SUMPRODUCT(($C$25="férié")*($AB$25))</f>
        <v>0</v>
      </c>
      <c r="AA25" s="518">
        <f>SUMPRODUCT(($C$25="férié")*($AC$25))</f>
        <v>0</v>
      </c>
      <c r="AB25" s="477">
        <f t="shared" si="10"/>
        <v>0</v>
      </c>
      <c r="AC25" s="478">
        <f t="shared" si="11"/>
        <v>0</v>
      </c>
      <c r="AD25" s="357"/>
      <c r="AE25" s="493"/>
      <c r="AF25" s="494"/>
      <c r="AG25" s="340"/>
      <c r="AH25" s="340"/>
      <c r="AI25" s="340"/>
      <c r="AJ25" s="340"/>
      <c r="AK25" s="340"/>
      <c r="AL25" s="340"/>
      <c r="AM25" s="340"/>
      <c r="AN25" s="340"/>
      <c r="AO25" s="340"/>
      <c r="AP25" s="340"/>
    </row>
    <row r="26" spans="1:42" ht="16" customHeight="1" x14ac:dyDescent="0.2">
      <c r="A26" s="340"/>
      <c r="B26" s="473">
        <v>17</v>
      </c>
      <c r="C26" s="375" t="str">
        <f t="shared" si="1"/>
        <v>Se</v>
      </c>
      <c r="D26" s="223">
        <f t="shared" si="12"/>
        <v>42021</v>
      </c>
      <c r="E26" s="42"/>
      <c r="F26" s="42"/>
      <c r="G26" s="43"/>
      <c r="H26" s="43"/>
      <c r="I26" s="44" t="str">
        <f t="shared" si="2"/>
        <v/>
      </c>
      <c r="J26" s="73"/>
      <c r="K26" s="207"/>
      <c r="L26" s="208" t="str">
        <f t="shared" si="3"/>
        <v/>
      </c>
      <c r="M26" s="214" t="str">
        <f t="shared" si="4"/>
        <v/>
      </c>
      <c r="N26" s="215">
        <f t="shared" si="5"/>
        <v>0</v>
      </c>
      <c r="O26" s="216"/>
      <c r="P26" s="529" t="str">
        <f t="shared" si="6"/>
        <v/>
      </c>
      <c r="Q26" s="530" t="str">
        <f t="shared" si="7"/>
        <v/>
      </c>
      <c r="R26" s="531" t="str">
        <f t="shared" si="7"/>
        <v/>
      </c>
      <c r="S26" s="532" t="str">
        <f t="shared" si="13"/>
        <v/>
      </c>
      <c r="T26" s="530" t="str">
        <f t="shared" si="14"/>
        <v/>
      </c>
      <c r="U26" s="531" t="str">
        <f t="shared" si="14"/>
        <v/>
      </c>
      <c r="V26" s="517">
        <f>SUMPRODUCT(($C$26="se")*($AB$26))</f>
        <v>0</v>
      </c>
      <c r="W26" s="518">
        <f>SUMPRODUCT(($C$26="se")*($AC$26))</f>
        <v>0</v>
      </c>
      <c r="X26" s="519">
        <f t="shared" si="8"/>
        <v>0</v>
      </c>
      <c r="Y26" s="520">
        <f t="shared" si="9"/>
        <v>0</v>
      </c>
      <c r="Z26" s="517">
        <f>SUMPRODUCT(($C$26="férié")*($AB$26))</f>
        <v>0</v>
      </c>
      <c r="AA26" s="518">
        <f>SUMPRODUCT(($C$26="férié")*($AC$26))</f>
        <v>0</v>
      </c>
      <c r="AB26" s="477">
        <f t="shared" si="10"/>
        <v>0</v>
      </c>
      <c r="AC26" s="478">
        <f t="shared" si="11"/>
        <v>0</v>
      </c>
      <c r="AD26" s="357"/>
      <c r="AE26" s="483" t="s">
        <v>91</v>
      </c>
      <c r="AF26" s="490">
        <f>SUM(Z9+AA9)</f>
        <v>1</v>
      </c>
      <c r="AG26" s="340"/>
      <c r="AH26" s="232" t="s">
        <v>121</v>
      </c>
      <c r="AI26" s="233"/>
      <c r="AJ26" s="242">
        <v>1</v>
      </c>
      <c r="AK26" s="243"/>
      <c r="AL26" s="340"/>
      <c r="AM26" s="340"/>
      <c r="AN26" s="340"/>
      <c r="AO26" s="340"/>
      <c r="AP26" s="340"/>
    </row>
    <row r="27" spans="1:42" ht="16" customHeight="1" x14ac:dyDescent="0.2">
      <c r="A27" s="340"/>
      <c r="B27" s="473">
        <v>18</v>
      </c>
      <c r="C27" s="375" t="str">
        <f t="shared" si="1"/>
        <v>Dim</v>
      </c>
      <c r="D27" s="223">
        <f t="shared" si="12"/>
        <v>42022</v>
      </c>
      <c r="E27" s="42"/>
      <c r="F27" s="42"/>
      <c r="G27" s="43"/>
      <c r="H27" s="43"/>
      <c r="I27" s="44" t="str">
        <f t="shared" si="2"/>
        <v/>
      </c>
      <c r="J27" s="73"/>
      <c r="K27" s="207"/>
      <c r="L27" s="208" t="str">
        <f t="shared" si="3"/>
        <v/>
      </c>
      <c r="M27" s="214" t="str">
        <f t="shared" si="4"/>
        <v/>
      </c>
      <c r="N27" s="215">
        <f t="shared" si="5"/>
        <v>0</v>
      </c>
      <c r="O27" s="216"/>
      <c r="P27" s="529" t="str">
        <f t="shared" si="6"/>
        <v/>
      </c>
      <c r="Q27" s="530" t="str">
        <f t="shared" si="7"/>
        <v/>
      </c>
      <c r="R27" s="531" t="str">
        <f t="shared" si="7"/>
        <v/>
      </c>
      <c r="S27" s="532" t="str">
        <f t="shared" si="13"/>
        <v/>
      </c>
      <c r="T27" s="530" t="str">
        <f t="shared" si="14"/>
        <v/>
      </c>
      <c r="U27" s="531" t="str">
        <f t="shared" si="14"/>
        <v/>
      </c>
      <c r="V27" s="517">
        <f>SUMPRODUCT(($C$27="se")*($AB$27))</f>
        <v>0</v>
      </c>
      <c r="W27" s="518">
        <f>SUMPRODUCT(($C$27="se")*($AC$27))</f>
        <v>0</v>
      </c>
      <c r="X27" s="519">
        <f t="shared" si="8"/>
        <v>0</v>
      </c>
      <c r="Y27" s="520">
        <f t="shared" si="9"/>
        <v>0</v>
      </c>
      <c r="Z27" s="517">
        <f>SUMPRODUCT(($C$27="férié")*($AB$27))</f>
        <v>0</v>
      </c>
      <c r="AA27" s="518">
        <f>SUMPRODUCT(($C$27="férié")*($AC$27))</f>
        <v>0</v>
      </c>
      <c r="AB27" s="477">
        <f t="shared" si="10"/>
        <v>0</v>
      </c>
      <c r="AC27" s="478">
        <f t="shared" si="11"/>
        <v>0</v>
      </c>
      <c r="AD27" s="357"/>
      <c r="AE27" s="493"/>
      <c r="AF27" s="494"/>
      <c r="AG27" s="340"/>
      <c r="AH27" s="234"/>
      <c r="AI27" s="235"/>
      <c r="AJ27" s="244"/>
      <c r="AK27" s="245"/>
      <c r="AL27" s="340"/>
      <c r="AM27" s="340"/>
      <c r="AN27" s="340"/>
      <c r="AO27" s="340"/>
      <c r="AP27" s="340"/>
    </row>
    <row r="28" spans="1:42" ht="16" customHeight="1" x14ac:dyDescent="0.2">
      <c r="A28" s="340"/>
      <c r="B28" s="473">
        <v>19</v>
      </c>
      <c r="C28" s="375" t="str">
        <f t="shared" si="1"/>
        <v>Se</v>
      </c>
      <c r="D28" s="223">
        <f t="shared" si="12"/>
        <v>42023</v>
      </c>
      <c r="E28" s="42"/>
      <c r="F28" s="42"/>
      <c r="G28" s="43"/>
      <c r="H28" s="43"/>
      <c r="I28" s="44" t="str">
        <f t="shared" si="2"/>
        <v/>
      </c>
      <c r="J28" s="73"/>
      <c r="K28" s="207"/>
      <c r="L28" s="208" t="str">
        <f t="shared" si="3"/>
        <v/>
      </c>
      <c r="M28" s="214" t="str">
        <f t="shared" si="4"/>
        <v/>
      </c>
      <c r="N28" s="215">
        <f t="shared" si="5"/>
        <v>0</v>
      </c>
      <c r="O28" s="216"/>
      <c r="P28" s="529" t="str">
        <f t="shared" si="6"/>
        <v/>
      </c>
      <c r="Q28" s="530" t="str">
        <f t="shared" si="7"/>
        <v/>
      </c>
      <c r="R28" s="531" t="str">
        <f t="shared" si="7"/>
        <v/>
      </c>
      <c r="S28" s="532" t="str">
        <f t="shared" si="13"/>
        <v/>
      </c>
      <c r="T28" s="530" t="str">
        <f t="shared" ref="T28:U40" si="15">IF(OR(S28="",T$9=""),"",IF($G27&gt;$H27,MAX(,MIN(T$9,$H27+24/24)-MAX(T$8,$G27)),MAX(,MIN(T$9,$H27)-MAX(T$8,$G27))))</f>
        <v/>
      </c>
      <c r="U28" s="531" t="str">
        <f t="shared" si="15"/>
        <v/>
      </c>
      <c r="V28" s="517">
        <f>SUMPRODUCT(($C$28="se")*($AB$28))</f>
        <v>0</v>
      </c>
      <c r="W28" s="518">
        <f>SUMPRODUCT(($C$28="se")*($AC$28))</f>
        <v>0</v>
      </c>
      <c r="X28" s="519">
        <f t="shared" si="8"/>
        <v>0</v>
      </c>
      <c r="Y28" s="520">
        <f t="shared" si="9"/>
        <v>0</v>
      </c>
      <c r="Z28" s="517">
        <f>SUMPRODUCT(($C$28="férié")*($AB$28))</f>
        <v>0</v>
      </c>
      <c r="AA28" s="518">
        <f>SUMPRODUCT(($C$28="férié")*($AC$28))</f>
        <v>0</v>
      </c>
      <c r="AB28" s="477">
        <f t="shared" si="10"/>
        <v>0</v>
      </c>
      <c r="AC28" s="478">
        <f t="shared" si="11"/>
        <v>0</v>
      </c>
      <c r="AD28" s="357"/>
      <c r="AE28" s="483" t="s">
        <v>92</v>
      </c>
      <c r="AF28" s="490">
        <f>SUM(Z11+AA11)</f>
        <v>0</v>
      </c>
      <c r="AG28" s="340"/>
      <c r="AH28" s="236" t="s">
        <v>122</v>
      </c>
      <c r="AI28" s="237"/>
      <c r="AJ28" s="246">
        <v>2015</v>
      </c>
      <c r="AK28" s="247"/>
      <c r="AL28" s="340"/>
      <c r="AM28" s="340"/>
      <c r="AN28" s="340"/>
      <c r="AO28" s="340"/>
      <c r="AP28" s="340"/>
    </row>
    <row r="29" spans="1:42" ht="16" customHeight="1" x14ac:dyDescent="0.2">
      <c r="A29" s="340"/>
      <c r="B29" s="473">
        <v>20</v>
      </c>
      <c r="C29" s="375" t="str">
        <f t="shared" si="1"/>
        <v>Se</v>
      </c>
      <c r="D29" s="223">
        <f t="shared" si="12"/>
        <v>42024</v>
      </c>
      <c r="E29" s="42"/>
      <c r="F29" s="42"/>
      <c r="G29" s="43"/>
      <c r="H29" s="43"/>
      <c r="I29" s="44" t="str">
        <f t="shared" si="2"/>
        <v/>
      </c>
      <c r="J29" s="73"/>
      <c r="K29" s="207"/>
      <c r="L29" s="208" t="str">
        <f t="shared" si="3"/>
        <v/>
      </c>
      <c r="M29" s="214" t="str">
        <f t="shared" si="4"/>
        <v/>
      </c>
      <c r="N29" s="215">
        <f t="shared" si="5"/>
        <v>0</v>
      </c>
      <c r="O29" s="216"/>
      <c r="P29" s="529" t="str">
        <f t="shared" si="6"/>
        <v/>
      </c>
      <c r="Q29" s="530" t="str">
        <f t="shared" si="7"/>
        <v/>
      </c>
      <c r="R29" s="531" t="str">
        <f t="shared" si="7"/>
        <v/>
      </c>
      <c r="S29" s="532" t="str">
        <f t="shared" si="13"/>
        <v/>
      </c>
      <c r="T29" s="530" t="str">
        <f t="shared" si="15"/>
        <v/>
      </c>
      <c r="U29" s="531" t="str">
        <f t="shared" si="15"/>
        <v/>
      </c>
      <c r="V29" s="517">
        <f>SUMPRODUCT(($C$29="se")*($AB$29))</f>
        <v>0</v>
      </c>
      <c r="W29" s="518">
        <f>SUMPRODUCT(($C$29="se")*($AC$29))</f>
        <v>0</v>
      </c>
      <c r="X29" s="519">
        <f t="shared" si="8"/>
        <v>0</v>
      </c>
      <c r="Y29" s="520">
        <f t="shared" si="9"/>
        <v>0</v>
      </c>
      <c r="Z29" s="517">
        <f>SUMPRODUCT(($C$29="férié")*($AB$29))</f>
        <v>0</v>
      </c>
      <c r="AA29" s="518">
        <f>SUMPRODUCT(($C$29="férié")*($AC$29))</f>
        <v>0</v>
      </c>
      <c r="AB29" s="477">
        <f t="shared" si="10"/>
        <v>0</v>
      </c>
      <c r="AC29" s="478">
        <f t="shared" si="11"/>
        <v>0</v>
      </c>
      <c r="AD29" s="357"/>
      <c r="AE29" s="493"/>
      <c r="AF29" s="494"/>
      <c r="AG29" s="340"/>
      <c r="AH29" s="238"/>
      <c r="AI29" s="239"/>
      <c r="AJ29" s="248"/>
      <c r="AK29" s="249"/>
      <c r="AL29" s="340"/>
      <c r="AM29" s="340"/>
      <c r="AN29" s="340"/>
      <c r="AO29" s="340"/>
      <c r="AP29" s="340"/>
    </row>
    <row r="30" spans="1:42" ht="16" x14ac:dyDescent="0.2">
      <c r="A30" s="340"/>
      <c r="B30" s="473">
        <v>21</v>
      </c>
      <c r="C30" s="375" t="str">
        <f t="shared" si="1"/>
        <v>Se</v>
      </c>
      <c r="D30" s="223">
        <f t="shared" si="12"/>
        <v>42025</v>
      </c>
      <c r="E30" s="42"/>
      <c r="F30" s="42"/>
      <c r="G30" s="43"/>
      <c r="H30" s="43"/>
      <c r="I30" s="44" t="str">
        <f t="shared" si="2"/>
        <v/>
      </c>
      <c r="J30" s="73"/>
      <c r="K30" s="207"/>
      <c r="L30" s="208" t="str">
        <f t="shared" si="3"/>
        <v/>
      </c>
      <c r="M30" s="214" t="str">
        <f t="shared" si="4"/>
        <v/>
      </c>
      <c r="N30" s="215">
        <f t="shared" si="5"/>
        <v>0</v>
      </c>
      <c r="O30" s="216"/>
      <c r="P30" s="529" t="str">
        <f t="shared" si="6"/>
        <v/>
      </c>
      <c r="Q30" s="530" t="str">
        <f t="shared" ref="Q30:R40" si="16">IF(OR($D30="",P30="",Q$9=""),"",IF($G30&gt;$H30,MAX(,MIN(Q$9,$H30+24/24)-MAX(Q$8,$G30)),MAX(,MIN(Q$9,$H30)-MAX(Q$8,$G30))))</f>
        <v/>
      </c>
      <c r="R30" s="531" t="str">
        <f t="shared" si="16"/>
        <v/>
      </c>
      <c r="S30" s="532" t="str">
        <f t="shared" si="13"/>
        <v/>
      </c>
      <c r="T30" s="530" t="str">
        <f t="shared" si="15"/>
        <v/>
      </c>
      <c r="U30" s="531" t="str">
        <f t="shared" si="15"/>
        <v/>
      </c>
      <c r="V30" s="517">
        <f>SUMPRODUCT(($C$30="se")*($AB$30))</f>
        <v>0</v>
      </c>
      <c r="W30" s="518">
        <f>SUMPRODUCT(($C$30="se")*($AC$30))</f>
        <v>0</v>
      </c>
      <c r="X30" s="519">
        <f t="shared" si="8"/>
        <v>0</v>
      </c>
      <c r="Y30" s="520">
        <f t="shared" si="9"/>
        <v>0</v>
      </c>
      <c r="Z30" s="517">
        <f>SUMPRODUCT(($C$30="férié")*($AB$30))</f>
        <v>0</v>
      </c>
      <c r="AA30" s="518">
        <f>SUMPRODUCT(($C$30="férié")*($AC$30))</f>
        <v>0</v>
      </c>
      <c r="AB30" s="477">
        <f t="shared" si="10"/>
        <v>0</v>
      </c>
      <c r="AC30" s="478">
        <f t="shared" si="11"/>
        <v>0</v>
      </c>
      <c r="AD30" s="360"/>
      <c r="AE30" s="495" t="s">
        <v>84</v>
      </c>
      <c r="AF30" s="501">
        <f>SUM(J10:J40,K10:K40)</f>
        <v>0</v>
      </c>
      <c r="AG30" s="340"/>
      <c r="AH30" s="340"/>
      <c r="AI30" s="340"/>
      <c r="AJ30" s="364"/>
      <c r="AK30" s="364"/>
      <c r="AL30" s="340"/>
      <c r="AM30" s="340"/>
      <c r="AN30" s="340"/>
      <c r="AO30" s="340"/>
      <c r="AP30" s="340"/>
    </row>
    <row r="31" spans="1:42" ht="16" x14ac:dyDescent="0.2">
      <c r="A31" s="340"/>
      <c r="B31" s="473">
        <v>22</v>
      </c>
      <c r="C31" s="375" t="str">
        <f t="shared" si="1"/>
        <v>Se</v>
      </c>
      <c r="D31" s="223">
        <f t="shared" si="12"/>
        <v>42026</v>
      </c>
      <c r="E31" s="42"/>
      <c r="F31" s="42"/>
      <c r="G31" s="43"/>
      <c r="H31" s="43"/>
      <c r="I31" s="44" t="str">
        <f t="shared" si="2"/>
        <v/>
      </c>
      <c r="J31" s="73"/>
      <c r="K31" s="207"/>
      <c r="L31" s="208" t="str">
        <f t="shared" si="3"/>
        <v/>
      </c>
      <c r="M31" s="214" t="str">
        <f t="shared" si="4"/>
        <v/>
      </c>
      <c r="N31" s="215">
        <f t="shared" si="5"/>
        <v>0</v>
      </c>
      <c r="O31" s="216"/>
      <c r="P31" s="529" t="str">
        <f t="shared" si="6"/>
        <v/>
      </c>
      <c r="Q31" s="530" t="str">
        <f t="shared" si="16"/>
        <v/>
      </c>
      <c r="R31" s="531" t="str">
        <f t="shared" si="16"/>
        <v/>
      </c>
      <c r="S31" s="532" t="str">
        <f t="shared" si="13"/>
        <v/>
      </c>
      <c r="T31" s="530" t="str">
        <f t="shared" si="15"/>
        <v/>
      </c>
      <c r="U31" s="531" t="str">
        <f t="shared" si="15"/>
        <v/>
      </c>
      <c r="V31" s="517">
        <f>SUMPRODUCT(($C$31="se")*($AB$31))</f>
        <v>0</v>
      </c>
      <c r="W31" s="518">
        <f>SUMPRODUCT(($C$31="se")*($AC$31))</f>
        <v>0</v>
      </c>
      <c r="X31" s="519">
        <f t="shared" si="8"/>
        <v>0</v>
      </c>
      <c r="Y31" s="520">
        <f t="shared" si="9"/>
        <v>0</v>
      </c>
      <c r="Z31" s="517">
        <f>SUMPRODUCT(($C$31="férié")*($AB$31))</f>
        <v>0</v>
      </c>
      <c r="AA31" s="518">
        <f>SUMPRODUCT(($C$31="férié")*($AC$31))</f>
        <v>0</v>
      </c>
      <c r="AB31" s="477">
        <f t="shared" si="10"/>
        <v>0</v>
      </c>
      <c r="AC31" s="478">
        <f t="shared" si="11"/>
        <v>0</v>
      </c>
      <c r="AD31" s="357"/>
      <c r="AE31" s="502"/>
      <c r="AF31" s="503"/>
      <c r="AG31" s="340"/>
      <c r="AH31" s="340"/>
      <c r="AI31" s="340"/>
      <c r="AJ31" s="364"/>
      <c r="AK31" s="364"/>
      <c r="AL31" s="340"/>
      <c r="AM31" s="340"/>
      <c r="AN31" s="340"/>
      <c r="AO31" s="340"/>
      <c r="AP31" s="340"/>
    </row>
    <row r="32" spans="1:42" ht="16" x14ac:dyDescent="0.2">
      <c r="A32" s="340"/>
      <c r="B32" s="473">
        <v>23</v>
      </c>
      <c r="C32" s="375" t="str">
        <f t="shared" si="1"/>
        <v>Se</v>
      </c>
      <c r="D32" s="223">
        <f t="shared" si="12"/>
        <v>42027</v>
      </c>
      <c r="E32" s="42"/>
      <c r="F32" s="42"/>
      <c r="G32" s="43"/>
      <c r="H32" s="43"/>
      <c r="I32" s="44" t="str">
        <f t="shared" si="2"/>
        <v/>
      </c>
      <c r="J32" s="73"/>
      <c r="K32" s="207"/>
      <c r="L32" s="208" t="str">
        <f t="shared" si="3"/>
        <v/>
      </c>
      <c r="M32" s="214" t="str">
        <f t="shared" si="4"/>
        <v/>
      </c>
      <c r="N32" s="215">
        <f t="shared" si="5"/>
        <v>0</v>
      </c>
      <c r="O32" s="216"/>
      <c r="P32" s="529" t="str">
        <f t="shared" si="6"/>
        <v/>
      </c>
      <c r="Q32" s="530" t="str">
        <f t="shared" si="16"/>
        <v/>
      </c>
      <c r="R32" s="531" t="str">
        <f t="shared" si="16"/>
        <v/>
      </c>
      <c r="S32" s="532" t="str">
        <f t="shared" si="13"/>
        <v/>
      </c>
      <c r="T32" s="530" t="str">
        <f t="shared" si="15"/>
        <v/>
      </c>
      <c r="U32" s="531" t="str">
        <f t="shared" si="15"/>
        <v/>
      </c>
      <c r="V32" s="517">
        <f>SUMPRODUCT(($C$32="se")*($AB$32))</f>
        <v>0</v>
      </c>
      <c r="W32" s="518">
        <f>SUMPRODUCT(($C$32="se")*($AC$32))</f>
        <v>0</v>
      </c>
      <c r="X32" s="519">
        <f t="shared" si="8"/>
        <v>0</v>
      </c>
      <c r="Y32" s="520">
        <f t="shared" si="9"/>
        <v>0</v>
      </c>
      <c r="Z32" s="517">
        <f>SUMPRODUCT(($C$32="férié")*($AB$32))</f>
        <v>0</v>
      </c>
      <c r="AA32" s="518">
        <f>SUMPRODUCT(($C$32="férié")*($AC$32))</f>
        <v>0</v>
      </c>
      <c r="AB32" s="477">
        <f t="shared" si="10"/>
        <v>0</v>
      </c>
      <c r="AC32" s="478">
        <f t="shared" si="11"/>
        <v>0</v>
      </c>
      <c r="AD32" s="360"/>
      <c r="AE32" s="495" t="s">
        <v>85</v>
      </c>
      <c r="AF32" s="501">
        <f>SUM(J10:J40)</f>
        <v>0</v>
      </c>
      <c r="AG32" s="340"/>
      <c r="AH32" s="340"/>
      <c r="AI32" s="340"/>
      <c r="AJ32" s="340"/>
      <c r="AK32" s="340"/>
      <c r="AL32" s="340"/>
      <c r="AM32" s="340"/>
      <c r="AN32" s="340"/>
      <c r="AO32" s="340"/>
      <c r="AP32" s="340"/>
    </row>
    <row r="33" spans="1:47" ht="16" x14ac:dyDescent="0.2">
      <c r="A33" s="340"/>
      <c r="B33" s="473">
        <v>24</v>
      </c>
      <c r="C33" s="375" t="str">
        <f t="shared" si="1"/>
        <v>Se</v>
      </c>
      <c r="D33" s="223">
        <f t="shared" si="12"/>
        <v>42028</v>
      </c>
      <c r="E33" s="42"/>
      <c r="F33" s="42"/>
      <c r="G33" s="43"/>
      <c r="H33" s="43"/>
      <c r="I33" s="44" t="str">
        <f t="shared" si="2"/>
        <v/>
      </c>
      <c r="J33" s="73"/>
      <c r="K33" s="207"/>
      <c r="L33" s="208" t="str">
        <f t="shared" si="3"/>
        <v/>
      </c>
      <c r="M33" s="214" t="str">
        <f t="shared" si="4"/>
        <v/>
      </c>
      <c r="N33" s="215">
        <f t="shared" si="5"/>
        <v>0</v>
      </c>
      <c r="O33" s="216"/>
      <c r="P33" s="529" t="str">
        <f t="shared" si="6"/>
        <v/>
      </c>
      <c r="Q33" s="530" t="str">
        <f t="shared" si="16"/>
        <v/>
      </c>
      <c r="R33" s="531" t="str">
        <f t="shared" si="16"/>
        <v/>
      </c>
      <c r="S33" s="532" t="str">
        <f t="shared" si="13"/>
        <v/>
      </c>
      <c r="T33" s="530" t="str">
        <f t="shared" si="15"/>
        <v/>
      </c>
      <c r="U33" s="531" t="str">
        <f t="shared" si="15"/>
        <v/>
      </c>
      <c r="V33" s="517">
        <f>SUMPRODUCT(($C$33="se")*($AB$33))</f>
        <v>0</v>
      </c>
      <c r="W33" s="518">
        <f>SUMPRODUCT(($C$33="se")*($AC$33))</f>
        <v>0</v>
      </c>
      <c r="X33" s="519">
        <f t="shared" si="8"/>
        <v>0</v>
      </c>
      <c r="Y33" s="520">
        <f t="shared" si="9"/>
        <v>0</v>
      </c>
      <c r="Z33" s="517">
        <f>SUMPRODUCT(($C$33="férié")*($AB$33))</f>
        <v>0</v>
      </c>
      <c r="AA33" s="518">
        <f>SUMPRODUCT(($C$33="férié")*($AC$33))</f>
        <v>0</v>
      </c>
      <c r="AB33" s="477">
        <f t="shared" si="10"/>
        <v>0</v>
      </c>
      <c r="AC33" s="478">
        <f t="shared" si="11"/>
        <v>0</v>
      </c>
      <c r="AD33" s="360"/>
      <c r="AE33" s="502"/>
      <c r="AF33" s="503"/>
      <c r="AG33" s="340"/>
      <c r="AH33" s="340"/>
      <c r="AI33" s="340"/>
      <c r="AJ33" s="340"/>
      <c r="AK33" s="340"/>
      <c r="AL33" s="340"/>
      <c r="AM33" s="340"/>
      <c r="AN33" s="340"/>
      <c r="AO33" s="340"/>
      <c r="AP33" s="340"/>
    </row>
    <row r="34" spans="1:47" ht="16" x14ac:dyDescent="0.2">
      <c r="A34" s="340"/>
      <c r="B34" s="473">
        <v>25</v>
      </c>
      <c r="C34" s="375" t="str">
        <f t="shared" si="1"/>
        <v>Dim</v>
      </c>
      <c r="D34" s="223">
        <f t="shared" si="12"/>
        <v>42029</v>
      </c>
      <c r="E34" s="42"/>
      <c r="F34" s="42"/>
      <c r="G34" s="43"/>
      <c r="H34" s="43"/>
      <c r="I34" s="44" t="str">
        <f t="shared" si="2"/>
        <v/>
      </c>
      <c r="J34" s="73"/>
      <c r="K34" s="207"/>
      <c r="L34" s="208" t="str">
        <f t="shared" si="3"/>
        <v/>
      </c>
      <c r="M34" s="214" t="str">
        <f t="shared" si="4"/>
        <v/>
      </c>
      <c r="N34" s="215">
        <f t="shared" si="5"/>
        <v>0</v>
      </c>
      <c r="O34" s="216"/>
      <c r="P34" s="529" t="str">
        <f t="shared" si="6"/>
        <v/>
      </c>
      <c r="Q34" s="530" t="str">
        <f t="shared" si="16"/>
        <v/>
      </c>
      <c r="R34" s="531" t="str">
        <f t="shared" si="16"/>
        <v/>
      </c>
      <c r="S34" s="532" t="str">
        <f t="shared" si="13"/>
        <v/>
      </c>
      <c r="T34" s="530" t="str">
        <f t="shared" si="15"/>
        <v/>
      </c>
      <c r="U34" s="531" t="str">
        <f t="shared" si="15"/>
        <v/>
      </c>
      <c r="V34" s="517">
        <f>SUMPRODUCT(($C$34="se")*($AB$34))</f>
        <v>0</v>
      </c>
      <c r="W34" s="518">
        <f>SUMPRODUCT(($C$34="se")*($AC$34))</f>
        <v>0</v>
      </c>
      <c r="X34" s="519">
        <f t="shared" si="8"/>
        <v>0</v>
      </c>
      <c r="Y34" s="520">
        <f t="shared" si="9"/>
        <v>0</v>
      </c>
      <c r="Z34" s="517">
        <f>SUMPRODUCT(($C$34="férié")*($AB$34))</f>
        <v>0</v>
      </c>
      <c r="AA34" s="518">
        <f>SUMPRODUCT(($C$34="férié")*($AC$34))</f>
        <v>0</v>
      </c>
      <c r="AB34" s="477">
        <f t="shared" si="10"/>
        <v>0</v>
      </c>
      <c r="AC34" s="478">
        <f t="shared" si="11"/>
        <v>0</v>
      </c>
      <c r="AD34" s="360"/>
      <c r="AE34" s="483" t="s">
        <v>86</v>
      </c>
      <c r="AF34" s="504">
        <f>SUM(K10:K40)</f>
        <v>0</v>
      </c>
      <c r="AG34" s="340"/>
      <c r="AH34" s="340"/>
      <c r="AI34" s="340"/>
      <c r="AJ34" s="340"/>
      <c r="AK34" s="340"/>
      <c r="AL34" s="340"/>
      <c r="AM34" s="340"/>
      <c r="AN34" s="340"/>
      <c r="AO34" s="340"/>
      <c r="AP34" s="340"/>
    </row>
    <row r="35" spans="1:47" ht="16" x14ac:dyDescent="0.2">
      <c r="A35" s="340"/>
      <c r="B35" s="473">
        <v>26</v>
      </c>
      <c r="C35" s="375" t="str">
        <f t="shared" si="1"/>
        <v>Se</v>
      </c>
      <c r="D35" s="223">
        <f t="shared" si="12"/>
        <v>42030</v>
      </c>
      <c r="E35" s="42"/>
      <c r="F35" s="42"/>
      <c r="G35" s="43"/>
      <c r="H35" s="43"/>
      <c r="I35" s="44" t="str">
        <f t="shared" si="2"/>
        <v/>
      </c>
      <c r="J35" s="73"/>
      <c r="K35" s="207"/>
      <c r="L35" s="208" t="str">
        <f t="shared" si="3"/>
        <v/>
      </c>
      <c r="M35" s="214" t="str">
        <f t="shared" si="4"/>
        <v/>
      </c>
      <c r="N35" s="215">
        <f t="shared" si="5"/>
        <v>0</v>
      </c>
      <c r="O35" s="216"/>
      <c r="P35" s="529" t="str">
        <f t="shared" si="6"/>
        <v/>
      </c>
      <c r="Q35" s="530" t="str">
        <f t="shared" si="16"/>
        <v/>
      </c>
      <c r="R35" s="531" t="str">
        <f t="shared" si="16"/>
        <v/>
      </c>
      <c r="S35" s="532" t="str">
        <f t="shared" si="13"/>
        <v/>
      </c>
      <c r="T35" s="530" t="str">
        <f t="shared" si="15"/>
        <v/>
      </c>
      <c r="U35" s="531" t="str">
        <f t="shared" si="15"/>
        <v/>
      </c>
      <c r="V35" s="517">
        <f>SUMPRODUCT(($C$35="se")*($AB$35))</f>
        <v>0</v>
      </c>
      <c r="W35" s="518">
        <f>SUMPRODUCT(($C$35="se")*($AC$35))</f>
        <v>0</v>
      </c>
      <c r="X35" s="519">
        <f t="shared" si="8"/>
        <v>0</v>
      </c>
      <c r="Y35" s="520">
        <f t="shared" si="9"/>
        <v>0</v>
      </c>
      <c r="Z35" s="517">
        <f>SUMPRODUCT(($C$35="férié")*($AB$35))</f>
        <v>0</v>
      </c>
      <c r="AA35" s="518">
        <f>SUMPRODUCT(($C$35="férié")*($AC$35))</f>
        <v>0</v>
      </c>
      <c r="AB35" s="477">
        <f t="shared" si="10"/>
        <v>0</v>
      </c>
      <c r="AC35" s="478">
        <f t="shared" si="11"/>
        <v>0</v>
      </c>
      <c r="AD35" s="360"/>
      <c r="AE35" s="493"/>
      <c r="AF35" s="494"/>
      <c r="AG35" s="340"/>
      <c r="AH35" s="340"/>
      <c r="AI35" s="340"/>
      <c r="AJ35" s="340"/>
      <c r="AK35" s="340"/>
      <c r="AL35" s="340"/>
      <c r="AM35" s="340"/>
      <c r="AN35" s="340"/>
      <c r="AO35" s="340"/>
      <c r="AP35" s="340"/>
    </row>
    <row r="36" spans="1:47" ht="16" x14ac:dyDescent="0.2">
      <c r="A36" s="340"/>
      <c r="B36" s="473">
        <v>27</v>
      </c>
      <c r="C36" s="375" t="str">
        <f t="shared" si="1"/>
        <v>Se</v>
      </c>
      <c r="D36" s="223">
        <f t="shared" si="12"/>
        <v>42031</v>
      </c>
      <c r="E36" s="42"/>
      <c r="F36" s="42"/>
      <c r="G36" s="43"/>
      <c r="H36" s="43"/>
      <c r="I36" s="44" t="str">
        <f t="shared" si="2"/>
        <v/>
      </c>
      <c r="J36" s="73"/>
      <c r="K36" s="207"/>
      <c r="L36" s="208" t="str">
        <f t="shared" si="3"/>
        <v/>
      </c>
      <c r="M36" s="214" t="str">
        <f t="shared" si="4"/>
        <v/>
      </c>
      <c r="N36" s="215">
        <f t="shared" si="5"/>
        <v>0</v>
      </c>
      <c r="O36" s="216"/>
      <c r="P36" s="529" t="str">
        <f t="shared" si="6"/>
        <v/>
      </c>
      <c r="Q36" s="530" t="str">
        <f t="shared" si="16"/>
        <v/>
      </c>
      <c r="R36" s="531" t="str">
        <f t="shared" si="16"/>
        <v/>
      </c>
      <c r="S36" s="532" t="str">
        <f t="shared" si="13"/>
        <v/>
      </c>
      <c r="T36" s="530" t="str">
        <f t="shared" si="15"/>
        <v/>
      </c>
      <c r="U36" s="531" t="str">
        <f t="shared" si="15"/>
        <v/>
      </c>
      <c r="V36" s="517">
        <f>SUMPRODUCT(($C$36="se")*($AB$36))</f>
        <v>0</v>
      </c>
      <c r="W36" s="518">
        <f>SUMPRODUCT(($C$36="se")*($AC$36))</f>
        <v>0</v>
      </c>
      <c r="X36" s="519">
        <f t="shared" si="8"/>
        <v>0</v>
      </c>
      <c r="Y36" s="520">
        <f t="shared" si="9"/>
        <v>0</v>
      </c>
      <c r="Z36" s="517">
        <f>SUMPRODUCT(($C$36="férié")*($AB$36))</f>
        <v>0</v>
      </c>
      <c r="AA36" s="518">
        <f>SUMPRODUCT(($C$36="férié")*($AC$36))</f>
        <v>0</v>
      </c>
      <c r="AB36" s="477">
        <f t="shared" si="10"/>
        <v>0</v>
      </c>
      <c r="AC36" s="478">
        <f t="shared" si="11"/>
        <v>0</v>
      </c>
      <c r="AD36" s="360"/>
      <c r="AE36" s="483" t="s">
        <v>87</v>
      </c>
      <c r="AF36" s="498">
        <f>COUNTA(G10:G40)</f>
        <v>1</v>
      </c>
      <c r="AG36" s="340"/>
      <c r="AH36" s="340"/>
      <c r="AI36" s="340"/>
      <c r="AJ36" s="340"/>
      <c r="AK36" s="340"/>
      <c r="AL36" s="340"/>
      <c r="AM36" s="340"/>
      <c r="AN36" s="340"/>
      <c r="AO36" s="340"/>
      <c r="AP36" s="340"/>
    </row>
    <row r="37" spans="1:47" ht="16" x14ac:dyDescent="0.2">
      <c r="A37" s="340"/>
      <c r="B37" s="473">
        <v>28</v>
      </c>
      <c r="C37" s="375" t="str">
        <f t="shared" si="1"/>
        <v>Se</v>
      </c>
      <c r="D37" s="223">
        <f t="shared" si="12"/>
        <v>42032</v>
      </c>
      <c r="E37" s="42"/>
      <c r="F37" s="42"/>
      <c r="G37" s="43"/>
      <c r="H37" s="43"/>
      <c r="I37" s="44" t="str">
        <f t="shared" si="2"/>
        <v/>
      </c>
      <c r="J37" s="73"/>
      <c r="K37" s="207"/>
      <c r="L37" s="208" t="str">
        <f t="shared" si="3"/>
        <v/>
      </c>
      <c r="M37" s="214" t="str">
        <f t="shared" si="4"/>
        <v/>
      </c>
      <c r="N37" s="215">
        <f t="shared" si="5"/>
        <v>0</v>
      </c>
      <c r="O37" s="216"/>
      <c r="P37" s="529" t="str">
        <f t="shared" si="6"/>
        <v/>
      </c>
      <c r="Q37" s="530" t="str">
        <f t="shared" si="16"/>
        <v/>
      </c>
      <c r="R37" s="531" t="str">
        <f t="shared" si="16"/>
        <v/>
      </c>
      <c r="S37" s="532" t="str">
        <f t="shared" si="13"/>
        <v/>
      </c>
      <c r="T37" s="530" t="str">
        <f t="shared" si="15"/>
        <v/>
      </c>
      <c r="U37" s="531" t="str">
        <f t="shared" si="15"/>
        <v/>
      </c>
      <c r="V37" s="517">
        <f>SUMPRODUCT(($C$37="se")*($AB$37))</f>
        <v>0</v>
      </c>
      <c r="W37" s="518">
        <f>SUMPRODUCT(($C$37="se")*($AC$37))</f>
        <v>0</v>
      </c>
      <c r="X37" s="519">
        <f t="shared" si="8"/>
        <v>0</v>
      </c>
      <c r="Y37" s="520">
        <f t="shared" si="9"/>
        <v>0</v>
      </c>
      <c r="Z37" s="517">
        <f>SUMPRODUCT(($C$37="férié")*($AB$37))</f>
        <v>0</v>
      </c>
      <c r="AA37" s="518">
        <f>SUMPRODUCT(($C$37="férié")*($AC$37))</f>
        <v>0</v>
      </c>
      <c r="AB37" s="477">
        <f t="shared" si="10"/>
        <v>0</v>
      </c>
      <c r="AC37" s="478">
        <f t="shared" si="11"/>
        <v>0</v>
      </c>
      <c r="AD37" s="360"/>
      <c r="AE37" s="493"/>
      <c r="AF37" s="494"/>
      <c r="AG37" s="340"/>
      <c r="AH37" s="340"/>
      <c r="AI37" s="340"/>
      <c r="AJ37" s="340"/>
      <c r="AK37" s="340"/>
      <c r="AL37" s="340"/>
      <c r="AM37" s="340"/>
      <c r="AN37" s="340"/>
      <c r="AO37" s="340"/>
      <c r="AP37" s="340"/>
    </row>
    <row r="38" spans="1:47" ht="16" x14ac:dyDescent="0.2">
      <c r="A38" s="340"/>
      <c r="B38" s="473">
        <v>29</v>
      </c>
      <c r="C38" s="375" t="str">
        <f t="shared" si="1"/>
        <v>Se</v>
      </c>
      <c r="D38" s="223">
        <f t="shared" si="12"/>
        <v>42033</v>
      </c>
      <c r="E38" s="42"/>
      <c r="F38" s="42"/>
      <c r="G38" s="43"/>
      <c r="H38" s="43"/>
      <c r="I38" s="44" t="str">
        <f t="shared" si="2"/>
        <v/>
      </c>
      <c r="J38" s="73"/>
      <c r="K38" s="207"/>
      <c r="L38" s="208" t="str">
        <f t="shared" si="3"/>
        <v/>
      </c>
      <c r="M38" s="214" t="str">
        <f t="shared" si="4"/>
        <v/>
      </c>
      <c r="N38" s="215">
        <f t="shared" si="5"/>
        <v>0</v>
      </c>
      <c r="O38" s="216"/>
      <c r="P38" s="529" t="str">
        <f t="shared" si="6"/>
        <v/>
      </c>
      <c r="Q38" s="530" t="str">
        <f t="shared" si="16"/>
        <v/>
      </c>
      <c r="R38" s="531" t="str">
        <f t="shared" si="16"/>
        <v/>
      </c>
      <c r="S38" s="532" t="str">
        <f t="shared" si="13"/>
        <v/>
      </c>
      <c r="T38" s="530" t="str">
        <f t="shared" si="15"/>
        <v/>
      </c>
      <c r="U38" s="531" t="str">
        <f t="shared" si="15"/>
        <v/>
      </c>
      <c r="V38" s="517">
        <f>SUMPRODUCT(($C$38="se")*($AB$38))</f>
        <v>0</v>
      </c>
      <c r="W38" s="518">
        <f>SUMPRODUCT(($C$38="se")*($AC$38))</f>
        <v>0</v>
      </c>
      <c r="X38" s="519">
        <f t="shared" si="8"/>
        <v>0</v>
      </c>
      <c r="Y38" s="520">
        <f t="shared" si="9"/>
        <v>0</v>
      </c>
      <c r="Z38" s="517">
        <f>SUMPRODUCT(($C$38="férié")*($AB$38))</f>
        <v>0</v>
      </c>
      <c r="AA38" s="518">
        <f>SUMPRODUCT(($C$38="férié")*($AC$38))</f>
        <v>0</v>
      </c>
      <c r="AB38" s="477">
        <f t="shared" si="10"/>
        <v>0</v>
      </c>
      <c r="AC38" s="478">
        <f t="shared" si="11"/>
        <v>0</v>
      </c>
      <c r="AD38" s="360"/>
      <c r="AE38" s="505" t="s">
        <v>88</v>
      </c>
      <c r="AF38" s="504">
        <f>SUM(M10:M40)</f>
        <v>0</v>
      </c>
      <c r="AG38" s="340"/>
      <c r="AH38" s="340"/>
      <c r="AI38" s="340"/>
      <c r="AJ38" s="340"/>
      <c r="AK38" s="340"/>
      <c r="AL38" s="340"/>
      <c r="AM38" s="340"/>
      <c r="AN38" s="340"/>
      <c r="AO38" s="340"/>
      <c r="AP38" s="340"/>
    </row>
    <row r="39" spans="1:47" ht="17" thickBot="1" x14ac:dyDescent="0.25">
      <c r="A39" s="340"/>
      <c r="B39" s="473">
        <v>30</v>
      </c>
      <c r="C39" s="375" t="str">
        <f t="shared" si="1"/>
        <v>Se</v>
      </c>
      <c r="D39" s="223">
        <f t="shared" si="12"/>
        <v>42034</v>
      </c>
      <c r="E39" s="42"/>
      <c r="F39" s="42"/>
      <c r="G39" s="43"/>
      <c r="H39" s="43"/>
      <c r="I39" s="44" t="str">
        <f t="shared" si="2"/>
        <v/>
      </c>
      <c r="J39" s="73"/>
      <c r="K39" s="207"/>
      <c r="L39" s="208" t="str">
        <f t="shared" si="3"/>
        <v/>
      </c>
      <c r="M39" s="214" t="str">
        <f t="shared" si="4"/>
        <v/>
      </c>
      <c r="N39" s="215">
        <f t="shared" si="5"/>
        <v>0</v>
      </c>
      <c r="O39" s="216"/>
      <c r="P39" s="529" t="str">
        <f t="shared" si="6"/>
        <v/>
      </c>
      <c r="Q39" s="530" t="str">
        <f t="shared" si="16"/>
        <v/>
      </c>
      <c r="R39" s="531" t="str">
        <f t="shared" si="16"/>
        <v/>
      </c>
      <c r="S39" s="532" t="str">
        <f t="shared" si="13"/>
        <v/>
      </c>
      <c r="T39" s="530" t="str">
        <f t="shared" si="15"/>
        <v/>
      </c>
      <c r="U39" s="531" t="str">
        <f t="shared" si="15"/>
        <v/>
      </c>
      <c r="V39" s="517">
        <f>SUMPRODUCT(($C$39="se")*($AB$39))</f>
        <v>0</v>
      </c>
      <c r="W39" s="518">
        <f>SUMPRODUCT(($C$39="se")*($AC$39))</f>
        <v>0</v>
      </c>
      <c r="X39" s="519">
        <f t="shared" si="8"/>
        <v>0</v>
      </c>
      <c r="Y39" s="520">
        <f t="shared" si="9"/>
        <v>0</v>
      </c>
      <c r="Z39" s="517">
        <f>SUMPRODUCT(($C$39="férié")*($AB$39))</f>
        <v>0</v>
      </c>
      <c r="AA39" s="518">
        <f>SUMPRODUCT(($C$39="férié")*($AC$39))</f>
        <v>0</v>
      </c>
      <c r="AB39" s="477">
        <f t="shared" si="10"/>
        <v>0</v>
      </c>
      <c r="AC39" s="478">
        <f t="shared" si="11"/>
        <v>0</v>
      </c>
      <c r="AD39" s="360"/>
      <c r="AE39" s="506"/>
      <c r="AF39" s="507"/>
      <c r="AG39" s="340"/>
      <c r="AH39" s="365"/>
      <c r="AI39" s="364"/>
      <c r="AJ39" s="340"/>
      <c r="AK39" s="340"/>
      <c r="AL39" s="340"/>
      <c r="AM39" s="340"/>
      <c r="AN39" s="340"/>
      <c r="AO39" s="340"/>
      <c r="AP39" s="340"/>
    </row>
    <row r="40" spans="1:47" ht="17" thickBot="1" x14ac:dyDescent="0.25">
      <c r="A40" s="340"/>
      <c r="B40" s="474">
        <v>31</v>
      </c>
      <c r="C40" s="376" t="str">
        <f t="shared" si="1"/>
        <v>Se</v>
      </c>
      <c r="D40" s="377">
        <f t="shared" si="12"/>
        <v>42035</v>
      </c>
      <c r="E40" s="378"/>
      <c r="F40" s="378"/>
      <c r="G40" s="379"/>
      <c r="H40" s="379"/>
      <c r="I40" s="380" t="str">
        <f t="shared" si="2"/>
        <v/>
      </c>
      <c r="J40" s="381"/>
      <c r="K40" s="382"/>
      <c r="L40" s="383" t="str">
        <f t="shared" si="3"/>
        <v/>
      </c>
      <c r="M40" s="384" t="str">
        <f t="shared" si="4"/>
        <v/>
      </c>
      <c r="N40" s="385">
        <f t="shared" si="5"/>
        <v>0</v>
      </c>
      <c r="O40" s="386"/>
      <c r="P40" s="533" t="str">
        <f t="shared" si="6"/>
        <v/>
      </c>
      <c r="Q40" s="534" t="str">
        <f t="shared" si="16"/>
        <v/>
      </c>
      <c r="R40" s="535" t="str">
        <f t="shared" si="16"/>
        <v/>
      </c>
      <c r="S40" s="536" t="str">
        <f t="shared" si="13"/>
        <v/>
      </c>
      <c r="T40" s="534" t="str">
        <f t="shared" si="15"/>
        <v/>
      </c>
      <c r="U40" s="535" t="str">
        <f t="shared" si="15"/>
        <v/>
      </c>
      <c r="V40" s="521">
        <f>SUMPRODUCT(($C$40="se")*($AB$40))</f>
        <v>0</v>
      </c>
      <c r="W40" s="522">
        <f>SUMPRODUCT(($C$40="se")*($AC$40))</f>
        <v>0</v>
      </c>
      <c r="X40" s="523">
        <f t="shared" si="8"/>
        <v>0</v>
      </c>
      <c r="Y40" s="524">
        <f t="shared" si="9"/>
        <v>0</v>
      </c>
      <c r="Z40" s="521">
        <f>SUMPRODUCT(($C$40="férié")*($AB$40))</f>
        <v>0</v>
      </c>
      <c r="AA40" s="522">
        <f>SUMPRODUCT(($C$40="férié")*($AC$40))</f>
        <v>0</v>
      </c>
      <c r="AB40" s="479">
        <f t="shared" si="10"/>
        <v>0</v>
      </c>
      <c r="AC40" s="480">
        <f t="shared" si="11"/>
        <v>0</v>
      </c>
      <c r="AD40" s="360"/>
      <c r="AE40" s="340"/>
      <c r="AF40" s="340"/>
      <c r="AG40" s="340"/>
      <c r="AH40" s="365"/>
      <c r="AI40" s="364"/>
      <c r="AJ40" s="340"/>
      <c r="AK40" s="340"/>
      <c r="AL40" s="340"/>
      <c r="AM40" s="340"/>
      <c r="AN40" s="340"/>
      <c r="AO40" s="340"/>
      <c r="AP40" s="340"/>
    </row>
    <row r="41" spans="1:47" s="30" customFormat="1" ht="16" thickBot="1" x14ac:dyDescent="0.25">
      <c r="A41" s="359"/>
      <c r="B41" s="470" t="s">
        <v>81</v>
      </c>
      <c r="C41" s="406"/>
      <c r="D41" s="437">
        <f>COUNTA(D10:D40)</f>
        <v>31</v>
      </c>
      <c r="E41" s="438">
        <f>COUNTA(E10:E40)</f>
        <v>1</v>
      </c>
      <c r="F41" s="438">
        <f>COUNTA(F10:F40)</f>
        <v>1</v>
      </c>
      <c r="G41" s="438">
        <f>COUNTA(G10:G40)</f>
        <v>1</v>
      </c>
      <c r="H41" s="438">
        <f>COUNTA(H10:H40)</f>
        <v>1</v>
      </c>
      <c r="I41" s="438">
        <f>SUM(I10:I40)</f>
        <v>0.8125</v>
      </c>
      <c r="J41" s="438">
        <f>SUM(J10:J40)</f>
        <v>0</v>
      </c>
      <c r="K41" s="438">
        <f>SUM(K10:K40)</f>
        <v>0</v>
      </c>
      <c r="L41" s="438">
        <f>COUNTA(G10:G40)</f>
        <v>1</v>
      </c>
      <c r="M41" s="438">
        <f>SUM(M10:M40)</f>
        <v>0</v>
      </c>
      <c r="N41" s="438">
        <f>SUM(N10:N40)</f>
        <v>0.8125</v>
      </c>
      <c r="O41" s="438"/>
      <c r="P41" s="439">
        <f t="shared" ref="P41:U41" si="17">SUM(P10:P40)</f>
        <v>0.25</v>
      </c>
      <c r="Q41" s="439">
        <f t="shared" si="17"/>
        <v>0.5625</v>
      </c>
      <c r="R41" s="439">
        <f t="shared" si="17"/>
        <v>0</v>
      </c>
      <c r="S41" s="440">
        <f t="shared" si="17"/>
        <v>0</v>
      </c>
      <c r="T41" s="439">
        <f t="shared" si="17"/>
        <v>0</v>
      </c>
      <c r="U41" s="439">
        <f t="shared" si="17"/>
        <v>0</v>
      </c>
      <c r="V41" s="441">
        <f>SUMIF(D10:D40,"&gt;0",V10:V40)</f>
        <v>0</v>
      </c>
      <c r="W41" s="441">
        <f>SUMIF(D10:D40,"&gt;0",W10:W40)</f>
        <v>0</v>
      </c>
      <c r="X41" s="441">
        <f>SUMPRODUCT((WEEKDAY($D$10:$D$40)=1)*($AB$10:$AB$40))</f>
        <v>0</v>
      </c>
      <c r="Y41" s="441">
        <f>SUMPRODUCT(($C$10:$C$40="dim")*($AC$10:$AC$40))</f>
        <v>0</v>
      </c>
      <c r="Z41" s="441">
        <f>SUMPRODUCT(($C$10:$C$40="férié")*($Z$10:$Z$40))</f>
        <v>0.5625</v>
      </c>
      <c r="AA41" s="441">
        <f>SUMPRODUCT(($C$10:$C$40="férié")*($AA$10:$AA$40))</f>
        <v>0.25</v>
      </c>
      <c r="AB41" s="441">
        <f>SUMIF(D10:D40,"&gt;0",AB10:AB40)</f>
        <v>0.5625</v>
      </c>
      <c r="AC41" s="442">
        <f>SUMIF(D10:D40,"&gt;0",AC10:AC40)</f>
        <v>0.25</v>
      </c>
      <c r="AD41" s="366"/>
      <c r="AE41" s="357"/>
      <c r="AF41" s="357"/>
      <c r="AG41" s="359"/>
      <c r="AH41" s="366"/>
      <c r="AI41" s="366"/>
      <c r="AJ41" s="359"/>
      <c r="AK41" s="359"/>
      <c r="AL41" s="359"/>
      <c r="AM41" s="359"/>
      <c r="AN41" s="359"/>
      <c r="AO41" s="359"/>
      <c r="AP41" s="359"/>
    </row>
    <row r="42" spans="1:47" x14ac:dyDescent="0.2">
      <c r="A42" s="340"/>
      <c r="B42" s="340"/>
      <c r="C42" s="340"/>
      <c r="D42" s="340"/>
      <c r="E42" s="340"/>
      <c r="F42" s="340"/>
      <c r="G42" s="340"/>
      <c r="H42" s="340"/>
      <c r="I42" s="340"/>
      <c r="J42" s="340"/>
      <c r="K42" s="340"/>
      <c r="L42" s="340"/>
      <c r="M42" s="340"/>
      <c r="N42" s="340"/>
      <c r="O42" s="340"/>
      <c r="P42" s="340"/>
      <c r="Q42" s="340"/>
      <c r="R42" s="340"/>
      <c r="S42" s="340"/>
      <c r="T42" s="340"/>
      <c r="U42" s="340"/>
      <c r="V42" s="340"/>
      <c r="W42" s="340"/>
      <c r="X42" s="340"/>
      <c r="Y42" s="340"/>
      <c r="Z42" s="340"/>
      <c r="AA42" s="340"/>
      <c r="AB42" s="340"/>
      <c r="AC42" s="340"/>
      <c r="AD42" s="340"/>
      <c r="AE42" s="367"/>
      <c r="AF42" s="367"/>
      <c r="AG42" s="340"/>
      <c r="AH42" s="340"/>
      <c r="AI42" s="340"/>
      <c r="AJ42" s="340"/>
      <c r="AK42" s="340"/>
      <c r="AL42" s="340"/>
      <c r="AM42" s="340"/>
      <c r="AN42" s="340"/>
      <c r="AO42" s="340"/>
      <c r="AP42" s="340"/>
      <c r="AQ42" s="95"/>
      <c r="AR42" s="95"/>
      <c r="AS42" s="95"/>
      <c r="AT42" s="95"/>
      <c r="AU42" s="95"/>
    </row>
    <row r="43" spans="1:47" x14ac:dyDescent="0.2">
      <c r="A43" s="340"/>
      <c r="B43" s="340"/>
      <c r="C43" s="340"/>
      <c r="D43" s="340"/>
      <c r="E43" s="340"/>
      <c r="F43" s="340"/>
      <c r="G43" s="340"/>
      <c r="H43" s="340"/>
      <c r="I43" s="340"/>
      <c r="J43" s="340"/>
      <c r="K43" s="340"/>
      <c r="L43" s="340"/>
      <c r="M43" s="340"/>
      <c r="N43" s="340"/>
      <c r="O43" s="340"/>
      <c r="P43" s="340"/>
      <c r="Q43" s="340"/>
      <c r="R43" s="340"/>
      <c r="S43" s="340"/>
      <c r="T43" s="340"/>
      <c r="U43" s="340"/>
      <c r="V43" s="340"/>
      <c r="W43" s="340"/>
      <c r="X43" s="340"/>
      <c r="Y43" s="340"/>
      <c r="Z43" s="340"/>
      <c r="AA43" s="340"/>
      <c r="AB43" s="340"/>
      <c r="AC43" s="340"/>
      <c r="AD43" s="340"/>
      <c r="AE43" s="340"/>
      <c r="AF43" s="340"/>
      <c r="AG43" s="340"/>
      <c r="AH43" s="340"/>
      <c r="AI43" s="340"/>
      <c r="AJ43" s="340"/>
      <c r="AK43" s="340"/>
      <c r="AL43" s="340"/>
      <c r="AM43" s="340"/>
      <c r="AN43" s="340"/>
      <c r="AO43" s="340"/>
      <c r="AP43" s="340"/>
      <c r="AQ43" s="95"/>
      <c r="AR43" s="95"/>
      <c r="AS43" s="95"/>
      <c r="AT43" s="95"/>
      <c r="AU43" s="95"/>
    </row>
    <row r="44" spans="1:47" s="94" customFormat="1" x14ac:dyDescent="0.2">
      <c r="A44" s="340"/>
      <c r="B44" s="340"/>
      <c r="C44" s="340"/>
      <c r="D44" s="340"/>
      <c r="E44" s="340"/>
      <c r="F44" s="340"/>
      <c r="G44" s="340"/>
      <c r="H44" s="340"/>
      <c r="I44" s="340"/>
      <c r="J44" s="340"/>
      <c r="K44" s="340"/>
      <c r="L44" s="340"/>
      <c r="M44" s="340"/>
      <c r="N44" s="340"/>
      <c r="O44" s="340"/>
      <c r="P44" s="340"/>
      <c r="Q44" s="340"/>
      <c r="R44" s="340"/>
      <c r="S44" s="340"/>
      <c r="T44" s="340"/>
      <c r="U44" s="340"/>
      <c r="V44" s="340"/>
      <c r="W44" s="340"/>
      <c r="X44" s="340"/>
      <c r="Y44" s="340"/>
      <c r="Z44" s="340"/>
      <c r="AA44" s="340"/>
      <c r="AB44" s="340"/>
      <c r="AC44" s="340"/>
      <c r="AD44" s="340"/>
      <c r="AE44" s="340"/>
      <c r="AF44" s="340"/>
      <c r="AG44" s="340"/>
      <c r="AH44" s="340"/>
      <c r="AI44" s="340"/>
      <c r="AJ44" s="340"/>
      <c r="AK44" s="340"/>
      <c r="AL44" s="340"/>
      <c r="AM44" s="340"/>
      <c r="AN44" s="340"/>
      <c r="AO44" s="340"/>
      <c r="AP44" s="340"/>
      <c r="AQ44" s="96"/>
      <c r="AR44" s="96"/>
      <c r="AS44" s="96"/>
      <c r="AT44" s="96"/>
      <c r="AU44" s="96"/>
    </row>
    <row r="45" spans="1:47" s="94" customFormat="1" x14ac:dyDescent="0.2">
      <c r="A45" s="340"/>
      <c r="B45" s="340"/>
      <c r="C45" s="340"/>
      <c r="D45" s="340"/>
      <c r="E45" s="340"/>
      <c r="F45" s="340"/>
      <c r="G45" s="340"/>
      <c r="H45" s="340"/>
      <c r="I45" s="340"/>
      <c r="J45" s="340"/>
      <c r="K45" s="340"/>
      <c r="L45" s="340"/>
      <c r="M45" s="340"/>
      <c r="N45" s="340"/>
      <c r="O45" s="340"/>
      <c r="P45" s="340"/>
      <c r="Q45" s="340"/>
      <c r="R45" s="340"/>
      <c r="S45" s="340"/>
      <c r="T45" s="340"/>
      <c r="U45" s="340"/>
      <c r="V45" s="340"/>
      <c r="W45" s="340"/>
      <c r="X45" s="340"/>
      <c r="Y45" s="340"/>
      <c r="Z45" s="340"/>
      <c r="AA45" s="340"/>
      <c r="AB45" s="340"/>
      <c r="AC45" s="340"/>
      <c r="AD45" s="340"/>
      <c r="AE45" s="340"/>
      <c r="AF45" s="340"/>
      <c r="AG45" s="340"/>
      <c r="AH45" s="340"/>
      <c r="AI45" s="340"/>
      <c r="AJ45" s="340"/>
      <c r="AK45" s="340"/>
      <c r="AL45" s="340"/>
      <c r="AM45" s="340"/>
      <c r="AN45" s="340"/>
      <c r="AO45" s="340"/>
      <c r="AP45" s="340"/>
      <c r="AQ45" s="96"/>
      <c r="AR45" s="96"/>
      <c r="AS45" s="96"/>
      <c r="AT45" s="96"/>
      <c r="AU45" s="96"/>
    </row>
    <row r="46" spans="1:47" s="94" customFormat="1" x14ac:dyDescent="0.2">
      <c r="A46" s="340"/>
      <c r="B46" s="340"/>
      <c r="C46" s="340"/>
      <c r="D46" s="340"/>
      <c r="E46" s="340"/>
      <c r="F46" s="340"/>
      <c r="G46" s="340"/>
      <c r="H46" s="340"/>
      <c r="I46" s="340"/>
      <c r="J46" s="340"/>
      <c r="K46" s="340"/>
      <c r="L46" s="340"/>
      <c r="M46" s="340"/>
      <c r="N46" s="340"/>
      <c r="O46" s="340"/>
      <c r="P46" s="340"/>
      <c r="Q46" s="340"/>
      <c r="R46" s="340"/>
      <c r="S46" s="340"/>
      <c r="T46" s="340"/>
      <c r="U46" s="340"/>
      <c r="V46" s="340"/>
      <c r="W46" s="340"/>
      <c r="X46" s="340"/>
      <c r="Y46" s="340"/>
      <c r="Z46" s="340"/>
      <c r="AA46" s="340"/>
      <c r="AB46" s="340"/>
      <c r="AC46" s="340"/>
      <c r="AD46" s="340"/>
      <c r="AE46" s="340"/>
      <c r="AF46" s="340"/>
      <c r="AG46" s="340"/>
      <c r="AH46" s="340"/>
      <c r="AI46" s="340"/>
      <c r="AJ46" s="340"/>
      <c r="AK46" s="340"/>
      <c r="AL46" s="340"/>
      <c r="AM46" s="340"/>
      <c r="AN46" s="340"/>
      <c r="AO46" s="340"/>
      <c r="AP46" s="340"/>
      <c r="AQ46" s="96"/>
      <c r="AR46" s="96"/>
      <c r="AS46" s="96"/>
      <c r="AT46" s="96"/>
      <c r="AU46" s="96"/>
    </row>
    <row r="47" spans="1:47" s="94" customFormat="1" x14ac:dyDescent="0.2">
      <c r="A47" s="340"/>
      <c r="B47" s="340"/>
      <c r="C47" s="340"/>
      <c r="D47" s="340"/>
      <c r="E47" s="340"/>
      <c r="F47" s="340"/>
      <c r="G47" s="340"/>
      <c r="H47" s="340"/>
      <c r="I47" s="340"/>
      <c r="J47" s="340"/>
      <c r="K47" s="340"/>
      <c r="L47" s="340"/>
      <c r="M47" s="340"/>
      <c r="N47" s="340"/>
      <c r="O47" s="340"/>
      <c r="P47" s="340"/>
      <c r="Q47" s="340"/>
      <c r="R47" s="340"/>
      <c r="S47" s="340"/>
      <c r="T47" s="340"/>
      <c r="U47" s="340"/>
      <c r="V47" s="340"/>
      <c r="W47" s="340"/>
      <c r="X47" s="340"/>
      <c r="Y47" s="340"/>
      <c r="Z47" s="340"/>
      <c r="AA47" s="340"/>
      <c r="AB47" s="340"/>
      <c r="AC47" s="340"/>
      <c r="AD47" s="340"/>
      <c r="AE47" s="340"/>
      <c r="AF47" s="340"/>
      <c r="AG47" s="340"/>
      <c r="AH47" s="340"/>
      <c r="AI47" s="340"/>
      <c r="AJ47" s="340"/>
      <c r="AK47" s="340"/>
      <c r="AL47" s="340"/>
      <c r="AM47" s="340"/>
      <c r="AN47" s="340"/>
      <c r="AO47" s="340"/>
      <c r="AP47" s="340"/>
      <c r="AQ47" s="96"/>
      <c r="AR47" s="96"/>
      <c r="AS47" s="96"/>
      <c r="AT47" s="96"/>
      <c r="AU47" s="96"/>
    </row>
    <row r="48" spans="1:47" s="94" customFormat="1" x14ac:dyDescent="0.2">
      <c r="A48" s="340"/>
      <c r="B48" s="340"/>
      <c r="C48" s="340"/>
      <c r="D48" s="340"/>
      <c r="E48" s="340"/>
      <c r="F48" s="340"/>
      <c r="G48" s="340"/>
      <c r="H48" s="340"/>
      <c r="I48" s="340"/>
      <c r="J48" s="340"/>
      <c r="K48" s="340"/>
      <c r="L48" s="340"/>
      <c r="M48" s="340"/>
      <c r="N48" s="340"/>
      <c r="O48" s="340"/>
      <c r="P48" s="340"/>
      <c r="Q48" s="340"/>
      <c r="R48" s="340"/>
      <c r="S48" s="340"/>
      <c r="T48" s="340"/>
      <c r="U48" s="340"/>
      <c r="V48" s="340"/>
      <c r="W48" s="340"/>
      <c r="X48" s="340"/>
      <c r="Y48" s="340"/>
      <c r="Z48" s="340"/>
      <c r="AA48" s="340"/>
      <c r="AB48" s="340"/>
      <c r="AC48" s="340"/>
      <c r="AD48" s="340"/>
      <c r="AE48" s="340"/>
      <c r="AF48" s="340"/>
      <c r="AG48" s="340"/>
      <c r="AH48" s="340"/>
      <c r="AI48" s="340"/>
      <c r="AJ48" s="340"/>
      <c r="AK48" s="340"/>
      <c r="AL48" s="340"/>
      <c r="AM48" s="340"/>
      <c r="AN48" s="340"/>
      <c r="AO48" s="340"/>
      <c r="AP48" s="340"/>
      <c r="AQ48" s="96"/>
      <c r="AR48" s="96"/>
      <c r="AS48" s="96"/>
      <c r="AT48" s="96"/>
      <c r="AU48" s="96"/>
    </row>
    <row r="49" spans="43:47" x14ac:dyDescent="0.2">
      <c r="AQ49" s="95"/>
      <c r="AR49" s="95"/>
      <c r="AS49" s="95"/>
      <c r="AT49" s="95"/>
      <c r="AU49" s="95"/>
    </row>
    <row r="50" spans="43:47" x14ac:dyDescent="0.2">
      <c r="AQ50" s="95"/>
      <c r="AR50" s="95"/>
      <c r="AS50" s="95"/>
      <c r="AT50" s="95"/>
      <c r="AU50" s="95"/>
    </row>
  </sheetData>
  <mergeCells count="61">
    <mergeCell ref="AE31:AF31"/>
    <mergeCell ref="AE33:AF33"/>
    <mergeCell ref="AE35:AF35"/>
    <mergeCell ref="AE37:AF37"/>
    <mergeCell ref="AE39:AF39"/>
    <mergeCell ref="AE25:AF25"/>
    <mergeCell ref="AH26:AI27"/>
    <mergeCell ref="AJ26:AK27"/>
    <mergeCell ref="AE27:AF27"/>
    <mergeCell ref="AH28:AI29"/>
    <mergeCell ref="AJ28:AK29"/>
    <mergeCell ref="AE29:AF29"/>
    <mergeCell ref="AH22:AI22"/>
    <mergeCell ref="AJ22:AK22"/>
    <mergeCell ref="AE23:AF23"/>
    <mergeCell ref="AH23:AI23"/>
    <mergeCell ref="AJ23:AK23"/>
    <mergeCell ref="AH24:AI24"/>
    <mergeCell ref="AJ24:AK24"/>
    <mergeCell ref="AH14:AK14"/>
    <mergeCell ref="AE15:AF15"/>
    <mergeCell ref="AE17:AF17"/>
    <mergeCell ref="AE19:AF19"/>
    <mergeCell ref="AH20:AK20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H2:I2"/>
    <mergeCell ref="H3:I3"/>
    <mergeCell ref="V3:W3"/>
    <mergeCell ref="X3:Y3"/>
    <mergeCell ref="Z3:AA3"/>
    <mergeCell ref="AB3:AC3"/>
  </mergeCells>
  <conditionalFormatting sqref="E18:F40">
    <cfRule type="expression" dxfId="3" priority="2" stopIfTrue="1">
      <formula>#REF!&lt;&gt;""</formula>
    </cfRule>
  </conditionalFormatting>
  <conditionalFormatting sqref="E18:F40">
    <cfRule type="expression" dxfId="2" priority="3" stopIfTrue="1">
      <formula>COUNTIF(Fer,#REF!)&gt;0</formula>
    </cfRule>
  </conditionalFormatting>
  <conditionalFormatting sqref="C10:D40">
    <cfRule type="expression" dxfId="1" priority="1" stopIfTrue="1">
      <formula>COUNTIF(Fériés,$D10)&gt;0</formula>
    </cfRule>
    <cfRule type="expression" dxfId="0" priority="4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Data!$D$2:$D$49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G10:G40</xm:sqref>
        </x14:dataValidation>
        <x14:dataValidation type="list" allowBlank="1" showInputMessage="1" showErrorMessage="1">
          <x14:formula1>
            <xm:f>Data!$E$2:$E$21</xm:f>
          </x14:formula1>
          <xm:sqref>J10:K40</xm:sqref>
        </x14:dataValidation>
        <x14:dataValidation type="list" allowBlank="1" showInputMessage="1" showErrorMessage="1">
          <x14:formula1>
            <xm:f>Data!$G$2:$G$9</xm:f>
          </x14:formula1>
          <xm:sqref>F10:F40</xm:sqref>
        </x14:dataValidation>
        <x14:dataValidation type="list" allowBlank="1" showInputMessage="1" showErrorMessage="1">
          <x14:formula1>
            <xm:f>Data!$H$2:$H$6</xm:f>
          </x14:formula1>
          <xm:sqref>E10:E40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 auto</vt:lpstr>
      <vt:lpstr>Stats 2015</vt:lpstr>
      <vt:lpstr>Data</vt:lpstr>
      <vt:lpstr>Janvier 2015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Utilisateur de Microsoft Office</cp:lastModifiedBy>
  <dcterms:created xsi:type="dcterms:W3CDTF">2015-10-25T17:19:21Z</dcterms:created>
  <dcterms:modified xsi:type="dcterms:W3CDTF">2015-11-06T12:48:55Z</dcterms:modified>
</cp:coreProperties>
</file>