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 codeName="{B7FE6334-C1A2-E50D-BD3D-5F4D41BBC2E3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40" l="1"/>
  <c r="P11" i="40"/>
  <c r="Q11" i="40"/>
  <c r="R11" i="40"/>
  <c r="S12" i="40"/>
  <c r="T12" i="40"/>
  <c r="U12" i="40"/>
  <c r="I12" i="40"/>
  <c r="P12" i="40"/>
  <c r="Q12" i="40"/>
  <c r="R12" i="40"/>
  <c r="S13" i="40"/>
  <c r="T13" i="40"/>
  <c r="U13" i="40"/>
  <c r="I13" i="40"/>
  <c r="P13" i="40"/>
  <c r="Q13" i="40"/>
  <c r="R13" i="40"/>
  <c r="S14" i="40"/>
  <c r="T14" i="40"/>
  <c r="U14" i="40"/>
  <c r="I14" i="40"/>
  <c r="P14" i="40"/>
  <c r="Q14" i="40"/>
  <c r="R14" i="40"/>
  <c r="S15" i="40"/>
  <c r="T15" i="40"/>
  <c r="U15" i="40"/>
  <c r="I15" i="40"/>
  <c r="P15" i="40"/>
  <c r="Q15" i="40"/>
  <c r="R15" i="40"/>
  <c r="S16" i="40"/>
  <c r="T16" i="40"/>
  <c r="U16" i="40"/>
  <c r="I16" i="40"/>
  <c r="P16" i="40"/>
  <c r="Q16" i="40"/>
  <c r="R16" i="40"/>
  <c r="S17" i="40"/>
  <c r="T17" i="40"/>
  <c r="U17" i="40"/>
  <c r="I17" i="40"/>
  <c r="P17" i="40"/>
  <c r="Q17" i="40"/>
  <c r="R17" i="40"/>
  <c r="S18" i="40"/>
  <c r="T18" i="40"/>
  <c r="U18" i="40"/>
  <c r="I18" i="40"/>
  <c r="P18" i="40"/>
  <c r="Q18" i="40"/>
  <c r="R18" i="40"/>
  <c r="S19" i="40"/>
  <c r="T19" i="40"/>
  <c r="U19" i="40"/>
  <c r="I19" i="40"/>
  <c r="P19" i="40"/>
  <c r="Q19" i="40"/>
  <c r="R19" i="40"/>
  <c r="S20" i="40"/>
  <c r="T20" i="40"/>
  <c r="U20" i="40"/>
  <c r="I20" i="40"/>
  <c r="P20" i="40"/>
  <c r="Q20" i="40"/>
  <c r="R20" i="40"/>
  <c r="S21" i="40"/>
  <c r="T21" i="40"/>
  <c r="U21" i="40"/>
  <c r="I21" i="40"/>
  <c r="P21" i="40"/>
  <c r="Q21" i="40"/>
  <c r="R21" i="40"/>
  <c r="S22" i="40"/>
  <c r="T22" i="40"/>
  <c r="U22" i="40"/>
  <c r="I22" i="40"/>
  <c r="P22" i="40"/>
  <c r="Q22" i="40"/>
  <c r="R22" i="40"/>
  <c r="S23" i="40"/>
  <c r="T23" i="40"/>
  <c r="U23" i="40"/>
  <c r="I23" i="40"/>
  <c r="P23" i="40"/>
  <c r="Q23" i="40"/>
  <c r="R23" i="40"/>
  <c r="S24" i="40"/>
  <c r="T24" i="40"/>
  <c r="U24" i="40"/>
  <c r="I24" i="40"/>
  <c r="P24" i="40"/>
  <c r="Q24" i="40"/>
  <c r="R24" i="40"/>
  <c r="S25" i="40"/>
  <c r="T25" i="40"/>
  <c r="U25" i="40"/>
  <c r="I25" i="40"/>
  <c r="P25" i="40"/>
  <c r="Q25" i="40"/>
  <c r="R25" i="40"/>
  <c r="S26" i="40"/>
  <c r="T26" i="40"/>
  <c r="U26" i="40"/>
  <c r="I26" i="40"/>
  <c r="P26" i="40"/>
  <c r="Q26" i="40"/>
  <c r="R26" i="40"/>
  <c r="S27" i="40"/>
  <c r="T27" i="40"/>
  <c r="U27" i="40"/>
  <c r="I27" i="40"/>
  <c r="P27" i="40"/>
  <c r="Q27" i="40"/>
  <c r="R27" i="40"/>
  <c r="S28" i="40"/>
  <c r="T28" i="40"/>
  <c r="U28" i="40"/>
  <c r="I28" i="40"/>
  <c r="P28" i="40"/>
  <c r="Q28" i="40"/>
  <c r="R28" i="40"/>
  <c r="S29" i="40"/>
  <c r="T29" i="40"/>
  <c r="U29" i="40"/>
  <c r="I29" i="40"/>
  <c r="P29" i="40"/>
  <c r="Q29" i="40"/>
  <c r="R29" i="40"/>
  <c r="S30" i="40"/>
  <c r="T30" i="40"/>
  <c r="U30" i="40"/>
  <c r="I30" i="40"/>
  <c r="P30" i="40"/>
  <c r="Q30" i="40"/>
  <c r="R30" i="40"/>
  <c r="S31" i="40"/>
  <c r="T31" i="40"/>
  <c r="U31" i="40"/>
  <c r="I31" i="40"/>
  <c r="P31" i="40"/>
  <c r="Q31" i="40"/>
  <c r="R31" i="40"/>
  <c r="S32" i="40"/>
  <c r="T32" i="40"/>
  <c r="U32" i="40"/>
  <c r="I32" i="40"/>
  <c r="P32" i="40"/>
  <c r="Q32" i="40"/>
  <c r="R32" i="40"/>
  <c r="S33" i="40"/>
  <c r="T33" i="40"/>
  <c r="U33" i="40"/>
  <c r="I33" i="40"/>
  <c r="P33" i="40"/>
  <c r="Q33" i="40"/>
  <c r="R33" i="40"/>
  <c r="S34" i="40"/>
  <c r="T34" i="40"/>
  <c r="U34" i="40"/>
  <c r="I34" i="40"/>
  <c r="P34" i="40"/>
  <c r="Q34" i="40"/>
  <c r="R34" i="40"/>
  <c r="S35" i="40"/>
  <c r="T35" i="40"/>
  <c r="U35" i="40"/>
  <c r="I35" i="40"/>
  <c r="P35" i="40"/>
  <c r="Q35" i="40"/>
  <c r="R35" i="40"/>
  <c r="S36" i="40"/>
  <c r="T36" i="40"/>
  <c r="U36" i="40"/>
  <c r="I36" i="40"/>
  <c r="P36" i="40"/>
  <c r="Q36" i="40"/>
  <c r="R36" i="40"/>
  <c r="S37" i="40"/>
  <c r="T37" i="40"/>
  <c r="U37" i="40"/>
  <c r="I37" i="40"/>
  <c r="P37" i="40"/>
  <c r="Q37" i="40"/>
  <c r="R37" i="40"/>
  <c r="S38" i="40"/>
  <c r="T38" i="40"/>
  <c r="U38" i="40"/>
  <c r="I38" i="40"/>
  <c r="P38" i="40"/>
  <c r="Q38" i="40"/>
  <c r="R38" i="40"/>
  <c r="S39" i="40"/>
  <c r="T39" i="40"/>
  <c r="U39" i="40"/>
  <c r="I39" i="40"/>
  <c r="P39" i="40"/>
  <c r="Q39" i="40"/>
  <c r="R39" i="40"/>
  <c r="S40" i="40"/>
  <c r="T40" i="40"/>
  <c r="U40" i="40"/>
  <c r="I10" i="40"/>
  <c r="P10" i="40"/>
  <c r="Q10" i="40"/>
  <c r="R10" i="40"/>
  <c r="S11" i="40"/>
  <c r="I40" i="40"/>
  <c r="P40" i="40"/>
  <c r="Q40" i="40"/>
  <c r="R40" i="40"/>
  <c r="D10" i="40"/>
  <c r="D11" i="40"/>
  <c r="Q9" i="40"/>
  <c r="R9" i="40"/>
  <c r="S9" i="40"/>
  <c r="T9" i="40"/>
  <c r="Q8" i="40"/>
  <c r="R8" i="40"/>
  <c r="S8" i="40"/>
  <c r="T8" i="40"/>
  <c r="T11" i="40"/>
  <c r="U8" i="40"/>
  <c r="U11" i="40"/>
  <c r="D12" i="40"/>
  <c r="D13" i="40"/>
  <c r="D14" i="40"/>
  <c r="D15" i="40"/>
  <c r="D16" i="40"/>
  <c r="D17" i="40"/>
  <c r="D18" i="40"/>
  <c r="D19" i="40"/>
  <c r="D20" i="40"/>
  <c r="D21" i="40"/>
  <c r="D22" i="40"/>
  <c r="D23" i="40"/>
  <c r="D24" i="40"/>
  <c r="D25" i="40"/>
  <c r="D26" i="40"/>
  <c r="D27" i="40"/>
  <c r="AB27" i="40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27" i="40"/>
  <c r="V27" i="40"/>
  <c r="D28" i="40"/>
  <c r="AB28" i="40"/>
  <c r="C28" i="40"/>
  <c r="V28" i="40"/>
  <c r="D29" i="40"/>
  <c r="AB29" i="40"/>
  <c r="C29" i="40"/>
  <c r="V29" i="40"/>
  <c r="D30" i="40"/>
  <c r="AB30" i="40"/>
  <c r="C30" i="40"/>
  <c r="V30" i="40"/>
  <c r="D31" i="40"/>
  <c r="D32" i="40"/>
  <c r="AB32" i="40"/>
  <c r="C32" i="40"/>
  <c r="V32" i="40"/>
  <c r="D33" i="40"/>
  <c r="AB33" i="40"/>
  <c r="C33" i="40"/>
  <c r="V33" i="40"/>
  <c r="D34" i="40"/>
  <c r="AB34" i="40"/>
  <c r="C34" i="40"/>
  <c r="V34" i="40"/>
  <c r="D35" i="40"/>
  <c r="AB35" i="40"/>
  <c r="C35" i="40"/>
  <c r="V35" i="40"/>
  <c r="AB17" i="40"/>
  <c r="C17" i="40"/>
  <c r="V17" i="40"/>
  <c r="AB10" i="40"/>
  <c r="C10" i="40"/>
  <c r="V10" i="40"/>
  <c r="AB11" i="40"/>
  <c r="C11" i="40"/>
  <c r="V11" i="40"/>
  <c r="AB13" i="40"/>
  <c r="C13" i="40"/>
  <c r="V13" i="40"/>
  <c r="AB14" i="40"/>
  <c r="C14" i="40"/>
  <c r="V14" i="40"/>
  <c r="C12" i="40"/>
  <c r="AB12" i="40"/>
  <c r="V12" i="40"/>
  <c r="C15" i="40"/>
  <c r="AB15" i="40"/>
  <c r="V15" i="40"/>
  <c r="C16" i="40"/>
  <c r="AB16" i="40"/>
  <c r="V16" i="40"/>
  <c r="C18" i="40"/>
  <c r="AB18" i="40"/>
  <c r="V18" i="40"/>
  <c r="C19" i="40"/>
  <c r="AB19" i="40"/>
  <c r="V19" i="40"/>
  <c r="C20" i="40"/>
  <c r="AB20" i="40"/>
  <c r="V20" i="40"/>
  <c r="C21" i="40"/>
  <c r="AB21" i="40"/>
  <c r="V21" i="40"/>
  <c r="C22" i="40"/>
  <c r="AB22" i="40"/>
  <c r="V22" i="40"/>
  <c r="C23" i="40"/>
  <c r="AB23" i="40"/>
  <c r="V23" i="40"/>
  <c r="C24" i="40"/>
  <c r="AB24" i="40"/>
  <c r="V24" i="40"/>
  <c r="C25" i="40"/>
  <c r="AB25" i="40"/>
  <c r="V25" i="40"/>
  <c r="C26" i="40"/>
  <c r="AB26" i="40"/>
  <c r="V26" i="40"/>
  <c r="C31" i="40"/>
  <c r="AB31" i="40"/>
  <c r="V31" i="40"/>
  <c r="D36" i="40"/>
  <c r="C36" i="40"/>
  <c r="AB36" i="40"/>
  <c r="V36" i="40"/>
  <c r="D37" i="40"/>
  <c r="C37" i="40"/>
  <c r="AB37" i="40"/>
  <c r="V37" i="40"/>
  <c r="D38" i="40"/>
  <c r="C38" i="40"/>
  <c r="AB38" i="40"/>
  <c r="V38" i="40"/>
  <c r="D39" i="40"/>
  <c r="C39" i="40"/>
  <c r="AB39" i="40"/>
  <c r="V39" i="40"/>
  <c r="D40" i="40"/>
  <c r="C40" i="40"/>
  <c r="AB40" i="40"/>
  <c r="V40" i="40"/>
  <c r="V7" i="40"/>
  <c r="AI5" i="40"/>
  <c r="AC27" i="40"/>
  <c r="W27" i="40"/>
  <c r="AC28" i="40"/>
  <c r="W28" i="40"/>
  <c r="AC29" i="40"/>
  <c r="W29" i="40"/>
  <c r="AC30" i="40"/>
  <c r="W30" i="40"/>
  <c r="AC32" i="40"/>
  <c r="W32" i="40"/>
  <c r="AC33" i="40"/>
  <c r="W33" i="40"/>
  <c r="AC34" i="40"/>
  <c r="W34" i="40"/>
  <c r="AC35" i="40"/>
  <c r="W35" i="40"/>
  <c r="AC17" i="40"/>
  <c r="W17" i="40"/>
  <c r="AC10" i="40"/>
  <c r="W10" i="40"/>
  <c r="AC11" i="40"/>
  <c r="W11" i="40"/>
  <c r="AC13" i="40"/>
  <c r="W13" i="40"/>
  <c r="AC14" i="40"/>
  <c r="W14" i="40"/>
  <c r="AC12" i="40"/>
  <c r="W12" i="40"/>
  <c r="AC15" i="40"/>
  <c r="W15" i="40"/>
  <c r="AC16" i="40"/>
  <c r="W16" i="40"/>
  <c r="AC18" i="40"/>
  <c r="W18" i="40"/>
  <c r="AC19" i="40"/>
  <c r="W19" i="40"/>
  <c r="AC20" i="40"/>
  <c r="W20" i="40"/>
  <c r="AC21" i="40"/>
  <c r="W21" i="40"/>
  <c r="AC22" i="40"/>
  <c r="W22" i="40"/>
  <c r="AC23" i="40"/>
  <c r="W23" i="40"/>
  <c r="AC24" i="40"/>
  <c r="W24" i="40"/>
  <c r="AC25" i="40"/>
  <c r="W25" i="40"/>
  <c r="AC26" i="40"/>
  <c r="W26" i="40"/>
  <c r="AC31" i="40"/>
  <c r="W31" i="40"/>
  <c r="AC36" i="40"/>
  <c r="W36" i="40"/>
  <c r="AC37" i="40"/>
  <c r="W37" i="40"/>
  <c r="AC38" i="40"/>
  <c r="W38" i="40"/>
  <c r="AC39" i="40"/>
  <c r="W39" i="40"/>
  <c r="AC40" i="40"/>
  <c r="W40" i="40"/>
  <c r="W7" i="40"/>
  <c r="AI6" i="40"/>
  <c r="X7" i="40"/>
  <c r="AI7" i="40"/>
  <c r="Y7" i="40"/>
  <c r="AI8" i="40"/>
  <c r="Z27" i="40"/>
  <c r="Z28" i="40"/>
  <c r="Z29" i="40"/>
  <c r="Z30" i="40"/>
  <c r="Z32" i="40"/>
  <c r="Z33" i="40"/>
  <c r="Z34" i="40"/>
  <c r="Z35" i="40"/>
  <c r="Z17" i="40"/>
  <c r="Z10" i="40"/>
  <c r="Z11" i="40"/>
  <c r="Z13" i="40"/>
  <c r="Z14" i="40"/>
  <c r="Z12" i="40"/>
  <c r="Z15" i="40"/>
  <c r="Z16" i="40"/>
  <c r="Z18" i="40"/>
  <c r="Z19" i="40"/>
  <c r="Z20" i="40"/>
  <c r="Z21" i="40"/>
  <c r="Z22" i="40"/>
  <c r="Z23" i="40"/>
  <c r="Z24" i="40"/>
  <c r="Z25" i="40"/>
  <c r="Z26" i="40"/>
  <c r="Z31" i="40"/>
  <c r="Z36" i="40"/>
  <c r="Z37" i="40"/>
  <c r="Z38" i="40"/>
  <c r="Z39" i="40"/>
  <c r="Z40" i="40"/>
  <c r="Z7" i="40"/>
  <c r="AA27" i="40"/>
  <c r="AA28" i="40"/>
  <c r="AA29" i="40"/>
  <c r="AA30" i="40"/>
  <c r="AA32" i="40"/>
  <c r="AA33" i="40"/>
  <c r="AA34" i="40"/>
  <c r="AA35" i="40"/>
  <c r="AA17" i="40"/>
  <c r="AA10" i="40"/>
  <c r="AA11" i="40"/>
  <c r="AA13" i="40"/>
  <c r="AA14" i="40"/>
  <c r="AA12" i="40"/>
  <c r="AA15" i="40"/>
  <c r="AA16" i="40"/>
  <c r="AA18" i="40"/>
  <c r="AA19" i="40"/>
  <c r="AA20" i="40"/>
  <c r="AA21" i="40"/>
  <c r="AA22" i="40"/>
  <c r="AA23" i="40"/>
  <c r="AA24" i="40"/>
  <c r="AA25" i="40"/>
  <c r="AA26" i="40"/>
  <c r="AA31" i="40"/>
  <c r="AA36" i="40"/>
  <c r="AA37" i="40"/>
  <c r="AA38" i="40"/>
  <c r="AA39" i="40"/>
  <c r="AA40" i="40"/>
  <c r="AA7" i="40"/>
  <c r="Z5" i="40"/>
  <c r="AI9" i="40"/>
  <c r="AI10" i="40"/>
  <c r="N13" i="40"/>
  <c r="N10" i="40"/>
  <c r="N11" i="40"/>
  <c r="N12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L21" i="54"/>
  <c r="AF36" i="40"/>
  <c r="J20" i="54"/>
  <c r="L20" i="54"/>
  <c r="AF10" i="40"/>
  <c r="J9" i="54"/>
  <c r="AF12" i="40"/>
  <c r="J10" i="54"/>
  <c r="L10" i="54"/>
  <c r="L9" i="54"/>
  <c r="L22" i="54"/>
  <c r="G42" i="54"/>
  <c r="G40" i="54"/>
  <c r="AF34" i="40"/>
  <c r="G38" i="54"/>
  <c r="AF32" i="40"/>
  <c r="G36" i="54"/>
  <c r="AF30" i="40"/>
  <c r="G34" i="54"/>
  <c r="G16" i="54"/>
  <c r="G14" i="54"/>
  <c r="AF6" i="40"/>
  <c r="G10" i="54"/>
  <c r="AF8" i="40"/>
  <c r="AF4" i="40"/>
  <c r="G8" i="54"/>
  <c r="AI17" i="40"/>
  <c r="AC41" i="40"/>
  <c r="AB41" i="40"/>
  <c r="X41" i="40"/>
  <c r="W41" i="40"/>
  <c r="V41" i="40"/>
  <c r="U41" i="40"/>
  <c r="T41" i="40"/>
  <c r="S41" i="40"/>
  <c r="R41" i="40"/>
  <c r="Q41" i="40"/>
  <c r="P41" i="40"/>
  <c r="M41" i="40"/>
  <c r="K41" i="40"/>
  <c r="J41" i="40"/>
  <c r="H41" i="40"/>
  <c r="G41" i="40"/>
  <c r="F41" i="40"/>
  <c r="E41" i="40"/>
  <c r="D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F14" i="40"/>
  <c r="AF16" i="40"/>
  <c r="G20" i="54"/>
  <c r="AF22" i="40"/>
  <c r="AF28" i="40"/>
  <c r="AF26" i="40"/>
  <c r="AF24" i="40"/>
  <c r="AK5" i="40"/>
  <c r="AK9" i="40"/>
  <c r="AK10" i="40"/>
  <c r="AK12" i="40"/>
  <c r="AF18" i="40"/>
  <c r="J11" i="54"/>
  <c r="L11" i="54"/>
  <c r="AF20" i="40"/>
  <c r="J12" i="54"/>
  <c r="L12" i="54"/>
  <c r="J13" i="54"/>
  <c r="L13" i="54"/>
  <c r="J14" i="54"/>
  <c r="L14" i="54"/>
  <c r="L16" i="54"/>
  <c r="G28" i="54"/>
  <c r="G30" i="54"/>
  <c r="G32" i="54"/>
  <c r="G26" i="54"/>
  <c r="G24" i="54"/>
  <c r="G22" i="54"/>
  <c r="G18" i="54"/>
  <c r="G12" i="54"/>
  <c r="J15" i="54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<sst xmlns="http://schemas.openxmlformats.org/spreadsheetml/2006/main" count="195" uniqueCount="132">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</sst>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  <numFmt numFmtId="177" formatCode="[h]:mm;;"/>
  </numFmts>
  <fonts count="8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  <font>
      <b/>
      <sz val="12"/>
      <color rgb="FF008000"/>
      <name val="Calibri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/>
      </bottom>
      <diagonal/>
    </border>
    <border>
      <left/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/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/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/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45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4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NumberFormat="1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3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8" fillId="15" borderId="3" xfId="0" applyFont="1" applyFill="1" applyBorder="1" applyAlignment="1">
      <alignment vertical="center"/>
    </xf>
    <xf numFmtId="0" fontId="45" fillId="15" borderId="0" xfId="0" applyFont="1" applyFill="1" applyBorder="1" applyAlignment="1">
      <alignment horizontal="center"/>
    </xf>
    <xf numFmtId="0" fontId="24" fillId="15" borderId="3" xfId="0" applyFont="1" applyFill="1" applyBorder="1" applyAlignment="1">
      <alignment vertical="center"/>
    </xf>
    <xf numFmtId="164" fontId="41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19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8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 vertical="center"/>
    </xf>
    <xf numFmtId="0" fontId="33" fillId="15" borderId="0" xfId="0" applyFont="1" applyFill="1"/>
    <xf numFmtId="0" fontId="25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29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0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7" fillId="15" borderId="0" xfId="0" applyFont="1" applyFill="1" applyBorder="1" applyAlignment="1">
      <alignment vertical="center"/>
    </xf>
    <xf numFmtId="167" fontId="40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7" fillId="16" borderId="0" xfId="0" applyFont="1" applyFill="1" applyBorder="1" applyAlignment="1">
      <alignment vertical="center"/>
    </xf>
    <xf numFmtId="0" fontId="9" fillId="15" borderId="0" xfId="0" applyFont="1" applyFill="1"/>
    <xf numFmtId="20" fontId="46" fillId="12" borderId="45" xfId="0" applyNumberFormat="1" applyFont="1" applyFill="1" applyBorder="1" applyAlignment="1">
      <alignment horizontal="center" vertical="center"/>
    </xf>
    <xf numFmtId="20" fontId="46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6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6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6" fillId="12" borderId="54" xfId="0" applyFont="1" applyFill="1" applyBorder="1" applyAlignment="1">
      <alignment horizontal="center" vertical="center"/>
    </xf>
    <xf numFmtId="0" fontId="46" fillId="12" borderId="44" xfId="0" applyFont="1" applyFill="1" applyBorder="1" applyAlignment="1">
      <alignment horizontal="center" vertical="center"/>
    </xf>
    <xf numFmtId="0" fontId="46" fillId="12" borderId="5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169" fontId="31" fillId="13" borderId="44" xfId="0" applyNumberFormat="1" applyFont="1" applyFill="1" applyBorder="1" applyAlignment="1">
      <alignment horizontal="center" vertical="center"/>
    </xf>
    <xf numFmtId="169" fontId="31" fillId="13" borderId="55" xfId="0" applyNumberFormat="1" applyFont="1" applyFill="1" applyBorder="1" applyAlignment="1">
      <alignment horizontal="center" vertical="center"/>
    </xf>
    <xf numFmtId="169" fontId="27" fillId="13" borderId="57" xfId="0" applyNumberFormat="1" applyFont="1" applyFill="1" applyBorder="1" applyAlignment="1">
      <alignment horizontal="center" vertical="center"/>
    </xf>
    <xf numFmtId="169" fontId="27" fillId="13" borderId="58" xfId="0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3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6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9" fillId="19" borderId="39" xfId="0" applyFont="1" applyFill="1" applyBorder="1" applyAlignment="1">
      <alignment horizontal="center" vertical="center"/>
    </xf>
    <xf numFmtId="0" fontId="38" fillId="19" borderId="40" xfId="0" applyFont="1" applyFill="1" applyBorder="1" applyAlignment="1">
      <alignment horizontal="center" vertical="center"/>
    </xf>
    <xf numFmtId="0" fontId="38" fillId="19" borderId="41" xfId="0" applyFont="1" applyFill="1" applyBorder="1" applyAlignment="1">
      <alignment horizontal="center" vertical="center"/>
    </xf>
    <xf numFmtId="2" fontId="37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6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2" fillId="12" borderId="55" xfId="0" applyFont="1" applyFill="1" applyBorder="1" applyAlignment="1">
      <alignment horizontal="center" vertical="center"/>
    </xf>
    <xf numFmtId="169" fontId="52" fillId="12" borderId="55" xfId="0" applyNumberFormat="1" applyFont="1" applyFill="1" applyBorder="1" applyAlignment="1">
      <alignment horizontal="center" vertical="center"/>
    </xf>
    <xf numFmtId="167" fontId="52" fillId="12" borderId="55" xfId="0" applyNumberFormat="1" applyFont="1" applyFill="1" applyBorder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52" fillId="14" borderId="55" xfId="0" applyNumberFormat="1" applyFont="1" applyFill="1" applyBorder="1" applyAlignment="1">
      <alignment horizontal="center" vertical="center"/>
    </xf>
    <xf numFmtId="169" fontId="52" fillId="14" borderId="55" xfId="0" applyNumberFormat="1" applyFont="1" applyFill="1" applyBorder="1" applyAlignment="1">
      <alignment horizontal="center" vertical="center"/>
    </xf>
    <xf numFmtId="0" fontId="52" fillId="12" borderId="55" xfId="0" applyNumberFormat="1" applyFont="1" applyFill="1" applyBorder="1" applyAlignment="1">
      <alignment horizontal="center" vertical="center"/>
    </xf>
    <xf numFmtId="171" fontId="52" fillId="14" borderId="55" xfId="0" applyNumberFormat="1" applyFont="1" applyFill="1" applyBorder="1" applyAlignment="1">
      <alignment horizontal="center" vertical="center"/>
    </xf>
    <xf numFmtId="171" fontId="52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7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6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39" fillId="14" borderId="39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41" xfId="0" applyFont="1" applyFill="1" applyBorder="1" applyAlignment="1">
      <alignment horizontal="center" vertical="center"/>
    </xf>
    <xf numFmtId="0" fontId="42" fillId="0" borderId="7" xfId="0" applyNumberFormat="1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73" xfId="0" applyNumberFormat="1" applyFont="1" applyFill="1" applyBorder="1" applyAlignment="1" applyProtection="1">
      <alignment horizontal="center" vertical="center"/>
      <protection locked="0"/>
    </xf>
    <xf numFmtId="169" fontId="1" fillId="0" borderId="73" xfId="0" applyNumberFormat="1" applyFont="1" applyBorder="1" applyAlignment="1" applyProtection="1">
      <alignment horizontal="center" vertical="center"/>
      <protection locked="0"/>
    </xf>
    <xf numFmtId="164" fontId="1" fillId="3" borderId="76" xfId="0" applyNumberFormat="1" applyFont="1" applyFill="1" applyBorder="1" applyAlignment="1" applyProtection="1">
      <alignment horizontal="center" vertical="center"/>
      <protection locked="0"/>
    </xf>
    <xf numFmtId="169" fontId="1" fillId="0" borderId="76" xfId="0" applyNumberFormat="1" applyFont="1" applyBorder="1" applyAlignment="1" applyProtection="1">
      <alignment horizontal="center" vertical="center"/>
      <protection locked="0"/>
    </xf>
    <xf numFmtId="171" fontId="64" fillId="6" borderId="74" xfId="0" applyNumberFormat="1" applyFont="1" applyFill="1" applyBorder="1" applyAlignment="1" applyProtection="1">
      <alignment horizontal="center" vertical="center"/>
      <protection locked="0"/>
    </xf>
    <xf numFmtId="169" fontId="64" fillId="6" borderId="65" xfId="0" applyNumberFormat="1" applyFont="1" applyFill="1" applyBorder="1" applyAlignment="1" applyProtection="1">
      <alignment horizontal="center" vertical="center"/>
      <protection locked="0"/>
    </xf>
    <xf numFmtId="171" fontId="64" fillId="6" borderId="77" xfId="0" applyNumberFormat="1" applyFont="1" applyFill="1" applyBorder="1" applyAlignment="1" applyProtection="1">
      <alignment horizontal="center" vertical="center"/>
      <protection locked="0"/>
    </xf>
    <xf numFmtId="169" fontId="64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80" xfId="0" applyFont="1" applyFill="1" applyBorder="1" applyAlignment="1" applyProtection="1">
      <alignment horizontal="center" vertical="center"/>
      <protection locked="0"/>
    </xf>
    <xf numFmtId="0" fontId="4" fillId="3" borderId="83" xfId="0" applyFont="1" applyFill="1" applyBorder="1" applyAlignment="1" applyProtection="1">
      <alignment horizontal="center" vertical="center"/>
      <protection locked="0"/>
    </xf>
    <xf numFmtId="0" fontId="39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2" fillId="24" borderId="0" xfId="0" applyFont="1" applyFill="1" applyBorder="1" applyAlignment="1">
      <alignment vertical="center"/>
    </xf>
    <xf numFmtId="0" fontId="72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39" fillId="16" borderId="0" xfId="0" applyFont="1" applyFill="1"/>
    <xf numFmtId="20" fontId="0" fillId="15" borderId="0" xfId="0" applyNumberFormat="1" applyFill="1"/>
    <xf numFmtId="0" fontId="18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69" fillId="15" borderId="0" xfId="0" applyFont="1" applyFill="1" applyBorder="1" applyAlignment="1">
      <alignment vertical="center"/>
    </xf>
    <xf numFmtId="0" fontId="70" fillId="15" borderId="0" xfId="0" applyFont="1" applyFill="1" applyBorder="1" applyAlignment="1" applyProtection="1">
      <alignment horizontal="center" vertical="center"/>
      <protection locked="0"/>
    </xf>
    <xf numFmtId="0" fontId="57" fillId="15" borderId="0" xfId="0" applyFont="1" applyFill="1" applyBorder="1" applyAlignment="1">
      <alignment vertical="center"/>
    </xf>
    <xf numFmtId="172" fontId="1" fillId="0" borderId="72" xfId="0" applyNumberFormat="1" applyFont="1" applyFill="1" applyBorder="1" applyAlignment="1">
      <alignment horizontal="center" vertical="center"/>
    </xf>
    <xf numFmtId="172" fontId="1" fillId="0" borderId="75" xfId="0" applyNumberFormat="1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68" fillId="29" borderId="121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8" fillId="29" borderId="122" xfId="0" applyFont="1" applyFill="1" applyBorder="1" applyAlignment="1">
      <alignment horizontal="center" vertical="center"/>
    </xf>
    <xf numFmtId="0" fontId="6" fillId="3" borderId="117" xfId="0" applyFont="1" applyFill="1" applyBorder="1" applyAlignment="1">
      <alignment horizontal="center" vertical="center"/>
    </xf>
    <xf numFmtId="0" fontId="68" fillId="29" borderId="123" xfId="0" applyFont="1" applyFill="1" applyBorder="1" applyAlignment="1">
      <alignment horizontal="center" vertical="center"/>
    </xf>
    <xf numFmtId="0" fontId="71" fillId="15" borderId="0" xfId="0" applyFont="1" applyFill="1" applyBorder="1" applyAlignment="1">
      <alignment vertical="center"/>
    </xf>
    <xf numFmtId="0" fontId="32" fillId="15" borderId="0" xfId="0" applyFont="1" applyFill="1" applyBorder="1" applyAlignment="1">
      <alignment vertical="center"/>
    </xf>
    <xf numFmtId="0" fontId="34" fillId="15" borderId="0" xfId="0" applyFont="1" applyFill="1" applyBorder="1" applyAlignment="1">
      <alignment vertical="center"/>
    </xf>
    <xf numFmtId="172" fontId="18" fillId="2" borderId="95" xfId="0" applyNumberFormat="1" applyFont="1" applyFill="1" applyBorder="1" applyAlignment="1">
      <alignment horizontal="center" vertical="center"/>
    </xf>
    <xf numFmtId="172" fontId="18" fillId="2" borderId="96" xfId="0" applyNumberFormat="1" applyFont="1" applyFill="1" applyBorder="1" applyAlignment="1">
      <alignment horizontal="center" vertical="center"/>
    </xf>
    <xf numFmtId="172" fontId="18" fillId="2" borderId="97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95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0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3" fillId="15" borderId="0" xfId="0" applyFont="1" applyFill="1" applyBorder="1" applyAlignment="1">
      <alignment vertical="center"/>
    </xf>
    <xf numFmtId="0" fontId="46" fillId="12" borderId="144" xfId="0" applyFont="1" applyFill="1" applyBorder="1" applyAlignment="1">
      <alignment horizontal="center" vertical="center"/>
    </xf>
    <xf numFmtId="0" fontId="12" fillId="12" borderId="146" xfId="0" applyFont="1" applyFill="1" applyBorder="1" applyAlignment="1">
      <alignment horizontal="center" vertical="center"/>
    </xf>
    <xf numFmtId="0" fontId="12" fillId="12" borderId="147" xfId="0" applyFont="1" applyFill="1" applyBorder="1" applyAlignment="1">
      <alignment horizontal="center" vertical="center"/>
    </xf>
    <xf numFmtId="0" fontId="49" fillId="12" borderId="59" xfId="0" applyFont="1" applyFill="1" applyBorder="1" applyAlignment="1">
      <alignment horizontal="center" vertical="center"/>
    </xf>
    <xf numFmtId="0" fontId="55" fillId="17" borderId="57" xfId="0" applyFont="1" applyFill="1" applyBorder="1" applyAlignment="1">
      <alignment horizontal="center" vertical="center"/>
    </xf>
    <xf numFmtId="0" fontId="50" fillId="12" borderId="148" xfId="0" applyFont="1" applyFill="1" applyBorder="1" applyAlignment="1">
      <alignment horizontal="center" vertical="center"/>
    </xf>
    <xf numFmtId="0" fontId="50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49" xfId="0" applyNumberFormat="1" applyFont="1" applyFill="1" applyBorder="1" applyAlignment="1">
      <alignment horizontal="center" vertical="center"/>
    </xf>
    <xf numFmtId="0" fontId="2" fillId="12" borderId="150" xfId="0" applyFont="1" applyFill="1" applyBorder="1" applyAlignment="1">
      <alignment horizontal="center" vertical="center"/>
    </xf>
    <xf numFmtId="0" fontId="42" fillId="12" borderId="56" xfId="0" applyNumberFormat="1" applyFont="1" applyFill="1" applyBorder="1" applyAlignment="1">
      <alignment horizontal="center" vertical="center"/>
    </xf>
    <xf numFmtId="172" fontId="1" fillId="0" borderId="151" xfId="0" applyNumberFormat="1" applyFont="1" applyFill="1" applyBorder="1" applyAlignment="1">
      <alignment horizontal="center" vertical="center"/>
    </xf>
    <xf numFmtId="164" fontId="1" fillId="3" borderId="152" xfId="0" applyNumberFormat="1" applyFont="1" applyFill="1" applyBorder="1" applyAlignment="1" applyProtection="1">
      <alignment horizontal="center" vertical="center"/>
      <protection locked="0"/>
    </xf>
    <xf numFmtId="169" fontId="1" fillId="0" borderId="152" xfId="0" applyNumberFormat="1" applyFont="1" applyBorder="1" applyAlignment="1" applyProtection="1">
      <alignment horizontal="center" vertical="center"/>
      <protection locked="0"/>
    </xf>
    <xf numFmtId="171" fontId="64" fillId="6" borderId="153" xfId="0" applyNumberFormat="1" applyFont="1" applyFill="1" applyBorder="1" applyAlignment="1" applyProtection="1">
      <alignment horizontal="center" vertical="center"/>
      <protection locked="0"/>
    </xf>
    <xf numFmtId="169" fontId="64" fillId="6" borderId="154" xfId="0" applyNumberFormat="1" applyFont="1" applyFill="1" applyBorder="1" applyAlignment="1" applyProtection="1">
      <alignment horizontal="center" vertical="center"/>
      <protection locked="0"/>
    </xf>
    <xf numFmtId="0" fontId="4" fillId="3" borderId="158" xfId="0" applyFont="1" applyFill="1" applyBorder="1" applyAlignment="1" applyProtection="1">
      <alignment horizontal="center" vertical="center"/>
      <protection locked="0"/>
    </xf>
    <xf numFmtId="0" fontId="52" fillId="12" borderId="57" xfId="0" applyNumberFormat="1" applyFont="1" applyFill="1" applyBorder="1" applyAlignment="1">
      <alignment horizontal="center" vertical="center"/>
    </xf>
    <xf numFmtId="170" fontId="52" fillId="12" borderId="57" xfId="0" applyNumberFormat="1" applyFont="1" applyFill="1" applyBorder="1" applyAlignment="1">
      <alignment horizontal="center" vertical="center"/>
    </xf>
    <xf numFmtId="174" fontId="52" fillId="12" borderId="57" xfId="0" applyNumberFormat="1" applyFont="1" applyFill="1" applyBorder="1" applyAlignment="1">
      <alignment horizontal="center" vertical="center"/>
    </xf>
    <xf numFmtId="0" fontId="52" fillId="12" borderId="58" xfId="0" applyNumberFormat="1" applyFont="1" applyFill="1" applyBorder="1" applyAlignment="1">
      <alignment horizontal="center" vertical="center"/>
    </xf>
    <xf numFmtId="170" fontId="52" fillId="12" borderId="56" xfId="0" applyNumberFormat="1" applyFont="1" applyFill="1" applyBorder="1" applyAlignment="1">
      <alignment horizontal="center" vertical="center"/>
    </xf>
    <xf numFmtId="170" fontId="52" fillId="12" borderId="58" xfId="0" applyNumberFormat="1" applyFont="1" applyFill="1" applyBorder="1" applyAlignment="1">
      <alignment horizontal="center" vertical="center"/>
    </xf>
    <xf numFmtId="168" fontId="52" fillId="12" borderId="56" xfId="0" applyNumberFormat="1" applyFont="1" applyFill="1" applyBorder="1" applyAlignment="1">
      <alignment horizontal="center" vertical="center"/>
    </xf>
    <xf numFmtId="0" fontId="5" fillId="12" borderId="161" xfId="0" applyFont="1" applyFill="1" applyBorder="1" applyAlignment="1">
      <alignment horizontal="center" vertical="center"/>
    </xf>
    <xf numFmtId="168" fontId="55" fillId="17" borderId="145" xfId="0" applyNumberFormat="1" applyFont="1" applyFill="1" applyBorder="1" applyAlignment="1">
      <alignment horizontal="center" vertical="center"/>
    </xf>
    <xf numFmtId="168" fontId="52" fillId="12" borderId="57" xfId="0" applyNumberFormat="1" applyFont="1" applyFill="1" applyBorder="1" applyAlignment="1">
      <alignment horizontal="center" vertical="center"/>
    </xf>
    <xf numFmtId="168" fontId="52" fillId="12" borderId="159" xfId="0" applyNumberFormat="1" applyFont="1" applyFill="1" applyBorder="1" applyAlignment="1">
      <alignment horizontal="center" vertical="center"/>
    </xf>
    <xf numFmtId="168" fontId="52" fillId="12" borderId="160" xfId="0" applyNumberFormat="1" applyFont="1" applyFill="1" applyBorder="1" applyAlignment="1">
      <alignment horizontal="center" vertical="center"/>
    </xf>
    <xf numFmtId="168" fontId="52" fillId="12" borderId="55" xfId="0" applyNumberFormat="1" applyFont="1" applyFill="1" applyBorder="1" applyAlignment="1">
      <alignment horizontal="center" vertical="center"/>
    </xf>
    <xf numFmtId="168" fontId="52" fillId="14" borderId="55" xfId="0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74" fontId="1" fillId="6" borderId="142" xfId="0" applyNumberFormat="1" applyFont="1" applyFill="1" applyBorder="1" applyAlignment="1">
      <alignment horizontal="center" vertical="center"/>
    </xf>
    <xf numFmtId="174" fontId="1" fillId="6" borderId="143" xfId="0" applyNumberFormat="1" applyFont="1" applyFill="1" applyBorder="1" applyAlignment="1">
      <alignment horizontal="center" vertical="center"/>
    </xf>
    <xf numFmtId="174" fontId="1" fillId="6" borderId="155" xfId="0" applyNumberFormat="1" applyFont="1" applyFill="1" applyBorder="1" applyAlignment="1">
      <alignment horizontal="center" vertical="center"/>
    </xf>
    <xf numFmtId="44" fontId="37" fillId="0" borderId="24" xfId="0" applyNumberFormat="1" applyFont="1" applyBorder="1" applyAlignment="1">
      <alignment horizontal="center" vertical="center"/>
    </xf>
    <xf numFmtId="44" fontId="43" fillId="3" borderId="31" xfId="0" applyNumberFormat="1" applyFont="1" applyFill="1" applyBorder="1" applyAlignment="1">
      <alignment horizontal="center" vertical="center"/>
    </xf>
    <xf numFmtId="44" fontId="37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6" fillId="14" borderId="163" xfId="0" applyFont="1" applyFill="1" applyBorder="1" applyAlignment="1">
      <alignment horizontal="center" vertical="center"/>
    </xf>
    <xf numFmtId="165" fontId="59" fillId="12" borderId="162" xfId="0" applyNumberFormat="1" applyFont="1" applyFill="1" applyBorder="1" applyAlignment="1" applyProtection="1">
      <alignment horizontal="center" vertical="center"/>
      <protection locked="0"/>
    </xf>
    <xf numFmtId="167" fontId="24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6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3" fillId="5" borderId="164" xfId="0" applyNumberFormat="1" applyFont="1" applyFill="1" applyBorder="1" applyAlignment="1">
      <alignment horizontal="center" vertical="center"/>
    </xf>
    <xf numFmtId="167" fontId="83" fillId="5" borderId="165" xfId="0" applyNumberFormat="1" applyFont="1" applyFill="1" applyBorder="1" applyAlignment="1">
      <alignment horizontal="center" vertical="center"/>
    </xf>
    <xf numFmtId="167" fontId="83" fillId="5" borderId="166" xfId="0" applyNumberFormat="1" applyFont="1" applyFill="1" applyBorder="1" applyAlignment="1">
      <alignment horizontal="center" vertical="center"/>
    </xf>
    <xf numFmtId="169" fontId="51" fillId="17" borderId="54" xfId="0" applyNumberFormat="1" applyFont="1" applyFill="1" applyBorder="1" applyAlignment="1">
      <alignment horizontal="center" vertical="center"/>
    </xf>
    <xf numFmtId="169" fontId="51" fillId="17" borderId="44" xfId="0" applyNumberFormat="1" applyFont="1" applyFill="1" applyBorder="1" applyAlignment="1">
      <alignment horizontal="center" vertical="center"/>
    </xf>
    <xf numFmtId="169" fontId="51" fillId="17" borderId="55" xfId="0" applyNumberFormat="1" applyFont="1" applyFill="1" applyBorder="1" applyAlignment="1">
      <alignment horizontal="center" vertical="center"/>
    </xf>
    <xf numFmtId="169" fontId="31" fillId="13" borderId="54" xfId="0" applyNumberFormat="1" applyFont="1" applyFill="1" applyBorder="1" applyAlignment="1">
      <alignment horizontal="center" vertical="center"/>
    </xf>
    <xf numFmtId="169" fontId="27" fillId="13" borderId="56" xfId="0" applyNumberFormat="1" applyFont="1" applyFill="1" applyBorder="1" applyAlignment="1">
      <alignment horizontal="center" vertical="center"/>
    </xf>
    <xf numFmtId="0" fontId="74" fillId="24" borderId="99" xfId="0" applyFont="1" applyFill="1" applyBorder="1" applyAlignment="1">
      <alignment horizontal="center" vertical="center"/>
    </xf>
    <xf numFmtId="0" fontId="74" fillId="24" borderId="100" xfId="0" applyFont="1" applyFill="1" applyBorder="1" applyAlignment="1">
      <alignment horizontal="center" vertical="center"/>
    </xf>
    <xf numFmtId="172" fontId="74" fillId="24" borderId="101" xfId="0" applyNumberFormat="1" applyFont="1" applyFill="1" applyBorder="1" applyAlignment="1">
      <alignment horizontal="center" vertical="center"/>
    </xf>
    <xf numFmtId="172" fontId="74" fillId="24" borderId="102" xfId="0" applyNumberFormat="1" applyFont="1" applyFill="1" applyBorder="1" applyAlignment="1">
      <alignment horizontal="center" vertical="center"/>
    </xf>
    <xf numFmtId="172" fontId="74" fillId="24" borderId="103" xfId="0" applyNumberFormat="1" applyFont="1" applyFill="1" applyBorder="1" applyAlignment="1">
      <alignment horizontal="center" vertical="center"/>
    </xf>
    <xf numFmtId="172" fontId="74" fillId="24" borderId="104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23" fillId="10" borderId="52" xfId="0" applyFont="1" applyFill="1" applyBorder="1" applyAlignment="1">
      <alignment horizontal="center" vertical="center"/>
    </xf>
    <xf numFmtId="0" fontId="41" fillId="10" borderId="51" xfId="0" applyFont="1" applyFill="1" applyBorder="1" applyAlignment="1">
      <alignment horizontal="center" vertical="center"/>
    </xf>
    <xf numFmtId="0" fontId="41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18" fillId="17" borderId="54" xfId="0" applyFont="1" applyFill="1" applyBorder="1" applyAlignment="1">
      <alignment horizontal="center" vertical="center"/>
    </xf>
    <xf numFmtId="0" fontId="18" fillId="17" borderId="55" xfId="0" applyFont="1" applyFill="1" applyBorder="1" applyAlignment="1">
      <alignment horizontal="center" vertical="center"/>
    </xf>
    <xf numFmtId="0" fontId="73" fillId="12" borderId="47" xfId="0" applyNumberFormat="1" applyFont="1" applyFill="1" applyBorder="1" applyAlignment="1">
      <alignment horizontal="center" vertical="center"/>
    </xf>
    <xf numFmtId="0" fontId="73" fillId="12" borderId="48" xfId="0" applyNumberFormat="1" applyFont="1" applyFill="1" applyBorder="1" applyAlignment="1">
      <alignment horizontal="center" vertical="center"/>
    </xf>
    <xf numFmtId="0" fontId="73" fillId="12" borderId="49" xfId="0" applyNumberFormat="1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52" xfId="0" applyFont="1" applyFill="1" applyBorder="1" applyAlignment="1">
      <alignment horizontal="center" vertical="center"/>
    </xf>
    <xf numFmtId="0" fontId="5" fillId="12" borderId="111" xfId="0" applyFont="1" applyFill="1" applyBorder="1" applyAlignment="1">
      <alignment horizontal="center" vertical="center"/>
    </xf>
    <xf numFmtId="0" fontId="5" fillId="12" borderId="138" xfId="0" applyFont="1" applyFill="1" applyBorder="1" applyAlignment="1">
      <alignment horizontal="center" vertical="center"/>
    </xf>
    <xf numFmtId="0" fontId="5" fillId="12" borderId="114" xfId="0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53" fillId="17" borderId="56" xfId="3" applyFont="1" applyFill="1" applyBorder="1" applyAlignment="1">
      <alignment horizontal="center" vertical="center"/>
    </xf>
    <xf numFmtId="0" fontId="53" fillId="17" borderId="57" xfId="3" applyFont="1" applyFill="1" applyBorder="1" applyAlignment="1">
      <alignment horizontal="center" vertical="center"/>
    </xf>
    <xf numFmtId="0" fontId="18" fillId="10" borderId="51" xfId="0" applyFont="1" applyFill="1" applyBorder="1" applyAlignment="1">
      <alignment horizontal="center" vertical="center"/>
    </xf>
    <xf numFmtId="0" fontId="18" fillId="10" borderId="52" xfId="0" applyFont="1" applyFill="1" applyBorder="1" applyAlignment="1">
      <alignment horizontal="center" vertical="center"/>
    </xf>
    <xf numFmtId="0" fontId="18" fillId="10" borderId="53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6" fillId="3" borderId="128" xfId="0" applyFont="1" applyFill="1" applyBorder="1" applyAlignment="1">
      <alignment horizontal="center" vertical="center"/>
    </xf>
    <xf numFmtId="0" fontId="6" fillId="3" borderId="129" xfId="0" applyFont="1" applyFill="1" applyBorder="1" applyAlignment="1">
      <alignment horizontal="center" vertical="center"/>
    </xf>
    <xf numFmtId="173" fontId="4" fillId="3" borderId="134" xfId="0" applyNumberFormat="1" applyFont="1" applyFill="1" applyBorder="1" applyAlignment="1">
      <alignment horizontal="center" vertical="center"/>
    </xf>
    <xf numFmtId="173" fontId="4" fillId="3" borderId="135" xfId="0" applyNumberFormat="1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27" xfId="0" applyFont="1" applyFill="1" applyBorder="1" applyAlignment="1">
      <alignment horizontal="center" vertical="center"/>
    </xf>
    <xf numFmtId="0" fontId="41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54" fillId="17" borderId="57" xfId="0" applyNumberFormat="1" applyFont="1" applyFill="1" applyBorder="1" applyAlignment="1">
      <alignment horizontal="center" vertical="center"/>
    </xf>
    <xf numFmtId="0" fontId="53" fillId="17" borderId="58" xfId="3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30" xfId="0" applyNumberFormat="1" applyFont="1" applyFill="1" applyBorder="1" applyAlignment="1">
      <alignment horizontal="center" vertical="center"/>
    </xf>
    <xf numFmtId="173" fontId="4" fillId="3" borderId="131" xfId="0" applyNumberFormat="1" applyFont="1" applyFill="1" applyBorder="1" applyAlignment="1">
      <alignment horizontal="center" vertical="center"/>
    </xf>
    <xf numFmtId="0" fontId="37" fillId="19" borderId="54" xfId="0" applyFont="1" applyFill="1" applyBorder="1" applyAlignment="1">
      <alignment horizontal="center" vertical="center"/>
    </xf>
    <xf numFmtId="0" fontId="37" fillId="19" borderId="55" xfId="0" applyFont="1" applyFill="1" applyBorder="1" applyAlignment="1">
      <alignment horizontal="center" vertical="center"/>
    </xf>
    <xf numFmtId="172" fontId="71" fillId="15" borderId="0" xfId="0" applyNumberFormat="1" applyFont="1" applyFill="1" applyBorder="1" applyAlignment="1">
      <alignment horizontal="left" vertical="center"/>
    </xf>
    <xf numFmtId="173" fontId="4" fillId="3" borderId="132" xfId="0" applyNumberFormat="1" applyFont="1" applyFill="1" applyBorder="1" applyAlignment="1">
      <alignment horizontal="center" vertical="center"/>
    </xf>
    <xf numFmtId="173" fontId="4" fillId="3" borderId="133" xfId="0" applyNumberFormat="1" applyFont="1" applyFill="1" applyBorder="1" applyAlignment="1">
      <alignment horizontal="center" vertical="center"/>
    </xf>
    <xf numFmtId="0" fontId="6" fillId="3" borderId="126" xfId="0" applyFont="1" applyFill="1" applyBorder="1" applyAlignment="1">
      <alignment horizontal="center" vertical="center"/>
    </xf>
    <xf numFmtId="0" fontId="6" fillId="3" borderId="127" xfId="0" applyFont="1" applyFill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/>
    </xf>
    <xf numFmtId="0" fontId="6" fillId="3" borderId="12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65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8" fillId="22" borderId="25" xfId="0" applyFont="1" applyFill="1" applyBorder="1" applyAlignment="1">
      <alignment horizontal="center" vertical="center"/>
    </xf>
    <xf numFmtId="0" fontId="38" fillId="22" borderId="26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/>
    </xf>
    <xf numFmtId="0" fontId="18" fillId="14" borderId="120" xfId="0" applyFont="1" applyFill="1" applyBorder="1" applyAlignment="1">
      <alignment horizontal="center"/>
    </xf>
    <xf numFmtId="0" fontId="18" fillId="12" borderId="136" xfId="0" applyFont="1" applyFill="1" applyBorder="1" applyAlignment="1" applyProtection="1">
      <alignment horizontal="center" vertical="center"/>
    </xf>
    <xf numFmtId="0" fontId="18" fillId="12" borderId="50" xfId="0" applyFont="1" applyFill="1" applyBorder="1" applyAlignment="1" applyProtection="1">
      <alignment horizontal="center" vertical="center"/>
    </xf>
    <xf numFmtId="0" fontId="56" fillId="7" borderId="0" xfId="0" applyFont="1" applyFill="1" applyAlignment="1">
      <alignment horizontal="center" vertical="center"/>
    </xf>
    <xf numFmtId="0" fontId="47" fillId="12" borderId="68" xfId="0" applyFont="1" applyFill="1" applyBorder="1" applyAlignment="1" applyProtection="1">
      <alignment horizontal="center" vertical="center"/>
      <protection locked="0"/>
    </xf>
    <xf numFmtId="0" fontId="47" fillId="12" borderId="71" xfId="0" applyFont="1" applyFill="1" applyBorder="1" applyAlignment="1" applyProtection="1">
      <alignment horizontal="center" vertical="center"/>
      <protection locked="0"/>
    </xf>
    <xf numFmtId="0" fontId="48" fillId="12" borderId="66" xfId="0" applyFont="1" applyFill="1" applyBorder="1" applyAlignment="1">
      <alignment horizontal="center" vertical="center"/>
    </xf>
    <xf numFmtId="0" fontId="48" fillId="12" borderId="67" xfId="0" applyFont="1" applyFill="1" applyBorder="1" applyAlignment="1">
      <alignment horizontal="center" vertical="center"/>
    </xf>
    <xf numFmtId="0" fontId="48" fillId="12" borderId="69" xfId="0" applyFont="1" applyFill="1" applyBorder="1" applyAlignment="1">
      <alignment horizontal="center" vertical="center"/>
    </xf>
    <xf numFmtId="0" fontId="48" fillId="12" borderId="70" xfId="0" applyFont="1" applyFill="1" applyBorder="1" applyAlignment="1">
      <alignment horizontal="center" vertical="center"/>
    </xf>
    <xf numFmtId="0" fontId="67" fillId="24" borderId="118" xfId="0" applyFont="1" applyFill="1" applyBorder="1" applyAlignment="1">
      <alignment horizontal="center" vertical="center"/>
    </xf>
    <xf numFmtId="0" fontId="67" fillId="24" borderId="119" xfId="0" applyFont="1" applyFill="1" applyBorder="1" applyAlignment="1">
      <alignment horizontal="center" vertical="center"/>
    </xf>
    <xf numFmtId="0" fontId="75" fillId="12" borderId="109" xfId="0" applyFont="1" applyFill="1" applyBorder="1" applyAlignment="1">
      <alignment horizontal="right" vertical="center"/>
    </xf>
    <xf numFmtId="0" fontId="75" fillId="12" borderId="110" xfId="0" applyFont="1" applyFill="1" applyBorder="1" applyAlignment="1">
      <alignment horizontal="right" vertical="center"/>
    </xf>
    <xf numFmtId="0" fontId="75" fillId="12" borderId="112" xfId="0" applyFont="1" applyFill="1" applyBorder="1" applyAlignment="1">
      <alignment horizontal="right" vertical="center"/>
    </xf>
    <xf numFmtId="0" fontId="75" fillId="12" borderId="113" xfId="0" applyFont="1" applyFill="1" applyBorder="1" applyAlignment="1">
      <alignment horizontal="right" vertical="center"/>
    </xf>
    <xf numFmtId="172" fontId="75" fillId="12" borderId="110" xfId="0" applyNumberFormat="1" applyFont="1" applyFill="1" applyBorder="1" applyAlignment="1">
      <alignment horizontal="center" vertical="center"/>
    </xf>
    <xf numFmtId="172" fontId="75" fillId="12" borderId="111" xfId="0" applyNumberFormat="1" applyFont="1" applyFill="1" applyBorder="1" applyAlignment="1">
      <alignment horizontal="center" vertical="center"/>
    </xf>
    <xf numFmtId="172" fontId="75" fillId="12" borderId="113" xfId="0" applyNumberFormat="1" applyFont="1" applyFill="1" applyBorder="1" applyAlignment="1">
      <alignment horizontal="center" vertical="center"/>
    </xf>
    <xf numFmtId="172" fontId="75" fillId="12" borderId="114" xfId="0" applyNumberFormat="1" applyFont="1" applyFill="1" applyBorder="1" applyAlignment="1">
      <alignment horizontal="center" vertical="center"/>
    </xf>
    <xf numFmtId="0" fontId="68" fillId="25" borderId="89" xfId="0" applyFont="1" applyFill="1" applyBorder="1" applyAlignment="1" applyProtection="1">
      <alignment horizontal="center" vertical="center"/>
      <protection locked="0"/>
    </xf>
    <xf numFmtId="0" fontId="68" fillId="25" borderId="90" xfId="0" applyFont="1" applyFill="1" applyBorder="1" applyAlignment="1" applyProtection="1">
      <alignment horizontal="center" vertical="center"/>
      <protection locked="0"/>
    </xf>
    <xf numFmtId="173" fontId="4" fillId="25" borderId="93" xfId="0" applyNumberFormat="1" applyFont="1" applyFill="1" applyBorder="1" applyAlignment="1" applyProtection="1">
      <alignment horizontal="center" vertical="center"/>
      <protection locked="0"/>
    </xf>
    <xf numFmtId="173" fontId="4" fillId="25" borderId="91" xfId="0" applyNumberFormat="1" applyFont="1" applyFill="1" applyBorder="1" applyAlignment="1" applyProtection="1">
      <alignment horizontal="center" vertical="center"/>
      <protection locked="0"/>
    </xf>
    <xf numFmtId="0" fontId="68" fillId="25" borderId="105" xfId="0" applyFont="1" applyFill="1" applyBorder="1" applyAlignment="1" applyProtection="1">
      <alignment horizontal="center" vertical="center"/>
      <protection locked="0"/>
    </xf>
    <xf numFmtId="0" fontId="68" fillId="25" borderId="106" xfId="0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0" fontId="68" fillId="25" borderId="87" xfId="0" applyFont="1" applyFill="1" applyBorder="1" applyAlignment="1" applyProtection="1">
      <alignment horizontal="center" vertical="center"/>
      <protection locked="0"/>
    </xf>
    <xf numFmtId="0" fontId="68" fillId="25" borderId="88" xfId="0" applyFont="1" applyFill="1" applyBorder="1" applyAlignment="1" applyProtection="1">
      <alignment horizontal="center" vertical="center"/>
      <protection locked="0"/>
    </xf>
    <xf numFmtId="173" fontId="4" fillId="25" borderId="92" xfId="0" applyNumberFormat="1" applyFont="1" applyFill="1" applyBorder="1" applyAlignment="1" applyProtection="1">
      <alignment horizontal="center" vertical="center"/>
      <protection locked="0"/>
    </xf>
    <xf numFmtId="173" fontId="4" fillId="25" borderId="86" xfId="0" applyNumberFormat="1" applyFont="1" applyFill="1" applyBorder="1" applyAlignment="1" applyProtection="1">
      <alignment horizontal="center" vertical="center"/>
      <protection locked="0"/>
    </xf>
    <xf numFmtId="0" fontId="46" fillId="12" borderId="109" xfId="0" applyFont="1" applyFill="1" applyBorder="1" applyAlignment="1">
      <alignment horizontal="center"/>
    </xf>
    <xf numFmtId="0" fontId="46" fillId="12" borderId="110" xfId="0" applyFont="1" applyFill="1" applyBorder="1" applyAlignment="1">
      <alignment horizontal="center"/>
    </xf>
    <xf numFmtId="0" fontId="46" fillId="12" borderId="111" xfId="0" applyFont="1" applyFill="1" applyBorder="1" applyAlignment="1">
      <alignment horizontal="center"/>
    </xf>
    <xf numFmtId="0" fontId="46" fillId="12" borderId="112" xfId="0" applyFont="1" applyFill="1" applyBorder="1" applyAlignment="1">
      <alignment horizontal="center"/>
    </xf>
    <xf numFmtId="0" fontId="46" fillId="12" borderId="113" xfId="0" applyFont="1" applyFill="1" applyBorder="1" applyAlignment="1">
      <alignment horizontal="center"/>
    </xf>
    <xf numFmtId="0" fontId="46" fillId="12" borderId="114" xfId="0" applyFont="1" applyFill="1" applyBorder="1" applyAlignment="1">
      <alignment horizontal="center"/>
    </xf>
    <xf numFmtId="0" fontId="46" fillId="30" borderId="66" xfId="0" applyFont="1" applyFill="1" applyBorder="1" applyAlignment="1">
      <alignment horizontal="center" vertical="top" wrapText="1"/>
    </xf>
    <xf numFmtId="0" fontId="46" fillId="30" borderId="67" xfId="0" applyFont="1" applyFill="1" applyBorder="1" applyAlignment="1">
      <alignment horizontal="center" vertical="top" wrapText="1"/>
    </xf>
    <xf numFmtId="0" fontId="46" fillId="30" borderId="68" xfId="0" applyFont="1" applyFill="1" applyBorder="1" applyAlignment="1">
      <alignment horizontal="center" vertical="top" wrapText="1"/>
    </xf>
    <xf numFmtId="0" fontId="46" fillId="30" borderId="84" xfId="0" applyFont="1" applyFill="1" applyBorder="1" applyAlignment="1">
      <alignment horizontal="center" vertical="top" wrapText="1"/>
    </xf>
    <xf numFmtId="0" fontId="46" fillId="30" borderId="0" xfId="0" applyFont="1" applyFill="1" applyBorder="1" applyAlignment="1">
      <alignment horizontal="center" vertical="top" wrapText="1"/>
    </xf>
    <xf numFmtId="0" fontId="46" fillId="30" borderId="85" xfId="0" applyFont="1" applyFill="1" applyBorder="1" applyAlignment="1">
      <alignment horizontal="center" vertical="top" wrapText="1"/>
    </xf>
    <xf numFmtId="0" fontId="46" fillId="30" borderId="69" xfId="0" applyFont="1" applyFill="1" applyBorder="1" applyAlignment="1">
      <alignment horizontal="center" vertical="top" wrapText="1"/>
    </xf>
    <xf numFmtId="0" fontId="46" fillId="30" borderId="70" xfId="0" applyFont="1" applyFill="1" applyBorder="1" applyAlignment="1">
      <alignment horizontal="center" vertical="top" wrapText="1"/>
    </xf>
    <xf numFmtId="0" fontId="46" fillId="30" borderId="71" xfId="0" applyFont="1" applyFill="1" applyBorder="1" applyAlignment="1">
      <alignment horizontal="center" vertical="top" wrapText="1"/>
    </xf>
    <xf numFmtId="0" fontId="18" fillId="28" borderId="98" xfId="0" applyFont="1" applyFill="1" applyBorder="1" applyAlignment="1">
      <alignment horizontal="center"/>
    </xf>
    <xf numFmtId="0" fontId="18" fillId="28" borderId="10" xfId="0" applyFont="1" applyFill="1" applyBorder="1" applyAlignment="1">
      <alignment horizontal="center"/>
    </xf>
    <xf numFmtId="49" fontId="18" fillId="28" borderId="94" xfId="0" applyNumberFormat="1" applyFont="1" applyFill="1" applyBorder="1" applyAlignment="1">
      <alignment horizontal="center"/>
    </xf>
    <xf numFmtId="49" fontId="18" fillId="28" borderId="13" xfId="0" applyNumberFormat="1" applyFont="1" applyFill="1" applyBorder="1" applyAlignment="1">
      <alignment horizontal="center"/>
    </xf>
    <xf numFmtId="0" fontId="18" fillId="27" borderId="14" xfId="0" applyFont="1" applyFill="1" applyBorder="1" applyAlignment="1">
      <alignment horizontal="center"/>
    </xf>
    <xf numFmtId="0" fontId="18" fillId="27" borderId="15" xfId="0" applyFont="1" applyFill="1" applyBorder="1" applyAlignment="1">
      <alignment horizontal="center"/>
    </xf>
    <xf numFmtId="0" fontId="76" fillId="12" borderId="109" xfId="0" applyFont="1" applyFill="1" applyBorder="1" applyAlignment="1">
      <alignment horizontal="center" vertical="center"/>
    </xf>
    <xf numFmtId="0" fontId="76" fillId="12" borderId="110" xfId="0" applyFont="1" applyFill="1" applyBorder="1" applyAlignment="1">
      <alignment horizontal="center" vertical="center"/>
    </xf>
    <xf numFmtId="0" fontId="76" fillId="12" borderId="111" xfId="0" applyFont="1" applyFill="1" applyBorder="1" applyAlignment="1">
      <alignment horizontal="center" vertical="center"/>
    </xf>
    <xf numFmtId="0" fontId="76" fillId="12" borderId="112" xfId="0" applyFont="1" applyFill="1" applyBorder="1" applyAlignment="1">
      <alignment horizontal="center" vertical="center"/>
    </xf>
    <xf numFmtId="0" fontId="76" fillId="12" borderId="113" xfId="0" applyFont="1" applyFill="1" applyBorder="1" applyAlignment="1">
      <alignment horizontal="center" vertical="center"/>
    </xf>
    <xf numFmtId="0" fontId="76" fillId="12" borderId="114" xfId="0" applyFont="1" applyFill="1" applyBorder="1" applyAlignment="1">
      <alignment horizontal="center" vertical="center"/>
    </xf>
    <xf numFmtId="0" fontId="18" fillId="12" borderId="137" xfId="0" applyFont="1" applyFill="1" applyBorder="1" applyAlignment="1">
      <alignment horizontal="center" vertical="center"/>
    </xf>
    <xf numFmtId="0" fontId="18" fillId="12" borderId="0" xfId="0" applyFont="1" applyFill="1" applyBorder="1" applyAlignment="1">
      <alignment horizontal="center" vertical="center"/>
    </xf>
    <xf numFmtId="0" fontId="18" fillId="12" borderId="138" xfId="0" applyFont="1" applyFill="1" applyBorder="1" applyAlignment="1">
      <alignment horizontal="center" vertical="center"/>
    </xf>
    <xf numFmtId="0" fontId="80" fillId="12" borderId="112" xfId="0" applyFont="1" applyFill="1" applyBorder="1" applyAlignment="1">
      <alignment horizontal="center" vertical="center"/>
    </xf>
    <xf numFmtId="0" fontId="80" fillId="12" borderId="113" xfId="0" applyFont="1" applyFill="1" applyBorder="1" applyAlignment="1">
      <alignment horizontal="center" vertical="center"/>
    </xf>
    <xf numFmtId="0" fontId="80" fillId="12" borderId="114" xfId="0" applyFont="1" applyFill="1" applyBorder="1" applyAlignment="1">
      <alignment horizontal="center" vertical="center"/>
    </xf>
    <xf numFmtId="0" fontId="78" fillId="24" borderId="139" xfId="0" applyFont="1" applyFill="1" applyBorder="1" applyAlignment="1">
      <alignment horizontal="center"/>
    </xf>
    <xf numFmtId="0" fontId="78" fillId="24" borderId="140" xfId="0" applyFont="1" applyFill="1" applyBorder="1" applyAlignment="1">
      <alignment horizontal="center"/>
    </xf>
    <xf numFmtId="0" fontId="78" fillId="24" borderId="141" xfId="0" applyFont="1" applyFill="1" applyBorder="1" applyAlignment="1">
      <alignment horizontal="center"/>
    </xf>
    <xf numFmtId="0" fontId="81" fillId="12" borderId="109" xfId="0" applyFont="1" applyFill="1" applyBorder="1" applyAlignment="1">
      <alignment horizontal="center" vertical="center"/>
    </xf>
    <xf numFmtId="0" fontId="81" fillId="12" borderId="110" xfId="0" applyFont="1" applyFill="1" applyBorder="1" applyAlignment="1">
      <alignment horizontal="center" vertical="center"/>
    </xf>
    <xf numFmtId="0" fontId="81" fillId="12" borderId="111" xfId="0" applyFont="1" applyFill="1" applyBorder="1" applyAlignment="1">
      <alignment horizontal="center" vertical="center"/>
    </xf>
    <xf numFmtId="0" fontId="81" fillId="12" borderId="137" xfId="0" applyFont="1" applyFill="1" applyBorder="1" applyAlignment="1">
      <alignment horizontal="center" vertical="center"/>
    </xf>
    <xf numFmtId="0" fontId="81" fillId="12" borderId="0" xfId="0" applyFont="1" applyFill="1" applyBorder="1" applyAlignment="1">
      <alignment horizontal="center" vertical="center"/>
    </xf>
    <xf numFmtId="0" fontId="81" fillId="12" borderId="138" xfId="0" applyFont="1" applyFill="1" applyBorder="1" applyAlignment="1">
      <alignment horizontal="center" vertical="center"/>
    </xf>
    <xf numFmtId="0" fontId="81" fillId="12" borderId="112" xfId="0" applyFont="1" applyFill="1" applyBorder="1" applyAlignment="1">
      <alignment horizontal="center" vertical="center"/>
    </xf>
    <xf numFmtId="0" fontId="81" fillId="12" borderId="113" xfId="0" applyFont="1" applyFill="1" applyBorder="1" applyAlignment="1">
      <alignment horizontal="center" vertical="center"/>
    </xf>
    <xf numFmtId="0" fontId="81" fillId="12" borderId="114" xfId="0" applyFont="1" applyFill="1" applyBorder="1" applyAlignment="1">
      <alignment horizontal="center" vertical="center"/>
    </xf>
    <xf numFmtId="168" fontId="58" fillId="18" borderId="47" xfId="0" applyNumberFormat="1" applyFont="1" applyFill="1" applyBorder="1" applyAlignment="1">
      <alignment horizontal="center" vertical="center"/>
    </xf>
    <xf numFmtId="168" fontId="58" fillId="18" borderId="167" xfId="0" applyNumberFormat="1" applyFont="1" applyFill="1" applyBorder="1" applyAlignment="1">
      <alignment horizontal="center" vertical="center"/>
    </xf>
    <xf numFmtId="168" fontId="58" fillId="18" borderId="168" xfId="0" applyNumberFormat="1" applyFont="1" applyFill="1" applyBorder="1" applyAlignment="1">
      <alignment horizontal="center" vertical="center"/>
    </xf>
    <xf numFmtId="168" fontId="58" fillId="18" borderId="169" xfId="0" applyNumberFormat="1" applyFont="1" applyFill="1" applyBorder="1" applyAlignment="1">
      <alignment horizontal="center" vertical="center"/>
    </xf>
    <xf numFmtId="168" fontId="58" fillId="18" borderId="170" xfId="0" applyNumberFormat="1" applyFont="1" applyFill="1" applyBorder="1" applyAlignment="1">
      <alignment horizontal="center" vertical="center"/>
    </xf>
    <xf numFmtId="168" fontId="58" fillId="18" borderId="171" xfId="0" applyNumberFormat="1" applyFont="1" applyFill="1" applyBorder="1" applyAlignment="1">
      <alignment horizontal="center" vertical="center"/>
    </xf>
    <xf numFmtId="168" fontId="58" fillId="18" borderId="48" xfId="0" applyNumberFormat="1" applyFont="1" applyFill="1" applyBorder="1" applyAlignment="1">
      <alignment horizontal="center" vertical="center"/>
    </xf>
    <xf numFmtId="168" fontId="58" fillId="18" borderId="172" xfId="0" applyNumberFormat="1" applyFont="1" applyFill="1" applyBorder="1" applyAlignment="1">
      <alignment horizontal="center" vertical="center"/>
    </xf>
    <xf numFmtId="168" fontId="58" fillId="18" borderId="173" xfId="0" applyNumberFormat="1" applyFont="1" applyFill="1" applyBorder="1" applyAlignment="1">
      <alignment horizontal="center" vertical="center"/>
    </xf>
    <xf numFmtId="168" fontId="58" fillId="18" borderId="174" xfId="0" applyNumberFormat="1" applyFont="1" applyFill="1" applyBorder="1" applyAlignment="1">
      <alignment horizontal="center" vertical="center"/>
    </xf>
    <xf numFmtId="168" fontId="58" fillId="18" borderId="175" xfId="0" applyNumberFormat="1" applyFont="1" applyFill="1" applyBorder="1" applyAlignment="1">
      <alignment horizontal="center" vertical="center"/>
    </xf>
    <xf numFmtId="168" fontId="58" fillId="18" borderId="176" xfId="0" applyNumberFormat="1" applyFont="1" applyFill="1" applyBorder="1" applyAlignment="1">
      <alignment horizontal="center" vertical="center"/>
    </xf>
    <xf numFmtId="168" fontId="58" fillId="18" borderId="177" xfId="0" applyNumberFormat="1" applyFont="1" applyFill="1" applyBorder="1" applyAlignment="1">
      <alignment horizontal="center" vertical="center"/>
    </xf>
    <xf numFmtId="168" fontId="58" fillId="18" borderId="178" xfId="0" applyNumberFormat="1" applyFont="1" applyFill="1" applyBorder="1" applyAlignment="1">
      <alignment horizontal="center" vertical="center"/>
    </xf>
    <xf numFmtId="168" fontId="58" fillId="18" borderId="179" xfId="0" applyNumberFormat="1" applyFont="1" applyFill="1" applyBorder="1" applyAlignment="1">
      <alignment horizontal="center" vertical="center"/>
    </xf>
    <xf numFmtId="168" fontId="58" fillId="18" borderId="180" xfId="0" applyNumberFormat="1" applyFont="1" applyFill="1" applyBorder="1" applyAlignment="1">
      <alignment horizontal="center" vertical="center"/>
    </xf>
    <xf numFmtId="168" fontId="58" fillId="18" borderId="181" xfId="0" applyNumberFormat="1" applyFont="1" applyFill="1" applyBorder="1" applyAlignment="1">
      <alignment horizontal="center" vertical="center"/>
    </xf>
    <xf numFmtId="168" fontId="58" fillId="18" borderId="182" xfId="0" applyNumberFormat="1" applyFont="1" applyFill="1" applyBorder="1" applyAlignment="1">
      <alignment horizontal="center" vertical="center"/>
    </xf>
    <xf numFmtId="168" fontId="84" fillId="11" borderId="79" xfId="4" applyNumberFormat="1" applyFont="1" applyFill="1" applyBorder="1" applyAlignment="1">
      <alignment horizontal="center" vertical="center"/>
    </xf>
    <xf numFmtId="168" fontId="84" fillId="11" borderId="82" xfId="4" applyNumberFormat="1" applyFont="1" applyFill="1" applyBorder="1" applyAlignment="1">
      <alignment horizontal="center" vertical="center"/>
    </xf>
    <xf numFmtId="168" fontId="84" fillId="11" borderId="157" xfId="4" applyNumberFormat="1" applyFont="1" applyFill="1" applyBorder="1" applyAlignment="1">
      <alignment horizontal="center" vertical="center"/>
    </xf>
    <xf numFmtId="168" fontId="1" fillId="6" borderId="81" xfId="0" applyNumberFormat="1" applyFont="1" applyFill="1" applyBorder="1" applyAlignment="1">
      <alignment horizontal="center" vertical="center"/>
    </xf>
    <xf numFmtId="168" fontId="1" fillId="6" borderId="78" xfId="0" applyNumberFormat="1" applyFont="1" applyFill="1" applyBorder="1" applyAlignment="1">
      <alignment horizontal="center" vertical="center"/>
    </xf>
    <xf numFmtId="168" fontId="1" fillId="6" borderId="156" xfId="0" applyNumberFormat="1" applyFont="1" applyFill="1" applyBorder="1" applyAlignment="1">
      <alignment horizontal="center" vertical="center"/>
    </xf>
    <xf numFmtId="177" fontId="52" fillId="12" borderId="57" xfId="0" applyNumberFormat="1" applyFont="1" applyFill="1" applyBorder="1" applyAlignment="1">
      <alignment horizontal="center" vertical="center"/>
    </xf>
    <xf numFmtId="170" fontId="15" fillId="13" borderId="169" xfId="4" applyNumberFormat="1" applyFont="1" applyFill="1" applyBorder="1" applyAlignment="1">
      <alignment horizontal="center" vertical="center"/>
    </xf>
    <xf numFmtId="170" fontId="15" fillId="13" borderId="171" xfId="4" applyNumberFormat="1" applyFont="1" applyFill="1" applyBorder="1" applyAlignment="1">
      <alignment horizontal="center" vertical="center"/>
    </xf>
    <xf numFmtId="170" fontId="3" fillId="13" borderId="169" xfId="0" applyNumberFormat="1" applyFont="1" applyFill="1" applyBorder="1" applyAlignment="1">
      <alignment horizontal="center" vertical="center"/>
    </xf>
    <xf numFmtId="170" fontId="3" fillId="13" borderId="171" xfId="0" applyNumberFormat="1" applyFont="1" applyFill="1" applyBorder="1" applyAlignment="1">
      <alignment horizontal="center" vertical="center"/>
    </xf>
    <xf numFmtId="170" fontId="79" fillId="17" borderId="169" xfId="4" applyNumberFormat="1" applyFont="1" applyFill="1" applyBorder="1" applyAlignment="1">
      <alignment horizontal="center" vertical="center"/>
    </xf>
    <xf numFmtId="170" fontId="79" fillId="17" borderId="171" xfId="4" applyNumberFormat="1" applyFont="1" applyFill="1" applyBorder="1" applyAlignment="1">
      <alignment horizontal="center" vertical="center"/>
    </xf>
    <xf numFmtId="170" fontId="53" fillId="12" borderId="183" xfId="4" applyNumberFormat="1" applyFont="1" applyFill="1" applyBorder="1" applyAlignment="1">
      <alignment horizontal="center" vertical="center"/>
    </xf>
    <xf numFmtId="170" fontId="53" fillId="12" borderId="184" xfId="4" applyNumberFormat="1" applyFont="1" applyFill="1" applyBorder="1" applyAlignment="1">
      <alignment horizontal="center" vertical="center"/>
    </xf>
    <xf numFmtId="170" fontId="15" fillId="13" borderId="174" xfId="4" applyNumberFormat="1" applyFont="1" applyFill="1" applyBorder="1" applyAlignment="1">
      <alignment horizontal="center" vertical="center"/>
    </xf>
    <xf numFmtId="170" fontId="15" fillId="13" borderId="176" xfId="4" applyNumberFormat="1" applyFont="1" applyFill="1" applyBorder="1" applyAlignment="1">
      <alignment horizontal="center" vertical="center"/>
    </xf>
    <xf numFmtId="170" fontId="3" fillId="13" borderId="174" xfId="0" applyNumberFormat="1" applyFont="1" applyFill="1" applyBorder="1" applyAlignment="1">
      <alignment horizontal="center" vertical="center"/>
    </xf>
    <xf numFmtId="170" fontId="3" fillId="13" borderId="176" xfId="0" applyNumberFormat="1" applyFont="1" applyFill="1" applyBorder="1" applyAlignment="1">
      <alignment horizontal="center" vertical="center"/>
    </xf>
    <xf numFmtId="170" fontId="79" fillId="17" borderId="174" xfId="4" applyNumberFormat="1" applyFont="1" applyFill="1" applyBorder="1" applyAlignment="1">
      <alignment horizontal="center" vertical="center"/>
    </xf>
    <xf numFmtId="170" fontId="79" fillId="17" borderId="176" xfId="4" applyNumberFormat="1" applyFont="1" applyFill="1" applyBorder="1" applyAlignment="1">
      <alignment horizontal="center" vertical="center"/>
    </xf>
    <xf numFmtId="170" fontId="53" fillId="12" borderId="185" xfId="4" applyNumberFormat="1" applyFont="1" applyFill="1" applyBorder="1" applyAlignment="1">
      <alignment horizontal="center" vertical="center"/>
    </xf>
    <xf numFmtId="170" fontId="53" fillId="12" borderId="186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15" fillId="13" borderId="182" xfId="4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3" fillId="13" borderId="182" xfId="0" applyNumberFormat="1" applyFont="1" applyFill="1" applyBorder="1" applyAlignment="1">
      <alignment horizontal="center" vertical="center"/>
    </xf>
    <xf numFmtId="170" fontId="79" fillId="17" borderId="180" xfId="4" applyNumberFormat="1" applyFont="1" applyFill="1" applyBorder="1" applyAlignment="1">
      <alignment horizontal="center" vertical="center"/>
    </xf>
    <xf numFmtId="170" fontId="79" fillId="17" borderId="182" xfId="4" applyNumberFormat="1" applyFont="1" applyFill="1" applyBorder="1" applyAlignment="1">
      <alignment horizontal="center" vertical="center"/>
    </xf>
    <xf numFmtId="170" fontId="53" fillId="12" borderId="187" xfId="4" applyNumberFormat="1" applyFont="1" applyFill="1" applyBorder="1" applyAlignment="1">
      <alignment horizontal="center" vertical="center"/>
    </xf>
    <xf numFmtId="170" fontId="53" fillId="12" borderId="188" xfId="4" applyNumberFormat="1" applyFont="1" applyFill="1" applyBorder="1" applyAlignment="1">
      <alignment horizontal="center" vertic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tabSelected="1" topLeftCell="J2" zoomScale="95" zoomScaleNormal="95" zoomScalePageLayoutView="95" workbookViewId="0">
      <selection activeCell="J22" sqref="J22"/>
    </sheetView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8" width="7.6640625" customWidth="1"/>
    <col min="9" max="9" width="7.6640625" style="230" customWidth="1"/>
    <col min="10" max="14" width="7.83203125" customWidth="1"/>
    <col min="15" max="15" width="56" customWidth="1"/>
    <col min="16" max="21" width="12.33203125" customWidth="1"/>
    <col min="22" max="29" width="9.1640625" customWidth="1"/>
    <col min="30" max="30" width="2.83203125" customWidth="1"/>
    <col min="31" max="31" width="23.83203125" customWidth="1"/>
    <col min="32" max="32" width="10.33203125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16"/>
      <c r="B1" s="24"/>
      <c r="C1" s="25"/>
      <c r="D1" s="24"/>
      <c r="E1" s="24"/>
      <c r="F1" s="24"/>
      <c r="G1" s="25"/>
      <c r="H1" s="26"/>
      <c r="I1" s="224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38"/>
      <c r="C2" s="137"/>
      <c r="D2" s="28"/>
      <c r="E2" s="28"/>
      <c r="F2" s="28"/>
      <c r="G2" s="28"/>
      <c r="H2" s="28"/>
      <c r="I2" s="225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38"/>
      <c r="C3" s="137"/>
      <c r="D3" s="239" t="s">
        <v>117</v>
      </c>
      <c r="E3" s="241">
        <f ca="1">TODAY()</f>
        <v>42349</v>
      </c>
      <c r="F3" s="242"/>
      <c r="G3" s="28"/>
      <c r="H3" s="28"/>
      <c r="I3" s="225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245" t="s">
        <v>53</v>
      </c>
      <c r="W3" s="246"/>
      <c r="X3" s="247" t="s">
        <v>51</v>
      </c>
      <c r="Y3" s="247"/>
      <c r="Z3" s="246" t="s">
        <v>52</v>
      </c>
      <c r="AA3" s="246"/>
      <c r="AB3" s="246" t="s">
        <v>54</v>
      </c>
      <c r="AC3" s="257"/>
      <c r="AD3" s="35"/>
      <c r="AE3" s="248" t="s">
        <v>86</v>
      </c>
      <c r="AF3" s="249"/>
      <c r="AG3" s="28"/>
      <c r="AH3" s="250" t="s">
        <v>17</v>
      </c>
      <c r="AI3" s="251"/>
      <c r="AJ3" s="251"/>
      <c r="AK3" s="252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240"/>
      <c r="E4" s="243"/>
      <c r="F4" s="244"/>
      <c r="G4" s="28"/>
      <c r="H4" s="39"/>
      <c r="I4" s="226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253" t="s">
        <v>128</v>
      </c>
      <c r="W4" s="254"/>
      <c r="X4" s="255" t="s">
        <v>127</v>
      </c>
      <c r="Y4" s="255"/>
      <c r="Z4" s="254" t="s">
        <v>129</v>
      </c>
      <c r="AA4" s="254"/>
      <c r="AB4" s="254" t="s">
        <v>39</v>
      </c>
      <c r="AC4" s="256"/>
      <c r="AD4" s="28"/>
      <c r="AE4" s="92" t="s">
        <v>2</v>
      </c>
      <c r="AF4" s="93">
        <f>COUNTA(G10:G40)</f>
        <v>4</v>
      </c>
      <c r="AG4" s="28"/>
      <c r="AH4" s="82"/>
      <c r="AI4" s="83" t="s">
        <v>34</v>
      </c>
      <c r="AJ4" s="84" t="s">
        <v>23</v>
      </c>
      <c r="AK4" s="85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226"/>
      <c r="J5" s="28"/>
      <c r="K5" s="36"/>
      <c r="L5" s="36"/>
      <c r="M5" s="36"/>
      <c r="N5" s="36"/>
      <c r="O5" s="27"/>
      <c r="P5" s="273" t="s">
        <v>31</v>
      </c>
      <c r="Q5" s="274"/>
      <c r="R5" s="274"/>
      <c r="S5" s="274" t="s">
        <v>32</v>
      </c>
      <c r="T5" s="274"/>
      <c r="U5" s="275"/>
      <c r="V5" s="276">
        <f>SUM(V7+W7)</f>
        <v>1.1250000000000009</v>
      </c>
      <c r="W5" s="277"/>
      <c r="X5" s="278">
        <f>SUM(X7+Y7)</f>
        <v>1.6666666666666661</v>
      </c>
      <c r="Y5" s="278"/>
      <c r="Z5" s="277">
        <f>SUM(Z7+AA7)</f>
        <v>-0.66666666666666607</v>
      </c>
      <c r="AA5" s="277"/>
      <c r="AB5" s="277">
        <f>SUMPRODUCT((MONTH($D$10:$D$42=$E$8)*($C$10:$C$42&lt;&gt;"")*($AB$10:$AC$42)))</f>
        <v>2.1250000000000009</v>
      </c>
      <c r="AC5" s="279"/>
      <c r="AD5" s="28"/>
      <c r="AE5" s="258"/>
      <c r="AF5" s="259"/>
      <c r="AG5" s="28"/>
      <c r="AH5" s="21" t="s">
        <v>1</v>
      </c>
      <c r="AI5" s="22">
        <f>SUM(V7)*24</f>
        <v>34.000000000000007</v>
      </c>
      <c r="AJ5" s="112">
        <v>9.93</v>
      </c>
      <c r="AK5" s="220">
        <f t="shared" ref="AK5:AK10" si="0">AI5*AJ5</f>
        <v>337.62000000000006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81"/>
      <c r="D6" s="260" t="str">
        <f>UPPER(TEXT($D10,"mmmm aaaa"))</f>
        <v>JANVIER 2016</v>
      </c>
      <c r="E6" s="180" t="s">
        <v>37</v>
      </c>
      <c r="F6" s="55">
        <v>0.875</v>
      </c>
      <c r="G6" s="28"/>
      <c r="H6" s="28"/>
      <c r="I6" s="225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2" t="s">
        <v>67</v>
      </c>
      <c r="AF6" s="210">
        <f>SUM(N10:N40)</f>
        <v>4</v>
      </c>
      <c r="AG6" s="28"/>
      <c r="AH6" s="10" t="s">
        <v>18</v>
      </c>
      <c r="AI6" s="2">
        <f>SUM(W7)*24</f>
        <v>-6.9999999999999858</v>
      </c>
      <c r="AJ6" s="113">
        <v>0.99299999999999999</v>
      </c>
      <c r="AK6" s="221">
        <f t="shared" si="0"/>
        <v>-6.9509999999999854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81"/>
      <c r="D7" s="261"/>
      <c r="E7" s="181" t="s">
        <v>38</v>
      </c>
      <c r="F7" s="56">
        <v>0.25</v>
      </c>
      <c r="G7" s="28"/>
      <c r="H7" s="42"/>
      <c r="I7" s="227"/>
      <c r="J7" s="28"/>
      <c r="K7" s="28"/>
      <c r="L7" s="263" t="s">
        <v>55</v>
      </c>
      <c r="M7" s="264"/>
      <c r="N7" s="58" t="s">
        <v>34</v>
      </c>
      <c r="O7" s="265" t="s">
        <v>0</v>
      </c>
      <c r="P7" s="234" t="str">
        <f>TEXT(P8,"[hh]:mm")&amp;"h"&amp;" à "&amp;TEXT(P9,"[hh]:mm")&amp;"h"</f>
        <v>00:00h à 06:00h</v>
      </c>
      <c r="Q7" s="235" t="str">
        <f>TEXT(Q8,"[hh]:mm")&amp;"h"&amp;" à "&amp;TEXT(Q9,"[hh]:mm")&amp;"h"</f>
        <v>06:00h à 21:00h</v>
      </c>
      <c r="R7" s="235" t="str">
        <f>TEXT(R8,"[hh]:mm")&amp;"h"&amp;" à "&amp;TEXT(R9,"[hh]:mm")&amp;"h"</f>
        <v>21:00h à 24:00h</v>
      </c>
      <c r="S7" s="235" t="str">
        <f>TEXT(S8,"[hh]:mm")&amp;"h"&amp;" à "&amp;TEXT(S9,"hh:mm")&amp;"h"</f>
        <v>24:00h à 06:00h</v>
      </c>
      <c r="T7" s="235" t="str">
        <f>TEXT(T8,"hh:mm")&amp;"h"&amp;" à "&amp;TEXT(T9,"hh:mm")&amp;"h"</f>
        <v>06:00h à 21:00h</v>
      </c>
      <c r="U7" s="236" t="str">
        <f>TEXT(U8,"hh:mm")&amp;"h"&amp;" à "&amp;TEXT(U9-24/24,"[hh]:mm")&amp;"h"</f>
        <v>21:00h à 24:00h</v>
      </c>
      <c r="V7" s="75">
        <f>SUMIF(D10:D40,"&gt;0",V10:V40)</f>
        <v>1.416666666666667</v>
      </c>
      <c r="W7" s="74">
        <f>SUMIF(D10:D40,"&gt;0",W10:W40)</f>
        <v>-0.29166666666666607</v>
      </c>
      <c r="X7" s="212">
        <f>SUMPRODUCT((WEEKDAY($D$10:$D$40)=1)*($AB$10:$AB$40))</f>
        <v>1.083333333333333</v>
      </c>
      <c r="Y7" s="212">
        <f>SUMPRODUCT((WEEKDAY($D$10:$D$40)=1)*($AC$10:$AC$40))</f>
        <v>0.58333333333333304</v>
      </c>
      <c r="Z7" s="74">
        <f>SUMPRODUCT(($C$10:$C$40="férié")*($Z$10:$Z$40))</f>
        <v>0</v>
      </c>
      <c r="AA7" s="74">
        <f>SUMPRODUCT(($C$10:$C$40="férié")*($AA$10:$AA$40))</f>
        <v>-0.66666666666666607</v>
      </c>
      <c r="AB7" s="74">
        <f>SUMIF(D10:D40,"&gt;0",AB10:AB40)</f>
        <v>2.5</v>
      </c>
      <c r="AC7" s="76">
        <f>SUMIF(D10:D40,"&gt;0",AC10:AC40)</f>
        <v>-0.37499999999999911</v>
      </c>
      <c r="AD7" s="28"/>
      <c r="AE7" s="268"/>
      <c r="AF7" s="269"/>
      <c r="AG7" s="28"/>
      <c r="AH7" s="10" t="s">
        <v>20</v>
      </c>
      <c r="AI7" s="2">
        <f>X7*24</f>
        <v>25.999999999999993</v>
      </c>
      <c r="AJ7" s="113">
        <v>0.99299999999999999</v>
      </c>
      <c r="AK7" s="221">
        <f t="shared" si="0"/>
        <v>25.817999999999994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262"/>
      <c r="E8" s="182" t="s">
        <v>10</v>
      </c>
      <c r="F8" s="223"/>
      <c r="G8" s="222" t="s">
        <v>34</v>
      </c>
      <c r="H8" s="58" t="s">
        <v>34</v>
      </c>
      <c r="I8" s="228" t="s">
        <v>34</v>
      </c>
      <c r="J8" s="58" t="s">
        <v>34</v>
      </c>
      <c r="K8" s="61" t="s">
        <v>34</v>
      </c>
      <c r="L8" s="64" t="s">
        <v>47</v>
      </c>
      <c r="M8" s="179" t="s">
        <v>48</v>
      </c>
      <c r="N8" s="184" t="s">
        <v>11</v>
      </c>
      <c r="O8" s="266"/>
      <c r="P8" s="237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253" t="s">
        <v>44</v>
      </c>
      <c r="W8" s="254"/>
      <c r="X8" s="270" t="s">
        <v>4</v>
      </c>
      <c r="Y8" s="270"/>
      <c r="Z8" s="254" t="s">
        <v>3</v>
      </c>
      <c r="AA8" s="254"/>
      <c r="AB8" s="254" t="s">
        <v>2</v>
      </c>
      <c r="AC8" s="256"/>
      <c r="AD8" s="43"/>
      <c r="AE8" s="92" t="s">
        <v>61</v>
      </c>
      <c r="AF8" s="93">
        <f>SUMPRODUCT((($C$10:$C$40="férié")*(WEEKDAY($D$10:$D$40)&lt;&gt;1)+($C$10:$C$40="se"))*($N$10:$N$40&gt;0))</f>
        <v>4</v>
      </c>
      <c r="AG8" s="28"/>
      <c r="AH8" s="10" t="s">
        <v>19</v>
      </c>
      <c r="AI8" s="2">
        <f>Y7*24</f>
        <v>13.999999999999993</v>
      </c>
      <c r="AJ8" s="113">
        <v>1.88</v>
      </c>
      <c r="AK8" s="221">
        <f t="shared" si="0"/>
        <v>26.319999999999986</v>
      </c>
      <c r="AL8" s="28"/>
      <c r="AM8" s="28"/>
      <c r="AN8" s="28"/>
      <c r="AO8" s="28"/>
      <c r="AP8" s="28"/>
    </row>
    <row r="9" spans="1:42" ht="16" customHeight="1" thickBot="1">
      <c r="A9" s="28"/>
      <c r="B9" s="186" t="s">
        <v>5</v>
      </c>
      <c r="C9" s="187" t="s">
        <v>25</v>
      </c>
      <c r="D9" s="60" t="s">
        <v>12</v>
      </c>
      <c r="E9" s="60" t="s">
        <v>7</v>
      </c>
      <c r="F9" s="205" t="s">
        <v>13</v>
      </c>
      <c r="G9" s="59" t="s">
        <v>35</v>
      </c>
      <c r="H9" s="59" t="s">
        <v>36</v>
      </c>
      <c r="I9" s="229" t="s">
        <v>87</v>
      </c>
      <c r="J9" s="59" t="s">
        <v>45</v>
      </c>
      <c r="K9" s="62" t="s">
        <v>46</v>
      </c>
      <c r="L9" s="183">
        <f>SUM(L10:L40)</f>
        <v>4</v>
      </c>
      <c r="M9" s="206">
        <f>SUM(M10:M40)</f>
        <v>1</v>
      </c>
      <c r="N9" s="185" t="s">
        <v>108</v>
      </c>
      <c r="O9" s="267"/>
      <c r="P9" s="238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271">
        <f>SUMPRODUCT((($C$10:$C$40="férié")*(WEEKDAY($D$10:$D$40)&lt;&gt;1)+($C$10:$C$40="se"))*($N$10:$N$40&gt;0))</f>
        <v>4</v>
      </c>
      <c r="W9" s="272"/>
      <c r="X9" s="292">
        <f>SUMPRODUCT((WEEKDAY($D$10:$D$40)=1)*($N$10:$N$40&gt;0))</f>
        <v>0</v>
      </c>
      <c r="Y9" s="292"/>
      <c r="Z9" s="272">
        <f>SUMPRODUCT(($C$10:$C$40="férié")*($N$10:$N$40&gt;0))</f>
        <v>1</v>
      </c>
      <c r="AA9" s="272"/>
      <c r="AB9" s="272">
        <f>COUNTA(G10:G40)</f>
        <v>4</v>
      </c>
      <c r="AC9" s="293"/>
      <c r="AD9" s="43"/>
      <c r="AE9" s="268"/>
      <c r="AF9" s="269"/>
      <c r="AG9" s="28"/>
      <c r="AH9" s="10" t="s">
        <v>21</v>
      </c>
      <c r="AI9" s="2">
        <f>Z5*24</f>
        <v>-15.999999999999986</v>
      </c>
      <c r="AJ9" s="113">
        <v>9.93</v>
      </c>
      <c r="AK9" s="221">
        <f t="shared" si="0"/>
        <v>-158.87999999999985</v>
      </c>
      <c r="AL9" s="28"/>
      <c r="AM9" s="28"/>
      <c r="AN9" s="28"/>
      <c r="AO9" s="28"/>
      <c r="AP9" s="28"/>
    </row>
    <row r="10" spans="1:42" ht="15">
      <c r="A10" s="28"/>
      <c r="B10" s="188">
        <v>1</v>
      </c>
      <c r="C10" s="57" t="str">
        <f t="shared" ref="C10:C40" si="1">IF(D10=0,0,IF(COUNTIF(Fériés,D10)&gt;0,"Férié",IF(WEEKDAY(D10,2)&lt;=6,"Se","Dim")))</f>
        <v>Férié</v>
      </c>
      <c r="D10" s="156">
        <f>DATE(An,1,1)</f>
        <v>42370</v>
      </c>
      <c r="E10" s="117" t="s">
        <v>27</v>
      </c>
      <c r="F10" s="117" t="s">
        <v>56</v>
      </c>
      <c r="G10" s="118">
        <v>0.95833333333333304</v>
      </c>
      <c r="H10" s="118">
        <v>0.95833333333333304</v>
      </c>
      <c r="I10" s="231">
        <f>IF(OR(G10="",H10=""),"",MOD(H10-G10,1)+(G10=H10))</f>
        <v>1</v>
      </c>
      <c r="J10" s="121"/>
      <c r="K10" s="122"/>
      <c r="L10" s="213">
        <f>IF(N10*24&gt;=6,1,"")</f>
        <v>1</v>
      </c>
      <c r="M10" s="418">
        <f t="shared" ref="M10:M40" si="2">IF(E10="Maitre chien",I10+J10+K10,"")</f>
        <v>1</v>
      </c>
      <c r="N10" s="414">
        <f t="shared" ref="N10:N40" si="3">SUM(I10,J10,K10)</f>
        <v>1</v>
      </c>
      <c r="O10" s="125"/>
      <c r="P10" s="396">
        <f>IF(OR($D10="",I10="",P$9=""),"",IF(AND($I10=1,$G10&lt;&gt;$H10),1/4,IF($G10&gt;=$H10,MAX(MIN(P$9,$H10+24/24)-MAX(P$8,$G10)),MAX(MIN(P$9,$H10)-MAX(P$8,$G10)))))</f>
        <v>-0.70833333333333304</v>
      </c>
      <c r="Q10" s="397">
        <f>IF(OR($D10="",P10="",Q$9=""),"",IF(AND($I10=1,$G10&lt;&gt;$H10),(1/24)*15,IF($G10&gt;=$H10,MAX(,MIN(Q$9,$H10+24/24)-MAX(Q$8,$G10)),MAX(,MIN(Q$9,$H10)-MAX(Q$8,$G10)))))</f>
        <v>0</v>
      </c>
      <c r="R10" s="398">
        <f>IF(OR($D10="",Q10="",R$9=""),"",IF(AND($I10=1,$G10&lt;&gt;$H10),(1/8),IF($G10&gt;=$H10,MAX(,MIN(R$9,$H10+24/24)-MAX(R$8,$G10)),MAX(,MIN(R$9,$H10)-MAX(R$8,$G10)))))</f>
        <v>4.1666666666666963E-2</v>
      </c>
      <c r="S10" s="399"/>
      <c r="T10" s="400"/>
      <c r="U10" s="401"/>
      <c r="V10" s="421">
        <f>SUMPRODUCT(($C$10="se")*($AB$10))</f>
        <v>0</v>
      </c>
      <c r="W10" s="422">
        <f>SUMPRODUCT(($C$10="se")*($AC$10))</f>
        <v>0</v>
      </c>
      <c r="X10" s="423">
        <f t="shared" ref="X10:X40" si="4">(WEEKDAY($D10)=1)*($AB10)</f>
        <v>0</v>
      </c>
      <c r="Y10" s="424">
        <f t="shared" ref="Y10:Y40" si="5">(WEEKDAY($D10)=1)*($AC10)</f>
        <v>0</v>
      </c>
      <c r="Z10" s="425">
        <f>SUMPRODUCT(($C$10="férié")*($AB$10))</f>
        <v>0</v>
      </c>
      <c r="AA10" s="426">
        <f>SUMPRODUCT(($C$10="férié")*($AC$10))</f>
        <v>-0.66666666666666607</v>
      </c>
      <c r="AB10" s="427">
        <f>SUM(J10,Q10,T10)</f>
        <v>0</v>
      </c>
      <c r="AC10" s="428">
        <f>SUM(K10,P10,R10,S10,U10)</f>
        <v>-0.66666666666666607</v>
      </c>
      <c r="AD10" s="43"/>
      <c r="AE10" s="92" t="s">
        <v>71</v>
      </c>
      <c r="AF10" s="210">
        <f>SUMIF(D10:D40,"&gt;0",AB10:AB40)</f>
        <v>2.5</v>
      </c>
      <c r="AG10" s="28"/>
      <c r="AH10" s="12" t="s">
        <v>22</v>
      </c>
      <c r="AI10" s="2">
        <f>SUM(AI5:AI9)</f>
        <v>51.000000000000014</v>
      </c>
      <c r="AJ10" s="113">
        <v>0.13100000000000001</v>
      </c>
      <c r="AK10" s="221">
        <f t="shared" si="0"/>
        <v>6.6810000000000018</v>
      </c>
      <c r="AL10" s="28"/>
      <c r="AM10" s="28"/>
      <c r="AN10" s="28"/>
      <c r="AO10" s="28"/>
      <c r="AP10" s="28"/>
    </row>
    <row r="11" spans="1:42" ht="16" thickBot="1">
      <c r="A11" s="28"/>
      <c r="B11" s="188">
        <v>2</v>
      </c>
      <c r="C11" s="57" t="str">
        <f t="shared" si="1"/>
        <v>Se</v>
      </c>
      <c r="D11" s="157">
        <f>IF(D10=0,0,IF(MONTH(D10+1)=MONTH($D$10),D10+1,0))</f>
        <v>42371</v>
      </c>
      <c r="E11" s="119"/>
      <c r="F11" s="119"/>
      <c r="G11" s="120"/>
      <c r="H11" s="120"/>
      <c r="I11" s="232" t="str">
        <f t="shared" ref="I11:I40" si="6">IF(OR(G11="",H11=""),"",MOD(H11-G11,1)+(G11=H11))</f>
        <v/>
      </c>
      <c r="J11" s="123"/>
      <c r="K11" s="124"/>
      <c r="L11" s="214" t="str">
        <f t="shared" ref="L11:L40" si="7">IF(N11*24&gt;=6,1,"")</f>
        <v/>
      </c>
      <c r="M11" s="417" t="str">
        <f t="shared" si="2"/>
        <v/>
      </c>
      <c r="N11" s="415">
        <f t="shared" si="3"/>
        <v>0</v>
      </c>
      <c r="O11" s="126"/>
      <c r="P11" s="402" t="str">
        <f t="shared" ref="P11:P40" si="8">IF(OR($D11="",I11="",P$9=""),"",IF(AND($I11=1,$G11&lt;&gt;$H11),1/4,IF($G11&gt;=$H11,MAX(MIN(P$9,$H11+24/24)-MAX(P$8,$G11)),MAX(MIN(P$9,$H11)-MAX(P$8,$G11)))))</f>
        <v/>
      </c>
      <c r="Q11" s="403" t="str">
        <f t="shared" ref="Q11:Q40" si="9">IF(OR($D11="",P11="",Q$9=""),"",IF(AND($I11=1,$G11&lt;&gt;$H11),(1/24)*15,IF($G11&gt;=$H11,MAX(,MIN(Q$9,$H11+24/24)-MAX(Q$8,$G11)),MAX(,MIN(Q$9,$H11)-MAX(Q$8,$G11)))))</f>
        <v/>
      </c>
      <c r="R11" s="404" t="str">
        <f t="shared" ref="R11:R40" si="10">IF(OR($D11="",Q11="",R$9=""),"",IF(AND($I11=1,$G11&lt;&gt;$H11),(1/8),IF($G11&gt;=$H11,MAX(,MIN(R$9,$H11+24/24)-MAX(R$8,$G11)),MAX(,MIN(R$9,$H11)-MAX(R$8,$G11)))))</f>
        <v/>
      </c>
      <c r="S11" s="405">
        <f>IF(OR(R10="",S$9=""),"",IF($G10&gt;0,IF($G10&gt;=$H10,MAX(,MIN(S$9,$H10+24/24)-MAX(S$8,$G10)),MAX(MIN(S$9,$H10)-MAX(S$8,$G10))),0))</f>
        <v>0.25</v>
      </c>
      <c r="T11" s="406">
        <f>IF(OR(S11="",T$9=""),"",IF($G10&gt;0,IF($G10&gt;=$H10,MAX(,MIN(T$9,$H10+24/24)-MAX(T$8,$G10)),MAX(,MIN(T$9,$H10)-MAX(T$8,$G10))),0))</f>
        <v>0.625</v>
      </c>
      <c r="U11" s="407">
        <f>IF(OR(T11="",U$9=""),"",IF($G10&gt;0,IF($G10&gt;=$H10,MAX(,MIN(U$9,$H10+24/24)-MAX(U$8,$G10)),MAX(,MIN(U$9,$H10)-MAX(U$8,$G10))),0))</f>
        <v>8.3333333333333037E-2</v>
      </c>
      <c r="V11" s="429">
        <f>SUMPRODUCT(($C$11="se")*($AB$11))</f>
        <v>0.625</v>
      </c>
      <c r="W11" s="430">
        <f>SUMPRODUCT(($C$11="se")*($AC$11))</f>
        <v>0.33333333333333304</v>
      </c>
      <c r="X11" s="431">
        <f t="shared" si="4"/>
        <v>0</v>
      </c>
      <c r="Y11" s="432">
        <f t="shared" si="5"/>
        <v>0</v>
      </c>
      <c r="Z11" s="433">
        <f>SUMPRODUCT(($C$11="férié")*($AB$11))</f>
        <v>0</v>
      </c>
      <c r="AA11" s="434">
        <f>SUMPRODUCT(($C$11="férié")*($AC$11))</f>
        <v>0</v>
      </c>
      <c r="AB11" s="435">
        <f>SUM(J11,Q11,T11)</f>
        <v>0.625</v>
      </c>
      <c r="AC11" s="436">
        <f>SUM(K11,P11,R11,S11,U11)</f>
        <v>0.33333333333333304</v>
      </c>
      <c r="AD11" s="43"/>
      <c r="AE11" s="294"/>
      <c r="AF11" s="295"/>
      <c r="AG11" s="28"/>
      <c r="AH11" s="13" t="s">
        <v>24</v>
      </c>
      <c r="AI11" s="14">
        <f>SUM(AI6+AI8)</f>
        <v>7.0000000000000071</v>
      </c>
      <c r="AJ11" s="114"/>
      <c r="AK11" s="219"/>
      <c r="AL11" s="28"/>
      <c r="AM11" s="28"/>
      <c r="AN11" s="28"/>
      <c r="AO11" s="28"/>
      <c r="AP11" s="28"/>
    </row>
    <row r="12" spans="1:42" ht="16" thickBot="1">
      <c r="A12" s="28"/>
      <c r="B12" s="188">
        <v>3</v>
      </c>
      <c r="C12" s="57" t="str">
        <f t="shared" si="1"/>
        <v>Dim</v>
      </c>
      <c r="D12" s="157">
        <f t="shared" ref="D12:D40" si="11">IF(D11=0,0,IF(MONTH(D11+1)=MONTH($D$10),D11+1,0))</f>
        <v>42372</v>
      </c>
      <c r="E12" s="119"/>
      <c r="F12" s="119"/>
      <c r="G12" s="120"/>
      <c r="H12" s="120"/>
      <c r="I12" s="232" t="str">
        <f t="shared" si="6"/>
        <v/>
      </c>
      <c r="J12" s="123"/>
      <c r="K12" s="124"/>
      <c r="L12" s="214" t="str">
        <f t="shared" si="7"/>
        <v/>
      </c>
      <c r="M12" s="417" t="str">
        <f t="shared" si="2"/>
        <v/>
      </c>
      <c r="N12" s="415">
        <f t="shared" si="3"/>
        <v>0</v>
      </c>
      <c r="O12" s="126"/>
      <c r="P12" s="402" t="str">
        <f t="shared" si="8"/>
        <v/>
      </c>
      <c r="Q12" s="403" t="str">
        <f t="shared" si="9"/>
        <v/>
      </c>
      <c r="R12" s="404" t="str">
        <f t="shared" si="10"/>
        <v/>
      </c>
      <c r="S12" s="405" t="str">
        <f t="shared" ref="S12:S40" si="12">IF(OR(R11="",S$9=""),"",IF($G11&gt;0,IF($G11&gt;=$H11,MAX(,MIN(S$9,$H11+24/24)-MAX(S$8,$G11)),MAX(MIN(S$9,$H11)-MAX(S$8,$G11))),0))</f>
        <v/>
      </c>
      <c r="T12" s="406" t="str">
        <f t="shared" ref="T12:T40" si="13">IF(OR(S12="",T$9=""),"",IF($G11&gt;0,IF($G11&gt;=$H11,MAX(,MIN(T$9,$H11+24/24)-MAX(T$8,$G11)),MAX(,MIN(T$9,$H11)-MAX(T$8,$G11))),0))</f>
        <v/>
      </c>
      <c r="U12" s="407" t="str">
        <f t="shared" ref="U12:U40" si="14">IF(OR(T12="",U$9=""),"",IF($G11&gt;0,IF($G11&gt;=$H11,MAX(,MIN(U$9,$H11+24/24)-MAX(U$8,$G11)),MAX(,MIN(U$9,$H11)-MAX(U$8,$G11))),0))</f>
        <v/>
      </c>
      <c r="V12" s="429">
        <f>SUMPRODUCT(($C$12="se")*($AB$12))</f>
        <v>0</v>
      </c>
      <c r="W12" s="430">
        <f>SUMPRODUCT(($C$12="se")*($AC$12))</f>
        <v>0</v>
      </c>
      <c r="X12" s="431">
        <f t="shared" si="4"/>
        <v>0</v>
      </c>
      <c r="Y12" s="432">
        <f t="shared" si="5"/>
        <v>0</v>
      </c>
      <c r="Z12" s="433">
        <f>SUMPRODUCT(($C$12="férié")*($AB$12))</f>
        <v>0</v>
      </c>
      <c r="AA12" s="434">
        <f>SUMPRODUCT(($C$12="férié")*($AC$12))</f>
        <v>0</v>
      </c>
      <c r="AB12" s="435">
        <f t="shared" ref="AB12:AB40" si="15">SUM(J12,Q12,T12)</f>
        <v>0</v>
      </c>
      <c r="AC12" s="436">
        <f t="shared" ref="AC12:AC40" si="16">SUM(K12,P12,R12,S12,U12)</f>
        <v>0</v>
      </c>
      <c r="AD12" s="43"/>
      <c r="AE12" s="92" t="s">
        <v>72</v>
      </c>
      <c r="AF12" s="210">
        <f>SUMIF(D10:D40,"&gt;0",AC10:AC40)</f>
        <v>-0.37499999999999911</v>
      </c>
      <c r="AG12" s="28"/>
      <c r="AH12" s="47"/>
      <c r="AI12" s="40"/>
      <c r="AJ12" s="19" t="s">
        <v>76</v>
      </c>
      <c r="AK12" s="217">
        <f>SUM(AK5:AK11)</f>
        <v>230.60800000000023</v>
      </c>
      <c r="AL12" s="28"/>
      <c r="AM12" s="28"/>
      <c r="AN12" s="28"/>
      <c r="AO12" s="28"/>
      <c r="AP12" s="28"/>
    </row>
    <row r="13" spans="1:42" ht="16" thickBot="1">
      <c r="A13" s="28"/>
      <c r="B13" s="188">
        <v>4</v>
      </c>
      <c r="C13" s="57" t="str">
        <f t="shared" si="1"/>
        <v>Se</v>
      </c>
      <c r="D13" s="157">
        <f t="shared" si="11"/>
        <v>42373</v>
      </c>
      <c r="E13" s="119"/>
      <c r="F13" s="119"/>
      <c r="G13" s="120"/>
      <c r="H13" s="120"/>
      <c r="I13" s="232" t="str">
        <f t="shared" si="6"/>
        <v/>
      </c>
      <c r="J13" s="123"/>
      <c r="K13" s="124"/>
      <c r="L13" s="214" t="str">
        <f t="shared" si="7"/>
        <v/>
      </c>
      <c r="M13" s="417" t="str">
        <f t="shared" si="2"/>
        <v/>
      </c>
      <c r="N13" s="415">
        <f t="shared" si="3"/>
        <v>0</v>
      </c>
      <c r="O13" s="126"/>
      <c r="P13" s="402" t="str">
        <f t="shared" si="8"/>
        <v/>
      </c>
      <c r="Q13" s="403" t="str">
        <f t="shared" si="9"/>
        <v/>
      </c>
      <c r="R13" s="404" t="str">
        <f t="shared" si="10"/>
        <v/>
      </c>
      <c r="S13" s="405" t="str">
        <f t="shared" si="12"/>
        <v/>
      </c>
      <c r="T13" s="406" t="str">
        <f t="shared" si="13"/>
        <v/>
      </c>
      <c r="U13" s="407" t="str">
        <f t="shared" si="14"/>
        <v/>
      </c>
      <c r="V13" s="429">
        <f>SUMPRODUCT(($C$13="se")*($AB$13))</f>
        <v>0</v>
      </c>
      <c r="W13" s="430">
        <f>SUMPRODUCT(($C$13="se")*($AC$13))</f>
        <v>0</v>
      </c>
      <c r="X13" s="431">
        <f t="shared" si="4"/>
        <v>0</v>
      </c>
      <c r="Y13" s="432">
        <f t="shared" si="5"/>
        <v>0</v>
      </c>
      <c r="Z13" s="433">
        <f>SUMPRODUCT(($C$13="férié")*($AB$13))</f>
        <v>0</v>
      </c>
      <c r="AA13" s="434">
        <f>SUMPRODUCT(($C$13="férié")*($AC$13))</f>
        <v>0</v>
      </c>
      <c r="AB13" s="435">
        <f t="shared" si="15"/>
        <v>0</v>
      </c>
      <c r="AC13" s="436">
        <f t="shared" si="16"/>
        <v>0</v>
      </c>
      <c r="AD13" s="43"/>
      <c r="AE13" s="280"/>
      <c r="AF13" s="281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>
      <c r="A14" s="28"/>
      <c r="B14" s="188">
        <v>5</v>
      </c>
      <c r="C14" s="57" t="str">
        <f t="shared" si="1"/>
        <v>Se</v>
      </c>
      <c r="D14" s="157">
        <f t="shared" si="11"/>
        <v>42374</v>
      </c>
      <c r="E14" s="119"/>
      <c r="F14" s="119"/>
      <c r="G14" s="120"/>
      <c r="H14" s="120"/>
      <c r="I14" s="232" t="str">
        <f t="shared" si="6"/>
        <v/>
      </c>
      <c r="J14" s="123"/>
      <c r="K14" s="124"/>
      <c r="L14" s="214" t="str">
        <f t="shared" si="7"/>
        <v/>
      </c>
      <c r="M14" s="417" t="str">
        <f t="shared" si="2"/>
        <v/>
      </c>
      <c r="N14" s="415">
        <f t="shared" si="3"/>
        <v>0</v>
      </c>
      <c r="O14" s="126"/>
      <c r="P14" s="402" t="str">
        <f t="shared" si="8"/>
        <v/>
      </c>
      <c r="Q14" s="403" t="str">
        <f t="shared" si="9"/>
        <v/>
      </c>
      <c r="R14" s="404" t="str">
        <f t="shared" si="10"/>
        <v/>
      </c>
      <c r="S14" s="405" t="str">
        <f t="shared" si="12"/>
        <v/>
      </c>
      <c r="T14" s="406" t="str">
        <f t="shared" si="13"/>
        <v/>
      </c>
      <c r="U14" s="407" t="str">
        <f t="shared" si="14"/>
        <v/>
      </c>
      <c r="V14" s="429">
        <f>SUMPRODUCT(($C$14="se")*($AB$14))</f>
        <v>0</v>
      </c>
      <c r="W14" s="430">
        <f>SUMPRODUCT(($C$14="se")*($AC$14))</f>
        <v>0</v>
      </c>
      <c r="X14" s="431">
        <f t="shared" si="4"/>
        <v>0</v>
      </c>
      <c r="Y14" s="432">
        <f t="shared" si="5"/>
        <v>0</v>
      </c>
      <c r="Z14" s="433">
        <f>SUMPRODUCT(($C$14="férié")*($AB$14))</f>
        <v>0</v>
      </c>
      <c r="AA14" s="434">
        <f>SUMPRODUCT(($C$14="férié")*($AC$14))</f>
        <v>0</v>
      </c>
      <c r="AB14" s="435">
        <f t="shared" si="15"/>
        <v>0</v>
      </c>
      <c r="AC14" s="436">
        <f t="shared" si="16"/>
        <v>0</v>
      </c>
      <c r="AD14" s="43"/>
      <c r="AE14" s="96" t="s">
        <v>81</v>
      </c>
      <c r="AF14" s="97">
        <f>SUMPRODUCT((WEEKDAY($D$10:$D$40)=1)*($N$10:$N$40&gt;0))</f>
        <v>0</v>
      </c>
      <c r="AG14" s="28"/>
      <c r="AH14" s="286" t="s">
        <v>16</v>
      </c>
      <c r="AI14" s="287"/>
      <c r="AJ14" s="287"/>
      <c r="AK14" s="288"/>
      <c r="AL14" s="28"/>
      <c r="AM14" s="28"/>
      <c r="AN14" s="28"/>
      <c r="AO14" s="28"/>
      <c r="AP14" s="28"/>
    </row>
    <row r="15" spans="1:42" ht="15">
      <c r="A15" s="28"/>
      <c r="B15" s="188">
        <v>6</v>
      </c>
      <c r="C15" s="57" t="str">
        <f t="shared" si="1"/>
        <v>Se</v>
      </c>
      <c r="D15" s="157">
        <f t="shared" si="11"/>
        <v>42375</v>
      </c>
      <c r="E15" s="119"/>
      <c r="F15" s="119"/>
      <c r="G15" s="120"/>
      <c r="H15" s="120"/>
      <c r="I15" s="232" t="str">
        <f t="shared" si="6"/>
        <v/>
      </c>
      <c r="J15" s="123"/>
      <c r="K15" s="124"/>
      <c r="L15" s="214" t="str">
        <f t="shared" si="7"/>
        <v/>
      </c>
      <c r="M15" s="417" t="str">
        <f t="shared" si="2"/>
        <v/>
      </c>
      <c r="N15" s="415">
        <f t="shared" si="3"/>
        <v>0</v>
      </c>
      <c r="O15" s="126"/>
      <c r="P15" s="402" t="str">
        <f t="shared" si="8"/>
        <v/>
      </c>
      <c r="Q15" s="403" t="str">
        <f t="shared" si="9"/>
        <v/>
      </c>
      <c r="R15" s="404" t="str">
        <f t="shared" si="10"/>
        <v/>
      </c>
      <c r="S15" s="405" t="str">
        <f t="shared" si="12"/>
        <v/>
      </c>
      <c r="T15" s="406" t="str">
        <f t="shared" si="13"/>
        <v/>
      </c>
      <c r="U15" s="407" t="str">
        <f t="shared" si="14"/>
        <v/>
      </c>
      <c r="V15" s="429">
        <f>SUMPRODUCT(($C$15="se")*($AB$15))</f>
        <v>0</v>
      </c>
      <c r="W15" s="430">
        <f>SUMPRODUCT(($C$15="se")*($AC$15))</f>
        <v>0</v>
      </c>
      <c r="X15" s="431">
        <f t="shared" si="4"/>
        <v>0</v>
      </c>
      <c r="Y15" s="432">
        <f t="shared" si="5"/>
        <v>0</v>
      </c>
      <c r="Z15" s="433">
        <f>SUMPRODUCT(($C$15="férié")*($AB$15))</f>
        <v>0</v>
      </c>
      <c r="AA15" s="434">
        <f>SUMPRODUCT(($C$15="férié")*($AC$15))</f>
        <v>0</v>
      </c>
      <c r="AB15" s="435">
        <f t="shared" si="15"/>
        <v>0</v>
      </c>
      <c r="AC15" s="436">
        <f t="shared" si="16"/>
        <v>0</v>
      </c>
      <c r="AD15" s="43"/>
      <c r="AE15" s="268"/>
      <c r="AF15" s="269"/>
      <c r="AG15" s="28"/>
      <c r="AH15" s="86"/>
      <c r="AI15" s="87" t="s">
        <v>11</v>
      </c>
      <c r="AJ15" s="87" t="s">
        <v>23</v>
      </c>
      <c r="AK15" s="88" t="s">
        <v>11</v>
      </c>
      <c r="AL15" s="28"/>
      <c r="AM15" s="28"/>
      <c r="AN15" s="28"/>
      <c r="AO15" s="28"/>
      <c r="AP15" s="28"/>
    </row>
    <row r="16" spans="1:42" ht="15">
      <c r="A16" s="28"/>
      <c r="B16" s="188">
        <v>7</v>
      </c>
      <c r="C16" s="57" t="str">
        <f t="shared" si="1"/>
        <v>Se</v>
      </c>
      <c r="D16" s="157">
        <f t="shared" si="11"/>
        <v>42376</v>
      </c>
      <c r="E16" s="119"/>
      <c r="F16" s="119"/>
      <c r="G16" s="120"/>
      <c r="H16" s="120"/>
      <c r="I16" s="232" t="str">
        <f t="shared" si="6"/>
        <v/>
      </c>
      <c r="J16" s="123"/>
      <c r="K16" s="124"/>
      <c r="L16" s="214" t="str">
        <f t="shared" si="7"/>
        <v/>
      </c>
      <c r="M16" s="417" t="str">
        <f t="shared" si="2"/>
        <v/>
      </c>
      <c r="N16" s="415">
        <f t="shared" si="3"/>
        <v>0</v>
      </c>
      <c r="O16" s="126"/>
      <c r="P16" s="402" t="str">
        <f t="shared" si="8"/>
        <v/>
      </c>
      <c r="Q16" s="403" t="str">
        <f t="shared" si="9"/>
        <v/>
      </c>
      <c r="R16" s="404" t="str">
        <f t="shared" si="10"/>
        <v/>
      </c>
      <c r="S16" s="405" t="str">
        <f t="shared" si="12"/>
        <v/>
      </c>
      <c r="T16" s="406" t="str">
        <f t="shared" si="13"/>
        <v/>
      </c>
      <c r="U16" s="407" t="str">
        <f t="shared" si="14"/>
        <v/>
      </c>
      <c r="V16" s="429">
        <f>SUMPRODUCT(($C$16="se")*($AB$16))</f>
        <v>0</v>
      </c>
      <c r="W16" s="430">
        <f>SUMPRODUCT(($C$16="se")*($AC$16))</f>
        <v>0</v>
      </c>
      <c r="X16" s="431">
        <f t="shared" si="4"/>
        <v>0</v>
      </c>
      <c r="Y16" s="432">
        <f t="shared" si="5"/>
        <v>0</v>
      </c>
      <c r="Z16" s="433">
        <f>SUMPRODUCT(($C$16="férié")*($AB$16))</f>
        <v>0</v>
      </c>
      <c r="AA16" s="434">
        <f>SUMPRODUCT(($C$16="férié")*($AC$16))</f>
        <v>0</v>
      </c>
      <c r="AB16" s="435">
        <f t="shared" si="15"/>
        <v>0</v>
      </c>
      <c r="AC16" s="436">
        <f t="shared" si="16"/>
        <v>0</v>
      </c>
      <c r="AD16" s="43"/>
      <c r="AE16" s="96" t="s">
        <v>75</v>
      </c>
      <c r="AF16" s="211">
        <f>SUM(X7+Y7)</f>
        <v>1.6666666666666661</v>
      </c>
      <c r="AG16" s="28"/>
      <c r="AH16" s="16" t="s">
        <v>78</v>
      </c>
      <c r="AI16" s="3">
        <f>SUM(L10:L40)</f>
        <v>4</v>
      </c>
      <c r="AJ16" s="115">
        <v>3.43</v>
      </c>
      <c r="AK16" s="218">
        <f>AI16*AJ16</f>
        <v>13.72</v>
      </c>
      <c r="AL16" s="28"/>
      <c r="AM16" s="28"/>
      <c r="AN16" s="28"/>
      <c r="AO16" s="28"/>
      <c r="AP16" s="28"/>
    </row>
    <row r="17" spans="1:42" ht="16" thickBot="1">
      <c r="A17" s="28"/>
      <c r="B17" s="188">
        <v>8</v>
      </c>
      <c r="C17" s="57" t="str">
        <f t="shared" si="1"/>
        <v>Se</v>
      </c>
      <c r="D17" s="157">
        <f t="shared" si="11"/>
        <v>42377</v>
      </c>
      <c r="E17" s="119"/>
      <c r="F17" s="119"/>
      <c r="G17" s="120"/>
      <c r="H17" s="120"/>
      <c r="I17" s="232" t="str">
        <f t="shared" si="6"/>
        <v/>
      </c>
      <c r="J17" s="123"/>
      <c r="K17" s="124"/>
      <c r="L17" s="214" t="str">
        <f t="shared" si="7"/>
        <v/>
      </c>
      <c r="M17" s="417" t="str">
        <f t="shared" si="2"/>
        <v/>
      </c>
      <c r="N17" s="415">
        <f t="shared" si="3"/>
        <v>0</v>
      </c>
      <c r="O17" s="126"/>
      <c r="P17" s="402" t="str">
        <f t="shared" si="8"/>
        <v/>
      </c>
      <c r="Q17" s="403" t="str">
        <f t="shared" si="9"/>
        <v/>
      </c>
      <c r="R17" s="404" t="str">
        <f t="shared" si="10"/>
        <v/>
      </c>
      <c r="S17" s="405" t="str">
        <f t="shared" si="12"/>
        <v/>
      </c>
      <c r="T17" s="406" t="str">
        <f t="shared" si="13"/>
        <v/>
      </c>
      <c r="U17" s="407" t="str">
        <f t="shared" si="14"/>
        <v/>
      </c>
      <c r="V17" s="429">
        <f>SUMPRODUCT(($C$17="se")*($AB$17))</f>
        <v>0</v>
      </c>
      <c r="W17" s="430">
        <f>SUMPRODUCT(($C$17="se")*($AC$17))</f>
        <v>0</v>
      </c>
      <c r="X17" s="431">
        <f t="shared" si="4"/>
        <v>0</v>
      </c>
      <c r="Y17" s="432">
        <f t="shared" si="5"/>
        <v>0</v>
      </c>
      <c r="Z17" s="433">
        <f>SUMPRODUCT(($C$17="férié")*($AB$17))</f>
        <v>0</v>
      </c>
      <c r="AA17" s="434">
        <f>SUMPRODUCT(($C$17="férié")*($AC$17))</f>
        <v>0</v>
      </c>
      <c r="AB17" s="435">
        <f t="shared" si="15"/>
        <v>0</v>
      </c>
      <c r="AC17" s="436">
        <f t="shared" si="16"/>
        <v>0</v>
      </c>
      <c r="AD17" s="43"/>
      <c r="AE17" s="268"/>
      <c r="AF17" s="269"/>
      <c r="AG17" s="28"/>
      <c r="AH17" s="18" t="s">
        <v>77</v>
      </c>
      <c r="AI17" s="89">
        <f>SUM(M10:M40)*24</f>
        <v>24</v>
      </c>
      <c r="AJ17" s="114">
        <v>0.81</v>
      </c>
      <c r="AK17" s="216">
        <f>AI17*AJ17</f>
        <v>19.440000000000001</v>
      </c>
      <c r="AL17" s="28"/>
      <c r="AM17" s="28"/>
      <c r="AN17" s="28"/>
      <c r="AO17" s="28"/>
      <c r="AP17" s="28"/>
    </row>
    <row r="18" spans="1:42" ht="16" thickBot="1">
      <c r="A18" s="28"/>
      <c r="B18" s="188">
        <v>9</v>
      </c>
      <c r="C18" s="57" t="str">
        <f t="shared" si="1"/>
        <v>Se</v>
      </c>
      <c r="D18" s="157">
        <f t="shared" si="11"/>
        <v>42378</v>
      </c>
      <c r="E18" s="119"/>
      <c r="F18" s="119"/>
      <c r="G18" s="120">
        <v>0</v>
      </c>
      <c r="H18" s="120">
        <v>0</v>
      </c>
      <c r="I18" s="232">
        <f t="shared" si="6"/>
        <v>1</v>
      </c>
      <c r="J18" s="123"/>
      <c r="K18" s="124"/>
      <c r="L18" s="214">
        <f t="shared" si="7"/>
        <v>1</v>
      </c>
      <c r="M18" s="417" t="str">
        <f t="shared" si="2"/>
        <v/>
      </c>
      <c r="N18" s="415">
        <f t="shared" si="3"/>
        <v>1</v>
      </c>
      <c r="O18" s="126"/>
      <c r="P18" s="402">
        <f t="shared" si="8"/>
        <v>0.25</v>
      </c>
      <c r="Q18" s="403">
        <f t="shared" si="9"/>
        <v>0.625</v>
      </c>
      <c r="R18" s="404">
        <f t="shared" si="10"/>
        <v>0.125</v>
      </c>
      <c r="S18" s="405" t="str">
        <f t="shared" si="12"/>
        <v/>
      </c>
      <c r="T18" s="406" t="str">
        <f t="shared" si="13"/>
        <v/>
      </c>
      <c r="U18" s="407" t="str">
        <f t="shared" si="14"/>
        <v/>
      </c>
      <c r="V18" s="429">
        <f>SUMPRODUCT(($C$18="se")*($AB$18))</f>
        <v>0.625</v>
      </c>
      <c r="W18" s="430">
        <f>SUMPRODUCT(($C$18="se")*($AC$18))</f>
        <v>0.375</v>
      </c>
      <c r="X18" s="431">
        <f t="shared" si="4"/>
        <v>0</v>
      </c>
      <c r="Y18" s="432">
        <f t="shared" si="5"/>
        <v>0</v>
      </c>
      <c r="Z18" s="433">
        <f>SUMPRODUCT(($C$18="férié")*($AB$18))</f>
        <v>0</v>
      </c>
      <c r="AA18" s="434">
        <f>SUMPRODUCT(($C$18="férié")*($AC$18))</f>
        <v>0</v>
      </c>
      <c r="AB18" s="435">
        <f t="shared" si="15"/>
        <v>0.625</v>
      </c>
      <c r="AC18" s="436">
        <f t="shared" si="16"/>
        <v>0.375</v>
      </c>
      <c r="AD18" s="43"/>
      <c r="AE18" s="92" t="s">
        <v>73</v>
      </c>
      <c r="AF18" s="210">
        <f>SUMPRODUCT(($C$10:$C$40="dim")*($AB$10:$AB$40))</f>
        <v>1.083333333333333</v>
      </c>
      <c r="AG18" s="28"/>
      <c r="AH18" s="48"/>
      <c r="AI18" s="49"/>
      <c r="AJ18" s="19" t="s">
        <v>76</v>
      </c>
      <c r="AK18" s="217">
        <f>SUM(AK16:AK17)</f>
        <v>33.160000000000004</v>
      </c>
      <c r="AL18" s="28"/>
      <c r="AM18" s="28"/>
      <c r="AN18" s="28"/>
      <c r="AO18" s="28"/>
      <c r="AP18" s="28"/>
    </row>
    <row r="19" spans="1:42" ht="16" thickBot="1">
      <c r="A19" s="28"/>
      <c r="B19" s="188">
        <v>10</v>
      </c>
      <c r="C19" s="57" t="str">
        <f t="shared" si="1"/>
        <v>Dim</v>
      </c>
      <c r="D19" s="157">
        <f t="shared" si="11"/>
        <v>42379</v>
      </c>
      <c r="E19" s="119"/>
      <c r="F19" s="119"/>
      <c r="G19" s="120"/>
      <c r="H19" s="120"/>
      <c r="I19" s="232" t="str">
        <f t="shared" si="6"/>
        <v/>
      </c>
      <c r="J19" s="123"/>
      <c r="K19" s="124"/>
      <c r="L19" s="214" t="str">
        <f t="shared" si="7"/>
        <v/>
      </c>
      <c r="M19" s="417" t="str">
        <f t="shared" si="2"/>
        <v/>
      </c>
      <c r="N19" s="415">
        <f t="shared" si="3"/>
        <v>0</v>
      </c>
      <c r="O19" s="126"/>
      <c r="P19" s="402" t="str">
        <f t="shared" si="8"/>
        <v/>
      </c>
      <c r="Q19" s="403" t="str">
        <f t="shared" si="9"/>
        <v/>
      </c>
      <c r="R19" s="404" t="str">
        <f t="shared" si="10"/>
        <v/>
      </c>
      <c r="S19" s="405">
        <f t="shared" si="12"/>
        <v>0</v>
      </c>
      <c r="T19" s="406">
        <f t="shared" si="13"/>
        <v>0</v>
      </c>
      <c r="U19" s="407">
        <f t="shared" si="14"/>
        <v>0</v>
      </c>
      <c r="V19" s="429">
        <f>SUMPRODUCT(($C$19="se")*($AB$19))</f>
        <v>0</v>
      </c>
      <c r="W19" s="430">
        <f>SUMPRODUCT(($C$19="se")*($AC$19))</f>
        <v>0</v>
      </c>
      <c r="X19" s="431">
        <f t="shared" si="4"/>
        <v>0</v>
      </c>
      <c r="Y19" s="432">
        <f t="shared" si="5"/>
        <v>0</v>
      </c>
      <c r="Z19" s="433">
        <f>SUMPRODUCT(($C$19="férié")*($AB$19))</f>
        <v>0</v>
      </c>
      <c r="AA19" s="434">
        <f>SUMPRODUCT(($C$19="férié")*($AC$19))</f>
        <v>0</v>
      </c>
      <c r="AB19" s="435">
        <f t="shared" si="15"/>
        <v>0</v>
      </c>
      <c r="AC19" s="436">
        <f t="shared" si="16"/>
        <v>0</v>
      </c>
      <c r="AD19" s="43"/>
      <c r="AE19" s="280"/>
      <c r="AF19" s="281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>
      <c r="A20" s="28"/>
      <c r="B20" s="188">
        <v>11</v>
      </c>
      <c r="C20" s="57" t="str">
        <f t="shared" si="1"/>
        <v>Se</v>
      </c>
      <c r="D20" s="157">
        <f t="shared" si="11"/>
        <v>42380</v>
      </c>
      <c r="E20" s="119"/>
      <c r="F20" s="119"/>
      <c r="G20" s="120"/>
      <c r="H20" s="120"/>
      <c r="I20" s="232" t="str">
        <f t="shared" si="6"/>
        <v/>
      </c>
      <c r="J20" s="123"/>
      <c r="K20" s="124"/>
      <c r="L20" s="214" t="str">
        <f t="shared" si="7"/>
        <v/>
      </c>
      <c r="M20" s="417" t="str">
        <f t="shared" si="2"/>
        <v/>
      </c>
      <c r="N20" s="415">
        <f t="shared" si="3"/>
        <v>0</v>
      </c>
      <c r="O20" s="126"/>
      <c r="P20" s="402" t="str">
        <f t="shared" si="8"/>
        <v/>
      </c>
      <c r="Q20" s="403" t="str">
        <f t="shared" si="9"/>
        <v/>
      </c>
      <c r="R20" s="404" t="str">
        <f t="shared" si="10"/>
        <v/>
      </c>
      <c r="S20" s="405" t="str">
        <f t="shared" si="12"/>
        <v/>
      </c>
      <c r="T20" s="406" t="str">
        <f t="shared" si="13"/>
        <v/>
      </c>
      <c r="U20" s="407" t="str">
        <f t="shared" si="14"/>
        <v/>
      </c>
      <c r="V20" s="429">
        <f>SUMPRODUCT(($C$20="se")*($AB$20))</f>
        <v>0</v>
      </c>
      <c r="W20" s="430">
        <f>SUMPRODUCT(($C$20="se")*($AC$20))</f>
        <v>0</v>
      </c>
      <c r="X20" s="431">
        <f t="shared" si="4"/>
        <v>0</v>
      </c>
      <c r="Y20" s="432">
        <f t="shared" si="5"/>
        <v>0</v>
      </c>
      <c r="Z20" s="433">
        <f>SUMPRODUCT(($C$20="férié")*($AB$20))</f>
        <v>0</v>
      </c>
      <c r="AA20" s="434">
        <f>SUMPRODUCT(($C$20="férié")*($AC$20))</f>
        <v>0</v>
      </c>
      <c r="AB20" s="435">
        <f t="shared" si="15"/>
        <v>0</v>
      </c>
      <c r="AC20" s="436">
        <f t="shared" si="16"/>
        <v>0</v>
      </c>
      <c r="AD20" s="43"/>
      <c r="AE20" s="92" t="s">
        <v>74</v>
      </c>
      <c r="AF20" s="210">
        <f>SUMPRODUCT(($C$10:$C$40="dim")*($AC$10:$AC$40))</f>
        <v>0.58333333333333304</v>
      </c>
      <c r="AG20" s="28"/>
      <c r="AH20" s="289" t="s">
        <v>82</v>
      </c>
      <c r="AI20" s="290"/>
      <c r="AJ20" s="290"/>
      <c r="AK20" s="291"/>
      <c r="AL20" s="28"/>
      <c r="AM20" s="28"/>
      <c r="AN20" s="28"/>
      <c r="AO20" s="28"/>
      <c r="AP20" s="28"/>
    </row>
    <row r="21" spans="1:42" ht="15">
      <c r="A21" s="28"/>
      <c r="B21" s="188">
        <v>12</v>
      </c>
      <c r="C21" s="57" t="str">
        <f t="shared" si="1"/>
        <v>Se</v>
      </c>
      <c r="D21" s="157">
        <f t="shared" si="11"/>
        <v>42381</v>
      </c>
      <c r="E21" s="119"/>
      <c r="F21" s="119"/>
      <c r="G21" s="120"/>
      <c r="H21" s="120"/>
      <c r="I21" s="232" t="str">
        <f t="shared" si="6"/>
        <v/>
      </c>
      <c r="J21" s="123"/>
      <c r="K21" s="124"/>
      <c r="L21" s="214" t="str">
        <f t="shared" si="7"/>
        <v/>
      </c>
      <c r="M21" s="417" t="str">
        <f t="shared" si="2"/>
        <v/>
      </c>
      <c r="N21" s="415">
        <f t="shared" si="3"/>
        <v>0</v>
      </c>
      <c r="O21" s="126"/>
      <c r="P21" s="402" t="str">
        <f t="shared" si="8"/>
        <v/>
      </c>
      <c r="Q21" s="403" t="str">
        <f t="shared" si="9"/>
        <v/>
      </c>
      <c r="R21" s="404" t="str">
        <f t="shared" si="10"/>
        <v/>
      </c>
      <c r="S21" s="405" t="str">
        <f t="shared" si="12"/>
        <v/>
      </c>
      <c r="T21" s="406" t="str">
        <f t="shared" si="13"/>
        <v/>
      </c>
      <c r="U21" s="407" t="str">
        <f t="shared" si="14"/>
        <v/>
      </c>
      <c r="V21" s="429">
        <f>SUMPRODUCT(($C$21="se")*($AB$21))</f>
        <v>0</v>
      </c>
      <c r="W21" s="430">
        <f>SUMPRODUCT(($C$21="se")*($AC$21))</f>
        <v>0</v>
      </c>
      <c r="X21" s="431">
        <f t="shared" si="4"/>
        <v>0</v>
      </c>
      <c r="Y21" s="432">
        <f t="shared" si="5"/>
        <v>0</v>
      </c>
      <c r="Z21" s="433">
        <f>SUMPRODUCT(($C$21="férié")*($AB$21))</f>
        <v>0</v>
      </c>
      <c r="AA21" s="434">
        <f>SUMPRODUCT(($C$21="férié")*($AC$21))</f>
        <v>0</v>
      </c>
      <c r="AB21" s="435">
        <f t="shared" si="15"/>
        <v>0</v>
      </c>
      <c r="AC21" s="436">
        <f t="shared" si="16"/>
        <v>0</v>
      </c>
      <c r="AD21" s="43"/>
      <c r="AE21" s="280"/>
      <c r="AF21" s="281"/>
      <c r="AG21" s="28"/>
      <c r="AH21" s="282" t="str">
        <f>Réglages!Q20</f>
        <v>Carte SST</v>
      </c>
      <c r="AI21" s="283"/>
      <c r="AJ21" s="284">
        <f>Réglages!S20</f>
        <v>42402</v>
      </c>
      <c r="AK21" s="285"/>
      <c r="AL21" s="28"/>
      <c r="AM21" s="28"/>
      <c r="AN21" s="28"/>
      <c r="AO21" s="28"/>
      <c r="AP21" s="28"/>
    </row>
    <row r="22" spans="1:42" ht="15">
      <c r="A22" s="28"/>
      <c r="B22" s="188">
        <v>13</v>
      </c>
      <c r="C22" s="57" t="str">
        <f t="shared" si="1"/>
        <v>Se</v>
      </c>
      <c r="D22" s="157">
        <f t="shared" si="11"/>
        <v>42382</v>
      </c>
      <c r="E22" s="119"/>
      <c r="F22" s="119"/>
      <c r="G22" s="120"/>
      <c r="H22" s="120"/>
      <c r="I22" s="232" t="str">
        <f t="shared" si="6"/>
        <v/>
      </c>
      <c r="J22" s="123"/>
      <c r="K22" s="124"/>
      <c r="L22" s="214" t="str">
        <f t="shared" si="7"/>
        <v/>
      </c>
      <c r="M22" s="417" t="str">
        <f t="shared" si="2"/>
        <v/>
      </c>
      <c r="N22" s="415">
        <f t="shared" si="3"/>
        <v>0</v>
      </c>
      <c r="O22" s="126"/>
      <c r="P22" s="402" t="str">
        <f t="shared" si="8"/>
        <v/>
      </c>
      <c r="Q22" s="403" t="str">
        <f t="shared" si="9"/>
        <v/>
      </c>
      <c r="R22" s="404" t="str">
        <f t="shared" si="10"/>
        <v/>
      </c>
      <c r="S22" s="405" t="str">
        <f t="shared" si="12"/>
        <v/>
      </c>
      <c r="T22" s="406" t="str">
        <f t="shared" si="13"/>
        <v/>
      </c>
      <c r="U22" s="407" t="str">
        <f t="shared" si="14"/>
        <v/>
      </c>
      <c r="V22" s="429">
        <f>SUMPRODUCT(($C$22="se")*($AB$22))</f>
        <v>0</v>
      </c>
      <c r="W22" s="430">
        <f>SUMPRODUCT(($C$22="se")*($AC$22))</f>
        <v>0</v>
      </c>
      <c r="X22" s="431">
        <f t="shared" si="4"/>
        <v>0</v>
      </c>
      <c r="Y22" s="432">
        <f t="shared" si="5"/>
        <v>0</v>
      </c>
      <c r="Z22" s="433">
        <f>SUMPRODUCT(($C$22="férié")*($AB$22))</f>
        <v>0</v>
      </c>
      <c r="AA22" s="434">
        <f>SUMPRODUCT(($C$22="férié")*($AC$22))</f>
        <v>0</v>
      </c>
      <c r="AB22" s="435">
        <f t="shared" si="15"/>
        <v>0</v>
      </c>
      <c r="AC22" s="436">
        <f t="shared" si="16"/>
        <v>0</v>
      </c>
      <c r="AD22" s="43"/>
      <c r="AE22" s="92" t="s">
        <v>80</v>
      </c>
      <c r="AF22" s="99">
        <f>SUMPRODUCT(($C$10:$C$40="férié")*($N$10:$N$40&gt;0))</f>
        <v>1</v>
      </c>
      <c r="AG22" s="28"/>
      <c r="AH22" s="305" t="str">
        <f>Réglages!Q21</f>
        <v>HOBS-BE (Manœuvre)</v>
      </c>
      <c r="AI22" s="306"/>
      <c r="AJ22" s="303">
        <f>Réglages!S21</f>
        <v>42461</v>
      </c>
      <c r="AK22" s="304"/>
      <c r="AL22" s="28"/>
      <c r="AM22" s="28"/>
      <c r="AN22" s="28"/>
      <c r="AO22" s="28"/>
      <c r="AP22" s="28"/>
    </row>
    <row r="23" spans="1:42" ht="15">
      <c r="A23" s="28"/>
      <c r="B23" s="188">
        <v>14</v>
      </c>
      <c r="C23" s="57" t="str">
        <f t="shared" si="1"/>
        <v>Se</v>
      </c>
      <c r="D23" s="157">
        <f t="shared" si="11"/>
        <v>42383</v>
      </c>
      <c r="E23" s="119"/>
      <c r="F23" s="119"/>
      <c r="G23" s="120"/>
      <c r="H23" s="120"/>
      <c r="I23" s="232" t="str">
        <f t="shared" si="6"/>
        <v/>
      </c>
      <c r="J23" s="123"/>
      <c r="K23" s="124"/>
      <c r="L23" s="214" t="str">
        <f t="shared" si="7"/>
        <v/>
      </c>
      <c r="M23" s="417" t="str">
        <f t="shared" si="2"/>
        <v/>
      </c>
      <c r="N23" s="415">
        <f t="shared" si="3"/>
        <v>0</v>
      </c>
      <c r="O23" s="126"/>
      <c r="P23" s="402" t="str">
        <f t="shared" si="8"/>
        <v/>
      </c>
      <c r="Q23" s="403" t="str">
        <f t="shared" si="9"/>
        <v/>
      </c>
      <c r="R23" s="404" t="str">
        <f t="shared" si="10"/>
        <v/>
      </c>
      <c r="S23" s="405" t="str">
        <f t="shared" si="12"/>
        <v/>
      </c>
      <c r="T23" s="406" t="str">
        <f t="shared" si="13"/>
        <v/>
      </c>
      <c r="U23" s="407" t="str">
        <f t="shared" si="14"/>
        <v/>
      </c>
      <c r="V23" s="429">
        <f>SUMPRODUCT(($C$23="se")*($AB$23))</f>
        <v>0</v>
      </c>
      <c r="W23" s="430">
        <f>SUMPRODUCT(($C$23="se")*($AC$23))</f>
        <v>0</v>
      </c>
      <c r="X23" s="431">
        <f t="shared" si="4"/>
        <v>0</v>
      </c>
      <c r="Y23" s="432">
        <f t="shared" si="5"/>
        <v>0</v>
      </c>
      <c r="Z23" s="433">
        <f>SUMPRODUCT(($C$23="férié")*($AB$23))</f>
        <v>0</v>
      </c>
      <c r="AA23" s="434">
        <f>SUMPRODUCT(($C$23="férié")*($AC$23))</f>
        <v>0</v>
      </c>
      <c r="AB23" s="435">
        <f t="shared" si="15"/>
        <v>0</v>
      </c>
      <c r="AC23" s="436">
        <f t="shared" si="16"/>
        <v>0</v>
      </c>
      <c r="AD23" s="43"/>
      <c r="AE23" s="309"/>
      <c r="AF23" s="310"/>
      <c r="AG23" s="28"/>
      <c r="AH23" s="305" t="str">
        <f>Réglages!Q22</f>
        <v>SSIAP 1</v>
      </c>
      <c r="AI23" s="306"/>
      <c r="AJ23" s="303">
        <f>Réglages!S22</f>
        <v>42552</v>
      </c>
      <c r="AK23" s="304"/>
      <c r="AL23" s="28"/>
      <c r="AM23" s="28"/>
      <c r="AN23" s="28"/>
      <c r="AO23" s="28"/>
      <c r="AP23" s="28"/>
    </row>
    <row r="24" spans="1:42" ht="16" thickBot="1">
      <c r="A24" s="28"/>
      <c r="B24" s="188">
        <v>15</v>
      </c>
      <c r="C24" s="57" t="str">
        <f t="shared" si="1"/>
        <v>Se</v>
      </c>
      <c r="D24" s="157">
        <f t="shared" si="11"/>
        <v>42384</v>
      </c>
      <c r="E24" s="119"/>
      <c r="F24" s="119"/>
      <c r="G24" s="120"/>
      <c r="H24" s="120"/>
      <c r="I24" s="232" t="str">
        <f t="shared" si="6"/>
        <v/>
      </c>
      <c r="J24" s="123"/>
      <c r="K24" s="124"/>
      <c r="L24" s="214" t="str">
        <f t="shared" si="7"/>
        <v/>
      </c>
      <c r="M24" s="417" t="str">
        <f t="shared" si="2"/>
        <v/>
      </c>
      <c r="N24" s="415">
        <f t="shared" si="3"/>
        <v>0</v>
      </c>
      <c r="O24" s="126"/>
      <c r="P24" s="402" t="str">
        <f t="shared" si="8"/>
        <v/>
      </c>
      <c r="Q24" s="403" t="str">
        <f t="shared" si="9"/>
        <v/>
      </c>
      <c r="R24" s="404" t="str">
        <f t="shared" si="10"/>
        <v/>
      </c>
      <c r="S24" s="405" t="str">
        <f t="shared" si="12"/>
        <v/>
      </c>
      <c r="T24" s="406" t="str">
        <f t="shared" si="13"/>
        <v/>
      </c>
      <c r="U24" s="407" t="str">
        <f t="shared" si="14"/>
        <v/>
      </c>
      <c r="V24" s="429">
        <f>SUMPRODUCT(($C$24="se")*($AB$24))</f>
        <v>0</v>
      </c>
      <c r="W24" s="430">
        <f>SUMPRODUCT(($C$24="se")*($AC$24))</f>
        <v>0</v>
      </c>
      <c r="X24" s="431">
        <f t="shared" si="4"/>
        <v>0</v>
      </c>
      <c r="Y24" s="432">
        <f t="shared" si="5"/>
        <v>0</v>
      </c>
      <c r="Z24" s="433">
        <f>SUMPRODUCT(($C$24="férié")*($AB$24))</f>
        <v>0</v>
      </c>
      <c r="AA24" s="434">
        <f>SUMPRODUCT(($C$24="férié")*($AC$24))</f>
        <v>0</v>
      </c>
      <c r="AB24" s="435">
        <f t="shared" si="15"/>
        <v>0</v>
      </c>
      <c r="AC24" s="436">
        <f t="shared" si="16"/>
        <v>0</v>
      </c>
      <c r="AD24" s="43"/>
      <c r="AE24" s="92" t="s">
        <v>68</v>
      </c>
      <c r="AF24" s="210">
        <f>SUM(Z7+AA7)</f>
        <v>-0.66666666666666607</v>
      </c>
      <c r="AG24" s="28"/>
      <c r="AH24" s="307" t="str">
        <f>Réglages!Q23</f>
        <v>Carte PRO CNAPS</v>
      </c>
      <c r="AI24" s="308"/>
      <c r="AJ24" s="298">
        <f>Réglages!S23</f>
        <v>43405</v>
      </c>
      <c r="AK24" s="299"/>
      <c r="AL24" s="28"/>
      <c r="AM24" s="28"/>
      <c r="AN24" s="28"/>
      <c r="AO24" s="28"/>
      <c r="AP24" s="28"/>
    </row>
    <row r="25" spans="1:42" ht="15">
      <c r="A25" s="28"/>
      <c r="B25" s="188">
        <v>16</v>
      </c>
      <c r="C25" s="57" t="str">
        <f t="shared" si="1"/>
        <v>Se</v>
      </c>
      <c r="D25" s="157">
        <f t="shared" si="11"/>
        <v>42385</v>
      </c>
      <c r="E25" s="119"/>
      <c r="F25" s="119"/>
      <c r="G25" s="120">
        <v>0.70833333333333304</v>
      </c>
      <c r="H25" s="120">
        <v>0.70833333333333304</v>
      </c>
      <c r="I25" s="232">
        <f t="shared" si="6"/>
        <v>1</v>
      </c>
      <c r="J25" s="123"/>
      <c r="K25" s="124"/>
      <c r="L25" s="214">
        <f t="shared" si="7"/>
        <v>1</v>
      </c>
      <c r="M25" s="417" t="str">
        <f t="shared" si="2"/>
        <v/>
      </c>
      <c r="N25" s="415">
        <f t="shared" si="3"/>
        <v>1</v>
      </c>
      <c r="O25" s="126"/>
      <c r="P25" s="402">
        <f t="shared" si="8"/>
        <v>-0.45833333333333304</v>
      </c>
      <c r="Q25" s="403">
        <f t="shared" si="9"/>
        <v>0.16666666666666696</v>
      </c>
      <c r="R25" s="404">
        <f t="shared" si="10"/>
        <v>0.125</v>
      </c>
      <c r="S25" s="405" t="str">
        <f t="shared" si="12"/>
        <v/>
      </c>
      <c r="T25" s="406" t="str">
        <f t="shared" si="13"/>
        <v/>
      </c>
      <c r="U25" s="407" t="str">
        <f t="shared" si="14"/>
        <v/>
      </c>
      <c r="V25" s="429">
        <f>SUMPRODUCT(($C$25="se")*($AB$25))</f>
        <v>0.16666666666666696</v>
      </c>
      <c r="W25" s="430">
        <f>SUMPRODUCT(($C$25="se")*($AC$25))</f>
        <v>-0.33333333333333304</v>
      </c>
      <c r="X25" s="431">
        <f t="shared" si="4"/>
        <v>0</v>
      </c>
      <c r="Y25" s="432">
        <f t="shared" si="5"/>
        <v>0</v>
      </c>
      <c r="Z25" s="433">
        <f>SUMPRODUCT(($C$25="férié")*($AB$25))</f>
        <v>0</v>
      </c>
      <c r="AA25" s="434">
        <f>SUMPRODUCT(($C$25="férié")*($AC$25))</f>
        <v>0</v>
      </c>
      <c r="AB25" s="435">
        <f t="shared" si="15"/>
        <v>0.16666666666666696</v>
      </c>
      <c r="AC25" s="436">
        <f t="shared" si="16"/>
        <v>-0.33333333333333304</v>
      </c>
      <c r="AD25" s="43"/>
      <c r="AE25" s="280"/>
      <c r="AF25" s="281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188">
        <v>17</v>
      </c>
      <c r="C26" s="57" t="str">
        <f t="shared" si="1"/>
        <v>Dim</v>
      </c>
      <c r="D26" s="157">
        <f t="shared" si="11"/>
        <v>42386</v>
      </c>
      <c r="E26" s="119"/>
      <c r="F26" s="119"/>
      <c r="G26" s="120"/>
      <c r="H26" s="120"/>
      <c r="I26" s="232" t="str">
        <f t="shared" si="6"/>
        <v/>
      </c>
      <c r="J26" s="123"/>
      <c r="K26" s="124"/>
      <c r="L26" s="214" t="str">
        <f t="shared" si="7"/>
        <v/>
      </c>
      <c r="M26" s="417" t="str">
        <f t="shared" si="2"/>
        <v/>
      </c>
      <c r="N26" s="415">
        <f t="shared" si="3"/>
        <v>0</v>
      </c>
      <c r="O26" s="126"/>
      <c r="P26" s="402" t="str">
        <f t="shared" si="8"/>
        <v/>
      </c>
      <c r="Q26" s="403" t="str">
        <f t="shared" si="9"/>
        <v/>
      </c>
      <c r="R26" s="404" t="str">
        <f t="shared" si="10"/>
        <v/>
      </c>
      <c r="S26" s="405">
        <f t="shared" si="12"/>
        <v>0.25</v>
      </c>
      <c r="T26" s="406">
        <f t="shared" si="13"/>
        <v>0.45833333333333304</v>
      </c>
      <c r="U26" s="407">
        <f t="shared" si="14"/>
        <v>0</v>
      </c>
      <c r="V26" s="429">
        <f>SUMPRODUCT(($C$26="se")*($AB$26))</f>
        <v>0</v>
      </c>
      <c r="W26" s="430">
        <f>SUMPRODUCT(($C$26="se")*($AC$26))</f>
        <v>0</v>
      </c>
      <c r="X26" s="431">
        <f t="shared" si="4"/>
        <v>0.45833333333333304</v>
      </c>
      <c r="Y26" s="432">
        <f t="shared" si="5"/>
        <v>0.25</v>
      </c>
      <c r="Z26" s="433">
        <f>SUMPRODUCT(($C$26="férié")*($AB$26))</f>
        <v>0</v>
      </c>
      <c r="AA26" s="434">
        <f>SUMPRODUCT(($C$26="férié")*($AC$26))</f>
        <v>0</v>
      </c>
      <c r="AB26" s="435">
        <f t="shared" si="15"/>
        <v>0.45833333333333304</v>
      </c>
      <c r="AC26" s="436">
        <f t="shared" si="16"/>
        <v>0.25</v>
      </c>
      <c r="AD26" s="43"/>
      <c r="AE26" s="92" t="s">
        <v>69</v>
      </c>
      <c r="AF26" s="210">
        <f>SUM(Z7)</f>
        <v>0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6" customHeight="1">
      <c r="A27" s="28"/>
      <c r="B27" s="188">
        <v>18</v>
      </c>
      <c r="C27" s="57" t="str">
        <f t="shared" si="1"/>
        <v>Se</v>
      </c>
      <c r="D27" s="157">
        <f t="shared" si="11"/>
        <v>42387</v>
      </c>
      <c r="E27" s="119"/>
      <c r="F27" s="119"/>
      <c r="G27" s="120"/>
      <c r="H27" s="120"/>
      <c r="I27" s="232" t="str">
        <f t="shared" si="6"/>
        <v/>
      </c>
      <c r="J27" s="123"/>
      <c r="K27" s="124"/>
      <c r="L27" s="214" t="str">
        <f t="shared" si="7"/>
        <v/>
      </c>
      <c r="M27" s="417" t="str">
        <f t="shared" si="2"/>
        <v/>
      </c>
      <c r="N27" s="415">
        <f t="shared" si="3"/>
        <v>0</v>
      </c>
      <c r="O27" s="126"/>
      <c r="P27" s="402" t="str">
        <f t="shared" si="8"/>
        <v/>
      </c>
      <c r="Q27" s="403" t="str">
        <f t="shared" si="9"/>
        <v/>
      </c>
      <c r="R27" s="404" t="str">
        <f t="shared" si="10"/>
        <v/>
      </c>
      <c r="S27" s="405" t="str">
        <f t="shared" si="12"/>
        <v/>
      </c>
      <c r="T27" s="406" t="str">
        <f t="shared" si="13"/>
        <v/>
      </c>
      <c r="U27" s="407" t="str">
        <f t="shared" si="14"/>
        <v/>
      </c>
      <c r="V27" s="429">
        <f>SUMPRODUCT(($C$27="se")*($AB$27))</f>
        <v>0</v>
      </c>
      <c r="W27" s="430">
        <f>SUMPRODUCT(($C$27="se")*($AC$27))</f>
        <v>0</v>
      </c>
      <c r="X27" s="431">
        <f t="shared" si="4"/>
        <v>0</v>
      </c>
      <c r="Y27" s="432">
        <f t="shared" si="5"/>
        <v>0</v>
      </c>
      <c r="Z27" s="433">
        <f>SUMPRODUCT(($C$27="férié")*($AB$27))</f>
        <v>0</v>
      </c>
      <c r="AA27" s="434">
        <f>SUMPRODUCT(($C$27="férié")*($AC$27))</f>
        <v>0</v>
      </c>
      <c r="AB27" s="435">
        <f t="shared" si="15"/>
        <v>0</v>
      </c>
      <c r="AC27" s="436">
        <f t="shared" si="16"/>
        <v>0</v>
      </c>
      <c r="AD27" s="43"/>
      <c r="AE27" s="280"/>
      <c r="AF27" s="281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6" customHeight="1">
      <c r="A28" s="28"/>
      <c r="B28" s="188">
        <v>19</v>
      </c>
      <c r="C28" s="57" t="str">
        <f t="shared" si="1"/>
        <v>Se</v>
      </c>
      <c r="D28" s="157">
        <f t="shared" si="11"/>
        <v>42388</v>
      </c>
      <c r="E28" s="119"/>
      <c r="F28" s="119"/>
      <c r="G28" s="120"/>
      <c r="H28" s="120"/>
      <c r="I28" s="232" t="str">
        <f t="shared" si="6"/>
        <v/>
      </c>
      <c r="J28" s="123"/>
      <c r="K28" s="124"/>
      <c r="L28" s="214" t="str">
        <f t="shared" si="7"/>
        <v/>
      </c>
      <c r="M28" s="417" t="str">
        <f t="shared" si="2"/>
        <v/>
      </c>
      <c r="N28" s="415">
        <f t="shared" si="3"/>
        <v>0</v>
      </c>
      <c r="O28" s="126"/>
      <c r="P28" s="402" t="str">
        <f t="shared" si="8"/>
        <v/>
      </c>
      <c r="Q28" s="403" t="str">
        <f t="shared" si="9"/>
        <v/>
      </c>
      <c r="R28" s="404" t="str">
        <f t="shared" si="10"/>
        <v/>
      </c>
      <c r="S28" s="405" t="str">
        <f t="shared" si="12"/>
        <v/>
      </c>
      <c r="T28" s="406" t="str">
        <f t="shared" si="13"/>
        <v/>
      </c>
      <c r="U28" s="407" t="str">
        <f t="shared" si="14"/>
        <v/>
      </c>
      <c r="V28" s="429">
        <f>SUMPRODUCT(($C$28="se")*($AB$28))</f>
        <v>0</v>
      </c>
      <c r="W28" s="430">
        <f>SUMPRODUCT(($C$28="se")*($AC$28))</f>
        <v>0</v>
      </c>
      <c r="X28" s="431">
        <f t="shared" si="4"/>
        <v>0</v>
      </c>
      <c r="Y28" s="432">
        <f t="shared" si="5"/>
        <v>0</v>
      </c>
      <c r="Z28" s="433">
        <f>SUMPRODUCT(($C$28="férié")*($AB$28))</f>
        <v>0</v>
      </c>
      <c r="AA28" s="434">
        <f>SUMPRODUCT(($C$28="férié")*($AC$28))</f>
        <v>0</v>
      </c>
      <c r="AB28" s="435">
        <f t="shared" si="15"/>
        <v>0</v>
      </c>
      <c r="AC28" s="436">
        <f t="shared" si="16"/>
        <v>0</v>
      </c>
      <c r="AD28" s="43"/>
      <c r="AE28" s="92" t="s">
        <v>70</v>
      </c>
      <c r="AF28" s="210">
        <f>SUM(AA7)</f>
        <v>-0.66666666666666607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6" customHeight="1">
      <c r="A29" s="28"/>
      <c r="B29" s="188">
        <v>20</v>
      </c>
      <c r="C29" s="57" t="str">
        <f t="shared" si="1"/>
        <v>Se</v>
      </c>
      <c r="D29" s="157">
        <f t="shared" si="11"/>
        <v>42389</v>
      </c>
      <c r="E29" s="119"/>
      <c r="F29" s="119"/>
      <c r="G29" s="120"/>
      <c r="H29" s="120"/>
      <c r="I29" s="232" t="str">
        <f t="shared" si="6"/>
        <v/>
      </c>
      <c r="J29" s="123"/>
      <c r="K29" s="124"/>
      <c r="L29" s="214" t="str">
        <f t="shared" si="7"/>
        <v/>
      </c>
      <c r="M29" s="417" t="str">
        <f t="shared" si="2"/>
        <v/>
      </c>
      <c r="N29" s="415">
        <f t="shared" si="3"/>
        <v>0</v>
      </c>
      <c r="O29" s="126"/>
      <c r="P29" s="402" t="str">
        <f t="shared" si="8"/>
        <v/>
      </c>
      <c r="Q29" s="403" t="str">
        <f t="shared" si="9"/>
        <v/>
      </c>
      <c r="R29" s="404" t="str">
        <f t="shared" si="10"/>
        <v/>
      </c>
      <c r="S29" s="405" t="str">
        <f t="shared" si="12"/>
        <v/>
      </c>
      <c r="T29" s="406" t="str">
        <f t="shared" si="13"/>
        <v/>
      </c>
      <c r="U29" s="407" t="str">
        <f t="shared" si="14"/>
        <v/>
      </c>
      <c r="V29" s="429">
        <f>SUMPRODUCT(($C$29="se")*($AB$29))</f>
        <v>0</v>
      </c>
      <c r="W29" s="430">
        <f>SUMPRODUCT(($C$29="se")*($AC$29))</f>
        <v>0</v>
      </c>
      <c r="X29" s="431">
        <f t="shared" si="4"/>
        <v>0</v>
      </c>
      <c r="Y29" s="432">
        <f t="shared" si="5"/>
        <v>0</v>
      </c>
      <c r="Z29" s="433">
        <f>SUMPRODUCT(($C$29="férié")*($AB$29))</f>
        <v>0</v>
      </c>
      <c r="AA29" s="434">
        <f>SUMPRODUCT(($C$29="férié")*($AC$29))</f>
        <v>0</v>
      </c>
      <c r="AB29" s="435">
        <f t="shared" si="15"/>
        <v>0</v>
      </c>
      <c r="AC29" s="436">
        <f t="shared" si="16"/>
        <v>0</v>
      </c>
      <c r="AD29" s="43"/>
      <c r="AE29" s="280"/>
      <c r="AF29" s="281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">
      <c r="A30" s="28"/>
      <c r="B30" s="188">
        <v>21</v>
      </c>
      <c r="C30" s="57" t="str">
        <f t="shared" si="1"/>
        <v>Se</v>
      </c>
      <c r="D30" s="157">
        <f t="shared" si="11"/>
        <v>42390</v>
      </c>
      <c r="E30" s="119"/>
      <c r="F30" s="119"/>
      <c r="G30" s="120"/>
      <c r="H30" s="120"/>
      <c r="I30" s="232" t="str">
        <f t="shared" si="6"/>
        <v/>
      </c>
      <c r="J30" s="123"/>
      <c r="K30" s="124"/>
      <c r="L30" s="214" t="str">
        <f t="shared" si="7"/>
        <v/>
      </c>
      <c r="M30" s="417" t="str">
        <f t="shared" si="2"/>
        <v/>
      </c>
      <c r="N30" s="415">
        <f t="shared" si="3"/>
        <v>0</v>
      </c>
      <c r="O30" s="126"/>
      <c r="P30" s="402" t="str">
        <f t="shared" si="8"/>
        <v/>
      </c>
      <c r="Q30" s="403" t="str">
        <f t="shared" si="9"/>
        <v/>
      </c>
      <c r="R30" s="404" t="str">
        <f t="shared" si="10"/>
        <v/>
      </c>
      <c r="S30" s="405" t="str">
        <f t="shared" si="12"/>
        <v/>
      </c>
      <c r="T30" s="406" t="str">
        <f t="shared" si="13"/>
        <v/>
      </c>
      <c r="U30" s="407" t="str">
        <f t="shared" si="14"/>
        <v/>
      </c>
      <c r="V30" s="429">
        <f>SUMPRODUCT(($C$30="se")*($AB$30))</f>
        <v>0</v>
      </c>
      <c r="W30" s="430">
        <f>SUMPRODUCT(($C$30="se")*($AC$30))</f>
        <v>0</v>
      </c>
      <c r="X30" s="431">
        <f t="shared" si="4"/>
        <v>0</v>
      </c>
      <c r="Y30" s="432">
        <f t="shared" si="5"/>
        <v>0</v>
      </c>
      <c r="Z30" s="433">
        <f>SUMPRODUCT(($C$30="férié")*($AB$30))</f>
        <v>0</v>
      </c>
      <c r="AA30" s="434">
        <f>SUMPRODUCT(($C$30="férié")*($AC$30))</f>
        <v>0</v>
      </c>
      <c r="AB30" s="435">
        <f t="shared" si="15"/>
        <v>0</v>
      </c>
      <c r="AC30" s="436">
        <f t="shared" si="16"/>
        <v>0</v>
      </c>
      <c r="AD30" s="46"/>
      <c r="AE30" s="96" t="s">
        <v>62</v>
      </c>
      <c r="AF30" s="211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">
      <c r="A31" s="28"/>
      <c r="B31" s="188">
        <v>22</v>
      </c>
      <c r="C31" s="57" t="str">
        <f t="shared" si="1"/>
        <v>Se</v>
      </c>
      <c r="D31" s="157">
        <f t="shared" si="11"/>
        <v>42391</v>
      </c>
      <c r="E31" s="119"/>
      <c r="F31" s="119"/>
      <c r="G31" s="120"/>
      <c r="H31" s="120"/>
      <c r="I31" s="232" t="str">
        <f t="shared" si="6"/>
        <v/>
      </c>
      <c r="J31" s="123"/>
      <c r="K31" s="124"/>
      <c r="L31" s="214" t="str">
        <f t="shared" si="7"/>
        <v/>
      </c>
      <c r="M31" s="417" t="str">
        <f t="shared" si="2"/>
        <v/>
      </c>
      <c r="N31" s="415">
        <f t="shared" si="3"/>
        <v>0</v>
      </c>
      <c r="O31" s="126"/>
      <c r="P31" s="402" t="str">
        <f t="shared" si="8"/>
        <v/>
      </c>
      <c r="Q31" s="403" t="str">
        <f t="shared" si="9"/>
        <v/>
      </c>
      <c r="R31" s="404" t="str">
        <f t="shared" si="10"/>
        <v/>
      </c>
      <c r="S31" s="405" t="str">
        <f t="shared" si="12"/>
        <v/>
      </c>
      <c r="T31" s="406" t="str">
        <f t="shared" si="13"/>
        <v/>
      </c>
      <c r="U31" s="407" t="str">
        <f t="shared" si="14"/>
        <v/>
      </c>
      <c r="V31" s="429">
        <f>SUMPRODUCT(($C$31="se")*($AB$31))</f>
        <v>0</v>
      </c>
      <c r="W31" s="430">
        <f>SUMPRODUCT(($C$31="se")*($AC$31))</f>
        <v>0</v>
      </c>
      <c r="X31" s="431">
        <f t="shared" si="4"/>
        <v>0</v>
      </c>
      <c r="Y31" s="432">
        <f t="shared" si="5"/>
        <v>0</v>
      </c>
      <c r="Z31" s="433">
        <f>SUMPRODUCT(($C$31="férié")*($AB$31))</f>
        <v>0</v>
      </c>
      <c r="AA31" s="434">
        <f>SUMPRODUCT(($C$31="férié")*($AC$31))</f>
        <v>0</v>
      </c>
      <c r="AB31" s="435">
        <f t="shared" si="15"/>
        <v>0</v>
      </c>
      <c r="AC31" s="436">
        <f t="shared" si="16"/>
        <v>0</v>
      </c>
      <c r="AD31" s="43"/>
      <c r="AE31" s="300"/>
      <c r="AF31" s="301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188">
        <v>23</v>
      </c>
      <c r="C32" s="57" t="str">
        <f t="shared" si="1"/>
        <v>Se</v>
      </c>
      <c r="D32" s="157">
        <f t="shared" si="11"/>
        <v>42392</v>
      </c>
      <c r="E32" s="119"/>
      <c r="F32" s="119"/>
      <c r="G32" s="120">
        <v>0.95833333333333304</v>
      </c>
      <c r="H32" s="120">
        <v>0.95833333333333304</v>
      </c>
      <c r="I32" s="232">
        <f t="shared" si="6"/>
        <v>1</v>
      </c>
      <c r="J32" s="123"/>
      <c r="K32" s="124"/>
      <c r="L32" s="214">
        <f t="shared" si="7"/>
        <v>1</v>
      </c>
      <c r="M32" s="417" t="str">
        <f t="shared" si="2"/>
        <v/>
      </c>
      <c r="N32" s="415">
        <f t="shared" si="3"/>
        <v>1</v>
      </c>
      <c r="O32" s="126"/>
      <c r="P32" s="402">
        <f t="shared" si="8"/>
        <v>-0.70833333333333304</v>
      </c>
      <c r="Q32" s="403">
        <f t="shared" si="9"/>
        <v>0</v>
      </c>
      <c r="R32" s="404">
        <f t="shared" si="10"/>
        <v>4.1666666666666963E-2</v>
      </c>
      <c r="S32" s="405" t="str">
        <f t="shared" si="12"/>
        <v/>
      </c>
      <c r="T32" s="406" t="str">
        <f t="shared" si="13"/>
        <v/>
      </c>
      <c r="U32" s="407" t="str">
        <f t="shared" si="14"/>
        <v/>
      </c>
      <c r="V32" s="429">
        <f>SUMPRODUCT(($C$32="se")*($AB$32))</f>
        <v>0</v>
      </c>
      <c r="W32" s="430">
        <f>SUMPRODUCT(($C$32="se")*($AC$32))</f>
        <v>-0.66666666666666607</v>
      </c>
      <c r="X32" s="431">
        <f t="shared" si="4"/>
        <v>0</v>
      </c>
      <c r="Y32" s="432">
        <f t="shared" si="5"/>
        <v>0</v>
      </c>
      <c r="Z32" s="433">
        <f>SUMPRODUCT(($C$32="férié")*($AB$32))</f>
        <v>0</v>
      </c>
      <c r="AA32" s="434">
        <f>SUMPRODUCT(($C$32="férié")*($AC$32))</f>
        <v>0</v>
      </c>
      <c r="AB32" s="435">
        <f t="shared" si="15"/>
        <v>0</v>
      </c>
      <c r="AC32" s="436">
        <f t="shared" si="16"/>
        <v>-0.66666666666666607</v>
      </c>
      <c r="AD32" s="46"/>
      <c r="AE32" s="96" t="s">
        <v>63</v>
      </c>
      <c r="AF32" s="211">
        <f>SUM(J10:J40)</f>
        <v>0</v>
      </c>
      <c r="AG32" s="28"/>
      <c r="AH32" s="164"/>
      <c r="AI32" s="302"/>
      <c r="AJ32" s="302"/>
      <c r="AK32" s="302"/>
      <c r="AL32" s="28"/>
      <c r="AM32" s="28"/>
      <c r="AN32" s="28"/>
      <c r="AO32" s="28"/>
      <c r="AP32" s="28"/>
    </row>
    <row r="33" spans="1:47" ht="15" customHeight="1">
      <c r="A33" s="28"/>
      <c r="B33" s="188">
        <v>24</v>
      </c>
      <c r="C33" s="57" t="str">
        <f t="shared" si="1"/>
        <v>Dim</v>
      </c>
      <c r="D33" s="157">
        <f t="shared" si="11"/>
        <v>42393</v>
      </c>
      <c r="E33" s="119"/>
      <c r="F33" s="119"/>
      <c r="G33" s="120"/>
      <c r="H33" s="120"/>
      <c r="I33" s="232" t="str">
        <f t="shared" si="6"/>
        <v/>
      </c>
      <c r="J33" s="123"/>
      <c r="K33" s="124"/>
      <c r="L33" s="214" t="str">
        <f t="shared" si="7"/>
        <v/>
      </c>
      <c r="M33" s="417" t="str">
        <f t="shared" si="2"/>
        <v/>
      </c>
      <c r="N33" s="415">
        <f t="shared" si="3"/>
        <v>0</v>
      </c>
      <c r="O33" s="126"/>
      <c r="P33" s="402" t="str">
        <f t="shared" si="8"/>
        <v/>
      </c>
      <c r="Q33" s="403" t="str">
        <f t="shared" si="9"/>
        <v/>
      </c>
      <c r="R33" s="404" t="str">
        <f t="shared" si="10"/>
        <v/>
      </c>
      <c r="S33" s="405">
        <f t="shared" si="12"/>
        <v>0.25</v>
      </c>
      <c r="T33" s="406">
        <f t="shared" si="13"/>
        <v>0.625</v>
      </c>
      <c r="U33" s="407">
        <f t="shared" si="14"/>
        <v>8.3333333333333037E-2</v>
      </c>
      <c r="V33" s="429">
        <f>SUMPRODUCT(($C$33="se")*($AB$33))</f>
        <v>0</v>
      </c>
      <c r="W33" s="430">
        <f>SUMPRODUCT(($C$33="se")*($AC$33))</f>
        <v>0</v>
      </c>
      <c r="X33" s="431">
        <f t="shared" si="4"/>
        <v>0.625</v>
      </c>
      <c r="Y33" s="432">
        <f t="shared" si="5"/>
        <v>0.33333333333333304</v>
      </c>
      <c r="Z33" s="433">
        <f>SUMPRODUCT(($C$33="férié")*($AB$33))</f>
        <v>0</v>
      </c>
      <c r="AA33" s="434">
        <f>SUMPRODUCT(($C$33="férié")*($AC$33))</f>
        <v>0</v>
      </c>
      <c r="AB33" s="435">
        <f t="shared" si="15"/>
        <v>0.625</v>
      </c>
      <c r="AC33" s="436">
        <f t="shared" si="16"/>
        <v>0.33333333333333304</v>
      </c>
      <c r="AD33" s="46"/>
      <c r="AE33" s="300"/>
      <c r="AF33" s="301"/>
      <c r="AG33" s="28"/>
      <c r="AH33" s="164"/>
      <c r="AI33" s="302"/>
      <c r="AJ33" s="302"/>
      <c r="AK33" s="302"/>
      <c r="AL33" s="28"/>
      <c r="AM33" s="28"/>
      <c r="AN33" s="28"/>
      <c r="AO33" s="28"/>
      <c r="AP33" s="28"/>
    </row>
    <row r="34" spans="1:47" ht="15">
      <c r="A34" s="28"/>
      <c r="B34" s="188">
        <v>25</v>
      </c>
      <c r="C34" s="57" t="str">
        <f t="shared" si="1"/>
        <v>Se</v>
      </c>
      <c r="D34" s="157">
        <f t="shared" si="11"/>
        <v>42394</v>
      </c>
      <c r="E34" s="119"/>
      <c r="F34" s="119"/>
      <c r="G34" s="120"/>
      <c r="H34" s="120"/>
      <c r="I34" s="232" t="str">
        <f t="shared" si="6"/>
        <v/>
      </c>
      <c r="J34" s="123"/>
      <c r="K34" s="124"/>
      <c r="L34" s="214" t="str">
        <f t="shared" si="7"/>
        <v/>
      </c>
      <c r="M34" s="417" t="str">
        <f t="shared" si="2"/>
        <v/>
      </c>
      <c r="N34" s="415">
        <f t="shared" si="3"/>
        <v>0</v>
      </c>
      <c r="O34" s="126"/>
      <c r="P34" s="402" t="str">
        <f t="shared" si="8"/>
        <v/>
      </c>
      <c r="Q34" s="403" t="str">
        <f t="shared" si="9"/>
        <v/>
      </c>
      <c r="R34" s="404" t="str">
        <f t="shared" si="10"/>
        <v/>
      </c>
      <c r="S34" s="405" t="str">
        <f t="shared" si="12"/>
        <v/>
      </c>
      <c r="T34" s="406" t="str">
        <f t="shared" si="13"/>
        <v/>
      </c>
      <c r="U34" s="407" t="str">
        <f t="shared" si="14"/>
        <v/>
      </c>
      <c r="V34" s="429">
        <f>SUMPRODUCT(($C$34="se")*($AB$34))</f>
        <v>0</v>
      </c>
      <c r="W34" s="430">
        <f>SUMPRODUCT(($C$34="se")*($AC$34))</f>
        <v>0</v>
      </c>
      <c r="X34" s="431">
        <f t="shared" si="4"/>
        <v>0</v>
      </c>
      <c r="Y34" s="432">
        <f t="shared" si="5"/>
        <v>0</v>
      </c>
      <c r="Z34" s="433">
        <f>SUMPRODUCT(($C$34="férié")*($AB$34))</f>
        <v>0</v>
      </c>
      <c r="AA34" s="434">
        <f>SUMPRODUCT(($C$34="férié")*($AC$34))</f>
        <v>0</v>
      </c>
      <c r="AB34" s="435">
        <f t="shared" si="15"/>
        <v>0</v>
      </c>
      <c r="AC34" s="436">
        <f t="shared" si="16"/>
        <v>0</v>
      </c>
      <c r="AD34" s="46"/>
      <c r="AE34" s="92" t="s">
        <v>64</v>
      </c>
      <c r="AF34" s="210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">
      <c r="A35" s="28"/>
      <c r="B35" s="188">
        <v>26</v>
      </c>
      <c r="C35" s="57" t="str">
        <f t="shared" si="1"/>
        <v>Se</v>
      </c>
      <c r="D35" s="157">
        <f t="shared" si="11"/>
        <v>42395</v>
      </c>
      <c r="E35" s="119"/>
      <c r="F35" s="119"/>
      <c r="G35" s="120"/>
      <c r="H35" s="120"/>
      <c r="I35" s="232" t="str">
        <f t="shared" si="6"/>
        <v/>
      </c>
      <c r="J35" s="123"/>
      <c r="K35" s="124"/>
      <c r="L35" s="214" t="str">
        <f t="shared" si="7"/>
        <v/>
      </c>
      <c r="M35" s="417" t="str">
        <f t="shared" si="2"/>
        <v/>
      </c>
      <c r="N35" s="415">
        <f t="shared" si="3"/>
        <v>0</v>
      </c>
      <c r="O35" s="126"/>
      <c r="P35" s="402" t="str">
        <f t="shared" si="8"/>
        <v/>
      </c>
      <c r="Q35" s="403" t="str">
        <f t="shared" si="9"/>
        <v/>
      </c>
      <c r="R35" s="404" t="str">
        <f t="shared" si="10"/>
        <v/>
      </c>
      <c r="S35" s="405" t="str">
        <f t="shared" si="12"/>
        <v/>
      </c>
      <c r="T35" s="406" t="str">
        <f t="shared" si="13"/>
        <v/>
      </c>
      <c r="U35" s="407" t="str">
        <f t="shared" si="14"/>
        <v/>
      </c>
      <c r="V35" s="429">
        <f>SUMPRODUCT(($C$35="se")*($AB$35))</f>
        <v>0</v>
      </c>
      <c r="W35" s="430">
        <f>SUMPRODUCT(($C$35="se")*($AC$35))</f>
        <v>0</v>
      </c>
      <c r="X35" s="431">
        <f t="shared" si="4"/>
        <v>0</v>
      </c>
      <c r="Y35" s="432">
        <f t="shared" si="5"/>
        <v>0</v>
      </c>
      <c r="Z35" s="433">
        <f>SUMPRODUCT(($C$35="férié")*($AB$35))</f>
        <v>0</v>
      </c>
      <c r="AA35" s="434">
        <f>SUMPRODUCT(($C$35="férié")*($AC$35))</f>
        <v>0</v>
      </c>
      <c r="AB35" s="435">
        <f t="shared" si="15"/>
        <v>0</v>
      </c>
      <c r="AC35" s="436">
        <f t="shared" si="16"/>
        <v>0</v>
      </c>
      <c r="AD35" s="46"/>
      <c r="AE35" s="280"/>
      <c r="AF35" s="281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">
      <c r="A36" s="28"/>
      <c r="B36" s="188">
        <v>27</v>
      </c>
      <c r="C36" s="57" t="str">
        <f t="shared" si="1"/>
        <v>Se</v>
      </c>
      <c r="D36" s="157">
        <f t="shared" si="11"/>
        <v>42396</v>
      </c>
      <c r="E36" s="119"/>
      <c r="F36" s="119"/>
      <c r="G36" s="120"/>
      <c r="H36" s="120"/>
      <c r="I36" s="232" t="str">
        <f t="shared" si="6"/>
        <v/>
      </c>
      <c r="J36" s="123"/>
      <c r="K36" s="124"/>
      <c r="L36" s="214" t="str">
        <f t="shared" si="7"/>
        <v/>
      </c>
      <c r="M36" s="417" t="str">
        <f t="shared" si="2"/>
        <v/>
      </c>
      <c r="N36" s="415">
        <f t="shared" si="3"/>
        <v>0</v>
      </c>
      <c r="O36" s="126"/>
      <c r="P36" s="402" t="str">
        <f t="shared" si="8"/>
        <v/>
      </c>
      <c r="Q36" s="403" t="str">
        <f t="shared" si="9"/>
        <v/>
      </c>
      <c r="R36" s="404" t="str">
        <f t="shared" si="10"/>
        <v/>
      </c>
      <c r="S36" s="405" t="str">
        <f t="shared" si="12"/>
        <v/>
      </c>
      <c r="T36" s="406" t="str">
        <f t="shared" si="13"/>
        <v/>
      </c>
      <c r="U36" s="407" t="str">
        <f t="shared" si="14"/>
        <v/>
      </c>
      <c r="V36" s="429">
        <f>SUMPRODUCT(($C$36="se")*($AB$36))</f>
        <v>0</v>
      </c>
      <c r="W36" s="430">
        <f>SUMPRODUCT(($C$36="se")*($AC$36))</f>
        <v>0</v>
      </c>
      <c r="X36" s="431">
        <f t="shared" si="4"/>
        <v>0</v>
      </c>
      <c r="Y36" s="432">
        <f t="shared" si="5"/>
        <v>0</v>
      </c>
      <c r="Z36" s="433">
        <f>SUMPRODUCT(($C$36="férié")*($AB$36))</f>
        <v>0</v>
      </c>
      <c r="AA36" s="434">
        <f>SUMPRODUCT(($C$36="férié")*($AC$36))</f>
        <v>0</v>
      </c>
      <c r="AB36" s="435">
        <f t="shared" si="15"/>
        <v>0</v>
      </c>
      <c r="AC36" s="436">
        <f t="shared" si="16"/>
        <v>0</v>
      </c>
      <c r="AD36" s="46"/>
      <c r="AE36" s="92" t="s">
        <v>65</v>
      </c>
      <c r="AF36" s="99">
        <f>COUNTA(G10:G40)</f>
        <v>4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">
      <c r="A37" s="28"/>
      <c r="B37" s="188">
        <v>28</v>
      </c>
      <c r="C37" s="57" t="str">
        <f t="shared" si="1"/>
        <v>Se</v>
      </c>
      <c r="D37" s="157">
        <f t="shared" si="11"/>
        <v>42397</v>
      </c>
      <c r="E37" s="119"/>
      <c r="F37" s="119"/>
      <c r="G37" s="120"/>
      <c r="H37" s="120"/>
      <c r="I37" s="232" t="str">
        <f t="shared" si="6"/>
        <v/>
      </c>
      <c r="J37" s="123"/>
      <c r="K37" s="124"/>
      <c r="L37" s="214" t="str">
        <f t="shared" si="7"/>
        <v/>
      </c>
      <c r="M37" s="417" t="str">
        <f t="shared" si="2"/>
        <v/>
      </c>
      <c r="N37" s="415">
        <f t="shared" si="3"/>
        <v>0</v>
      </c>
      <c r="O37" s="126"/>
      <c r="P37" s="402" t="str">
        <f t="shared" si="8"/>
        <v/>
      </c>
      <c r="Q37" s="403" t="str">
        <f t="shared" si="9"/>
        <v/>
      </c>
      <c r="R37" s="404" t="str">
        <f t="shared" si="10"/>
        <v/>
      </c>
      <c r="S37" s="405" t="str">
        <f t="shared" si="12"/>
        <v/>
      </c>
      <c r="T37" s="406" t="str">
        <f t="shared" si="13"/>
        <v/>
      </c>
      <c r="U37" s="407" t="str">
        <f t="shared" si="14"/>
        <v/>
      </c>
      <c r="V37" s="429">
        <f>SUMPRODUCT(($C$37="se")*($AB$37))</f>
        <v>0</v>
      </c>
      <c r="W37" s="430">
        <f>SUMPRODUCT(($C$37="se")*($AC$37))</f>
        <v>0</v>
      </c>
      <c r="X37" s="431">
        <f t="shared" si="4"/>
        <v>0</v>
      </c>
      <c r="Y37" s="432">
        <f t="shared" si="5"/>
        <v>0</v>
      </c>
      <c r="Z37" s="433">
        <f>SUMPRODUCT(($C$37="férié")*($AB$37))</f>
        <v>0</v>
      </c>
      <c r="AA37" s="434">
        <f>SUMPRODUCT(($C$37="férié")*($AC$37))</f>
        <v>0</v>
      </c>
      <c r="AB37" s="435">
        <f t="shared" si="15"/>
        <v>0</v>
      </c>
      <c r="AC37" s="436">
        <f t="shared" si="16"/>
        <v>0</v>
      </c>
      <c r="AD37" s="46"/>
      <c r="AE37" s="280"/>
      <c r="AF37" s="281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">
      <c r="A38" s="28"/>
      <c r="B38" s="188">
        <v>29</v>
      </c>
      <c r="C38" s="57" t="str">
        <f t="shared" si="1"/>
        <v>Se</v>
      </c>
      <c r="D38" s="157">
        <f t="shared" si="11"/>
        <v>42398</v>
      </c>
      <c r="E38" s="119"/>
      <c r="F38" s="119"/>
      <c r="G38" s="120"/>
      <c r="H38" s="120"/>
      <c r="I38" s="232" t="str">
        <f t="shared" si="6"/>
        <v/>
      </c>
      <c r="J38" s="123"/>
      <c r="K38" s="124"/>
      <c r="L38" s="214" t="str">
        <f t="shared" si="7"/>
        <v/>
      </c>
      <c r="M38" s="417" t="str">
        <f t="shared" si="2"/>
        <v/>
      </c>
      <c r="N38" s="415">
        <f t="shared" si="3"/>
        <v>0</v>
      </c>
      <c r="O38" s="126"/>
      <c r="P38" s="402" t="str">
        <f t="shared" si="8"/>
        <v/>
      </c>
      <c r="Q38" s="403" t="str">
        <f t="shared" si="9"/>
        <v/>
      </c>
      <c r="R38" s="404" t="str">
        <f t="shared" si="10"/>
        <v/>
      </c>
      <c r="S38" s="405" t="str">
        <f t="shared" si="12"/>
        <v/>
      </c>
      <c r="T38" s="406" t="str">
        <f t="shared" si="13"/>
        <v/>
      </c>
      <c r="U38" s="407" t="str">
        <f t="shared" si="14"/>
        <v/>
      </c>
      <c r="V38" s="429">
        <f>SUMPRODUCT(($C$38="se")*($AB$38))</f>
        <v>0</v>
      </c>
      <c r="W38" s="430">
        <f>SUMPRODUCT(($C$38="se")*($AC$38))</f>
        <v>0</v>
      </c>
      <c r="X38" s="431">
        <f t="shared" si="4"/>
        <v>0</v>
      </c>
      <c r="Y38" s="432">
        <f t="shared" si="5"/>
        <v>0</v>
      </c>
      <c r="Z38" s="433">
        <f>SUMPRODUCT(($C$38="férié")*($AB$38))</f>
        <v>0</v>
      </c>
      <c r="AA38" s="434">
        <f>SUMPRODUCT(($C$38="férié")*($AC$38))</f>
        <v>0</v>
      </c>
      <c r="AB38" s="435">
        <f t="shared" si="15"/>
        <v>0</v>
      </c>
      <c r="AC38" s="436">
        <f t="shared" si="16"/>
        <v>0</v>
      </c>
      <c r="AD38" s="46"/>
      <c r="AE38" s="102" t="s">
        <v>66</v>
      </c>
      <c r="AF38" s="210">
        <f>SUM(M10:M40)</f>
        <v>1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thickBot="1">
      <c r="A39" s="28"/>
      <c r="B39" s="188">
        <v>30</v>
      </c>
      <c r="C39" s="57" t="str">
        <f t="shared" si="1"/>
        <v>Se</v>
      </c>
      <c r="D39" s="157">
        <f t="shared" si="11"/>
        <v>42399</v>
      </c>
      <c r="E39" s="119"/>
      <c r="F39" s="119"/>
      <c r="G39" s="120"/>
      <c r="H39" s="120"/>
      <c r="I39" s="232" t="str">
        <f t="shared" si="6"/>
        <v/>
      </c>
      <c r="J39" s="123"/>
      <c r="K39" s="124"/>
      <c r="L39" s="214" t="str">
        <f t="shared" si="7"/>
        <v/>
      </c>
      <c r="M39" s="417" t="str">
        <f t="shared" si="2"/>
        <v/>
      </c>
      <c r="N39" s="415">
        <f t="shared" si="3"/>
        <v>0</v>
      </c>
      <c r="O39" s="126"/>
      <c r="P39" s="402" t="str">
        <f t="shared" si="8"/>
        <v/>
      </c>
      <c r="Q39" s="403" t="str">
        <f t="shared" si="9"/>
        <v/>
      </c>
      <c r="R39" s="404" t="str">
        <f t="shared" si="10"/>
        <v/>
      </c>
      <c r="S39" s="405" t="str">
        <f t="shared" si="12"/>
        <v/>
      </c>
      <c r="T39" s="406" t="str">
        <f t="shared" si="13"/>
        <v/>
      </c>
      <c r="U39" s="407" t="str">
        <f t="shared" si="14"/>
        <v/>
      </c>
      <c r="V39" s="429">
        <f>SUMPRODUCT(($C$39="se")*($AB$39))</f>
        <v>0</v>
      </c>
      <c r="W39" s="430">
        <f>SUMPRODUCT(($C$39="se")*($AC$39))</f>
        <v>0</v>
      </c>
      <c r="X39" s="431">
        <f t="shared" si="4"/>
        <v>0</v>
      </c>
      <c r="Y39" s="432">
        <f t="shared" si="5"/>
        <v>0</v>
      </c>
      <c r="Z39" s="433">
        <f>SUMPRODUCT(($C$39="férié")*($AB$39))</f>
        <v>0</v>
      </c>
      <c r="AA39" s="434">
        <f>SUMPRODUCT(($C$39="férié")*($AC$39))</f>
        <v>0</v>
      </c>
      <c r="AB39" s="435">
        <f t="shared" si="15"/>
        <v>0</v>
      </c>
      <c r="AC39" s="436">
        <f t="shared" si="16"/>
        <v>0</v>
      </c>
      <c r="AD39" s="46"/>
      <c r="AE39" s="296"/>
      <c r="AF39" s="297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" thickBot="1">
      <c r="A40" s="28"/>
      <c r="B40" s="190">
        <v>31</v>
      </c>
      <c r="C40" s="57" t="str">
        <f t="shared" si="1"/>
        <v>Dim</v>
      </c>
      <c r="D40" s="192">
        <f t="shared" si="11"/>
        <v>42400</v>
      </c>
      <c r="E40" s="193"/>
      <c r="F40" s="193"/>
      <c r="G40" s="194"/>
      <c r="H40" s="194"/>
      <c r="I40" s="233" t="str">
        <f t="shared" si="6"/>
        <v/>
      </c>
      <c r="J40" s="195"/>
      <c r="K40" s="196"/>
      <c r="L40" s="215" t="str">
        <f t="shared" si="7"/>
        <v/>
      </c>
      <c r="M40" s="419" t="str">
        <f t="shared" si="2"/>
        <v/>
      </c>
      <c r="N40" s="416">
        <f t="shared" si="3"/>
        <v>0</v>
      </c>
      <c r="O40" s="197"/>
      <c r="P40" s="408" t="str">
        <f t="shared" si="8"/>
        <v/>
      </c>
      <c r="Q40" s="409" t="str">
        <f t="shared" si="9"/>
        <v/>
      </c>
      <c r="R40" s="410" t="str">
        <f t="shared" si="10"/>
        <v/>
      </c>
      <c r="S40" s="411" t="str">
        <f t="shared" si="12"/>
        <v/>
      </c>
      <c r="T40" s="412" t="str">
        <f t="shared" si="13"/>
        <v/>
      </c>
      <c r="U40" s="413" t="str">
        <f t="shared" si="14"/>
        <v/>
      </c>
      <c r="V40" s="437">
        <f>SUMPRODUCT(($C$40="se")*($AB$40))</f>
        <v>0</v>
      </c>
      <c r="W40" s="438">
        <f>SUMPRODUCT(($C$40="se")*($AC$40))</f>
        <v>0</v>
      </c>
      <c r="X40" s="439">
        <f t="shared" si="4"/>
        <v>0</v>
      </c>
      <c r="Y40" s="440">
        <f t="shared" si="5"/>
        <v>0</v>
      </c>
      <c r="Z40" s="441">
        <f>SUMPRODUCT(($C$40="férié")*($AB$40))</f>
        <v>0</v>
      </c>
      <c r="AA40" s="442">
        <f>SUMPRODUCT(($C$40="férié")*($AC$40))</f>
        <v>0</v>
      </c>
      <c r="AB40" s="443">
        <f t="shared" si="15"/>
        <v>0</v>
      </c>
      <c r="AC40" s="444">
        <f t="shared" si="16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" thickBot="1">
      <c r="A41" s="45"/>
      <c r="B41" s="191" t="s">
        <v>60</v>
      </c>
      <c r="C41" s="189"/>
      <c r="D41" s="198">
        <f>COUNTA(D10:D40)</f>
        <v>31</v>
      </c>
      <c r="E41" s="198">
        <f>COUNTA(E10:E40)</f>
        <v>1</v>
      </c>
      <c r="F41" s="198">
        <f>COUNTA(F10:F40)</f>
        <v>1</v>
      </c>
      <c r="G41" s="198">
        <f>COUNTA(G10:G40)</f>
        <v>4</v>
      </c>
      <c r="H41" s="198">
        <f>COUNTA(H10:H40)</f>
        <v>4</v>
      </c>
      <c r="I41" s="420">
        <f>SUM(I10:I40)</f>
        <v>4</v>
      </c>
      <c r="J41" s="199">
        <f t="shared" ref="J41:M41" si="17">SUM(J10:J40)</f>
        <v>0</v>
      </c>
      <c r="K41" s="199">
        <f t="shared" si="17"/>
        <v>0</v>
      </c>
      <c r="L41" s="200">
        <f t="shared" si="17"/>
        <v>4</v>
      </c>
      <c r="M41" s="207">
        <f t="shared" si="17"/>
        <v>1</v>
      </c>
      <c r="N41" s="207">
        <f>SUM(N10:N40)</f>
        <v>4</v>
      </c>
      <c r="O41" s="201"/>
      <c r="P41" s="202">
        <f t="shared" ref="P41:R41" si="18">SUM(P10:P40)</f>
        <v>-1.6249999999999991</v>
      </c>
      <c r="Q41" s="199">
        <f t="shared" si="18"/>
        <v>0.79166666666666696</v>
      </c>
      <c r="R41" s="203">
        <f t="shared" si="18"/>
        <v>0.33333333333333393</v>
      </c>
      <c r="S41" s="204">
        <f>SUM(S10:S40)</f>
        <v>0.75</v>
      </c>
      <c r="T41" s="199">
        <f>SUM(T10:T40)</f>
        <v>1.708333333333333</v>
      </c>
      <c r="U41" s="203">
        <f>SUM(U10:U40)</f>
        <v>0.16666666666666607</v>
      </c>
      <c r="V41" s="208">
        <f>SUMIF(D10:D40,"&gt;0",V10:V40)</f>
        <v>1.416666666666667</v>
      </c>
      <c r="W41" s="208">
        <f>SUMIF(D10:D40,"&gt;0",W10:W40)</f>
        <v>-0.29166666666666607</v>
      </c>
      <c r="X41" s="208">
        <f>SUMPRODUCT((WEEKDAY($D$10:$D$40)=1)*($AB$10:$AB$40))</f>
        <v>1.083333333333333</v>
      </c>
      <c r="Y41" s="208">
        <f>SUMPRODUCT(($C$10:$C$40="dim")*($AC$10:$AC$40))</f>
        <v>0.58333333333333304</v>
      </c>
      <c r="Z41" s="208">
        <f>SUMPRODUCT(($C$10:$C$40="férié")*($Z$10:$Z$40))</f>
        <v>0</v>
      </c>
      <c r="AA41" s="208">
        <f>SUMPRODUCT(($C$10:$C$40="férié")*($AA$10:$AA$40))</f>
        <v>-0.66666666666666607</v>
      </c>
      <c r="AB41" s="208">
        <f>SUMIF(D10:D40,"&gt;0",AB10:AB40)</f>
        <v>2.5</v>
      </c>
      <c r="AC41" s="209">
        <f>SUMIF(D10:D40,"&gt;0",AC10:AC40)</f>
        <v>-0.37499999999999911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25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25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25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25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25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25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25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AJ22:AK22"/>
    <mergeCell ref="AH22:AI22"/>
    <mergeCell ref="AH24:AI24"/>
    <mergeCell ref="AE35:AF35"/>
    <mergeCell ref="AE37:AF37"/>
    <mergeCell ref="AE23:AF23"/>
    <mergeCell ref="AH23:AI23"/>
    <mergeCell ref="AJ23:AK23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X9:Y9"/>
    <mergeCell ref="Z9:AA9"/>
    <mergeCell ref="AB9:AC9"/>
    <mergeCell ref="AE9:AF9"/>
    <mergeCell ref="AE11:AF11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AB3:AC3"/>
    <mergeCell ref="D3:D4"/>
    <mergeCell ref="E3:F4"/>
    <mergeCell ref="V3:W3"/>
    <mergeCell ref="X3:Y3"/>
    <mergeCell ref="Z3:AA3"/>
  </mergeCells>
  <phoneticPr fontId="66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AC40">
    <cfRule type="expression" dxfId="0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4" x14ac:dyDescent="0"/>
  <cols>
    <col min="2" max="2" width="24.33203125" customWidth="1"/>
    <col min="3" max="3" width="15.5" customWidth="1"/>
    <col min="5" max="5" width="11.33203125" customWidth="1"/>
    <col min="6" max="6" width="26.6640625" customWidth="1"/>
    <col min="8" max="8" width="12.83203125" customWidth="1"/>
    <col min="9" max="9" width="23.6640625" customWidth="1"/>
  </cols>
  <sheetData>
    <row r="1" spans="1:38">
      <c r="A1" s="311" t="s">
        <v>111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</row>
    <row r="2" spans="1:38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</row>
    <row r="3" spans="1:38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</row>
    <row r="4" spans="1:38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</row>
    <row r="6" spans="1:38" ht="15" thickBot="1">
      <c r="A6" s="136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">
      <c r="A7" s="28"/>
      <c r="B7" s="28"/>
      <c r="C7" s="28"/>
      <c r="D7" s="28"/>
      <c r="E7" s="28"/>
      <c r="F7" s="248" t="s">
        <v>110</v>
      </c>
      <c r="G7" s="249"/>
      <c r="H7" s="28"/>
      <c r="I7" s="312" t="s">
        <v>17</v>
      </c>
      <c r="J7" s="313"/>
      <c r="K7" s="313"/>
      <c r="L7" s="31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8">
      <c r="A8" s="28"/>
      <c r="B8" s="28"/>
      <c r="C8" s="28"/>
      <c r="D8" s="28"/>
      <c r="E8" s="28"/>
      <c r="F8" s="92" t="s">
        <v>2</v>
      </c>
      <c r="G8" s="93" t="e">
        <f>SUM(Janvier!AF4,#REF!,#REF!,#REF!,#REF!,#REF!,#REF!,#REF!,#REF!,#REF!,#REF!,#REF!)</f>
        <v>#REF!</v>
      </c>
      <c r="H8" s="28"/>
      <c r="I8" s="105"/>
      <c r="J8" s="106" t="s">
        <v>34</v>
      </c>
      <c r="K8" s="107" t="s">
        <v>23</v>
      </c>
      <c r="L8" s="108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258"/>
      <c r="G9" s="259"/>
      <c r="H9" s="28"/>
      <c r="I9" s="21" t="s">
        <v>1</v>
      </c>
      <c r="J9" s="22" t="e">
        <f>SUM(Janvier!AF10,#REF!,#REF!,#REF!,#REF!,#REF!,#REF!,#REF!,#REF!,#REF!,#REF!,#REF!)*24</f>
        <v>#REF!</v>
      </c>
      <c r="K9" s="112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2" t="s">
        <v>67</v>
      </c>
      <c r="G10" s="94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13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268"/>
      <c r="G11" s="269"/>
      <c r="H11" s="28"/>
      <c r="I11" s="10" t="s">
        <v>20</v>
      </c>
      <c r="J11" s="2" t="e">
        <f>SUM(Janvier!AF18,#REF!,#REF!,#REF!,#REF!,#REF!,#REF!,#REF!,#REF!,#REF!,#REF!,#REF!)*24</f>
        <v>#REF!</v>
      </c>
      <c r="K11" s="113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2" t="s">
        <v>61</v>
      </c>
      <c r="G12" s="93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13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268"/>
      <c r="G13" s="269"/>
      <c r="H13" s="28"/>
      <c r="I13" s="10" t="s">
        <v>21</v>
      </c>
      <c r="J13" s="2" t="e">
        <f>SUM(Janvier!AF24,#REF!,#REF!,#REF!,#REF!,#REF!,#REF!,#REF!,#REF!,#REF!,#REF!,#REF!)*24</f>
        <v>#REF!</v>
      </c>
      <c r="K13" s="113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2" t="s">
        <v>71</v>
      </c>
      <c r="G14" s="95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13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" thickBot="1">
      <c r="A15" s="28"/>
      <c r="B15" s="28"/>
      <c r="C15" s="28"/>
      <c r="D15" s="28"/>
      <c r="E15" s="28"/>
      <c r="F15" s="294"/>
      <c r="G15" s="295"/>
      <c r="H15" s="28"/>
      <c r="I15" s="13" t="s">
        <v>24</v>
      </c>
      <c r="J15" s="14" t="e">
        <f>SUM(J10+J12)</f>
        <v>#REF!</v>
      </c>
      <c r="K15" s="114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" thickBot="1">
      <c r="A16" s="28"/>
      <c r="B16" s="28"/>
      <c r="C16" s="28"/>
      <c r="D16" s="28"/>
      <c r="E16" s="28"/>
      <c r="F16" s="92" t="s">
        <v>72</v>
      </c>
      <c r="G16" s="95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" thickBot="1">
      <c r="A17" s="28"/>
      <c r="B17" s="28"/>
      <c r="C17" s="28"/>
      <c r="D17" s="28"/>
      <c r="E17" s="28"/>
      <c r="F17" s="280"/>
      <c r="G17" s="281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6" t="s">
        <v>81</v>
      </c>
      <c r="G18" s="97" t="e">
        <f>SUM(Janvier!AF14,#REF!,#REF!,#REF!,#REF!,#REF!,#REF!,#REF!,#REF!,#REF!,#REF!,#REF!)</f>
        <v>#REF!</v>
      </c>
      <c r="H18" s="28"/>
      <c r="I18" s="315" t="s">
        <v>16</v>
      </c>
      <c r="J18" s="316"/>
      <c r="K18" s="316"/>
      <c r="L18" s="317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268"/>
      <c r="G19" s="269"/>
      <c r="H19" s="28"/>
      <c r="I19" s="109"/>
      <c r="J19" s="110" t="s">
        <v>11</v>
      </c>
      <c r="K19" s="110" t="s">
        <v>23</v>
      </c>
      <c r="L19" s="111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6" t="s">
        <v>75</v>
      </c>
      <c r="G20" s="98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5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" thickBot="1">
      <c r="A21" s="28"/>
      <c r="B21" s="28"/>
      <c r="C21" s="28"/>
      <c r="D21" s="28"/>
      <c r="E21" s="28"/>
      <c r="F21" s="268"/>
      <c r="G21" s="269"/>
      <c r="H21" s="28"/>
      <c r="I21" s="18" t="s">
        <v>77</v>
      </c>
      <c r="J21" s="89" t="e">
        <f>SUM(Janvier!AF38,#REF!,#REF!,#REF!,#REF!,#REF!,#REF!,#REF!,#REF!,#REF!,#REF!,#REF!)</f>
        <v>#REF!</v>
      </c>
      <c r="K21" s="114">
        <v>0.81</v>
      </c>
      <c r="L21" s="104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" thickBot="1">
      <c r="A22" s="28"/>
      <c r="B22" s="28"/>
      <c r="C22" s="28"/>
      <c r="D22" s="28"/>
      <c r="E22" s="28"/>
      <c r="F22" s="92" t="s">
        <v>73</v>
      </c>
      <c r="G22" s="95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7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80"/>
      <c r="G23" s="281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2" t="s">
        <v>74</v>
      </c>
      <c r="G24" s="95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80"/>
      <c r="G25" s="281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2" t="s">
        <v>80</v>
      </c>
      <c r="G26" s="99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309"/>
      <c r="G27" s="310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2" t="s">
        <v>68</v>
      </c>
      <c r="G28" s="95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80"/>
      <c r="G29" s="281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2" t="s">
        <v>69</v>
      </c>
      <c r="G30" s="95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80"/>
      <c r="G31" s="281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2" t="s">
        <v>70</v>
      </c>
      <c r="G32" s="95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80"/>
      <c r="G33" s="281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6" t="s">
        <v>62</v>
      </c>
      <c r="G34" s="100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300"/>
      <c r="G35" s="301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6" t="s">
        <v>63</v>
      </c>
      <c r="G36" s="100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300"/>
      <c r="G37" s="301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2" t="s">
        <v>64</v>
      </c>
      <c r="G38" s="101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80"/>
      <c r="G39" s="281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2" t="s">
        <v>65</v>
      </c>
      <c r="G40" s="99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80"/>
      <c r="G41" s="281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02" t="s">
        <v>66</v>
      </c>
      <c r="G42" s="101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" thickBot="1">
      <c r="A43" s="28"/>
      <c r="B43" s="28"/>
      <c r="C43" s="28"/>
      <c r="D43" s="28"/>
      <c r="E43" s="28"/>
      <c r="F43" s="296"/>
      <c r="G43" s="29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  <mergeCell ref="F27:G27"/>
    <mergeCell ref="F17:G17"/>
    <mergeCell ref="F19:G19"/>
    <mergeCell ref="F21:G21"/>
    <mergeCell ref="F23:G23"/>
    <mergeCell ref="F25:G2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N38" sqref="N38"/>
    </sheetView>
  </sheetViews>
  <sheetFormatPr baseColWidth="10" defaultRowHeight="14" x14ac:dyDescent="0"/>
  <cols>
    <col min="1" max="1" width="2.33203125" customWidth="1"/>
    <col min="2" max="2" width="2.5" customWidth="1"/>
    <col min="3" max="3" width="2.83203125" customWidth="1"/>
    <col min="4" max="5" width="10.83203125" style="7"/>
    <col min="6" max="6" width="11.33203125" style="78" customWidth="1"/>
    <col min="7" max="7" width="12.5" style="7" customWidth="1"/>
    <col min="8" max="8" width="12.1640625" customWidth="1"/>
    <col min="10" max="10" width="17.6640625" customWidth="1"/>
    <col min="13" max="13" width="18.33203125" bestFit="1" customWidth="1"/>
    <col min="14" max="14" width="26.5" bestFit="1" customWidth="1"/>
    <col min="15" max="15" width="2.83203125" customWidth="1"/>
    <col min="16" max="16" width="3.5" customWidth="1"/>
    <col min="17" max="17" width="14.1640625" customWidth="1"/>
    <col min="18" max="18" width="11.5" customWidth="1"/>
    <col min="20" max="20" width="13.83203125" customWidth="1"/>
    <col min="21" max="21" width="12.6640625" customWidth="1"/>
    <col min="22" max="22" width="5.5" customWidth="1"/>
  </cols>
  <sheetData>
    <row r="1" spans="1:42">
      <c r="A1" s="177"/>
      <c r="B1" s="139"/>
      <c r="C1" s="140"/>
      <c r="D1" s="8" t="s">
        <v>84</v>
      </c>
      <c r="E1" s="8" t="s">
        <v>33</v>
      </c>
      <c r="F1" s="146"/>
      <c r="G1" s="133" t="s">
        <v>13</v>
      </c>
      <c r="H1" s="9" t="s">
        <v>26</v>
      </c>
      <c r="I1" s="28"/>
      <c r="J1" s="43"/>
      <c r="K1" s="153"/>
      <c r="L1" s="28"/>
      <c r="M1" s="170">
        <f>An</f>
        <v>2016</v>
      </c>
      <c r="N1" s="174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4">
        <v>0</v>
      </c>
      <c r="E2" s="134">
        <v>1.0416666666666666E-2</v>
      </c>
      <c r="F2" s="147"/>
      <c r="G2" s="128" t="s">
        <v>56</v>
      </c>
      <c r="H2" s="130" t="s">
        <v>125</v>
      </c>
      <c r="I2" s="28"/>
      <c r="J2" s="141"/>
      <c r="K2" s="141"/>
      <c r="L2" s="28"/>
      <c r="M2" s="171" t="s">
        <v>88</v>
      </c>
      <c r="N2" s="167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4">
        <v>2.0833333333333332E-2</v>
      </c>
      <c r="E3" s="134">
        <v>2.0833333333333332E-2</v>
      </c>
      <c r="F3" s="147"/>
      <c r="G3" s="128" t="s">
        <v>57</v>
      </c>
      <c r="H3" s="131" t="s">
        <v>27</v>
      </c>
      <c r="I3" s="28"/>
      <c r="J3" s="43"/>
      <c r="K3" s="43"/>
      <c r="L3" s="28"/>
      <c r="M3" s="172" t="s">
        <v>89</v>
      </c>
      <c r="N3" s="168">
        <f>FLOOR(DAY(MINUTE(An/38)/2+56)&amp;"/5/"&amp;An,7)-34</f>
        <v>42456</v>
      </c>
      <c r="O3" s="28"/>
      <c r="P3" s="28"/>
      <c r="Q3" s="322" t="s">
        <v>107</v>
      </c>
      <c r="R3" s="322"/>
      <c r="S3" s="322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4">
        <v>4.1666666666666664E-2</v>
      </c>
      <c r="E4" s="134">
        <v>3.125E-2</v>
      </c>
      <c r="F4" s="147"/>
      <c r="G4" s="128" t="s">
        <v>58</v>
      </c>
      <c r="H4" s="131" t="s">
        <v>8</v>
      </c>
      <c r="I4" s="28"/>
      <c r="J4" s="141"/>
      <c r="K4" s="141"/>
      <c r="L4" s="28"/>
      <c r="M4" s="172" t="s">
        <v>90</v>
      </c>
      <c r="N4" s="168">
        <f>Paques+1</f>
        <v>42457</v>
      </c>
      <c r="O4" s="28"/>
      <c r="P4" s="28"/>
      <c r="Q4" s="322"/>
      <c r="R4" s="322"/>
      <c r="S4" s="322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4">
        <v>6.25E-2</v>
      </c>
      <c r="E5" s="134">
        <v>4.1666666666666664E-2</v>
      </c>
      <c r="F5" s="147"/>
      <c r="G5" s="128" t="s">
        <v>59</v>
      </c>
      <c r="H5" s="131" t="s">
        <v>9</v>
      </c>
      <c r="I5" s="28"/>
      <c r="J5" s="141"/>
      <c r="K5" s="141"/>
      <c r="L5" s="28"/>
      <c r="M5" s="172" t="s">
        <v>91</v>
      </c>
      <c r="N5" s="168">
        <f>DATE(An,5,1)</f>
        <v>42491</v>
      </c>
      <c r="O5" s="28"/>
      <c r="P5" s="28"/>
      <c r="Q5" s="79" t="s">
        <v>106</v>
      </c>
      <c r="R5" s="79"/>
      <c r="S5" s="79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4">
        <v>8.3333333333333301E-2</v>
      </c>
      <c r="E6" s="134">
        <v>5.2083333333333336E-2</v>
      </c>
      <c r="F6" s="147"/>
      <c r="G6" s="128" t="s">
        <v>79</v>
      </c>
      <c r="H6" s="132" t="s">
        <v>118</v>
      </c>
      <c r="I6" s="28"/>
      <c r="J6" s="141"/>
      <c r="K6" s="43"/>
      <c r="L6" s="28"/>
      <c r="M6" s="172" t="s">
        <v>92</v>
      </c>
      <c r="N6" s="168">
        <f>DATE(An,5,8)</f>
        <v>42498</v>
      </c>
      <c r="O6" s="28"/>
      <c r="P6" s="28"/>
      <c r="Q6" s="80" t="s">
        <v>101</v>
      </c>
      <c r="R6" s="80" t="s">
        <v>102</v>
      </c>
      <c r="S6" s="80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4">
        <v>0.104166666666667</v>
      </c>
      <c r="E7" s="134">
        <v>6.25E-2</v>
      </c>
      <c r="F7" s="147"/>
      <c r="G7" s="128" t="s">
        <v>6</v>
      </c>
      <c r="H7" s="150"/>
      <c r="I7" s="28"/>
      <c r="J7" s="141"/>
      <c r="K7" s="43"/>
      <c r="L7" s="28"/>
      <c r="M7" s="172" t="s">
        <v>93</v>
      </c>
      <c r="N7" s="168">
        <f>Paques+39</f>
        <v>42495</v>
      </c>
      <c r="O7" s="28"/>
      <c r="P7" s="28"/>
      <c r="Q7" s="80" t="s">
        <v>15</v>
      </c>
      <c r="R7" s="80" t="s">
        <v>103</v>
      </c>
      <c r="S7" s="80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4">
        <v>0.125</v>
      </c>
      <c r="E8" s="134">
        <v>7.2916666666666671E-2</v>
      </c>
      <c r="F8" s="147"/>
      <c r="G8" s="129" t="s">
        <v>14</v>
      </c>
      <c r="H8" s="150"/>
      <c r="I8" s="28"/>
      <c r="J8" s="141"/>
      <c r="K8" s="43"/>
      <c r="L8" s="28"/>
      <c r="M8" s="172" t="s">
        <v>94</v>
      </c>
      <c r="N8" s="168">
        <f>Paques+49</f>
        <v>42505</v>
      </c>
      <c r="O8" s="28"/>
      <c r="P8" s="28"/>
      <c r="Q8" s="80" t="s">
        <v>104</v>
      </c>
      <c r="R8" s="80" t="s">
        <v>105</v>
      </c>
      <c r="S8" s="80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" thickBot="1">
      <c r="A9" s="28"/>
      <c r="B9" s="28"/>
      <c r="C9" s="28"/>
      <c r="D9" s="134">
        <v>0.14583333333333301</v>
      </c>
      <c r="E9" s="134">
        <v>8.3333333333333329E-2</v>
      </c>
      <c r="F9" s="148"/>
      <c r="G9" s="175"/>
      <c r="H9" s="176"/>
      <c r="I9" s="28"/>
      <c r="J9" s="141"/>
      <c r="K9" s="43"/>
      <c r="L9" s="28"/>
      <c r="M9" s="172" t="s">
        <v>95</v>
      </c>
      <c r="N9" s="168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" thickBot="1">
      <c r="A10" s="28"/>
      <c r="B10" s="28"/>
      <c r="C10" s="28"/>
      <c r="D10" s="134">
        <v>0.16666666666666699</v>
      </c>
      <c r="E10" s="134">
        <v>9.375E-2</v>
      </c>
      <c r="F10" s="148"/>
      <c r="G10" s="320" t="s">
        <v>121</v>
      </c>
      <c r="H10" s="321"/>
      <c r="I10" s="28"/>
      <c r="J10" s="141"/>
      <c r="K10" s="43"/>
      <c r="L10" s="28"/>
      <c r="M10" s="172" t="s">
        <v>96</v>
      </c>
      <c r="N10" s="168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4">
        <v>0.1875</v>
      </c>
      <c r="E11" s="134">
        <v>0.10416666666666667</v>
      </c>
      <c r="F11" s="148"/>
      <c r="G11" s="175"/>
      <c r="H11" s="176"/>
      <c r="I11" s="28"/>
      <c r="J11" s="141"/>
      <c r="K11" s="43"/>
      <c r="L11" s="28"/>
      <c r="M11" s="172" t="s">
        <v>97</v>
      </c>
      <c r="N11" s="168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4">
        <v>0.20833333333333301</v>
      </c>
      <c r="E12" s="134">
        <v>0.11458333333333333</v>
      </c>
      <c r="F12" s="148"/>
      <c r="G12" s="175"/>
      <c r="H12" s="176"/>
      <c r="I12" s="165"/>
      <c r="J12" s="165"/>
      <c r="K12" s="165"/>
      <c r="L12" s="28"/>
      <c r="M12" s="172" t="s">
        <v>98</v>
      </c>
      <c r="N12" s="168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" customHeight="1">
      <c r="A13" s="28"/>
      <c r="B13" s="28"/>
      <c r="C13" s="28"/>
      <c r="D13" s="134">
        <v>0.22916666666666699</v>
      </c>
      <c r="E13" s="134">
        <v>0.125</v>
      </c>
      <c r="F13" s="149"/>
      <c r="G13" s="175"/>
      <c r="H13" s="176"/>
      <c r="I13" s="165"/>
      <c r="J13" s="165"/>
      <c r="K13" s="165"/>
      <c r="L13" s="28"/>
      <c r="M13" s="172" t="s">
        <v>99</v>
      </c>
      <c r="N13" s="168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4">
        <v>0.25</v>
      </c>
      <c r="E14" s="134">
        <v>0.13541666666666666</v>
      </c>
      <c r="F14" s="37"/>
      <c r="G14" s="175"/>
      <c r="H14" s="136"/>
      <c r="I14" s="165"/>
      <c r="J14" s="165"/>
      <c r="K14" s="165"/>
      <c r="L14" s="151"/>
      <c r="M14" s="173" t="s">
        <v>100</v>
      </c>
      <c r="N14" s="169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4">
        <v>0.27083333333333298</v>
      </c>
      <c r="E15" s="134">
        <v>0.14583333333333334</v>
      </c>
      <c r="F15" s="37"/>
      <c r="G15" s="154"/>
      <c r="H15" s="28"/>
      <c r="I15" s="166"/>
      <c r="J15" s="166"/>
      <c r="K15" s="166"/>
      <c r="L15" s="152"/>
      <c r="M15" s="43"/>
      <c r="N15" s="43"/>
      <c r="O15" s="28"/>
      <c r="P15" s="28"/>
      <c r="Q15" s="331" t="s">
        <v>117</v>
      </c>
      <c r="R15" s="332"/>
      <c r="S15" s="335">
        <f ca="1">TODAY()</f>
        <v>42349</v>
      </c>
      <c r="T15" s="336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" thickBot="1">
      <c r="A16" s="54"/>
      <c r="B16" s="54"/>
      <c r="C16" s="28"/>
      <c r="D16" s="134">
        <v>0.29166666666666702</v>
      </c>
      <c r="E16" s="134">
        <v>0.15625</v>
      </c>
      <c r="F16" s="37"/>
      <c r="G16" s="143"/>
      <c r="H16" s="28"/>
      <c r="I16" s="166"/>
      <c r="J16" s="166"/>
      <c r="K16" s="166"/>
      <c r="L16" s="28"/>
      <c r="M16" s="43"/>
      <c r="N16" s="43"/>
      <c r="O16" s="28"/>
      <c r="P16" s="28"/>
      <c r="Q16" s="333"/>
      <c r="R16" s="334"/>
      <c r="S16" s="337"/>
      <c r="T16" s="33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4">
        <v>0.3125</v>
      </c>
      <c r="E17" s="134">
        <v>0.16666666666666666</v>
      </c>
      <c r="F17" s="37"/>
      <c r="G17" s="143"/>
      <c r="H17" s="28"/>
      <c r="I17" s="28"/>
      <c r="J17" s="141"/>
      <c r="K17" s="43"/>
      <c r="L17" s="43"/>
      <c r="M17" s="43"/>
      <c r="N17" s="43"/>
      <c r="O17" s="43"/>
      <c r="P17" s="127"/>
      <c r="Q17" s="144"/>
      <c r="R17" s="144"/>
      <c r="S17" s="144"/>
      <c r="T17" s="127"/>
      <c r="U17" s="127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" thickBot="1">
      <c r="A18" s="28"/>
      <c r="B18" s="28"/>
      <c r="C18" s="28"/>
      <c r="D18" s="134">
        <v>0.33333333333333298</v>
      </c>
      <c r="E18" s="134">
        <v>0.17708333333333334</v>
      </c>
      <c r="F18" s="37"/>
      <c r="G18" s="143"/>
      <c r="H18" s="28"/>
      <c r="I18" s="28"/>
      <c r="J18" s="43"/>
      <c r="K18" s="43"/>
      <c r="L18" s="43"/>
      <c r="M18" s="43"/>
      <c r="N18" s="43"/>
      <c r="O18" s="43"/>
      <c r="P18" s="127"/>
      <c r="Q18" s="127"/>
      <c r="R18" s="127"/>
      <c r="S18" s="127"/>
      <c r="T18" s="127"/>
      <c r="U18" s="127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" thickBot="1">
      <c r="A19" s="28"/>
      <c r="B19" s="28"/>
      <c r="C19" s="28"/>
      <c r="D19" s="134">
        <v>0.35416666666666702</v>
      </c>
      <c r="E19" s="134">
        <v>0.1875</v>
      </c>
      <c r="F19" s="37"/>
      <c r="G19" s="143"/>
      <c r="H19" s="28"/>
      <c r="I19" s="28"/>
      <c r="J19" s="28"/>
      <c r="K19" s="28"/>
      <c r="L19" s="43"/>
      <c r="M19" s="43"/>
      <c r="N19" s="43"/>
      <c r="O19" s="43"/>
      <c r="P19" s="127"/>
      <c r="Q19" s="329" t="s">
        <v>82</v>
      </c>
      <c r="R19" s="330"/>
      <c r="S19" s="330"/>
      <c r="T19" s="330"/>
      <c r="U19" s="318" t="s">
        <v>119</v>
      </c>
      <c r="V19" s="319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4">
        <v>0.375</v>
      </c>
      <c r="E20" s="134">
        <v>0.19791666666666666</v>
      </c>
      <c r="F20" s="143"/>
      <c r="G20" s="37"/>
      <c r="H20" s="28"/>
      <c r="I20" s="28"/>
      <c r="J20" s="155"/>
      <c r="K20" s="28"/>
      <c r="L20" s="43"/>
      <c r="M20" s="43"/>
      <c r="N20" s="43"/>
      <c r="O20" s="43"/>
      <c r="P20" s="127"/>
      <c r="Q20" s="343" t="s">
        <v>112</v>
      </c>
      <c r="R20" s="344"/>
      <c r="S20" s="345">
        <v>42402</v>
      </c>
      <c r="T20" s="346"/>
      <c r="U20" s="158" t="s">
        <v>120</v>
      </c>
      <c r="V20" s="159">
        <f ca="1">ABS(S15-S20)</f>
        <v>53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4">
        <v>0.39583333333333298</v>
      </c>
      <c r="E21" s="135">
        <v>0.20833333333333334</v>
      </c>
      <c r="F21" s="143"/>
      <c r="G21" s="37"/>
      <c r="H21" s="28"/>
      <c r="I21" s="28"/>
      <c r="J21" s="155"/>
      <c r="K21" s="28"/>
      <c r="L21" s="43"/>
      <c r="M21" s="43"/>
      <c r="N21" s="43"/>
      <c r="O21" s="43"/>
      <c r="P21" s="127"/>
      <c r="Q21" s="347" t="s">
        <v>113</v>
      </c>
      <c r="R21" s="348"/>
      <c r="S21" s="349">
        <v>42461</v>
      </c>
      <c r="T21" s="350"/>
      <c r="U21" s="160" t="s">
        <v>120</v>
      </c>
      <c r="V21" s="161">
        <f ca="1">ABS(S15-S21)</f>
        <v>112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" thickBot="1">
      <c r="A22" s="28"/>
      <c r="B22" s="28"/>
      <c r="C22" s="28"/>
      <c r="D22" s="134">
        <v>0.41666666666666702</v>
      </c>
      <c r="E22" s="37"/>
      <c r="F22" s="37"/>
      <c r="G22" s="143"/>
      <c r="H22" s="28"/>
      <c r="I22" s="28"/>
      <c r="J22" s="28"/>
      <c r="K22" s="28"/>
      <c r="L22" s="43"/>
      <c r="M22" s="43"/>
      <c r="N22" s="43"/>
      <c r="O22" s="43"/>
      <c r="P22" s="127"/>
      <c r="Q22" s="347" t="s">
        <v>8</v>
      </c>
      <c r="R22" s="348"/>
      <c r="S22" s="349">
        <v>42552</v>
      </c>
      <c r="T22" s="350"/>
      <c r="U22" s="160" t="s">
        <v>120</v>
      </c>
      <c r="V22" s="161">
        <f ca="1">ABS(S15-S22)</f>
        <v>203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" thickTop="1" thickBot="1">
      <c r="A23" s="28"/>
      <c r="B23" s="28"/>
      <c r="C23" s="28"/>
      <c r="D23" s="134">
        <v>0.4375</v>
      </c>
      <c r="E23" s="37"/>
      <c r="F23" s="143"/>
      <c r="G23" s="325" t="s">
        <v>85</v>
      </c>
      <c r="H23" s="326"/>
      <c r="I23" s="326"/>
      <c r="J23" s="323">
        <v>2016</v>
      </c>
      <c r="K23" s="28"/>
      <c r="L23" s="43"/>
      <c r="M23" s="43"/>
      <c r="N23" s="43"/>
      <c r="O23" s="43"/>
      <c r="P23" s="127"/>
      <c r="Q23" s="339" t="s">
        <v>83</v>
      </c>
      <c r="R23" s="340"/>
      <c r="S23" s="341">
        <v>43405</v>
      </c>
      <c r="T23" s="342"/>
      <c r="U23" s="162" t="s">
        <v>120</v>
      </c>
      <c r="V23" s="163">
        <f ca="1">ABS(S15-S23)</f>
        <v>1056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" thickBot="1">
      <c r="A24" s="28"/>
      <c r="B24" s="28"/>
      <c r="C24" s="28"/>
      <c r="D24" s="134">
        <v>0.45833333333333298</v>
      </c>
      <c r="E24" s="37"/>
      <c r="F24" s="143"/>
      <c r="G24" s="327"/>
      <c r="H24" s="328"/>
      <c r="I24" s="328"/>
      <c r="J24" s="324"/>
      <c r="K24" s="28"/>
      <c r="L24" s="28"/>
      <c r="M24" s="28"/>
      <c r="N24" s="28"/>
      <c r="O24" s="28"/>
      <c r="P24" s="127"/>
      <c r="Q24" s="127"/>
      <c r="R24" s="127"/>
      <c r="S24" s="127"/>
      <c r="T24" s="127"/>
      <c r="U24" s="127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4">
        <v>0.47916666666666702</v>
      </c>
      <c r="E25" s="37"/>
      <c r="F25" s="143"/>
      <c r="G25" s="37"/>
      <c r="H25" s="28"/>
      <c r="I25" s="28"/>
      <c r="J25" s="28"/>
      <c r="K25" s="145"/>
      <c r="L25" s="28"/>
      <c r="M25" s="28"/>
      <c r="N25" s="28"/>
      <c r="O25" s="28"/>
      <c r="P25" s="127"/>
      <c r="Q25" s="127"/>
      <c r="R25" s="127"/>
      <c r="S25" s="127"/>
      <c r="T25" s="127"/>
      <c r="U25" s="127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" customHeight="1">
      <c r="A26" s="28"/>
      <c r="B26" s="28"/>
      <c r="C26" s="28"/>
      <c r="D26" s="134">
        <v>0.5</v>
      </c>
      <c r="E26" s="37"/>
      <c r="F26" s="143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" customHeight="1">
      <c r="A27" s="28"/>
      <c r="B27" s="28"/>
      <c r="C27" s="28"/>
      <c r="D27" s="134">
        <v>0.52083333333333304</v>
      </c>
      <c r="E27" s="37"/>
      <c r="F27" s="143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4">
        <v>0.54166666666666696</v>
      </c>
      <c r="E28" s="37"/>
      <c r="F28" s="143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4">
        <v>0.5625</v>
      </c>
      <c r="E29" s="37"/>
      <c r="F29" s="143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4">
        <v>0.58333333333333304</v>
      </c>
      <c r="E30" s="37"/>
      <c r="F30" s="143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34">
        <v>0.60416666666666696</v>
      </c>
      <c r="E31" s="37"/>
      <c r="F31" s="143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4">
        <v>0.625</v>
      </c>
      <c r="E32" s="37"/>
      <c r="F32" s="143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34">
        <v>0.64583333333333304</v>
      </c>
      <c r="E33" s="37"/>
      <c r="F33" s="143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34">
        <v>0.66666666666666696</v>
      </c>
      <c r="E34" s="37"/>
      <c r="F34" s="143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34">
        <v>0.6875</v>
      </c>
      <c r="E35" s="37"/>
      <c r="F35" s="143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4">
        <v>0.70833333333333304</v>
      </c>
      <c r="E36" s="37"/>
      <c r="F36" s="143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34">
        <v>0.72916666666666696</v>
      </c>
      <c r="E37" s="37"/>
      <c r="F37" s="143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4">
        <v>0.75</v>
      </c>
      <c r="E38" s="37"/>
      <c r="F38" s="143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4">
        <v>0.77083333333333304</v>
      </c>
      <c r="E39" s="37"/>
      <c r="F39" s="143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4">
        <v>0.79166666666666696</v>
      </c>
      <c r="E40" s="37"/>
      <c r="F40" s="143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4">
        <v>0.8125</v>
      </c>
      <c r="E41" s="37"/>
      <c r="F41" s="143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4">
        <v>0.83333333333333304</v>
      </c>
      <c r="E42" s="37"/>
      <c r="F42" s="143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4">
        <v>0.85416666666666696</v>
      </c>
      <c r="E43" s="37"/>
      <c r="F43" s="143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4">
        <v>0.875</v>
      </c>
      <c r="E44" s="37"/>
      <c r="F44" s="143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4">
        <v>0.89583333333333304</v>
      </c>
      <c r="E45" s="37"/>
      <c r="F45" s="143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4">
        <v>0.91666666666666696</v>
      </c>
      <c r="E46" s="37"/>
      <c r="F46" s="143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4">
        <v>0.9375</v>
      </c>
      <c r="E47" s="37"/>
      <c r="F47" s="143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4">
        <v>0.95833333333333304</v>
      </c>
      <c r="E48" s="37"/>
      <c r="F48" s="143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5">
        <v>0.97916666666666696</v>
      </c>
      <c r="E49" s="37"/>
      <c r="F49" s="143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42"/>
      <c r="E50" s="37"/>
      <c r="F50" s="143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41"/>
      <c r="D51" s="141"/>
      <c r="E51" s="37"/>
      <c r="F51" s="143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41"/>
      <c r="D52" s="141"/>
      <c r="E52" s="37"/>
      <c r="F52" s="143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41"/>
      <c r="D53" s="141"/>
      <c r="E53" s="37"/>
      <c r="F53" s="143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41"/>
      <c r="D54" s="141"/>
      <c r="E54" s="37"/>
      <c r="F54" s="143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41"/>
      <c r="D55" s="141"/>
      <c r="E55" s="37"/>
      <c r="F55" s="143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41"/>
      <c r="D56" s="141"/>
      <c r="E56" s="37"/>
      <c r="F56" s="143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41"/>
      <c r="D57" s="141"/>
      <c r="E57" s="37"/>
      <c r="F57" s="143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41"/>
      <c r="D58" s="141"/>
      <c r="E58" s="37"/>
      <c r="F58" s="143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41"/>
      <c r="D59" s="141"/>
      <c r="E59" s="37"/>
      <c r="F59" s="143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41"/>
      <c r="D60" s="141"/>
      <c r="E60" s="37"/>
      <c r="F60" s="143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41"/>
      <c r="D61" s="141"/>
      <c r="E61" s="37"/>
      <c r="F61" s="143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41"/>
      <c r="D62" s="141"/>
      <c r="E62" s="37"/>
      <c r="F62" s="143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41"/>
      <c r="D63" s="141"/>
      <c r="E63" s="37"/>
      <c r="F63" s="143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41"/>
      <c r="D64" s="141"/>
      <c r="E64" s="37"/>
      <c r="F64" s="143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43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43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43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43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43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43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3" priority="1" stopIfTrue="1">
      <formula>(S20:S23&lt;=TODAY()+120)*(S20:S23&lt;&gt;"")</formula>
    </cfRule>
    <cfRule type="expression" dxfId="2" priority="2" stopIfTrue="1">
      <formula>(S20:S23&lt;=TODAY()+180)*(S20:S23&lt;&gt;"")</formula>
    </cfRule>
    <cfRule type="expression" dxfId="1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3203125" defaultRowHeight="14" x14ac:dyDescent="0"/>
  <cols>
    <col min="1" max="16384" width="10.83203125" style="90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6" customHeight="1" thickTop="1">
      <c r="A2" s="43"/>
      <c r="B2" s="43"/>
      <c r="C2" s="43"/>
      <c r="D2" s="43"/>
      <c r="E2" s="43"/>
      <c r="F2" s="43"/>
      <c r="G2" s="43"/>
      <c r="H2" s="91"/>
      <c r="I2" s="43"/>
      <c r="J2" s="357" t="s">
        <v>131</v>
      </c>
      <c r="K2" s="358"/>
      <c r="L2" s="358"/>
      <c r="M2" s="358"/>
      <c r="N2" s="358"/>
      <c r="O2" s="359"/>
      <c r="P2" s="43"/>
      <c r="Q2" s="43"/>
      <c r="R2" s="43"/>
      <c r="S2" s="43"/>
      <c r="T2" s="43"/>
      <c r="U2" s="370" t="s">
        <v>114</v>
      </c>
      <c r="V2" s="371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1"/>
      <c r="I3" s="43"/>
      <c r="J3" s="360"/>
      <c r="K3" s="361"/>
      <c r="L3" s="361"/>
      <c r="M3" s="361"/>
      <c r="N3" s="361"/>
      <c r="O3" s="362"/>
      <c r="P3" s="43"/>
      <c r="Q3" s="43"/>
      <c r="R3" s="43"/>
      <c r="S3" s="43"/>
      <c r="T3" s="43"/>
      <c r="U3" s="366" t="s">
        <v>115</v>
      </c>
      <c r="V3" s="367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1"/>
      <c r="I4" s="43"/>
      <c r="J4" s="360"/>
      <c r="K4" s="361"/>
      <c r="L4" s="361"/>
      <c r="M4" s="361"/>
      <c r="N4" s="361"/>
      <c r="O4" s="362"/>
      <c r="P4" s="43"/>
      <c r="Q4" s="43"/>
      <c r="R4" s="43"/>
      <c r="S4" s="43"/>
      <c r="T4" s="43"/>
      <c r="U4" s="368" t="s">
        <v>116</v>
      </c>
      <c r="V4" s="369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8"/>
      <c r="C5" s="178"/>
      <c r="D5" s="178"/>
      <c r="E5" s="178"/>
      <c r="F5" s="43"/>
      <c r="G5" s="43"/>
      <c r="H5" s="91"/>
      <c r="I5" s="43"/>
      <c r="J5" s="360"/>
      <c r="K5" s="361"/>
      <c r="L5" s="361"/>
      <c r="M5" s="361"/>
      <c r="N5" s="361"/>
      <c r="O5" s="362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1"/>
      <c r="I6" s="43"/>
      <c r="J6" s="360"/>
      <c r="K6" s="361"/>
      <c r="L6" s="361"/>
      <c r="M6" s="361"/>
      <c r="N6" s="361"/>
      <c r="O6" s="362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1"/>
      <c r="I7" s="43"/>
      <c r="J7" s="360"/>
      <c r="K7" s="361"/>
      <c r="L7" s="361"/>
      <c r="M7" s="361"/>
      <c r="N7" s="361"/>
      <c r="O7" s="362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" thickBot="1">
      <c r="A8" s="43"/>
      <c r="B8" s="43"/>
      <c r="C8" s="43"/>
      <c r="D8" s="43"/>
      <c r="E8" s="43"/>
      <c r="F8" s="43"/>
      <c r="G8" s="43"/>
      <c r="H8" s="91"/>
      <c r="I8" s="43"/>
      <c r="J8" s="360"/>
      <c r="K8" s="361"/>
      <c r="L8" s="361"/>
      <c r="M8" s="361"/>
      <c r="N8" s="361"/>
      <c r="O8" s="362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72" t="s">
        <v>109</v>
      </c>
      <c r="C9" s="373"/>
      <c r="D9" s="373"/>
      <c r="E9" s="374"/>
      <c r="F9" s="43"/>
      <c r="G9" s="43"/>
      <c r="H9" s="91"/>
      <c r="I9" s="43"/>
      <c r="J9" s="360"/>
      <c r="K9" s="361"/>
      <c r="L9" s="361"/>
      <c r="M9" s="361"/>
      <c r="N9" s="361"/>
      <c r="O9" s="362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" thickBot="1">
      <c r="A10" s="43"/>
      <c r="B10" s="375"/>
      <c r="C10" s="376"/>
      <c r="D10" s="376"/>
      <c r="E10" s="377"/>
      <c r="F10" s="43"/>
      <c r="G10" s="43"/>
      <c r="H10" s="91"/>
      <c r="I10" s="43"/>
      <c r="J10" s="360"/>
      <c r="K10" s="361"/>
      <c r="L10" s="361"/>
      <c r="M10" s="361"/>
      <c r="N10" s="361"/>
      <c r="O10" s="362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378" t="s">
        <v>123</v>
      </c>
      <c r="C11" s="379"/>
      <c r="D11" s="379"/>
      <c r="E11" s="380"/>
      <c r="F11" s="43"/>
      <c r="G11" s="43"/>
      <c r="H11" s="91"/>
      <c r="I11" s="43"/>
      <c r="J11" s="360"/>
      <c r="K11" s="361"/>
      <c r="L11" s="361"/>
      <c r="M11" s="361"/>
      <c r="N11" s="361"/>
      <c r="O11" s="362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" thickBot="1">
      <c r="A12" s="43"/>
      <c r="B12" s="381" t="s">
        <v>124</v>
      </c>
      <c r="C12" s="382"/>
      <c r="D12" s="382"/>
      <c r="E12" s="383"/>
      <c r="F12" s="43"/>
      <c r="G12" s="43"/>
      <c r="H12" s="91"/>
      <c r="I12" s="43"/>
      <c r="J12" s="360"/>
      <c r="K12" s="361"/>
      <c r="L12" s="361"/>
      <c r="M12" s="361"/>
      <c r="N12" s="361"/>
      <c r="O12" s="362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" thickBot="1">
      <c r="A13" s="43"/>
      <c r="B13" s="43"/>
      <c r="C13" s="43"/>
      <c r="D13" s="43"/>
      <c r="E13" s="43"/>
      <c r="F13" s="43"/>
      <c r="G13" s="43"/>
      <c r="H13" s="91"/>
      <c r="I13" s="43"/>
      <c r="J13" s="360"/>
      <c r="K13" s="361"/>
      <c r="L13" s="361"/>
      <c r="M13" s="361"/>
      <c r="N13" s="361"/>
      <c r="O13" s="362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" thickBot="1">
      <c r="A14" s="43"/>
      <c r="B14" s="384" t="s">
        <v>126</v>
      </c>
      <c r="C14" s="385"/>
      <c r="D14" s="385"/>
      <c r="E14" s="386"/>
      <c r="F14" s="43"/>
      <c r="G14" s="43"/>
      <c r="H14" s="91"/>
      <c r="I14" s="43"/>
      <c r="J14" s="363"/>
      <c r="K14" s="364"/>
      <c r="L14" s="364"/>
      <c r="M14" s="364"/>
      <c r="N14" s="364"/>
      <c r="O14" s="365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91"/>
      <c r="C15" s="91"/>
      <c r="D15" s="91"/>
      <c r="E15" s="91"/>
      <c r="F15" s="91"/>
      <c r="G15" s="91"/>
      <c r="H15" s="91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1"/>
      <c r="C16" s="91"/>
      <c r="D16" s="91"/>
      <c r="E16" s="91"/>
      <c r="F16" s="91"/>
      <c r="G16" s="91"/>
      <c r="H16" s="91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387" t="s">
        <v>130</v>
      </c>
      <c r="J26" s="388"/>
      <c r="K26" s="388"/>
      <c r="L26" s="388"/>
      <c r="M26" s="388"/>
      <c r="N26" s="388"/>
      <c r="O26" s="388"/>
      <c r="P26" s="389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390"/>
      <c r="J27" s="391"/>
      <c r="K27" s="391"/>
      <c r="L27" s="391"/>
      <c r="M27" s="391"/>
      <c r="N27" s="391"/>
      <c r="O27" s="391"/>
      <c r="P27" s="392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" thickBot="1">
      <c r="A28" s="43"/>
      <c r="B28" s="43"/>
      <c r="C28" s="43"/>
      <c r="D28" s="43"/>
      <c r="E28" s="43"/>
      <c r="F28" s="43"/>
      <c r="G28" s="43"/>
      <c r="H28" s="43"/>
      <c r="I28" s="393"/>
      <c r="J28" s="394"/>
      <c r="K28" s="394"/>
      <c r="L28" s="394"/>
      <c r="M28" s="394"/>
      <c r="N28" s="394"/>
      <c r="O28" s="394"/>
      <c r="P28" s="395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351"/>
      <c r="J29" s="352"/>
      <c r="K29" s="352"/>
      <c r="L29" s="352"/>
      <c r="M29" s="352"/>
      <c r="N29" s="352"/>
      <c r="O29" s="352"/>
      <c r="P29" s="35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" thickBot="1">
      <c r="A30" s="43"/>
      <c r="B30" s="43"/>
      <c r="C30" s="43"/>
      <c r="D30" s="43"/>
      <c r="E30" s="43"/>
      <c r="F30" s="43"/>
      <c r="G30" s="43"/>
      <c r="H30" s="43"/>
      <c r="I30" s="354"/>
      <c r="J30" s="355"/>
      <c r="K30" s="355"/>
      <c r="L30" s="355"/>
      <c r="M30" s="355"/>
      <c r="N30" s="355"/>
      <c r="O30" s="355"/>
      <c r="P30" s="356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B9:E10"/>
    <mergeCell ref="B11:E11"/>
    <mergeCell ref="B12:E12"/>
    <mergeCell ref="B14:E14"/>
    <mergeCell ref="I26:P28"/>
    <mergeCell ref="I29:P30"/>
    <mergeCell ref="J2:O14"/>
    <mergeCell ref="U3:V3"/>
    <mergeCell ref="U4:V4"/>
    <mergeCell ref="U2:V2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Stats année</vt:lpstr>
      <vt:lpstr>Réglages</vt:lpstr>
      <vt:lpstr>Aide et remerciements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2015-10-25T17:19:21Z</dcterms:created>
  <dcterms:modified xsi:type="dcterms:W3CDTF">2015-12-11T02:12:11Z</dcterms:modified>
</cp:coreProperties>
</file>