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6215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/Users/Yann/Desktop/"/>
    </mc:Choice>
  </mc:AlternateContent>
  <bookViews>
    <workbookView xWindow="0" yWindow="460" windowWidth="28800" windowHeight="17460" activeTab="1"/>
  </bookViews>
  <sheets>
    <sheet name="TEST 2" sheetId="19" r:id="rId1"/>
    <sheet name="Aout 2015" sheetId="20" r:id="rId2"/>
    <sheet name="Data" sheetId="13" r:id="rId3"/>
  </sheets>
  <definedNames>
    <definedName name="An">#REF!</definedName>
    <definedName name="Fer">Data!$G$2:$G$12</definedName>
  </definedNames>
  <calcPr calcId="15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T41" i="20" l="1"/>
  <c r="H41" i="20"/>
  <c r="N41" i="20"/>
  <c r="O41" i="20"/>
  <c r="Z41" i="20"/>
  <c r="P41" i="20"/>
  <c r="Q42" i="20"/>
  <c r="R42" i="20"/>
  <c r="Z42" i="20"/>
  <c r="H19" i="20"/>
  <c r="N19" i="20"/>
  <c r="O19" i="20"/>
  <c r="Z19" i="20"/>
  <c r="P19" i="20"/>
  <c r="Q20" i="20"/>
  <c r="R20" i="20"/>
  <c r="Z20" i="20"/>
  <c r="V43" i="20"/>
  <c r="T42" i="20"/>
  <c r="T19" i="20"/>
  <c r="T20" i="20"/>
  <c r="T7" i="20"/>
  <c r="X41" i="20"/>
  <c r="X42" i="20"/>
  <c r="X19" i="20"/>
  <c r="X20" i="20"/>
  <c r="X7" i="20"/>
  <c r="AH4" i="20"/>
  <c r="AA41" i="20"/>
  <c r="U41" i="20"/>
  <c r="S42" i="20"/>
  <c r="AA42" i="20"/>
  <c r="U42" i="20"/>
  <c r="AA19" i="20"/>
  <c r="U19" i="20"/>
  <c r="S20" i="20"/>
  <c r="AA20" i="20"/>
  <c r="U20" i="20"/>
  <c r="U7" i="20"/>
  <c r="Y41" i="20"/>
  <c r="Y42" i="20"/>
  <c r="Y19" i="20"/>
  <c r="Y20" i="20"/>
  <c r="Y7" i="20"/>
  <c r="AH5" i="20"/>
  <c r="V7" i="20"/>
  <c r="AH6" i="20"/>
  <c r="W7" i="20"/>
  <c r="AH7" i="20"/>
  <c r="AH9" i="20"/>
  <c r="AJ9" i="20"/>
  <c r="X5" i="20"/>
  <c r="AH8" i="20"/>
  <c r="H24" i="19"/>
  <c r="N24" i="19"/>
  <c r="O24" i="19"/>
  <c r="P24" i="19"/>
  <c r="AA24" i="19"/>
  <c r="Q25" i="19"/>
  <c r="R25" i="19"/>
  <c r="S25" i="19"/>
  <c r="AA25" i="19"/>
  <c r="W43" i="19"/>
  <c r="Z24" i="19"/>
  <c r="Z25" i="19"/>
  <c r="V43" i="19"/>
  <c r="H10" i="20"/>
  <c r="N9" i="20"/>
  <c r="N10" i="20"/>
  <c r="O9" i="20"/>
  <c r="O8" i="20"/>
  <c r="O10" i="20"/>
  <c r="P9" i="20"/>
  <c r="P8" i="20"/>
  <c r="P10" i="20"/>
  <c r="AA10" i="20"/>
  <c r="H11" i="20"/>
  <c r="N11" i="20"/>
  <c r="O11" i="20"/>
  <c r="P11" i="20"/>
  <c r="Q9" i="20"/>
  <c r="Q8" i="20"/>
  <c r="Q11" i="20"/>
  <c r="R9" i="20"/>
  <c r="R8" i="20"/>
  <c r="R11" i="20"/>
  <c r="S9" i="20"/>
  <c r="S8" i="20"/>
  <c r="S11" i="20"/>
  <c r="AA11" i="20"/>
  <c r="H12" i="20"/>
  <c r="N12" i="20"/>
  <c r="O12" i="20"/>
  <c r="P12" i="20"/>
  <c r="Q12" i="20"/>
  <c r="R12" i="20"/>
  <c r="S12" i="20"/>
  <c r="AA12" i="20"/>
  <c r="H13" i="20"/>
  <c r="N13" i="20"/>
  <c r="O13" i="20"/>
  <c r="P13" i="20"/>
  <c r="Q13" i="20"/>
  <c r="R13" i="20"/>
  <c r="S13" i="20"/>
  <c r="AA13" i="20"/>
  <c r="H14" i="20"/>
  <c r="N14" i="20"/>
  <c r="O14" i="20"/>
  <c r="P14" i="20"/>
  <c r="Q14" i="20"/>
  <c r="R14" i="20"/>
  <c r="S14" i="20"/>
  <c r="AA14" i="20"/>
  <c r="H15" i="20"/>
  <c r="N15" i="20"/>
  <c r="O15" i="20"/>
  <c r="P15" i="20"/>
  <c r="Q15" i="20"/>
  <c r="R15" i="20"/>
  <c r="S15" i="20"/>
  <c r="AA15" i="20"/>
  <c r="H16" i="20"/>
  <c r="N16" i="20"/>
  <c r="O16" i="20"/>
  <c r="P16" i="20"/>
  <c r="Q16" i="20"/>
  <c r="R16" i="20"/>
  <c r="S16" i="20"/>
  <c r="AA16" i="20"/>
  <c r="H17" i="20"/>
  <c r="N17" i="20"/>
  <c r="O17" i="20"/>
  <c r="P17" i="20"/>
  <c r="Q17" i="20"/>
  <c r="R17" i="20"/>
  <c r="S17" i="20"/>
  <c r="AA17" i="20"/>
  <c r="H18" i="20"/>
  <c r="N18" i="20"/>
  <c r="O18" i="20"/>
  <c r="P18" i="20"/>
  <c r="Q18" i="20"/>
  <c r="R18" i="20"/>
  <c r="S18" i="20"/>
  <c r="AA18" i="20"/>
  <c r="Q19" i="20"/>
  <c r="R19" i="20"/>
  <c r="S19" i="20"/>
  <c r="H20" i="20"/>
  <c r="N20" i="20"/>
  <c r="O20" i="20"/>
  <c r="P20" i="20"/>
  <c r="H21" i="20"/>
  <c r="N21" i="20"/>
  <c r="O21" i="20"/>
  <c r="P21" i="20"/>
  <c r="Q21" i="20"/>
  <c r="R21" i="20"/>
  <c r="S21" i="20"/>
  <c r="AA21" i="20"/>
  <c r="H22" i="20"/>
  <c r="N22" i="20"/>
  <c r="O22" i="20"/>
  <c r="P22" i="20"/>
  <c r="Q22" i="20"/>
  <c r="R22" i="20"/>
  <c r="S22" i="20"/>
  <c r="AA22" i="20"/>
  <c r="H23" i="20"/>
  <c r="N23" i="20"/>
  <c r="O23" i="20"/>
  <c r="P23" i="20"/>
  <c r="Q23" i="20"/>
  <c r="R23" i="20"/>
  <c r="S23" i="20"/>
  <c r="AA23" i="20"/>
  <c r="H24" i="20"/>
  <c r="N24" i="20"/>
  <c r="O24" i="20"/>
  <c r="P24" i="20"/>
  <c r="Q24" i="20"/>
  <c r="R24" i="20"/>
  <c r="S24" i="20"/>
  <c r="AA24" i="20"/>
  <c r="H25" i="20"/>
  <c r="N25" i="20"/>
  <c r="O25" i="20"/>
  <c r="P25" i="20"/>
  <c r="Q25" i="20"/>
  <c r="R25" i="20"/>
  <c r="S25" i="20"/>
  <c r="AA25" i="20"/>
  <c r="H26" i="20"/>
  <c r="N26" i="20"/>
  <c r="O26" i="20"/>
  <c r="P26" i="20"/>
  <c r="Q26" i="20"/>
  <c r="R26" i="20"/>
  <c r="S26" i="20"/>
  <c r="AA26" i="20"/>
  <c r="H27" i="20"/>
  <c r="N27" i="20"/>
  <c r="O27" i="20"/>
  <c r="P27" i="20"/>
  <c r="Q27" i="20"/>
  <c r="R27" i="20"/>
  <c r="S27" i="20"/>
  <c r="AA27" i="20"/>
  <c r="H28" i="20"/>
  <c r="N28" i="20"/>
  <c r="O28" i="20"/>
  <c r="P28" i="20"/>
  <c r="Q28" i="20"/>
  <c r="R28" i="20"/>
  <c r="S28" i="20"/>
  <c r="AA28" i="20"/>
  <c r="H29" i="20"/>
  <c r="N29" i="20"/>
  <c r="O29" i="20"/>
  <c r="P29" i="20"/>
  <c r="Q29" i="20"/>
  <c r="R29" i="20"/>
  <c r="S29" i="20"/>
  <c r="AA29" i="20"/>
  <c r="H30" i="20"/>
  <c r="N30" i="20"/>
  <c r="O30" i="20"/>
  <c r="P30" i="20"/>
  <c r="Q30" i="20"/>
  <c r="R30" i="20"/>
  <c r="S30" i="20"/>
  <c r="AA30" i="20"/>
  <c r="H31" i="20"/>
  <c r="N31" i="20"/>
  <c r="O31" i="20"/>
  <c r="P31" i="20"/>
  <c r="Q31" i="20"/>
  <c r="R31" i="20"/>
  <c r="S31" i="20"/>
  <c r="AA31" i="20"/>
  <c r="H32" i="20"/>
  <c r="N32" i="20"/>
  <c r="O32" i="20"/>
  <c r="P32" i="20"/>
  <c r="Q32" i="20"/>
  <c r="R32" i="20"/>
  <c r="S32" i="20"/>
  <c r="AA32" i="20"/>
  <c r="H33" i="20"/>
  <c r="N33" i="20"/>
  <c r="O33" i="20"/>
  <c r="P33" i="20"/>
  <c r="Q33" i="20"/>
  <c r="R33" i="20"/>
  <c r="S33" i="20"/>
  <c r="AA33" i="20"/>
  <c r="H34" i="20"/>
  <c r="N34" i="20"/>
  <c r="O34" i="20"/>
  <c r="P34" i="20"/>
  <c r="Q34" i="20"/>
  <c r="R34" i="20"/>
  <c r="S34" i="20"/>
  <c r="AA34" i="20"/>
  <c r="H35" i="20"/>
  <c r="N35" i="20"/>
  <c r="O35" i="20"/>
  <c r="P35" i="20"/>
  <c r="Q35" i="20"/>
  <c r="R35" i="20"/>
  <c r="S35" i="20"/>
  <c r="AA35" i="20"/>
  <c r="H36" i="20"/>
  <c r="N36" i="20"/>
  <c r="O36" i="20"/>
  <c r="P36" i="20"/>
  <c r="Q36" i="20"/>
  <c r="R36" i="20"/>
  <c r="S36" i="20"/>
  <c r="AA36" i="20"/>
  <c r="H37" i="20"/>
  <c r="N37" i="20"/>
  <c r="O37" i="20"/>
  <c r="P37" i="20"/>
  <c r="Q37" i="20"/>
  <c r="R37" i="20"/>
  <c r="S37" i="20"/>
  <c r="AA37" i="20"/>
  <c r="H38" i="20"/>
  <c r="N38" i="20"/>
  <c r="O38" i="20"/>
  <c r="P38" i="20"/>
  <c r="Q38" i="20"/>
  <c r="R38" i="20"/>
  <c r="S38" i="20"/>
  <c r="AA38" i="20"/>
  <c r="H39" i="20"/>
  <c r="N39" i="20"/>
  <c r="O39" i="20"/>
  <c r="P39" i="20"/>
  <c r="Q39" i="20"/>
  <c r="R39" i="20"/>
  <c r="S39" i="20"/>
  <c r="AA39" i="20"/>
  <c r="H40" i="20"/>
  <c r="N40" i="20"/>
  <c r="O40" i="20"/>
  <c r="P40" i="20"/>
  <c r="Q40" i="20"/>
  <c r="R40" i="20"/>
  <c r="S40" i="20"/>
  <c r="AA40" i="20"/>
  <c r="Q41" i="20"/>
  <c r="R41" i="20"/>
  <c r="S41" i="20"/>
  <c r="H42" i="20"/>
  <c r="N42" i="20"/>
  <c r="O42" i="20"/>
  <c r="P42" i="20"/>
  <c r="AA43" i="20"/>
  <c r="Z10" i="20"/>
  <c r="Z11" i="20"/>
  <c r="Z12" i="20"/>
  <c r="Z13" i="20"/>
  <c r="Z14" i="20"/>
  <c r="Z15" i="20"/>
  <c r="Z16" i="20"/>
  <c r="Z17" i="20"/>
  <c r="Z18" i="20"/>
  <c r="Z21" i="20"/>
  <c r="Z22" i="20"/>
  <c r="Z23" i="20"/>
  <c r="Z24" i="20"/>
  <c r="Z25" i="20"/>
  <c r="Z26" i="20"/>
  <c r="Z27" i="20"/>
  <c r="Z28" i="20"/>
  <c r="Z29" i="20"/>
  <c r="Z30" i="20"/>
  <c r="Z31" i="20"/>
  <c r="Z32" i="20"/>
  <c r="Z33" i="20"/>
  <c r="Z34" i="20"/>
  <c r="Z35" i="20"/>
  <c r="Z36" i="20"/>
  <c r="Z37" i="20"/>
  <c r="Z38" i="20"/>
  <c r="Z39" i="20"/>
  <c r="Z40" i="20"/>
  <c r="Z43" i="20"/>
  <c r="B10" i="20"/>
  <c r="U10" i="20"/>
  <c r="B11" i="20"/>
  <c r="U11" i="20"/>
  <c r="B12" i="20"/>
  <c r="U12" i="20"/>
  <c r="B13" i="20"/>
  <c r="U13" i="20"/>
  <c r="B14" i="20"/>
  <c r="U14" i="20"/>
  <c r="B15" i="20"/>
  <c r="U15" i="20"/>
  <c r="B16" i="20"/>
  <c r="U16" i="20"/>
  <c r="B17" i="20"/>
  <c r="U17" i="20"/>
  <c r="B18" i="20"/>
  <c r="U18" i="20"/>
  <c r="B19" i="20"/>
  <c r="B20" i="20"/>
  <c r="B21" i="20"/>
  <c r="U21" i="20"/>
  <c r="B22" i="20"/>
  <c r="U22" i="20"/>
  <c r="B23" i="20"/>
  <c r="U23" i="20"/>
  <c r="B24" i="20"/>
  <c r="U24" i="20"/>
  <c r="B25" i="20"/>
  <c r="U25" i="20"/>
  <c r="B26" i="20"/>
  <c r="U26" i="20"/>
  <c r="B27" i="20"/>
  <c r="U27" i="20"/>
  <c r="B28" i="20"/>
  <c r="U28" i="20"/>
  <c r="B29" i="20"/>
  <c r="U29" i="20"/>
  <c r="B30" i="20"/>
  <c r="U30" i="20"/>
  <c r="B31" i="20"/>
  <c r="U31" i="20"/>
  <c r="B32" i="20"/>
  <c r="U32" i="20"/>
  <c r="B33" i="20"/>
  <c r="U33" i="20"/>
  <c r="B34" i="20"/>
  <c r="U34" i="20"/>
  <c r="B35" i="20"/>
  <c r="U35" i="20"/>
  <c r="B36" i="20"/>
  <c r="U36" i="20"/>
  <c r="B37" i="20"/>
  <c r="U37" i="20"/>
  <c r="B38" i="20"/>
  <c r="U38" i="20"/>
  <c r="B39" i="20"/>
  <c r="U39" i="20"/>
  <c r="B40" i="20"/>
  <c r="U40" i="20"/>
  <c r="B41" i="20"/>
  <c r="B42" i="20"/>
  <c r="U43" i="20"/>
  <c r="T10" i="20"/>
  <c r="T11" i="20"/>
  <c r="T12" i="20"/>
  <c r="T13" i="20"/>
  <c r="T14" i="20"/>
  <c r="T15" i="20"/>
  <c r="T16" i="20"/>
  <c r="T17" i="20"/>
  <c r="T18" i="20"/>
  <c r="T21" i="20"/>
  <c r="T22" i="20"/>
  <c r="T23" i="20"/>
  <c r="T24" i="20"/>
  <c r="T25" i="20"/>
  <c r="T26" i="20"/>
  <c r="T27" i="20"/>
  <c r="T28" i="20"/>
  <c r="T29" i="20"/>
  <c r="T30" i="20"/>
  <c r="T31" i="20"/>
  <c r="T32" i="20"/>
  <c r="T33" i="20"/>
  <c r="T34" i="20"/>
  <c r="T35" i="20"/>
  <c r="T36" i="20"/>
  <c r="T37" i="20"/>
  <c r="T38" i="20"/>
  <c r="T39" i="20"/>
  <c r="T40" i="20"/>
  <c r="T43" i="20"/>
  <c r="S43" i="20"/>
  <c r="R43" i="20"/>
  <c r="Q43" i="20"/>
  <c r="P43" i="20"/>
  <c r="O43" i="20"/>
  <c r="N43" i="20"/>
  <c r="M10" i="20"/>
  <c r="M11" i="20"/>
  <c r="M12" i="20"/>
  <c r="M13" i="20"/>
  <c r="M14" i="20"/>
  <c r="M15" i="20"/>
  <c r="M16" i="20"/>
  <c r="M17" i="20"/>
  <c r="M18" i="20"/>
  <c r="M19" i="20"/>
  <c r="M20" i="20"/>
  <c r="M21" i="20"/>
  <c r="M22" i="20"/>
  <c r="M23" i="20"/>
  <c r="M24" i="20"/>
  <c r="M25" i="20"/>
  <c r="M26" i="20"/>
  <c r="M27" i="20"/>
  <c r="M28" i="20"/>
  <c r="M29" i="20"/>
  <c r="M30" i="20"/>
  <c r="M31" i="20"/>
  <c r="M32" i="20"/>
  <c r="M33" i="20"/>
  <c r="M34" i="20"/>
  <c r="M35" i="20"/>
  <c r="M36" i="20"/>
  <c r="M37" i="20"/>
  <c r="M38" i="20"/>
  <c r="M39" i="20"/>
  <c r="M40" i="20"/>
  <c r="M41" i="20"/>
  <c r="M42" i="20"/>
  <c r="M43" i="20"/>
  <c r="L10" i="20"/>
  <c r="L11" i="20"/>
  <c r="L12" i="20"/>
  <c r="L13" i="20"/>
  <c r="L14" i="20"/>
  <c r="L15" i="20"/>
  <c r="L16" i="20"/>
  <c r="L17" i="20"/>
  <c r="L18" i="20"/>
  <c r="L19" i="20"/>
  <c r="L20" i="20"/>
  <c r="L21" i="20"/>
  <c r="L22" i="20"/>
  <c r="L23" i="20"/>
  <c r="L24" i="20"/>
  <c r="L25" i="20"/>
  <c r="L26" i="20"/>
  <c r="L27" i="20"/>
  <c r="L28" i="20"/>
  <c r="L29" i="20"/>
  <c r="L30" i="20"/>
  <c r="L31" i="20"/>
  <c r="L32" i="20"/>
  <c r="L33" i="20"/>
  <c r="L34" i="20"/>
  <c r="L35" i="20"/>
  <c r="L36" i="20"/>
  <c r="L37" i="20"/>
  <c r="L38" i="20"/>
  <c r="L39" i="20"/>
  <c r="L40" i="20"/>
  <c r="L41" i="20"/>
  <c r="L42" i="20"/>
  <c r="L43" i="20"/>
  <c r="K43" i="20"/>
  <c r="J43" i="20"/>
  <c r="I43" i="20"/>
  <c r="H43" i="20"/>
  <c r="G43" i="20"/>
  <c r="F43" i="20"/>
  <c r="W42" i="20"/>
  <c r="V42" i="20"/>
  <c r="K42" i="20"/>
  <c r="W41" i="20"/>
  <c r="V41" i="20"/>
  <c r="K41" i="20"/>
  <c r="Y40" i="20"/>
  <c r="X40" i="20"/>
  <c r="W40" i="20"/>
  <c r="V40" i="20"/>
  <c r="K40" i="20"/>
  <c r="Y39" i="20"/>
  <c r="X39" i="20"/>
  <c r="W39" i="20"/>
  <c r="V39" i="20"/>
  <c r="K39" i="20"/>
  <c r="Y38" i="20"/>
  <c r="X38" i="20"/>
  <c r="W38" i="20"/>
  <c r="V38" i="20"/>
  <c r="K38" i="20"/>
  <c r="AE37" i="20"/>
  <c r="Y37" i="20"/>
  <c r="X37" i="20"/>
  <c r="W37" i="20"/>
  <c r="V37" i="20"/>
  <c r="K37" i="20"/>
  <c r="Y36" i="20"/>
  <c r="X36" i="20"/>
  <c r="W36" i="20"/>
  <c r="V36" i="20"/>
  <c r="K36" i="20"/>
  <c r="AE35" i="20"/>
  <c r="Y35" i="20"/>
  <c r="X35" i="20"/>
  <c r="W35" i="20"/>
  <c r="V35" i="20"/>
  <c r="K35" i="20"/>
  <c r="Y34" i="20"/>
  <c r="X34" i="20"/>
  <c r="W34" i="20"/>
  <c r="V34" i="20"/>
  <c r="K34" i="20"/>
  <c r="AE33" i="20"/>
  <c r="Y33" i="20"/>
  <c r="X33" i="20"/>
  <c r="W33" i="20"/>
  <c r="V33" i="20"/>
  <c r="K33" i="20"/>
  <c r="Y32" i="20"/>
  <c r="X32" i="20"/>
  <c r="W32" i="20"/>
  <c r="V32" i="20"/>
  <c r="K32" i="20"/>
  <c r="AE31" i="20"/>
  <c r="Y31" i="20"/>
  <c r="X31" i="20"/>
  <c r="W31" i="20"/>
  <c r="V31" i="20"/>
  <c r="K31" i="20"/>
  <c r="Y30" i="20"/>
  <c r="X30" i="20"/>
  <c r="W30" i="20"/>
  <c r="V30" i="20"/>
  <c r="K30" i="20"/>
  <c r="AE29" i="20"/>
  <c r="Y29" i="20"/>
  <c r="X29" i="20"/>
  <c r="W29" i="20"/>
  <c r="V29" i="20"/>
  <c r="K29" i="20"/>
  <c r="Y28" i="20"/>
  <c r="X28" i="20"/>
  <c r="W28" i="20"/>
  <c r="V28" i="20"/>
  <c r="K28" i="20"/>
  <c r="X11" i="20"/>
  <c r="Y11" i="20"/>
  <c r="AE27" i="20"/>
  <c r="Y27" i="20"/>
  <c r="X27" i="20"/>
  <c r="W27" i="20"/>
  <c r="V27" i="20"/>
  <c r="K27" i="20"/>
  <c r="Y26" i="20"/>
  <c r="X26" i="20"/>
  <c r="W26" i="20"/>
  <c r="V26" i="20"/>
  <c r="K26" i="20"/>
  <c r="X9" i="20"/>
  <c r="AE25" i="20"/>
  <c r="Y25" i="20"/>
  <c r="X25" i="20"/>
  <c r="W25" i="20"/>
  <c r="V25" i="20"/>
  <c r="K25" i="20"/>
  <c r="Y24" i="20"/>
  <c r="X24" i="20"/>
  <c r="W24" i="20"/>
  <c r="V24" i="20"/>
  <c r="K24" i="20"/>
  <c r="X10" i="20"/>
  <c r="X12" i="20"/>
  <c r="X13" i="20"/>
  <c r="X14" i="20"/>
  <c r="X15" i="20"/>
  <c r="X16" i="20"/>
  <c r="X17" i="20"/>
  <c r="X18" i="20"/>
  <c r="X21" i="20"/>
  <c r="X22" i="20"/>
  <c r="X23" i="20"/>
  <c r="Y10" i="20"/>
  <c r="Y12" i="20"/>
  <c r="Y13" i="20"/>
  <c r="Y14" i="20"/>
  <c r="Y15" i="20"/>
  <c r="Y16" i="20"/>
  <c r="Y17" i="20"/>
  <c r="Y18" i="20"/>
  <c r="Y21" i="20"/>
  <c r="Y22" i="20"/>
  <c r="Y23" i="20"/>
  <c r="AE23" i="20"/>
  <c r="W23" i="20"/>
  <c r="V23" i="20"/>
  <c r="K23" i="20"/>
  <c r="W22" i="20"/>
  <c r="V22" i="20"/>
  <c r="K22" i="20"/>
  <c r="AE21" i="20"/>
  <c r="W21" i="20"/>
  <c r="V21" i="20"/>
  <c r="K21" i="20"/>
  <c r="W20" i="20"/>
  <c r="V20" i="20"/>
  <c r="K20" i="20"/>
  <c r="AE19" i="20"/>
  <c r="W19" i="20"/>
  <c r="V19" i="20"/>
  <c r="K19" i="20"/>
  <c r="AH16" i="20"/>
  <c r="AJ16" i="20"/>
  <c r="AJ17" i="20"/>
  <c r="AJ18" i="20"/>
  <c r="W18" i="20"/>
  <c r="V18" i="20"/>
  <c r="K18" i="20"/>
  <c r="AE17" i="20"/>
  <c r="W17" i="20"/>
  <c r="V17" i="20"/>
  <c r="K17" i="20"/>
  <c r="W16" i="20"/>
  <c r="V16" i="20"/>
  <c r="K16" i="20"/>
  <c r="AE15" i="20"/>
  <c r="W15" i="20"/>
  <c r="V15" i="20"/>
  <c r="K15" i="20"/>
  <c r="W14" i="20"/>
  <c r="V14" i="20"/>
  <c r="K14" i="20"/>
  <c r="AE13" i="20"/>
  <c r="W13" i="20"/>
  <c r="V13" i="20"/>
  <c r="K13" i="20"/>
  <c r="W12" i="20"/>
  <c r="V12" i="20"/>
  <c r="K12" i="20"/>
  <c r="AJ4" i="20"/>
  <c r="AJ5" i="20"/>
  <c r="AJ6" i="20"/>
  <c r="AJ7" i="20"/>
  <c r="AJ8" i="20"/>
  <c r="AJ10" i="20"/>
  <c r="AJ11" i="20"/>
  <c r="AE11" i="20"/>
  <c r="W11" i="20"/>
  <c r="V11" i="20"/>
  <c r="K11" i="20"/>
  <c r="W10" i="20"/>
  <c r="V10" i="20"/>
  <c r="K10" i="20"/>
  <c r="AE9" i="20"/>
  <c r="Z9" i="20"/>
  <c r="V9" i="20"/>
  <c r="T9" i="20"/>
  <c r="L9" i="20"/>
  <c r="K9" i="20"/>
  <c r="AE7" i="20"/>
  <c r="AA7" i="20"/>
  <c r="Z7" i="20"/>
  <c r="S7" i="20"/>
  <c r="R7" i="20"/>
  <c r="Q7" i="20"/>
  <c r="P7" i="20"/>
  <c r="O7" i="20"/>
  <c r="N7" i="20"/>
  <c r="AE5" i="20"/>
  <c r="Z5" i="20"/>
  <c r="V5" i="20"/>
  <c r="T5" i="20"/>
  <c r="AE3" i="20"/>
  <c r="H14" i="19"/>
  <c r="M14" i="19"/>
  <c r="H15" i="19"/>
  <c r="M15" i="19"/>
  <c r="H16" i="19"/>
  <c r="M16" i="19"/>
  <c r="H17" i="19"/>
  <c r="M17" i="19"/>
  <c r="H18" i="19"/>
  <c r="M18" i="19"/>
  <c r="H19" i="19"/>
  <c r="M19" i="19"/>
  <c r="H20" i="19"/>
  <c r="M20" i="19"/>
  <c r="H21" i="19"/>
  <c r="M21" i="19"/>
  <c r="H22" i="19"/>
  <c r="M22" i="19"/>
  <c r="H23" i="19"/>
  <c r="M23" i="19"/>
  <c r="M24" i="19"/>
  <c r="H25" i="19"/>
  <c r="M25" i="19"/>
  <c r="H26" i="19"/>
  <c r="M26" i="19"/>
  <c r="H27" i="19"/>
  <c r="M27" i="19"/>
  <c r="H28" i="19"/>
  <c r="M28" i="19"/>
  <c r="H29" i="19"/>
  <c r="M29" i="19"/>
  <c r="H30" i="19"/>
  <c r="M30" i="19"/>
  <c r="H31" i="19"/>
  <c r="M31" i="19"/>
  <c r="H32" i="19"/>
  <c r="M32" i="19"/>
  <c r="H33" i="19"/>
  <c r="M33" i="19"/>
  <c r="H34" i="19"/>
  <c r="M34" i="19"/>
  <c r="H35" i="19"/>
  <c r="M35" i="19"/>
  <c r="H36" i="19"/>
  <c r="M36" i="19"/>
  <c r="H37" i="19"/>
  <c r="M37" i="19"/>
  <c r="H38" i="19"/>
  <c r="M38" i="19"/>
  <c r="H39" i="19"/>
  <c r="M39" i="19"/>
  <c r="H40" i="19"/>
  <c r="M40" i="19"/>
  <c r="H41" i="19"/>
  <c r="M41" i="19"/>
  <c r="H42" i="19"/>
  <c r="M42" i="19"/>
  <c r="H10" i="19"/>
  <c r="M10" i="19"/>
  <c r="H11" i="19"/>
  <c r="M11" i="19"/>
  <c r="H12" i="19"/>
  <c r="M12" i="19"/>
  <c r="H13" i="19"/>
  <c r="M13" i="19"/>
  <c r="AE7" i="19"/>
  <c r="AE33" i="19"/>
  <c r="AE31" i="19"/>
  <c r="AE29" i="19"/>
  <c r="N9" i="19"/>
  <c r="N16" i="19"/>
  <c r="O9" i="19"/>
  <c r="O8" i="19"/>
  <c r="O16" i="19"/>
  <c r="P9" i="19"/>
  <c r="P8" i="19"/>
  <c r="P16" i="19"/>
  <c r="N15" i="19"/>
  <c r="O15" i="19"/>
  <c r="P15" i="19"/>
  <c r="Q9" i="19"/>
  <c r="Q16" i="19"/>
  <c r="R9" i="19"/>
  <c r="R16" i="19"/>
  <c r="S9" i="19"/>
  <c r="S16" i="19"/>
  <c r="AA16" i="19"/>
  <c r="Q8" i="19"/>
  <c r="Q17" i="19"/>
  <c r="R8" i="19"/>
  <c r="R17" i="19"/>
  <c r="S8" i="19"/>
  <c r="S17" i="19"/>
  <c r="N17" i="19"/>
  <c r="O17" i="19"/>
  <c r="P17" i="19"/>
  <c r="AA17" i="19"/>
  <c r="Q18" i="19"/>
  <c r="R18" i="19"/>
  <c r="S18" i="19"/>
  <c r="N18" i="19"/>
  <c r="O18" i="19"/>
  <c r="P18" i="19"/>
  <c r="AA18" i="19"/>
  <c r="N12" i="19"/>
  <c r="O12" i="19"/>
  <c r="P12" i="19"/>
  <c r="N11" i="19"/>
  <c r="O11" i="19"/>
  <c r="P11" i="19"/>
  <c r="Q12" i="19"/>
  <c r="R12" i="19"/>
  <c r="S12" i="19"/>
  <c r="AA12" i="19"/>
  <c r="Q13" i="19"/>
  <c r="R13" i="19"/>
  <c r="S13" i="19"/>
  <c r="N13" i="19"/>
  <c r="O13" i="19"/>
  <c r="P13" i="19"/>
  <c r="AA13" i="19"/>
  <c r="N10" i="19"/>
  <c r="O10" i="19"/>
  <c r="P10" i="19"/>
  <c r="AA10" i="19"/>
  <c r="Q11" i="19"/>
  <c r="R11" i="19"/>
  <c r="S11" i="19"/>
  <c r="AA11" i="19"/>
  <c r="N14" i="19"/>
  <c r="O14" i="19"/>
  <c r="P14" i="19"/>
  <c r="Q14" i="19"/>
  <c r="R14" i="19"/>
  <c r="S14" i="19"/>
  <c r="AA14" i="19"/>
  <c r="Q15" i="19"/>
  <c r="R15" i="19"/>
  <c r="S15" i="19"/>
  <c r="AA15" i="19"/>
  <c r="N19" i="19"/>
  <c r="O19" i="19"/>
  <c r="P19" i="19"/>
  <c r="Q19" i="19"/>
  <c r="R19" i="19"/>
  <c r="S19" i="19"/>
  <c r="AA19" i="19"/>
  <c r="N20" i="19"/>
  <c r="O20" i="19"/>
  <c r="P20" i="19"/>
  <c r="Q20" i="19"/>
  <c r="R20" i="19"/>
  <c r="S20" i="19"/>
  <c r="AA20" i="19"/>
  <c r="N21" i="19"/>
  <c r="O21" i="19"/>
  <c r="P21" i="19"/>
  <c r="Q21" i="19"/>
  <c r="R21" i="19"/>
  <c r="S21" i="19"/>
  <c r="AA21" i="19"/>
  <c r="N22" i="19"/>
  <c r="O22" i="19"/>
  <c r="P22" i="19"/>
  <c r="Q22" i="19"/>
  <c r="R22" i="19"/>
  <c r="S22" i="19"/>
  <c r="AA22" i="19"/>
  <c r="N23" i="19"/>
  <c r="O23" i="19"/>
  <c r="P23" i="19"/>
  <c r="Q23" i="19"/>
  <c r="R23" i="19"/>
  <c r="S23" i="19"/>
  <c r="AA23" i="19"/>
  <c r="Q24" i="19"/>
  <c r="R24" i="19"/>
  <c r="S24" i="19"/>
  <c r="N25" i="19"/>
  <c r="O25" i="19"/>
  <c r="P25" i="19"/>
  <c r="N26" i="19"/>
  <c r="O26" i="19"/>
  <c r="P26" i="19"/>
  <c r="Q26" i="19"/>
  <c r="R26" i="19"/>
  <c r="S26" i="19"/>
  <c r="AA26" i="19"/>
  <c r="N27" i="19"/>
  <c r="O27" i="19"/>
  <c r="P27" i="19"/>
  <c r="Q27" i="19"/>
  <c r="R27" i="19"/>
  <c r="S27" i="19"/>
  <c r="AA27" i="19"/>
  <c r="N28" i="19"/>
  <c r="O28" i="19"/>
  <c r="P28" i="19"/>
  <c r="Q28" i="19"/>
  <c r="R28" i="19"/>
  <c r="S28" i="19"/>
  <c r="AA28" i="19"/>
  <c r="N29" i="19"/>
  <c r="O29" i="19"/>
  <c r="P29" i="19"/>
  <c r="Q29" i="19"/>
  <c r="R29" i="19"/>
  <c r="S29" i="19"/>
  <c r="AA29" i="19"/>
  <c r="N30" i="19"/>
  <c r="O30" i="19"/>
  <c r="P30" i="19"/>
  <c r="Q30" i="19"/>
  <c r="R30" i="19"/>
  <c r="S30" i="19"/>
  <c r="AA30" i="19"/>
  <c r="N31" i="19"/>
  <c r="O31" i="19"/>
  <c r="P31" i="19"/>
  <c r="Q31" i="19"/>
  <c r="R31" i="19"/>
  <c r="S31" i="19"/>
  <c r="AA31" i="19"/>
  <c r="N32" i="19"/>
  <c r="O32" i="19"/>
  <c r="P32" i="19"/>
  <c r="Q32" i="19"/>
  <c r="R32" i="19"/>
  <c r="S32" i="19"/>
  <c r="AA32" i="19"/>
  <c r="N33" i="19"/>
  <c r="O33" i="19"/>
  <c r="P33" i="19"/>
  <c r="Q33" i="19"/>
  <c r="R33" i="19"/>
  <c r="S33" i="19"/>
  <c r="AA33" i="19"/>
  <c r="N34" i="19"/>
  <c r="O34" i="19"/>
  <c r="P34" i="19"/>
  <c r="Q34" i="19"/>
  <c r="R34" i="19"/>
  <c r="S34" i="19"/>
  <c r="AA34" i="19"/>
  <c r="N35" i="19"/>
  <c r="O35" i="19"/>
  <c r="P35" i="19"/>
  <c r="Q35" i="19"/>
  <c r="R35" i="19"/>
  <c r="S35" i="19"/>
  <c r="AA35" i="19"/>
  <c r="N36" i="19"/>
  <c r="O36" i="19"/>
  <c r="P36" i="19"/>
  <c r="Q36" i="19"/>
  <c r="R36" i="19"/>
  <c r="S36" i="19"/>
  <c r="AA36" i="19"/>
  <c r="N37" i="19"/>
  <c r="O37" i="19"/>
  <c r="P37" i="19"/>
  <c r="Q37" i="19"/>
  <c r="R37" i="19"/>
  <c r="S37" i="19"/>
  <c r="AA37" i="19"/>
  <c r="N38" i="19"/>
  <c r="O38" i="19"/>
  <c r="P38" i="19"/>
  <c r="Q38" i="19"/>
  <c r="R38" i="19"/>
  <c r="S38" i="19"/>
  <c r="AA38" i="19"/>
  <c r="N39" i="19"/>
  <c r="O39" i="19"/>
  <c r="P39" i="19"/>
  <c r="Q39" i="19"/>
  <c r="R39" i="19"/>
  <c r="S39" i="19"/>
  <c r="AA39" i="19"/>
  <c r="N40" i="19"/>
  <c r="O40" i="19"/>
  <c r="P40" i="19"/>
  <c r="Q40" i="19"/>
  <c r="R40" i="19"/>
  <c r="S40" i="19"/>
  <c r="AA40" i="19"/>
  <c r="N41" i="19"/>
  <c r="O41" i="19"/>
  <c r="P41" i="19"/>
  <c r="Q41" i="19"/>
  <c r="R41" i="19"/>
  <c r="S41" i="19"/>
  <c r="AA41" i="19"/>
  <c r="N42" i="19"/>
  <c r="O42" i="19"/>
  <c r="P42" i="19"/>
  <c r="Q42" i="19"/>
  <c r="R42" i="19"/>
  <c r="S42" i="19"/>
  <c r="AA42" i="19"/>
  <c r="W7" i="19"/>
  <c r="Z16" i="19"/>
  <c r="Z17" i="19"/>
  <c r="Z18" i="19"/>
  <c r="Z12" i="19"/>
  <c r="Z13" i="19"/>
  <c r="Z10" i="19"/>
  <c r="Z11" i="19"/>
  <c r="Z14" i="19"/>
  <c r="Z15" i="19"/>
  <c r="Z19" i="19"/>
  <c r="Z20" i="19"/>
  <c r="Z21" i="19"/>
  <c r="Z22" i="19"/>
  <c r="Z23" i="19"/>
  <c r="Z26" i="19"/>
  <c r="Z27" i="19"/>
  <c r="Z28" i="19"/>
  <c r="Z29" i="19"/>
  <c r="Z30" i="19"/>
  <c r="Z31" i="19"/>
  <c r="Z32" i="19"/>
  <c r="Z33" i="19"/>
  <c r="Z34" i="19"/>
  <c r="Z35" i="19"/>
  <c r="Z36" i="19"/>
  <c r="Z37" i="19"/>
  <c r="Z38" i="19"/>
  <c r="Z39" i="19"/>
  <c r="Z40" i="19"/>
  <c r="Z41" i="19"/>
  <c r="Z42" i="19"/>
  <c r="V7" i="19"/>
  <c r="AH4" i="19"/>
  <c r="AJ4" i="19"/>
  <c r="AH16" i="19"/>
  <c r="AJ16" i="19"/>
  <c r="AJ17" i="19"/>
  <c r="AJ18" i="19"/>
  <c r="AH5" i="19"/>
  <c r="AJ5" i="19"/>
  <c r="B16" i="19"/>
  <c r="X16" i="19"/>
  <c r="B17" i="19"/>
  <c r="X17" i="19"/>
  <c r="B18" i="19"/>
  <c r="X18" i="19"/>
  <c r="B12" i="19"/>
  <c r="X12" i="19"/>
  <c r="B13" i="19"/>
  <c r="X13" i="19"/>
  <c r="B10" i="19"/>
  <c r="X10" i="19"/>
  <c r="B11" i="19"/>
  <c r="X11" i="19"/>
  <c r="B14" i="19"/>
  <c r="B15" i="19"/>
  <c r="B19" i="19"/>
  <c r="B20" i="19"/>
  <c r="B21" i="19"/>
  <c r="B22" i="19"/>
  <c r="B23" i="19"/>
  <c r="B24" i="19"/>
  <c r="B25" i="19"/>
  <c r="B26" i="19"/>
  <c r="B27" i="19"/>
  <c r="B28" i="19"/>
  <c r="B29" i="19"/>
  <c r="B30" i="19"/>
  <c r="B31" i="19"/>
  <c r="B32" i="19"/>
  <c r="B33" i="19"/>
  <c r="B34" i="19"/>
  <c r="B35" i="19"/>
  <c r="B36" i="19"/>
  <c r="B37" i="19"/>
  <c r="B38" i="19"/>
  <c r="B39" i="19"/>
  <c r="B40" i="19"/>
  <c r="B41" i="19"/>
  <c r="B42" i="19"/>
  <c r="X14" i="19"/>
  <c r="X15" i="19"/>
  <c r="X19" i="19"/>
  <c r="X20" i="19"/>
  <c r="X21" i="19"/>
  <c r="X22" i="19"/>
  <c r="X23" i="19"/>
  <c r="X24" i="19"/>
  <c r="X25" i="19"/>
  <c r="X26" i="19"/>
  <c r="X27" i="19"/>
  <c r="X28" i="19"/>
  <c r="X29" i="19"/>
  <c r="X30" i="19"/>
  <c r="X31" i="19"/>
  <c r="X32" i="19"/>
  <c r="X33" i="19"/>
  <c r="X34" i="19"/>
  <c r="X35" i="19"/>
  <c r="X36" i="19"/>
  <c r="X37" i="19"/>
  <c r="X38" i="19"/>
  <c r="X39" i="19"/>
  <c r="X40" i="19"/>
  <c r="X41" i="19"/>
  <c r="X42" i="19"/>
  <c r="X7" i="19"/>
  <c r="Y16" i="19"/>
  <c r="Y17" i="19"/>
  <c r="Y18" i="19"/>
  <c r="Y12" i="19"/>
  <c r="Y13" i="19"/>
  <c r="Y10" i="19"/>
  <c r="Y11" i="19"/>
  <c r="Y14" i="19"/>
  <c r="Y15" i="19"/>
  <c r="Y19" i="19"/>
  <c r="Y20" i="19"/>
  <c r="Y21" i="19"/>
  <c r="Y22" i="19"/>
  <c r="Y23" i="19"/>
  <c r="Y24" i="19"/>
  <c r="Y25" i="19"/>
  <c r="Y26" i="19"/>
  <c r="Y27" i="19"/>
  <c r="Y28" i="19"/>
  <c r="Y29" i="19"/>
  <c r="Y30" i="19"/>
  <c r="Y31" i="19"/>
  <c r="Y32" i="19"/>
  <c r="Y33" i="19"/>
  <c r="Y34" i="19"/>
  <c r="Y35" i="19"/>
  <c r="Y36" i="19"/>
  <c r="Y37" i="19"/>
  <c r="Y38" i="19"/>
  <c r="Y39" i="19"/>
  <c r="Y40" i="19"/>
  <c r="Y41" i="19"/>
  <c r="Y42" i="19"/>
  <c r="Y7" i="19"/>
  <c r="AH8" i="19"/>
  <c r="AJ8" i="19"/>
  <c r="AJ9" i="19"/>
  <c r="AJ10" i="19"/>
  <c r="AE15" i="19"/>
  <c r="AE27" i="19"/>
  <c r="X9" i="19"/>
  <c r="AE25" i="19"/>
  <c r="I43" i="19"/>
  <c r="J43" i="19"/>
  <c r="AE13" i="19"/>
  <c r="L20" i="19"/>
  <c r="L26" i="19"/>
  <c r="L27" i="19"/>
  <c r="L28" i="19"/>
  <c r="L29" i="19"/>
  <c r="L37" i="19"/>
  <c r="L38" i="19"/>
  <c r="L10" i="19"/>
  <c r="L11" i="19"/>
  <c r="L12" i="19"/>
  <c r="L13" i="19"/>
  <c r="L14" i="19"/>
  <c r="L15" i="19"/>
  <c r="L16" i="19"/>
  <c r="L17" i="19"/>
  <c r="L18" i="19"/>
  <c r="L19" i="19"/>
  <c r="L21" i="19"/>
  <c r="L22" i="19"/>
  <c r="L23" i="19"/>
  <c r="L24" i="19"/>
  <c r="L25" i="19"/>
  <c r="L30" i="19"/>
  <c r="L31" i="19"/>
  <c r="L32" i="19"/>
  <c r="L33" i="19"/>
  <c r="L34" i="19"/>
  <c r="L35" i="19"/>
  <c r="L36" i="19"/>
  <c r="L39" i="19"/>
  <c r="L40" i="19"/>
  <c r="L41" i="19"/>
  <c r="L42" i="19"/>
  <c r="AE37" i="19"/>
  <c r="AE35" i="19"/>
  <c r="K43" i="19"/>
  <c r="AE23" i="19"/>
  <c r="AE19" i="19"/>
  <c r="AE17" i="19"/>
  <c r="AE11" i="19"/>
  <c r="AE9" i="19"/>
  <c r="AE3" i="19"/>
  <c r="W11" i="19"/>
  <c r="W12" i="19"/>
  <c r="W13" i="19"/>
  <c r="W14" i="19"/>
  <c r="W15" i="19"/>
  <c r="W16" i="19"/>
  <c r="W17" i="19"/>
  <c r="W18" i="19"/>
  <c r="W19" i="19"/>
  <c r="W20" i="19"/>
  <c r="W21" i="19"/>
  <c r="W22" i="19"/>
  <c r="W23" i="19"/>
  <c r="W24" i="19"/>
  <c r="W25" i="19"/>
  <c r="W26" i="19"/>
  <c r="W27" i="19"/>
  <c r="W28" i="19"/>
  <c r="W29" i="19"/>
  <c r="W30" i="19"/>
  <c r="W31" i="19"/>
  <c r="W32" i="19"/>
  <c r="W33" i="19"/>
  <c r="W34" i="19"/>
  <c r="W35" i="19"/>
  <c r="W36" i="19"/>
  <c r="W37" i="19"/>
  <c r="W38" i="19"/>
  <c r="W39" i="19"/>
  <c r="W40" i="19"/>
  <c r="W41" i="19"/>
  <c r="W42" i="19"/>
  <c r="W10" i="19"/>
  <c r="V11" i="19"/>
  <c r="V12" i="19"/>
  <c r="V13" i="19"/>
  <c r="V14" i="19"/>
  <c r="V15" i="19"/>
  <c r="V16" i="19"/>
  <c r="V17" i="19"/>
  <c r="V18" i="19"/>
  <c r="V19" i="19"/>
  <c r="V20" i="19"/>
  <c r="V21" i="19"/>
  <c r="V22" i="19"/>
  <c r="V23" i="19"/>
  <c r="V24" i="19"/>
  <c r="V25" i="19"/>
  <c r="V26" i="19"/>
  <c r="V27" i="19"/>
  <c r="V28" i="19"/>
  <c r="V29" i="19"/>
  <c r="V30" i="19"/>
  <c r="V31" i="19"/>
  <c r="V32" i="19"/>
  <c r="V33" i="19"/>
  <c r="V34" i="19"/>
  <c r="V35" i="19"/>
  <c r="V36" i="19"/>
  <c r="V37" i="19"/>
  <c r="V38" i="19"/>
  <c r="V39" i="19"/>
  <c r="V40" i="19"/>
  <c r="V41" i="19"/>
  <c r="V42" i="19"/>
  <c r="V10" i="19"/>
  <c r="K9" i="19"/>
  <c r="V9" i="19"/>
  <c r="K10" i="19"/>
  <c r="K11" i="19"/>
  <c r="K12" i="19"/>
  <c r="K13" i="19"/>
  <c r="K14" i="19"/>
  <c r="K15" i="19"/>
  <c r="K16" i="19"/>
  <c r="K17" i="19"/>
  <c r="K18" i="19"/>
  <c r="K19" i="19"/>
  <c r="K20" i="19"/>
  <c r="K21" i="19"/>
  <c r="K22" i="19"/>
  <c r="K23" i="19"/>
  <c r="K24" i="19"/>
  <c r="K25" i="19"/>
  <c r="K26" i="19"/>
  <c r="K27" i="19"/>
  <c r="K28" i="19"/>
  <c r="K29" i="19"/>
  <c r="K30" i="19"/>
  <c r="K31" i="19"/>
  <c r="K32" i="19"/>
  <c r="K33" i="19"/>
  <c r="K34" i="19"/>
  <c r="K35" i="19"/>
  <c r="K36" i="19"/>
  <c r="K37" i="19"/>
  <c r="K38" i="19"/>
  <c r="K39" i="19"/>
  <c r="K40" i="19"/>
  <c r="K41" i="19"/>
  <c r="K42" i="19"/>
  <c r="H43" i="19"/>
  <c r="U10" i="19"/>
  <c r="U11" i="19"/>
  <c r="U12" i="19"/>
  <c r="U13" i="19"/>
  <c r="U14" i="19"/>
  <c r="U15" i="19"/>
  <c r="U16" i="19"/>
  <c r="U17" i="19"/>
  <c r="U18" i="19"/>
  <c r="U19" i="19"/>
  <c r="U20" i="19"/>
  <c r="U21" i="19"/>
  <c r="U22" i="19"/>
  <c r="U23" i="19"/>
  <c r="U24" i="19"/>
  <c r="U25" i="19"/>
  <c r="U26" i="19"/>
  <c r="U27" i="19"/>
  <c r="U28" i="19"/>
  <c r="U29" i="19"/>
  <c r="U30" i="19"/>
  <c r="U31" i="19"/>
  <c r="U32" i="19"/>
  <c r="U33" i="19"/>
  <c r="U34" i="19"/>
  <c r="U35" i="19"/>
  <c r="U36" i="19"/>
  <c r="U37" i="19"/>
  <c r="U38" i="19"/>
  <c r="U39" i="19"/>
  <c r="U40" i="19"/>
  <c r="U41" i="19"/>
  <c r="U42" i="19"/>
  <c r="U43" i="19"/>
  <c r="T10" i="19"/>
  <c r="T11" i="19"/>
  <c r="T12" i="19"/>
  <c r="T13" i="19"/>
  <c r="T14" i="19"/>
  <c r="T15" i="19"/>
  <c r="T16" i="19"/>
  <c r="T17" i="19"/>
  <c r="T18" i="19"/>
  <c r="T19" i="19"/>
  <c r="T20" i="19"/>
  <c r="T21" i="19"/>
  <c r="T22" i="19"/>
  <c r="T23" i="19"/>
  <c r="T24" i="19"/>
  <c r="T25" i="19"/>
  <c r="T26" i="19"/>
  <c r="T27" i="19"/>
  <c r="T28" i="19"/>
  <c r="T29" i="19"/>
  <c r="T30" i="19"/>
  <c r="T31" i="19"/>
  <c r="T32" i="19"/>
  <c r="T33" i="19"/>
  <c r="T34" i="19"/>
  <c r="T35" i="19"/>
  <c r="T36" i="19"/>
  <c r="T37" i="19"/>
  <c r="T38" i="19"/>
  <c r="T39" i="19"/>
  <c r="T40" i="19"/>
  <c r="T41" i="19"/>
  <c r="T42" i="19"/>
  <c r="T43" i="19"/>
  <c r="G43" i="19"/>
  <c r="F43" i="19"/>
  <c r="AA43" i="19"/>
  <c r="Z43" i="19"/>
  <c r="S43" i="19"/>
  <c r="R43" i="19"/>
  <c r="Q43" i="19"/>
  <c r="P43" i="19"/>
  <c r="O43" i="19"/>
  <c r="N43" i="19"/>
  <c r="L43" i="19"/>
  <c r="M43" i="19"/>
  <c r="Z9" i="19"/>
  <c r="U7" i="19"/>
  <c r="T7" i="19"/>
  <c r="AA7" i="19"/>
  <c r="Z7" i="19"/>
  <c r="S7" i="19"/>
  <c r="R7" i="19"/>
  <c r="Q7" i="19"/>
  <c r="P7" i="19"/>
  <c r="O7" i="19"/>
  <c r="N7" i="19"/>
  <c r="L9" i="19"/>
  <c r="X5" i="19"/>
  <c r="T5" i="19"/>
  <c r="Z5" i="19"/>
  <c r="V5" i="19"/>
  <c r="X43" i="19"/>
  <c r="Y43" i="19"/>
  <c r="T9" i="19"/>
  <c r="AE21" i="19"/>
  <c r="AE5" i="19"/>
  <c r="AH6" i="19"/>
  <c r="AJ6" i="19"/>
  <c r="AH7" i="19"/>
  <c r="AJ7" i="19"/>
  <c r="AJ11" i="19"/>
  <c r="W43" i="20"/>
  <c r="X43" i="20"/>
  <c r="Y43" i="20"/>
</calcChain>
</file>

<file path=xl/comments1.xml><?xml version="1.0" encoding="utf-8"?>
<comments xmlns="http://schemas.openxmlformats.org/spreadsheetml/2006/main">
  <authors>
    <author>Utilisateur de Microsoft Office</author>
  </authors>
  <commentList>
    <comment ref="T8" authorId="0">
      <text>
        <r>
          <rPr>
            <b/>
            <sz val="10"/>
            <color indexed="81"/>
            <rFont val="Calibri"/>
          </rPr>
          <t>Comprend aussi les jours fériés en semaine dans ce total.</t>
        </r>
        <r>
          <rPr>
            <sz val="10"/>
            <color indexed="81"/>
            <rFont val="Calibri"/>
          </rPr>
          <t xml:space="preserve">
</t>
        </r>
      </text>
    </comment>
    <comment ref="V8" authorId="0">
      <text>
        <r>
          <rPr>
            <b/>
            <sz val="10"/>
            <color indexed="81"/>
            <rFont val="Calibri"/>
          </rPr>
          <t>Comprend aussi les dimanches fériés dans ce total.</t>
        </r>
        <r>
          <rPr>
            <sz val="10"/>
            <color indexed="81"/>
            <rFont val="Calibri"/>
          </rPr>
          <t xml:space="preserve">
</t>
        </r>
      </text>
    </comment>
    <comment ref="Z8" authorId="0">
      <text>
        <r>
          <rPr>
            <b/>
            <sz val="10"/>
            <color indexed="81"/>
            <rFont val="Calibri"/>
          </rPr>
          <t>Comprend tous les jours travaillés y compris en jour fériés.</t>
        </r>
      </text>
    </comment>
  </commentList>
</comments>
</file>

<file path=xl/comments2.xml><?xml version="1.0" encoding="utf-8"?>
<comments xmlns="http://schemas.openxmlformats.org/spreadsheetml/2006/main">
  <authors>
    <author>Utilisateur de Microsoft Office</author>
  </authors>
  <commentList>
    <comment ref="T8" authorId="0">
      <text>
        <r>
          <rPr>
            <b/>
            <sz val="10"/>
            <color indexed="81"/>
            <rFont val="Calibri"/>
          </rPr>
          <t>Comprend aussi les jours fériés en semaine dans ce total.</t>
        </r>
        <r>
          <rPr>
            <sz val="10"/>
            <color indexed="81"/>
            <rFont val="Calibri"/>
          </rPr>
          <t xml:space="preserve">
</t>
        </r>
      </text>
    </comment>
    <comment ref="V8" authorId="0">
      <text>
        <r>
          <rPr>
            <b/>
            <sz val="10"/>
            <color indexed="81"/>
            <rFont val="Calibri"/>
          </rPr>
          <t>Comprend aussi les dimanches fériés dans ce total.</t>
        </r>
        <r>
          <rPr>
            <sz val="10"/>
            <color indexed="81"/>
            <rFont val="Calibri"/>
          </rPr>
          <t xml:space="preserve">
</t>
        </r>
      </text>
    </comment>
    <comment ref="Z8" authorId="0">
      <text>
        <r>
          <rPr>
            <b/>
            <sz val="10"/>
            <color indexed="81"/>
            <rFont val="Calibri"/>
          </rPr>
          <t>Comprend tous les jours travaillés y compris en jour fériés.</t>
        </r>
      </text>
    </comment>
  </commentList>
</comments>
</file>

<file path=xl/sharedStrings.xml><?xml version="1.0" encoding="utf-8"?>
<sst xmlns="http://schemas.openxmlformats.org/spreadsheetml/2006/main" count="283" uniqueCount="123">
  <si>
    <t>Commentaires</t>
  </si>
  <si>
    <t>Jours</t>
  </si>
  <si>
    <t>Total vacations</t>
  </si>
  <si>
    <t>Total jour(s) férié(s)</t>
  </si>
  <si>
    <t>Total dimanche(s)</t>
  </si>
  <si>
    <t>N°</t>
  </si>
  <si>
    <t>Mois</t>
  </si>
  <si>
    <t>Heures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</si>
  <si>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</si>
  <si>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</si>
  <si>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</si>
  <si>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</si>
  <si>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</si>
  <si>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</si>
  <si>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</si>
  <si>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</si>
  <si>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</si>
  <si>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</si>
  <si>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</si>
  <si>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Formation</t>
  </si>
  <si>
    <t>Décembre</t>
  </si>
  <si>
    <t>Année</t>
  </si>
  <si>
    <t>Poste</t>
  </si>
  <si>
    <t>ADS</t>
  </si>
  <si>
    <t>SSIAP 1</t>
  </si>
  <si>
    <t>SSIAP 2</t>
  </si>
  <si>
    <t>SSIAP 3</t>
  </si>
  <si>
    <t>M.Chien</t>
  </si>
  <si>
    <t>Acompte :</t>
  </si>
  <si>
    <t>Total</t>
  </si>
  <si>
    <t>Date</t>
  </si>
  <si>
    <t>Chef de poste</t>
  </si>
  <si>
    <t>Site</t>
  </si>
  <si>
    <t>Autre</t>
  </si>
  <si>
    <t>Ms</t>
  </si>
  <si>
    <t>C4:D15</t>
  </si>
  <si>
    <t>Nomois</t>
  </si>
  <si>
    <t>D4:D15</t>
  </si>
  <si>
    <t>Fériés</t>
  </si>
  <si>
    <t>:: Calcul des montants NET ::</t>
  </si>
  <si>
    <t>:: Calcul des montants BRUTS ::</t>
  </si>
  <si>
    <t>Nuits</t>
  </si>
  <si>
    <t>Dimanche (20%)</t>
  </si>
  <si>
    <t>Dimanche (10%)</t>
  </si>
  <si>
    <t>Férié(s) (100%)</t>
  </si>
  <si>
    <t>Prime habillement</t>
  </si>
  <si>
    <t>Taux</t>
  </si>
  <si>
    <t>Repos compensateur (1%)</t>
  </si>
  <si>
    <t>Code</t>
  </si>
  <si>
    <t>Fonction</t>
  </si>
  <si>
    <t>Chef de Poste</t>
  </si>
  <si>
    <t>Maitre chien</t>
  </si>
  <si>
    <t>Journée</t>
  </si>
  <si>
    <t>Soirée</t>
  </si>
  <si>
    <t>Nuit &amp; Matin</t>
  </si>
  <si>
    <t>Plage nommée Fer F2:F13</t>
  </si>
  <si>
    <t>Détails hrs de la vacation (jour même)</t>
  </si>
  <si>
    <t>Détails hrs de la vacation (lendemain)</t>
  </si>
  <si>
    <t>Hrs supp</t>
  </si>
  <si>
    <t>vacation</t>
  </si>
  <si>
    <t>09.2017</t>
  </si>
  <si>
    <t>07.2006</t>
  </si>
  <si>
    <t>SST :</t>
  </si>
  <si>
    <t>Carte PRO :</t>
  </si>
  <si>
    <t>SSIAP 1 :</t>
  </si>
  <si>
    <t>¾</t>
  </si>
  <si>
    <t>Début</t>
  </si>
  <si>
    <t>Fin</t>
  </si>
  <si>
    <t>Début nuit :</t>
  </si>
  <si>
    <t>Fin nuit :</t>
  </si>
  <si>
    <t>Total heures mois</t>
  </si>
  <si>
    <t>Semaine J</t>
  </si>
  <si>
    <t>Semaine N</t>
  </si>
  <si>
    <t>Total heures semaine</t>
  </si>
  <si>
    <t>Total heures fériés</t>
  </si>
  <si>
    <t>Férié(s) J</t>
  </si>
  <si>
    <t>Férié(s) N</t>
  </si>
  <si>
    <t>Total jour(s) semaine</t>
  </si>
  <si>
    <t>Supp J</t>
  </si>
  <si>
    <t>Supp N</t>
  </si>
  <si>
    <t>Paniers</t>
  </si>
  <si>
    <t>Chien</t>
  </si>
  <si>
    <t>Dim J</t>
  </si>
  <si>
    <t>Dim N</t>
  </si>
  <si>
    <t>Total hr dimanches</t>
  </si>
  <si>
    <t>Dimanche(s)</t>
  </si>
  <si>
    <t>Jour(s) férié(s)</t>
  </si>
  <si>
    <t>Semaine</t>
  </si>
  <si>
    <t>Mois entier</t>
  </si>
  <si>
    <t>Primes</t>
  </si>
  <si>
    <t>NE RIEN SUPPRIMER</t>
  </si>
  <si>
    <t>Site 1</t>
  </si>
  <si>
    <t>Site 2</t>
  </si>
  <si>
    <t>Site 3</t>
  </si>
  <si>
    <t>Site 4</t>
  </si>
  <si>
    <t>Vous pouvez modifier les colonnes F,G et H</t>
  </si>
  <si>
    <t>T</t>
  </si>
  <si>
    <t>Jours semaine travaillés</t>
  </si>
  <si>
    <t>et supp</t>
  </si>
  <si>
    <t>:: Statistiques ::</t>
  </si>
  <si>
    <t>Total hrs supp</t>
  </si>
  <si>
    <t>Total hrs supp jour</t>
  </si>
  <si>
    <t>Total hrs supp nuit</t>
  </si>
  <si>
    <t>Total paniers repas</t>
  </si>
  <si>
    <t>Total hrs chien</t>
  </si>
  <si>
    <t>Total hrs travaillées</t>
  </si>
  <si>
    <t>Total hrs férié(s)</t>
  </si>
  <si>
    <t>Total hrs férié(s) jour</t>
  </si>
  <si>
    <t>Total hrs férié(s) nuit</t>
  </si>
  <si>
    <t>Total hrs jour</t>
  </si>
  <si>
    <t>Total hrs nuit (10%)</t>
  </si>
  <si>
    <t>Total hrs dim/jour (10%)</t>
  </si>
  <si>
    <t>Total hrs dim/nuit (20%)</t>
  </si>
  <si>
    <t>Total hrs dim travaillés</t>
  </si>
  <si>
    <t>TOTAL :</t>
  </si>
  <si>
    <t>Prime chien</t>
  </si>
  <si>
    <t>Paniers repas</t>
  </si>
  <si>
    <t>ANNEE ==&gt;</t>
  </si>
  <si>
    <t>MOIS ==&gt;</t>
  </si>
  <si>
    <t>Total dim travaillé(s)</t>
  </si>
  <si>
    <t>CP</t>
  </si>
  <si>
    <t>Jour(s) férié(s) travaillé(s)</t>
  </si>
  <si>
    <t>Dimanche(s) travaillé(s)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</si>
</sst>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[$-F800]dddd\,\ mmmm\ dd\,\ yyyy"/>
    <numFmt numFmtId="165" formatCode="#,##0\ &quot;€&quot;;[Red]#,##0\ &quot;€&quot;"/>
    <numFmt numFmtId="166" formatCode="[$-40C]General"/>
    <numFmt numFmtId="167" formatCode="[h]:mm"/>
    <numFmt numFmtId="168" formatCode="[hh]:mm;;"/>
    <numFmt numFmtId="169" formatCode="[hh]:mm"/>
    <numFmt numFmtId="170" formatCode="hh:mm;;"/>
    <numFmt numFmtId="171" formatCode="h:mm;@"/>
  </numFmts>
  <fonts count="5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</font>
    <font>
      <sz val="12"/>
      <color theme="0"/>
      <name val="Arial"/>
    </font>
    <font>
      <b/>
      <sz val="11"/>
      <color rgb="FFFFC00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20"/>
      <color theme="0"/>
      <name val="Arial"/>
    </font>
    <font>
      <b/>
      <sz val="11"/>
      <color rgb="FFFF0000"/>
      <name val="Calibri"/>
      <scheme val="minor"/>
    </font>
    <font>
      <sz val="10"/>
      <name val="Arial"/>
      <family val="2"/>
    </font>
    <font>
      <sz val="10"/>
      <color theme="1"/>
      <name val="Arial1"/>
    </font>
    <font>
      <b/>
      <sz val="10"/>
      <name val="Arial"/>
      <family val="2"/>
    </font>
    <font>
      <b/>
      <sz val="11"/>
      <color theme="9"/>
      <name val="Calibri"/>
      <family val="2"/>
      <scheme val="minor"/>
    </font>
    <font>
      <b/>
      <sz val="14"/>
      <color theme="0"/>
      <name val="Arial"/>
    </font>
    <font>
      <sz val="9"/>
      <color theme="0"/>
      <name val="Arial"/>
    </font>
    <font>
      <b/>
      <sz val="12"/>
      <color theme="0"/>
      <name val="Calibri"/>
      <family val="2"/>
      <scheme val="minor"/>
    </font>
    <font>
      <sz val="12"/>
      <color rgb="FF9C6500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Georgia"/>
      <charset val="161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5" tint="-0.249977111117893"/>
      <name val="Arial"/>
    </font>
    <font>
      <b/>
      <sz val="11"/>
      <color rgb="FF00579A"/>
      <name val="Arial"/>
    </font>
    <font>
      <b/>
      <sz val="11"/>
      <color theme="0" tint="-4.9989318521683403E-2"/>
      <name val="Calibri"/>
      <scheme val="minor"/>
    </font>
    <font>
      <b/>
      <sz val="12"/>
      <color theme="0" tint="-4.9989318521683403E-2"/>
      <name val="Calibri"/>
      <scheme val="minor"/>
    </font>
    <font>
      <b/>
      <u/>
      <sz val="18"/>
      <color theme="0"/>
      <name val="Georgia"/>
      <charset val="161"/>
    </font>
    <font>
      <sz val="16"/>
      <color rgb="FF000000"/>
      <name val="Wingdings"/>
      <charset val="2"/>
    </font>
    <font>
      <sz val="16"/>
      <color theme="0"/>
      <name val="Wingdings"/>
      <charset val="2"/>
    </font>
    <font>
      <sz val="10"/>
      <color theme="1"/>
      <name val="Calibri"/>
      <family val="2"/>
      <scheme val="minor"/>
    </font>
    <font>
      <sz val="10"/>
      <color theme="0" tint="-4.9989318521683403E-2"/>
      <name val="Arial"/>
    </font>
    <font>
      <b/>
      <u/>
      <sz val="14"/>
      <color theme="0"/>
      <name val="Georgia"/>
      <charset val="161"/>
    </font>
    <font>
      <b/>
      <sz val="14"/>
      <color theme="9"/>
      <name val="Calibri"/>
      <family val="2"/>
      <scheme val="minor"/>
    </font>
    <font>
      <sz val="18"/>
      <color theme="0"/>
      <name val="Georgia"/>
      <charset val="161"/>
    </font>
    <font>
      <sz val="14"/>
      <color theme="9"/>
      <name val="Calibri"/>
      <scheme val="minor"/>
    </font>
    <font>
      <b/>
      <sz val="16"/>
      <color rgb="FFFFFF00"/>
      <name val="Calibri"/>
      <family val="2"/>
      <scheme val="minor"/>
    </font>
    <font>
      <sz val="10"/>
      <color theme="0" tint="-4.9989318521683403E-2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0"/>
      <color theme="1"/>
      <name val="Arial Unicode MS"/>
    </font>
    <font>
      <b/>
      <sz val="11"/>
      <color rgb="FF99E352"/>
      <name val="Calibri"/>
      <scheme val="minor"/>
    </font>
    <font>
      <sz val="10"/>
      <color indexed="81"/>
      <name val="Calibri"/>
    </font>
    <font>
      <b/>
      <sz val="10"/>
      <color indexed="81"/>
      <name val="Calibri"/>
    </font>
    <font>
      <b/>
      <sz val="11"/>
      <color rgb="FF000000"/>
      <name val="Arial"/>
    </font>
    <font>
      <b/>
      <sz val="11"/>
      <color rgb="FFFFFFFF"/>
      <name val="Arial"/>
      <family val="2"/>
    </font>
    <font>
      <b/>
      <sz val="12"/>
      <color theme="1"/>
      <name val="Calibri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</font>
    <font>
      <b/>
      <sz val="12"/>
      <color theme="0"/>
      <name val="Arial"/>
    </font>
    <font>
      <b/>
      <sz val="11"/>
      <color rgb="FFFF0000"/>
      <name val="Arial"/>
    </font>
    <font>
      <b/>
      <sz val="12"/>
      <color rgb="FF00B050"/>
      <name val="Calibri"/>
      <scheme val="minor"/>
    </font>
    <font>
      <sz val="11"/>
      <color theme="1" tint="0.14999847407452621"/>
      <name val="Arial"/>
    </font>
  </fonts>
  <fills count="2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87E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7030A0"/>
        <bgColor indexed="64"/>
      </patternFill>
    </fill>
    <fill>
      <patternFill patternType="solid">
        <fgColor rgb="FFA2C45F"/>
        <bgColor indexed="64"/>
      </patternFill>
    </fill>
    <fill>
      <patternFill patternType="solid">
        <fgColor rgb="FF0087E8"/>
        <bgColor rgb="FF000000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D2FDCC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C6FDC3"/>
        <bgColor indexed="64"/>
      </patternFill>
    </fill>
    <fill>
      <patternFill patternType="solid">
        <fgColor rgb="FF7030A0"/>
        <bgColor rgb="FF000000"/>
      </patternFill>
    </fill>
    <fill>
      <patternFill patternType="solid">
        <fgColor rgb="FF00B050"/>
        <bgColor rgb="FF000000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499984740745262"/>
        <bgColor rgb="FF000000"/>
      </patternFill>
    </fill>
    <fill>
      <patternFill patternType="solid">
        <fgColor theme="1" tint="0.249977111117893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39997558519241921"/>
        <bgColor rgb="FF000000"/>
      </patternFill>
    </fill>
  </fills>
  <borders count="131">
    <border>
      <left/>
      <right/>
      <top/>
      <bottom/>
      <diagonal/>
    </border>
    <border>
      <left style="medium">
        <color rgb="FF0087E8"/>
      </left>
      <right style="thin">
        <color rgb="FF0087E8"/>
      </right>
      <top style="hair">
        <color rgb="FF0087E8"/>
      </top>
      <bottom style="hair">
        <color rgb="FF0087E8"/>
      </bottom>
      <diagonal/>
    </border>
    <border>
      <left style="thin">
        <color rgb="FF0087E8"/>
      </left>
      <right style="thin">
        <color rgb="FF0087E8"/>
      </right>
      <top style="hair">
        <color rgb="FF0087E8"/>
      </top>
      <bottom style="hair">
        <color rgb="FF0087E8"/>
      </bottom>
      <diagonal/>
    </border>
    <border>
      <left style="thin">
        <color rgb="FF0087E8"/>
      </left>
      <right style="medium">
        <color rgb="FF0087E8"/>
      </right>
      <top style="hair">
        <color rgb="FF0087E8"/>
      </top>
      <bottom style="hair">
        <color rgb="FF0087E8"/>
      </bottom>
      <diagonal/>
    </border>
    <border>
      <left style="medium">
        <color rgb="FF0087E8"/>
      </left>
      <right style="thin">
        <color rgb="FF0087E8"/>
      </right>
      <top style="hair">
        <color rgb="FF0087E8"/>
      </top>
      <bottom style="medium">
        <color rgb="FF0087E8"/>
      </bottom>
      <diagonal/>
    </border>
    <border>
      <left style="thin">
        <color rgb="FF0087E8"/>
      </left>
      <right style="thin">
        <color rgb="FF0087E8"/>
      </right>
      <top style="hair">
        <color rgb="FF0087E8"/>
      </top>
      <bottom style="medium">
        <color rgb="FF0087E8"/>
      </bottom>
      <diagonal/>
    </border>
    <border>
      <left style="thin">
        <color rgb="FF0087E8"/>
      </left>
      <right style="medium">
        <color rgb="FF0087E8"/>
      </right>
      <top style="hair">
        <color rgb="FF0087E8"/>
      </top>
      <bottom style="medium">
        <color rgb="FF0087E8"/>
      </bottom>
      <diagonal/>
    </border>
    <border>
      <left style="thin">
        <color rgb="FF0087E8"/>
      </left>
      <right style="thin">
        <color rgb="FF0087E8"/>
      </right>
      <top style="hair">
        <color rgb="FF0087E8"/>
      </top>
      <bottom/>
      <diagonal/>
    </border>
    <border>
      <left style="thin">
        <color rgb="FF0087E8"/>
      </left>
      <right style="thin">
        <color rgb="FF0087E8"/>
      </right>
      <top/>
      <bottom style="hair">
        <color rgb="FF0087E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rgb="FF0087E8"/>
      </right>
      <top/>
      <bottom style="medium">
        <color rgb="FF0087E8"/>
      </bottom>
      <diagonal/>
    </border>
    <border>
      <left/>
      <right style="medium">
        <color rgb="FF0087E8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hair">
        <color theme="0" tint="-4.9989318521683403E-2"/>
      </left>
      <right style="hair">
        <color theme="0" tint="-4.9989318521683403E-2"/>
      </right>
      <top style="hair">
        <color theme="0" tint="-4.9989318521683403E-2"/>
      </top>
      <bottom style="hair">
        <color theme="0" tint="-4.9989318521683403E-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/>
      <top/>
      <bottom style="thin">
        <color theme="0" tint="-4.9989318521683403E-2"/>
      </bottom>
      <diagonal/>
    </border>
    <border>
      <left/>
      <right style="thin">
        <color theme="0" tint="-4.9989318521683403E-2"/>
      </right>
      <top/>
      <bottom style="thin">
        <color theme="0" tint="-4.9989318521683403E-2"/>
      </bottom>
      <diagonal/>
    </border>
    <border>
      <left/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/>
      <top/>
      <bottom/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hair">
        <color theme="0" tint="-4.9989318521683403E-2"/>
      </right>
      <top style="hair">
        <color theme="0" tint="-4.9989318521683403E-2"/>
      </top>
      <bottom style="hair">
        <color theme="0" tint="-4.9989318521683403E-2"/>
      </bottom>
      <diagonal/>
    </border>
    <border>
      <left style="hair">
        <color theme="0" tint="-4.9989318521683403E-2"/>
      </left>
      <right/>
      <top style="thin">
        <color theme="0" tint="-4.9989318521683403E-2"/>
      </top>
      <bottom style="hair">
        <color theme="0" tint="-4.9989318521683403E-2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/>
      <bottom style="thin">
        <color theme="0" tint="-4.9989318521683403E-2"/>
      </bottom>
      <diagonal/>
    </border>
    <border>
      <left style="hair">
        <color theme="0" tint="-4.9989318521683403E-2"/>
      </left>
      <right style="thin">
        <color theme="0" tint="-4.9989318521683403E-2"/>
      </right>
      <top style="hair">
        <color theme="0" tint="-4.9989318521683403E-2"/>
      </top>
      <bottom style="hair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 style="medium">
        <color rgb="FF0087E8"/>
      </left>
      <right style="thin">
        <color theme="0" tint="-4.9989318521683403E-2"/>
      </right>
      <top style="thin">
        <color theme="0" tint="-4.9989318521683403E-2"/>
      </top>
      <bottom style="thin">
        <color theme="0"/>
      </bottom>
      <diagonal/>
    </border>
    <border>
      <left style="medium">
        <color rgb="FF0087E8"/>
      </left>
      <right style="thin">
        <color rgb="FF0087E8"/>
      </right>
      <top/>
      <bottom style="hair">
        <color rgb="FF0087E8"/>
      </bottom>
      <diagonal/>
    </border>
    <border>
      <left style="thin">
        <color theme="5" tint="0.39994506668294322"/>
      </left>
      <right style="thin">
        <color theme="5" tint="0.39994506668294322"/>
      </right>
      <top style="thin">
        <color theme="0" tint="-4.9989318521683403E-2"/>
      </top>
      <bottom style="hair">
        <color rgb="FF0087E8"/>
      </bottom>
      <diagonal/>
    </border>
    <border>
      <left style="thin">
        <color theme="5" tint="0.39994506668294322"/>
      </left>
      <right style="thin">
        <color theme="5" tint="0.39994506668294322"/>
      </right>
      <top style="hair">
        <color rgb="FF0087E8"/>
      </top>
      <bottom style="hair">
        <color rgb="FF0087E8"/>
      </bottom>
      <diagonal/>
    </border>
    <border>
      <left style="thin">
        <color theme="5" tint="0.39994506668294322"/>
      </left>
      <right style="thin">
        <color theme="5" tint="0.39994506668294322"/>
      </right>
      <top style="hair">
        <color rgb="FF0087E8"/>
      </top>
      <bottom style="medium">
        <color rgb="FF0087E8"/>
      </bottom>
      <diagonal/>
    </border>
    <border>
      <left style="thin">
        <color theme="0" tint="-4.9989318521683403E-2"/>
      </left>
      <right style="thin">
        <color theme="0" tint="-4.9989318521683403E-2"/>
      </right>
      <top style="hair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hair">
        <color theme="0" tint="-4.9989318521683403E-2"/>
      </top>
      <bottom style="hair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hair">
        <color theme="0" tint="-4.9989318521683403E-2"/>
      </bottom>
      <diagonal/>
    </border>
    <border>
      <left style="thin">
        <color rgb="FF0087E8"/>
      </left>
      <right style="medium">
        <color rgb="FF0087E8"/>
      </right>
      <top style="thin">
        <color theme="0" tint="-4.9989318521683403E-2"/>
      </top>
      <bottom style="hair">
        <color rgb="FF0087E8"/>
      </bottom>
      <diagonal/>
    </border>
    <border>
      <left style="medium">
        <color rgb="FF0087E8"/>
      </left>
      <right style="thin">
        <color rgb="FF0087E8"/>
      </right>
      <top style="thin">
        <color theme="0" tint="-4.9989318521683403E-2"/>
      </top>
      <bottom style="hair">
        <color rgb="FF0087E8"/>
      </bottom>
      <diagonal/>
    </border>
    <border>
      <left style="medium">
        <color rgb="FF0087E8"/>
      </left>
      <right style="thin">
        <color rgb="FF0087E8"/>
      </right>
      <top/>
      <bottom style="medium">
        <color rgb="FF0087E8"/>
      </bottom>
      <diagonal/>
    </border>
    <border>
      <left style="medium">
        <color rgb="FF0087E8"/>
      </left>
      <right style="thin">
        <color theme="5" tint="-0.24994659260841701"/>
      </right>
      <top style="thin">
        <color theme="0" tint="-4.9989318521683403E-2"/>
      </top>
      <bottom style="hair">
        <color theme="5" tint="-0.24994659260841701"/>
      </bottom>
      <diagonal/>
    </border>
    <border>
      <left style="medium">
        <color rgb="FF0087E8"/>
      </left>
      <right style="thin">
        <color theme="5" tint="-0.24994659260841701"/>
      </right>
      <top style="hair">
        <color theme="5" tint="-0.24994659260841701"/>
      </top>
      <bottom style="hair">
        <color theme="5" tint="-0.24994659260841701"/>
      </bottom>
      <diagonal/>
    </border>
    <border>
      <left style="medium">
        <color rgb="FF0087E8"/>
      </left>
      <right style="thin">
        <color theme="5" tint="-0.24994659260841701"/>
      </right>
      <top style="hair">
        <color theme="5" tint="-0.24994659260841701"/>
      </top>
      <bottom style="medium">
        <color rgb="FF0087E8"/>
      </bottom>
      <diagonal/>
    </border>
    <border>
      <left style="medium">
        <color theme="5" tint="-0.24994659260841701"/>
      </left>
      <right style="thin">
        <color theme="5" tint="-0.24994659260841701"/>
      </right>
      <top style="thin">
        <color theme="0" tint="-4.9989318521683403E-2"/>
      </top>
      <bottom style="hair">
        <color theme="5" tint="-0.24994659260841701"/>
      </bottom>
      <diagonal/>
    </border>
    <border>
      <left style="medium">
        <color theme="5" tint="-0.24994659260841701"/>
      </left>
      <right style="thin">
        <color theme="5" tint="-0.24994659260841701"/>
      </right>
      <top style="hair">
        <color theme="5" tint="-0.24994659260841701"/>
      </top>
      <bottom style="hair">
        <color theme="5" tint="-0.24994659260841701"/>
      </bottom>
      <diagonal/>
    </border>
    <border>
      <left style="medium">
        <color theme="5" tint="-0.24994659260841701"/>
      </left>
      <right style="thin">
        <color theme="5" tint="-0.24994659260841701"/>
      </right>
      <top style="hair">
        <color theme="5" tint="-0.24994659260841701"/>
      </top>
      <bottom style="medium">
        <color rgb="FF0087E8"/>
      </bottom>
      <diagonal/>
    </border>
    <border>
      <left style="thin">
        <color theme="5" tint="-0.24994659260841701"/>
      </left>
      <right style="medium">
        <color theme="5" tint="-0.24994659260841701"/>
      </right>
      <top style="thin">
        <color theme="0" tint="-4.9989318521683403E-2"/>
      </top>
      <bottom style="hair">
        <color theme="5" tint="-0.24994659260841701"/>
      </bottom>
      <diagonal/>
    </border>
    <border>
      <left style="thin">
        <color theme="5" tint="-0.24994659260841701"/>
      </left>
      <right style="medium">
        <color theme="5" tint="-0.24994659260841701"/>
      </right>
      <top style="hair">
        <color theme="5" tint="-0.24994659260841701"/>
      </top>
      <bottom style="hair">
        <color theme="5" tint="-0.24994659260841701"/>
      </bottom>
      <diagonal/>
    </border>
    <border>
      <left style="thin">
        <color theme="5" tint="-0.24994659260841701"/>
      </left>
      <right style="medium">
        <color theme="5" tint="-0.24994659260841701"/>
      </right>
      <top style="hair">
        <color theme="5" tint="-0.24994659260841701"/>
      </top>
      <bottom style="medium">
        <color rgb="FF0087E8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hair">
        <color theme="0" tint="-4.9989318521683403E-2"/>
      </bottom>
      <diagonal/>
    </border>
    <border>
      <left/>
      <right/>
      <top style="thin">
        <color theme="0" tint="-4.9989318521683403E-2"/>
      </top>
      <bottom style="hair">
        <color theme="0" tint="-4.9989318521683403E-2"/>
      </bottom>
      <diagonal/>
    </border>
    <border>
      <left/>
      <right style="hair">
        <color theme="0" tint="-4.9989318521683403E-2"/>
      </right>
      <top style="thin">
        <color theme="0" tint="-4.9989318521683403E-2"/>
      </top>
      <bottom style="hair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hair">
        <color theme="0" tint="-4.9989318521683403E-2"/>
      </bottom>
      <diagonal/>
    </border>
    <border>
      <left style="thin">
        <color theme="5" tint="-0.24994659260841701"/>
      </left>
      <right style="medium">
        <color theme="5" tint="-0.24994659260841701"/>
      </right>
      <top style="hair">
        <color theme="5" tint="-0.24994659260841701"/>
      </top>
      <bottom/>
      <diagonal/>
    </border>
    <border>
      <left/>
      <right style="thin">
        <color theme="5" tint="-0.24994659260841701"/>
      </right>
      <top style="thin">
        <color theme="0" tint="-4.9989318521683403E-2"/>
      </top>
      <bottom style="hair">
        <color theme="5" tint="-0.24994659260841701"/>
      </bottom>
      <diagonal/>
    </border>
    <border>
      <left/>
      <right style="thin">
        <color theme="5" tint="-0.24994659260841701"/>
      </right>
      <top style="hair">
        <color theme="5" tint="-0.24994659260841701"/>
      </top>
      <bottom style="hair">
        <color theme="5" tint="-0.24994659260841701"/>
      </bottom>
      <diagonal/>
    </border>
    <border>
      <left/>
      <right style="thin">
        <color theme="5" tint="-0.24994659260841701"/>
      </right>
      <top style="hair">
        <color theme="5" tint="-0.24994659260841701"/>
      </top>
      <bottom/>
      <diagonal/>
    </border>
    <border>
      <left style="medium">
        <color rgb="FF00B050"/>
      </left>
      <right style="thin">
        <color rgb="FF00B050"/>
      </right>
      <top style="thin">
        <color theme="0" tint="-4.9989318521683403E-2"/>
      </top>
      <bottom style="hair">
        <color theme="5" tint="-0.24994659260841701"/>
      </bottom>
      <diagonal/>
    </border>
    <border>
      <left style="thin">
        <color rgb="FF00B050"/>
      </left>
      <right style="medium">
        <color rgb="FF00B050"/>
      </right>
      <top style="thin">
        <color theme="0" tint="-4.9989318521683403E-2"/>
      </top>
      <bottom style="hair">
        <color theme="5" tint="-0.24994659260841701"/>
      </bottom>
      <diagonal/>
    </border>
    <border>
      <left style="medium">
        <color rgb="FF00B050"/>
      </left>
      <right style="thin">
        <color rgb="FF00B050"/>
      </right>
      <top style="hair">
        <color theme="5" tint="-0.24994659260841701"/>
      </top>
      <bottom style="hair">
        <color theme="5" tint="-0.24994659260841701"/>
      </bottom>
      <diagonal/>
    </border>
    <border>
      <left style="thin">
        <color rgb="FF00B050"/>
      </left>
      <right style="medium">
        <color rgb="FF00B050"/>
      </right>
      <top style="hair">
        <color theme="5" tint="-0.24994659260841701"/>
      </top>
      <bottom style="hair">
        <color theme="5" tint="-0.24994659260841701"/>
      </bottom>
      <diagonal/>
    </border>
    <border>
      <left style="medium">
        <color rgb="FF00B050"/>
      </left>
      <right style="thin">
        <color rgb="FF00B050"/>
      </right>
      <top style="hair">
        <color theme="5" tint="-0.24994659260841701"/>
      </top>
      <bottom/>
      <diagonal/>
    </border>
    <border>
      <left style="thin">
        <color rgb="FF00B050"/>
      </left>
      <right style="medium">
        <color rgb="FF00B050"/>
      </right>
      <top style="hair">
        <color theme="5" tint="-0.24994659260841701"/>
      </top>
      <bottom/>
      <diagonal/>
    </border>
    <border>
      <left/>
      <right style="thin">
        <color theme="0" tint="-4.9989318521683403E-2"/>
      </right>
      <top/>
      <bottom style="hair">
        <color rgb="FF0087E8"/>
      </bottom>
      <diagonal/>
    </border>
    <border>
      <left/>
      <right style="thin">
        <color theme="0" tint="-4.9989318521683403E-2"/>
      </right>
      <top style="hair">
        <color rgb="FF0087E8"/>
      </top>
      <bottom style="hair">
        <color rgb="FF0087E8"/>
      </bottom>
      <diagonal/>
    </border>
    <border>
      <left style="medium">
        <color rgb="FF0087E8"/>
      </left>
      <right style="thin">
        <color theme="0"/>
      </right>
      <top style="medium">
        <color rgb="FF0087E8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rgb="FF0087E8"/>
      </top>
      <bottom style="thin">
        <color theme="0"/>
      </bottom>
      <diagonal/>
    </border>
    <border>
      <left style="thick">
        <color theme="1"/>
      </left>
      <right/>
      <top style="thick">
        <color theme="1"/>
      </top>
      <bottom/>
      <diagonal/>
    </border>
    <border>
      <left/>
      <right/>
      <top style="thick">
        <color theme="1"/>
      </top>
      <bottom/>
      <diagonal/>
    </border>
    <border>
      <left/>
      <right style="thick">
        <color theme="1"/>
      </right>
      <top style="thick">
        <color theme="1"/>
      </top>
      <bottom/>
      <diagonal/>
    </border>
    <border>
      <left style="thick">
        <color theme="1"/>
      </left>
      <right/>
      <top/>
      <bottom/>
      <diagonal/>
    </border>
    <border>
      <left/>
      <right style="thick">
        <color theme="1"/>
      </right>
      <top/>
      <bottom/>
      <diagonal/>
    </border>
    <border>
      <left style="thick">
        <color theme="1"/>
      </left>
      <right/>
      <top/>
      <bottom style="thick">
        <color theme="1"/>
      </bottom>
      <diagonal/>
    </border>
    <border>
      <left/>
      <right/>
      <top/>
      <bottom style="thick">
        <color theme="1"/>
      </bottom>
      <diagonal/>
    </border>
    <border>
      <left/>
      <right style="thick">
        <color theme="1"/>
      </right>
      <top/>
      <bottom style="thick">
        <color theme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theme="0" tint="-4.9989318521683403E-2"/>
      </left>
      <right style="thin">
        <color theme="0" tint="-4.9989318521683403E-2"/>
      </right>
      <top/>
      <bottom/>
      <diagonal/>
    </border>
    <border>
      <left style="thin">
        <color theme="5" tint="0.39994506668294322"/>
      </left>
      <right style="medium">
        <color theme="5" tint="0.39991454817346722"/>
      </right>
      <top style="thin">
        <color theme="0" tint="-4.9989318521683403E-2"/>
      </top>
      <bottom style="hair">
        <color rgb="FF0087E8"/>
      </bottom>
      <diagonal/>
    </border>
    <border>
      <left style="medium">
        <color theme="5" tint="0.39991454817346722"/>
      </left>
      <right style="thin">
        <color theme="5" tint="0.39994506668294322"/>
      </right>
      <top style="thin">
        <color theme="0" tint="-4.9989318521683403E-2"/>
      </top>
      <bottom style="hair">
        <color rgb="FF0087E8"/>
      </bottom>
      <diagonal/>
    </border>
    <border>
      <left style="thin">
        <color theme="5" tint="0.39994506668294322"/>
      </left>
      <right style="medium">
        <color theme="5" tint="0.39991454817346722"/>
      </right>
      <top/>
      <bottom style="hair">
        <color rgb="FF0087E8"/>
      </bottom>
      <diagonal/>
    </border>
    <border>
      <left style="medium">
        <color theme="5" tint="0.39991454817346722"/>
      </left>
      <right style="thin">
        <color theme="5" tint="0.39994506668294322"/>
      </right>
      <top style="hair">
        <color rgb="FF0087E8"/>
      </top>
      <bottom style="hair">
        <color rgb="FF0087E8"/>
      </bottom>
      <diagonal/>
    </border>
    <border>
      <left style="thin">
        <color theme="5" tint="0.39994506668294322"/>
      </left>
      <right style="medium">
        <color theme="5" tint="0.39991454817346722"/>
      </right>
      <top/>
      <bottom style="medium">
        <color rgb="FF0087E8"/>
      </bottom>
      <diagonal/>
    </border>
    <border>
      <left style="medium">
        <color theme="5" tint="0.39991454817346722"/>
      </left>
      <right style="thin">
        <color theme="5" tint="0.39994506668294322"/>
      </right>
      <top style="hair">
        <color rgb="FF0087E8"/>
      </top>
      <bottom style="medium">
        <color rgb="FF0087E8"/>
      </bottom>
      <diagonal/>
    </border>
    <border>
      <left/>
      <right style="thin">
        <color theme="0"/>
      </right>
      <top style="hair">
        <color rgb="FF0087E8"/>
      </top>
      <bottom/>
      <diagonal/>
    </border>
    <border>
      <left style="thin">
        <color theme="5" tint="0.39994506668294322"/>
      </left>
      <right/>
      <top style="thin">
        <color theme="0" tint="-4.9989318521683403E-2"/>
      </top>
      <bottom style="hair">
        <color rgb="FF0087E8"/>
      </bottom>
      <diagonal/>
    </border>
    <border>
      <left style="thin">
        <color theme="5" tint="0.39994506668294322"/>
      </left>
      <right/>
      <top style="hair">
        <color rgb="FF0087E8"/>
      </top>
      <bottom style="hair">
        <color rgb="FF0087E8"/>
      </bottom>
      <diagonal/>
    </border>
    <border>
      <left style="thin">
        <color theme="5" tint="0.39994506668294322"/>
      </left>
      <right/>
      <top style="hair">
        <color rgb="FF0087E8"/>
      </top>
      <bottom style="medium">
        <color rgb="FF0087E8"/>
      </bottom>
      <diagonal/>
    </border>
    <border>
      <left style="thin">
        <color rgb="FF0087E8"/>
      </left>
      <right style="medium">
        <color rgb="FF0087E8"/>
      </right>
      <top style="thin">
        <color theme="0" tint="-4.9989318521683403E-2"/>
      </top>
      <bottom style="hair">
        <color rgb="FF00B050"/>
      </bottom>
      <diagonal/>
    </border>
    <border>
      <left style="thin">
        <color rgb="FF0087E8"/>
      </left>
      <right style="medium">
        <color rgb="FF0087E8"/>
      </right>
      <top style="hair">
        <color rgb="FF00B050"/>
      </top>
      <bottom style="hair">
        <color rgb="FF00B050"/>
      </bottom>
      <diagonal/>
    </border>
    <border>
      <left style="thin">
        <color rgb="FF0087E8"/>
      </left>
      <right style="medium">
        <color rgb="FF0087E8"/>
      </right>
      <top style="hair">
        <color rgb="FF00B050"/>
      </top>
      <bottom style="medium">
        <color rgb="FF0087E8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/>
      </top>
      <bottom style="hair">
        <color rgb="FF00B050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rgb="FF00B050"/>
      </top>
      <bottom style="hair">
        <color rgb="FF00B050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rgb="FF000000"/>
      </top>
      <bottom style="hair">
        <color rgb="FF00B050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hair">
        <color rgb="FF00B050"/>
      </bottom>
      <diagonal/>
    </border>
    <border>
      <left style="thin">
        <color theme="1" tint="0.24994659260841701"/>
      </left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/>
      <top style="thin">
        <color theme="1" tint="0.24994659260841701"/>
      </top>
      <bottom style="thin">
        <color theme="1" tint="0.24994659260841701"/>
      </bottom>
      <diagonal/>
    </border>
    <border>
      <left/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 style="thin">
        <color theme="1" tint="0.499984740745262"/>
      </right>
      <top style="thin">
        <color theme="1"/>
      </top>
      <bottom style="hair">
        <color rgb="FF00B050"/>
      </bottom>
      <diagonal/>
    </border>
    <border>
      <left style="thin">
        <color theme="1" tint="0.499984740745262"/>
      </left>
      <right style="thin">
        <color theme="1" tint="0.24994659260841701"/>
      </right>
      <top style="thin">
        <color theme="1"/>
      </top>
      <bottom style="hair">
        <color rgb="FF00B050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 tint="0.24994659260841701"/>
      </left>
      <right style="thin">
        <color theme="1" tint="0.499984740745262"/>
      </right>
      <top style="thin">
        <color theme="1" tint="0.24994659260841701"/>
      </top>
      <bottom style="thin">
        <color theme="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24994659260841701"/>
      </top>
      <bottom style="thin">
        <color theme="1"/>
      </bottom>
      <diagonal/>
    </border>
    <border>
      <left style="thin">
        <color theme="1" tint="0.499984740745262"/>
      </left>
      <right style="thin">
        <color theme="1" tint="0.24994659260841701"/>
      </right>
      <top style="thin">
        <color theme="1" tint="0.24994659260841701"/>
      </top>
      <bottom style="thin">
        <color theme="1"/>
      </bottom>
      <diagonal/>
    </border>
    <border>
      <left style="thin">
        <color theme="1" tint="0.24994659260841701"/>
      </left>
      <right style="thin">
        <color theme="1" tint="0.499984740745262"/>
      </right>
      <top style="hair">
        <color rgb="FF00B050"/>
      </top>
      <bottom style="hair">
        <color rgb="FF00B050"/>
      </bottom>
      <diagonal/>
    </border>
    <border>
      <left style="thin">
        <color theme="1" tint="0.499984740745262"/>
      </left>
      <right style="thin">
        <color theme="1" tint="0.24994659260841701"/>
      </right>
      <top style="hair">
        <color rgb="FF00B050"/>
      </top>
      <bottom style="hair">
        <color rgb="FF00B050"/>
      </bottom>
      <diagonal/>
    </border>
    <border>
      <left style="thin">
        <color theme="1" tint="0.24994659260841701"/>
      </left>
      <right style="thin">
        <color theme="1" tint="0.499984740745262"/>
      </right>
      <top style="hair">
        <color rgb="FF00B050"/>
      </top>
      <bottom style="thin">
        <color theme="1" tint="0.24994659260841701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rgb="FF00B050"/>
      </top>
      <bottom style="thin">
        <color theme="1" tint="0.24994659260841701"/>
      </bottom>
      <diagonal/>
    </border>
    <border>
      <left style="thin">
        <color theme="1" tint="0.499984740745262"/>
      </left>
      <right style="thin">
        <color theme="1" tint="0.24994659260841701"/>
      </right>
      <top style="hair">
        <color rgb="FF00B050"/>
      </top>
      <bottom style="thin">
        <color theme="1" tint="0.24994659260841701"/>
      </bottom>
      <diagonal/>
    </border>
    <border>
      <left style="thin">
        <color theme="1" tint="0.24994659260841701"/>
      </left>
      <right/>
      <top style="thin">
        <color theme="1" tint="0.24994659260841701"/>
      </top>
      <bottom style="thin">
        <color rgb="FF000000"/>
      </bottom>
      <diagonal/>
    </border>
    <border>
      <left/>
      <right/>
      <top style="thin">
        <color theme="1" tint="0.24994659260841701"/>
      </top>
      <bottom style="thin">
        <color rgb="FF000000"/>
      </bottom>
      <diagonal/>
    </border>
    <border>
      <left/>
      <right style="thin">
        <color theme="1" tint="0.24994659260841701"/>
      </right>
      <top style="thin">
        <color theme="1" tint="0.24994659260841701"/>
      </top>
      <bottom style="thin">
        <color rgb="FF000000"/>
      </bottom>
      <diagonal/>
    </border>
    <border>
      <left style="thin">
        <color theme="1" tint="0.24994659260841701"/>
      </left>
      <right style="thin">
        <color theme="1" tint="0.499984740745262"/>
      </right>
      <top style="thin">
        <color rgb="FF000000"/>
      </top>
      <bottom style="hair">
        <color rgb="FF00B050"/>
      </bottom>
      <diagonal/>
    </border>
    <border>
      <left style="thin">
        <color theme="1" tint="0.499984740745262"/>
      </left>
      <right style="thin">
        <color theme="1" tint="0.24994659260841701"/>
      </right>
      <top style="thin">
        <color rgb="FF000000"/>
      </top>
      <bottom style="hair">
        <color rgb="FF00B050"/>
      </bottom>
      <diagonal/>
    </border>
    <border>
      <left style="thin">
        <color theme="1" tint="0.24994659260841701"/>
      </left>
      <right style="thin">
        <color theme="1" tint="0.499984740745262"/>
      </right>
      <top/>
      <bottom style="hair">
        <color rgb="FF00B050"/>
      </bottom>
      <diagonal/>
    </border>
    <border>
      <left style="thin">
        <color theme="1" tint="0.499984740745262"/>
      </left>
      <right style="thin">
        <color theme="1" tint="0.24994659260841701"/>
      </right>
      <top/>
      <bottom style="hair">
        <color rgb="FF00B050"/>
      </bottom>
      <diagonal/>
    </border>
  </borders>
  <cellStyleXfs count="19">
    <xf numFmtId="0" fontId="0" fillId="0" borderId="0"/>
    <xf numFmtId="0" fontId="12" fillId="0" borderId="0"/>
    <xf numFmtId="166" fontId="13" fillId="0" borderId="0"/>
    <xf numFmtId="0" fontId="19" fillId="10" borderId="0" applyNumberFormat="0" applyBorder="0" applyAlignment="0" applyProtection="0"/>
    <xf numFmtId="0" fontId="20" fillId="11" borderId="21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</cellStyleXfs>
  <cellXfs count="267">
    <xf numFmtId="0" fontId="0" fillId="0" borderId="0" xfId="0"/>
    <xf numFmtId="14" fontId="0" fillId="0" borderId="0" xfId="0" applyNumberFormat="1"/>
    <xf numFmtId="0" fontId="8" fillId="0" borderId="0" xfId="0" applyFont="1"/>
    <xf numFmtId="17" fontId="8" fillId="0" borderId="0" xfId="0" applyNumberFormat="1" applyFont="1"/>
    <xf numFmtId="20" fontId="0" fillId="0" borderId="0" xfId="0" applyNumberFormat="1"/>
    <xf numFmtId="0" fontId="8" fillId="0" borderId="0" xfId="0" applyFont="1" applyProtection="1">
      <protection locked="0"/>
    </xf>
    <xf numFmtId="0" fontId="0" fillId="0" borderId="0" xfId="0" applyProtection="1">
      <protection locked="0"/>
    </xf>
    <xf numFmtId="0" fontId="12" fillId="0" borderId="0" xfId="0" applyFont="1"/>
    <xf numFmtId="0" fontId="12" fillId="0" borderId="0" xfId="0" applyFont="1" applyAlignment="1">
      <alignment horizontal="center"/>
    </xf>
    <xf numFmtId="0" fontId="10" fillId="6" borderId="0" xfId="0" applyFont="1" applyFill="1" applyBorder="1" applyAlignment="1">
      <alignment horizontal="center" vertical="center"/>
    </xf>
    <xf numFmtId="0" fontId="0" fillId="6" borderId="0" xfId="0" applyFill="1"/>
    <xf numFmtId="0" fontId="12" fillId="6" borderId="0" xfId="0" applyFont="1" applyFill="1"/>
    <xf numFmtId="0" fontId="14" fillId="6" borderId="0" xfId="0" applyFont="1" applyFill="1" applyBorder="1" applyAlignment="1" applyProtection="1">
      <alignment horizontal="center"/>
      <protection locked="0"/>
    </xf>
    <xf numFmtId="0" fontId="0" fillId="6" borderId="0" xfId="0" applyFill="1" applyBorder="1"/>
    <xf numFmtId="0" fontId="10" fillId="6" borderId="17" xfId="0" applyFont="1" applyFill="1" applyBorder="1" applyAlignment="1">
      <alignment horizontal="center" vertical="center"/>
    </xf>
    <xf numFmtId="0" fontId="15" fillId="6" borderId="17" xfId="0" applyFont="1" applyFill="1" applyBorder="1" applyAlignment="1">
      <alignment vertical="center"/>
    </xf>
    <xf numFmtId="0" fontId="0" fillId="6" borderId="16" xfId="0" applyFill="1" applyBorder="1"/>
    <xf numFmtId="0" fontId="12" fillId="0" borderId="9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0" fillId="0" borderId="12" xfId="0" applyBorder="1"/>
    <xf numFmtId="0" fontId="0" fillId="6" borderId="17" xfId="0" applyFill="1" applyBorder="1"/>
    <xf numFmtId="0" fontId="0" fillId="6" borderId="0" xfId="0" applyFill="1" applyBorder="1" applyAlignment="1"/>
    <xf numFmtId="0" fontId="8" fillId="0" borderId="9" xfId="0" applyFont="1" applyBorder="1"/>
    <xf numFmtId="0" fontId="0" fillId="0" borderId="15" xfId="0" applyBorder="1"/>
    <xf numFmtId="0" fontId="3" fillId="6" borderId="1" xfId="0" applyFont="1" applyFill="1" applyBorder="1" applyAlignment="1">
      <alignment horizontal="center" vertical="center"/>
    </xf>
    <xf numFmtId="0" fontId="30" fillId="6" borderId="14" xfId="0" applyFont="1" applyFill="1" applyBorder="1" applyAlignment="1">
      <alignment vertical="center"/>
    </xf>
    <xf numFmtId="0" fontId="0" fillId="6" borderId="31" xfId="0" applyFill="1" applyBorder="1"/>
    <xf numFmtId="0" fontId="6" fillId="6" borderId="35" xfId="0" applyFont="1" applyFill="1" applyBorder="1" applyAlignment="1">
      <alignment horizontal="center" vertical="center"/>
    </xf>
    <xf numFmtId="0" fontId="6" fillId="6" borderId="22" xfId="0" applyFont="1" applyFill="1" applyBorder="1" applyAlignment="1">
      <alignment horizontal="center" vertical="center"/>
    </xf>
    <xf numFmtId="0" fontId="31" fillId="14" borderId="0" xfId="0" applyFont="1" applyFill="1" applyBorder="1" applyAlignment="1">
      <alignment horizontal="center"/>
    </xf>
    <xf numFmtId="0" fontId="32" fillId="14" borderId="33" xfId="0" applyFont="1" applyFill="1" applyBorder="1" applyAlignment="1">
      <alignment horizontal="center" vertical="center"/>
    </xf>
    <xf numFmtId="0" fontId="6" fillId="6" borderId="34" xfId="0" applyFont="1" applyFill="1" applyBorder="1" applyAlignment="1">
      <alignment horizontal="center" vertical="center"/>
    </xf>
    <xf numFmtId="169" fontId="8" fillId="13" borderId="40" xfId="0" applyNumberFormat="1" applyFont="1" applyFill="1" applyBorder="1" applyAlignment="1">
      <alignment horizontal="center" vertical="center"/>
    </xf>
    <xf numFmtId="0" fontId="8" fillId="13" borderId="40" xfId="0" applyFont="1" applyFill="1" applyBorder="1" applyAlignment="1">
      <alignment horizontal="center" vertical="center"/>
    </xf>
    <xf numFmtId="20" fontId="34" fillId="6" borderId="40" xfId="0" applyNumberFormat="1" applyFont="1" applyFill="1" applyBorder="1" applyAlignment="1">
      <alignment horizontal="center" vertical="center"/>
    </xf>
    <xf numFmtId="169" fontId="34" fillId="6" borderId="40" xfId="0" applyNumberFormat="1" applyFont="1" applyFill="1" applyBorder="1" applyAlignment="1">
      <alignment horizontal="center" vertical="center"/>
    </xf>
    <xf numFmtId="0" fontId="0" fillId="6" borderId="0" xfId="0" applyFill="1" applyAlignment="1"/>
    <xf numFmtId="0" fontId="37" fillId="6" borderId="14" xfId="0" applyFont="1" applyFill="1" applyBorder="1" applyAlignment="1">
      <alignment horizontal="center" vertical="center"/>
    </xf>
    <xf numFmtId="0" fontId="35" fillId="6" borderId="14" xfId="0" applyFont="1" applyFill="1" applyBorder="1" applyAlignment="1">
      <alignment vertical="center"/>
    </xf>
    <xf numFmtId="0" fontId="35" fillId="6" borderId="0" xfId="0" applyFont="1" applyFill="1" applyBorder="1" applyAlignment="1">
      <alignment vertical="center"/>
    </xf>
    <xf numFmtId="49" fontId="36" fillId="17" borderId="33" xfId="0" applyNumberFormat="1" applyFont="1" applyFill="1" applyBorder="1" applyAlignment="1">
      <alignment horizontal="center" vertical="center"/>
    </xf>
    <xf numFmtId="0" fontId="36" fillId="17" borderId="34" xfId="0" applyNumberFormat="1" applyFont="1" applyFill="1" applyBorder="1" applyAlignment="1">
      <alignment horizontal="center" vertical="center"/>
    </xf>
    <xf numFmtId="0" fontId="36" fillId="17" borderId="33" xfId="0" applyNumberFormat="1" applyFont="1" applyFill="1" applyBorder="1" applyAlignment="1">
      <alignment horizontal="center" vertical="center"/>
    </xf>
    <xf numFmtId="49" fontId="38" fillId="6" borderId="0" xfId="0" applyNumberFormat="1" applyFont="1" applyFill="1" applyBorder="1" applyAlignment="1">
      <alignment horizontal="center" vertical="center"/>
    </xf>
    <xf numFmtId="0" fontId="38" fillId="6" borderId="0" xfId="0" applyNumberFormat="1" applyFont="1" applyFill="1" applyBorder="1" applyAlignment="1">
      <alignment horizontal="center" vertical="center"/>
    </xf>
    <xf numFmtId="0" fontId="15" fillId="17" borderId="18" xfId="0" applyFont="1" applyFill="1" applyBorder="1" applyAlignment="1">
      <alignment horizontal="center"/>
    </xf>
    <xf numFmtId="0" fontId="15" fillId="17" borderId="19" xfId="0" applyFont="1" applyFill="1" applyBorder="1" applyAlignment="1">
      <alignment horizontal="center"/>
    </xf>
    <xf numFmtId="0" fontId="11" fillId="0" borderId="56" xfId="0" applyFont="1" applyBorder="1" applyAlignment="1">
      <alignment horizontal="center" vertical="center"/>
    </xf>
    <xf numFmtId="165" fontId="1" fillId="0" borderId="13" xfId="0" applyNumberFormat="1" applyFont="1" applyBorder="1" applyAlignment="1">
      <alignment horizontal="center" vertical="center"/>
    </xf>
    <xf numFmtId="20" fontId="15" fillId="17" borderId="55" xfId="0" applyNumberFormat="1" applyFont="1" applyFill="1" applyBorder="1" applyAlignment="1">
      <alignment horizontal="center" vertical="center"/>
    </xf>
    <xf numFmtId="20" fontId="15" fillId="17" borderId="57" xfId="0" applyNumberFormat="1" applyFont="1" applyFill="1" applyBorder="1" applyAlignment="1">
      <alignment horizontal="center" vertical="center"/>
    </xf>
    <xf numFmtId="0" fontId="0" fillId="5" borderId="61" xfId="0" applyFill="1" applyBorder="1" applyAlignment="1">
      <alignment vertical="center"/>
    </xf>
    <xf numFmtId="0" fontId="0" fillId="5" borderId="63" xfId="0" applyFill="1" applyBorder="1" applyAlignment="1">
      <alignment vertical="center"/>
    </xf>
    <xf numFmtId="0" fontId="0" fillId="6" borderId="0" xfId="0" applyFill="1" applyBorder="1" applyAlignment="1">
      <alignment vertical="center"/>
    </xf>
    <xf numFmtId="0" fontId="0" fillId="5" borderId="58" xfId="0" applyFill="1" applyBorder="1" applyAlignment="1">
      <alignment horizontal="center" vertical="center"/>
    </xf>
    <xf numFmtId="0" fontId="0" fillId="5" borderId="60" xfId="0" applyFill="1" applyBorder="1" applyAlignment="1">
      <alignment horizontal="center" vertical="center"/>
    </xf>
    <xf numFmtId="0" fontId="0" fillId="5" borderId="62" xfId="0" applyFill="1" applyBorder="1" applyAlignment="1">
      <alignment horizontal="center" vertical="center"/>
    </xf>
    <xf numFmtId="0" fontId="28" fillId="2" borderId="22" xfId="0" applyFont="1" applyFill="1" applyBorder="1" applyAlignment="1">
      <alignment horizontal="center" vertical="center"/>
    </xf>
    <xf numFmtId="0" fontId="22" fillId="2" borderId="22" xfId="0" applyFont="1" applyFill="1" applyBorder="1" applyAlignment="1">
      <alignment horizontal="center" vertical="center"/>
    </xf>
    <xf numFmtId="168" fontId="21" fillId="13" borderId="22" xfId="3" applyNumberFormat="1" applyFont="1" applyFill="1" applyBorder="1" applyAlignment="1">
      <alignment horizontal="center" vertical="center"/>
    </xf>
    <xf numFmtId="20" fontId="33" fillId="13" borderId="28" xfId="0" applyNumberFormat="1" applyFont="1" applyFill="1" applyBorder="1" applyAlignment="1">
      <alignment horizontal="center" vertical="center"/>
    </xf>
    <xf numFmtId="0" fontId="33" fillId="13" borderId="20" xfId="0" applyFont="1" applyFill="1" applyBorder="1" applyAlignment="1">
      <alignment horizontal="center" vertical="center"/>
    </xf>
    <xf numFmtId="20" fontId="33" fillId="13" borderId="20" xfId="0" applyNumberFormat="1" applyFont="1" applyFill="1" applyBorder="1" applyAlignment="1">
      <alignment horizontal="center" vertical="center"/>
    </xf>
    <xf numFmtId="0" fontId="33" fillId="13" borderId="32" xfId="0" applyFont="1" applyFill="1" applyBorder="1" applyAlignment="1">
      <alignment horizontal="center" vertical="center"/>
    </xf>
    <xf numFmtId="0" fontId="22" fillId="2" borderId="42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6" borderId="36" xfId="0" applyFont="1" applyFill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164" fontId="2" fillId="5" borderId="8" xfId="0" applyNumberFormat="1" applyFont="1" applyFill="1" applyBorder="1" applyAlignment="1">
      <alignment horizontal="center" vertical="center"/>
    </xf>
    <xf numFmtId="169" fontId="2" fillId="0" borderId="8" xfId="0" applyNumberFormat="1" applyFont="1" applyBorder="1" applyAlignment="1">
      <alignment horizontal="center" vertical="center"/>
    </xf>
    <xf numFmtId="170" fontId="26" fillId="7" borderId="8" xfId="0" applyNumberFormat="1" applyFont="1" applyFill="1" applyBorder="1" applyAlignment="1">
      <alignment horizontal="center" vertical="center"/>
    </xf>
    <xf numFmtId="170" fontId="27" fillId="9" borderId="44" xfId="0" applyNumberFormat="1" applyFont="1" applyFill="1" applyBorder="1" applyAlignment="1">
      <alignment horizontal="center" vertical="center"/>
    </xf>
    <xf numFmtId="170" fontId="27" fillId="9" borderId="8" xfId="0" applyNumberFormat="1" applyFont="1" applyFill="1" applyBorder="1" applyAlignment="1">
      <alignment horizontal="center" vertical="center"/>
    </xf>
    <xf numFmtId="170" fontId="27" fillId="9" borderId="43" xfId="0" applyNumberFormat="1" applyFont="1" applyFill="1" applyBorder="1" applyAlignment="1">
      <alignment horizontal="center" vertical="center"/>
    </xf>
    <xf numFmtId="170" fontId="5" fillId="15" borderId="46" xfId="0" applyNumberFormat="1" applyFont="1" applyFill="1" applyBorder="1" applyAlignment="1">
      <alignment horizontal="center" vertical="center"/>
    </xf>
    <xf numFmtId="170" fontId="5" fillId="15" borderId="52" xfId="0" applyNumberFormat="1" applyFont="1" applyFill="1" applyBorder="1" applyAlignment="1">
      <alignment horizontal="center" vertical="center"/>
    </xf>
    <xf numFmtId="170" fontId="21" fillId="15" borderId="49" xfId="4" applyNumberFormat="1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2" fillId="5" borderId="2" xfId="0" applyNumberFormat="1" applyFont="1" applyFill="1" applyBorder="1" applyAlignment="1">
      <alignment horizontal="center" vertical="center"/>
    </xf>
    <xf numFmtId="169" fontId="2" fillId="0" borderId="2" xfId="0" applyNumberFormat="1" applyFont="1" applyBorder="1" applyAlignment="1">
      <alignment horizontal="center" vertical="center"/>
    </xf>
    <xf numFmtId="170" fontId="26" fillId="7" borderId="2" xfId="0" applyNumberFormat="1" applyFont="1" applyFill="1" applyBorder="1" applyAlignment="1">
      <alignment horizontal="center" vertical="center"/>
    </xf>
    <xf numFmtId="170" fontId="27" fillId="9" borderId="36" xfId="0" applyNumberFormat="1" applyFont="1" applyFill="1" applyBorder="1" applyAlignment="1">
      <alignment horizontal="center" vertical="center"/>
    </xf>
    <xf numFmtId="170" fontId="27" fillId="9" borderId="3" xfId="0" applyNumberFormat="1" applyFont="1" applyFill="1" applyBorder="1" applyAlignment="1">
      <alignment horizontal="center" vertical="center"/>
    </xf>
    <xf numFmtId="170" fontId="27" fillId="9" borderId="1" xfId="0" applyNumberFormat="1" applyFont="1" applyFill="1" applyBorder="1" applyAlignment="1">
      <alignment horizontal="center" vertical="center"/>
    </xf>
    <xf numFmtId="170" fontId="27" fillId="9" borderId="2" xfId="0" applyNumberFormat="1" applyFont="1" applyFill="1" applyBorder="1" applyAlignment="1">
      <alignment horizontal="center" vertical="center"/>
    </xf>
    <xf numFmtId="170" fontId="5" fillId="15" borderId="47" xfId="0" applyNumberFormat="1" applyFont="1" applyFill="1" applyBorder="1" applyAlignment="1">
      <alignment horizontal="center" vertical="center"/>
    </xf>
    <xf numFmtId="170" fontId="5" fillId="15" borderId="53" xfId="0" applyNumberFormat="1" applyFont="1" applyFill="1" applyBorder="1" applyAlignment="1">
      <alignment horizontal="center" vertical="center"/>
    </xf>
    <xf numFmtId="170" fontId="21" fillId="15" borderId="50" xfId="4" applyNumberFormat="1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169" fontId="2" fillId="0" borderId="5" xfId="0" applyNumberFormat="1" applyFont="1" applyBorder="1" applyAlignment="1">
      <alignment horizontal="center" vertical="center"/>
    </xf>
    <xf numFmtId="170" fontId="26" fillId="7" borderId="5" xfId="0" applyNumberFormat="1" applyFont="1" applyFill="1" applyBorder="1" applyAlignment="1">
      <alignment horizontal="center" vertical="center"/>
    </xf>
    <xf numFmtId="170" fontId="27" fillId="9" borderId="45" xfId="0" applyNumberFormat="1" applyFont="1" applyFill="1" applyBorder="1" applyAlignment="1">
      <alignment horizontal="center" vertical="center"/>
    </xf>
    <xf numFmtId="170" fontId="27" fillId="9" borderId="6" xfId="0" applyNumberFormat="1" applyFont="1" applyFill="1" applyBorder="1" applyAlignment="1">
      <alignment horizontal="center" vertical="center"/>
    </xf>
    <xf numFmtId="170" fontId="27" fillId="9" borderId="4" xfId="0" applyNumberFormat="1" applyFont="1" applyFill="1" applyBorder="1" applyAlignment="1">
      <alignment horizontal="center" vertical="center"/>
    </xf>
    <xf numFmtId="170" fontId="5" fillId="15" borderId="48" xfId="0" applyNumberFormat="1" applyFont="1" applyFill="1" applyBorder="1" applyAlignment="1">
      <alignment horizontal="center" vertical="center"/>
    </xf>
    <xf numFmtId="170" fontId="5" fillId="15" borderId="54" xfId="0" applyNumberFormat="1" applyFont="1" applyFill="1" applyBorder="1" applyAlignment="1">
      <alignment horizontal="center" vertical="center"/>
    </xf>
    <xf numFmtId="170" fontId="21" fillId="15" borderId="51" xfId="4" applyNumberFormat="1" applyFont="1" applyFill="1" applyBorder="1" applyAlignment="1">
      <alignment horizontal="center" vertical="center"/>
    </xf>
    <xf numFmtId="0" fontId="5" fillId="6" borderId="0" xfId="0" applyFont="1" applyFill="1" applyAlignment="1">
      <alignment vertical="center"/>
    </xf>
    <xf numFmtId="0" fontId="0" fillId="5" borderId="59" xfId="0" applyNumberFormat="1" applyFill="1" applyBorder="1" applyAlignment="1">
      <alignment vertical="center"/>
    </xf>
    <xf numFmtId="169" fontId="21" fillId="13" borderId="22" xfId="0" applyNumberFormat="1" applyFont="1" applyFill="1" applyBorder="1" applyAlignment="1">
      <alignment horizontal="center" vertical="center"/>
    </xf>
    <xf numFmtId="170" fontId="21" fillId="15" borderId="52" xfId="4" applyNumberFormat="1" applyFont="1" applyFill="1" applyBorder="1" applyAlignment="1">
      <alignment horizontal="center" vertical="center"/>
    </xf>
    <xf numFmtId="170" fontId="21" fillId="15" borderId="53" xfId="4" applyNumberFormat="1" applyFont="1" applyFill="1" applyBorder="1" applyAlignment="1">
      <alignment horizontal="center" vertical="center"/>
    </xf>
    <xf numFmtId="170" fontId="21" fillId="15" borderId="68" xfId="4" applyNumberFormat="1" applyFont="1" applyFill="1" applyBorder="1" applyAlignment="1">
      <alignment horizontal="center" vertical="center"/>
    </xf>
    <xf numFmtId="170" fontId="21" fillId="15" borderId="69" xfId="4" applyNumberFormat="1" applyFont="1" applyFill="1" applyBorder="1" applyAlignment="1">
      <alignment horizontal="center" vertical="center"/>
    </xf>
    <xf numFmtId="170" fontId="21" fillId="15" borderId="70" xfId="4" applyNumberFormat="1" applyFont="1" applyFill="1" applyBorder="1" applyAlignment="1">
      <alignment horizontal="center" vertical="center"/>
    </xf>
    <xf numFmtId="170" fontId="21" fillId="15" borderId="71" xfId="4" applyNumberFormat="1" applyFont="1" applyFill="1" applyBorder="1" applyAlignment="1">
      <alignment horizontal="center" vertical="center"/>
    </xf>
    <xf numFmtId="0" fontId="23" fillId="6" borderId="0" xfId="0" applyFont="1" applyFill="1" applyBorder="1" applyAlignment="1">
      <alignment vertical="center"/>
    </xf>
    <xf numFmtId="0" fontId="16" fillId="6" borderId="0" xfId="0" applyFont="1" applyFill="1" applyBorder="1" applyAlignment="1">
      <alignment vertical="center"/>
    </xf>
    <xf numFmtId="170" fontId="21" fillId="18" borderId="72" xfId="4" applyNumberFormat="1" applyFont="1" applyFill="1" applyBorder="1" applyAlignment="1">
      <alignment horizontal="center" vertical="center"/>
    </xf>
    <xf numFmtId="170" fontId="21" fillId="18" borderId="73" xfId="4" applyNumberFormat="1" applyFont="1" applyFill="1" applyBorder="1" applyAlignment="1">
      <alignment horizontal="center" vertical="center"/>
    </xf>
    <xf numFmtId="170" fontId="21" fillId="18" borderId="74" xfId="4" applyNumberFormat="1" applyFont="1" applyFill="1" applyBorder="1" applyAlignment="1">
      <alignment horizontal="center" vertical="center"/>
    </xf>
    <xf numFmtId="170" fontId="21" fillId="18" borderId="75" xfId="4" applyNumberFormat="1" applyFont="1" applyFill="1" applyBorder="1" applyAlignment="1">
      <alignment horizontal="center" vertical="center"/>
    </xf>
    <xf numFmtId="170" fontId="21" fillId="18" borderId="76" xfId="4" applyNumberFormat="1" applyFont="1" applyFill="1" applyBorder="1" applyAlignment="1">
      <alignment horizontal="center" vertical="center"/>
    </xf>
    <xf numFmtId="170" fontId="21" fillId="18" borderId="77" xfId="4" applyNumberFormat="1" applyFont="1" applyFill="1" applyBorder="1" applyAlignment="1">
      <alignment horizontal="center" vertical="center"/>
    </xf>
    <xf numFmtId="0" fontId="17" fillId="6" borderId="22" xfId="0" applyFont="1" applyFill="1" applyBorder="1" applyAlignment="1">
      <alignment horizontal="center" vertical="center"/>
    </xf>
    <xf numFmtId="164" fontId="2" fillId="5" borderId="7" xfId="0" applyNumberFormat="1" applyFont="1" applyFill="1" applyBorder="1" applyAlignment="1">
      <alignment horizontal="center" vertical="center"/>
    </xf>
    <xf numFmtId="0" fontId="2" fillId="5" borderId="78" xfId="0" applyFont="1" applyFill="1" applyBorder="1" applyAlignment="1">
      <alignment horizontal="center" vertical="center"/>
    </xf>
    <xf numFmtId="0" fontId="2" fillId="5" borderId="79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/>
    </xf>
    <xf numFmtId="0" fontId="2" fillId="6" borderId="0" xfId="0" applyFont="1" applyFill="1" applyBorder="1" applyAlignment="1">
      <alignment horizontal="center"/>
    </xf>
    <xf numFmtId="0" fontId="6" fillId="6" borderId="34" xfId="0" applyNumberFormat="1" applyFont="1" applyFill="1" applyBorder="1" applyAlignment="1">
      <alignment horizontal="center" vertical="center"/>
    </xf>
    <xf numFmtId="0" fontId="0" fillId="13" borderId="28" xfId="0" applyFont="1" applyFill="1" applyBorder="1" applyAlignment="1">
      <alignment horizontal="center" vertical="center"/>
    </xf>
    <xf numFmtId="0" fontId="0" fillId="13" borderId="20" xfId="0" applyFont="1" applyFill="1" applyBorder="1" applyAlignment="1">
      <alignment horizontal="center" vertical="center"/>
    </xf>
    <xf numFmtId="0" fontId="0" fillId="13" borderId="32" xfId="0" applyFont="1" applyFill="1" applyBorder="1" applyAlignment="1">
      <alignment horizontal="center" vertical="center"/>
    </xf>
    <xf numFmtId="20" fontId="40" fillId="6" borderId="41" xfId="0" applyNumberFormat="1" applyFont="1" applyFill="1" applyBorder="1" applyAlignment="1">
      <alignment horizontal="center" vertical="center"/>
    </xf>
    <xf numFmtId="169" fontId="40" fillId="6" borderId="41" xfId="0" applyNumberFormat="1" applyFont="1" applyFill="1" applyBorder="1" applyAlignment="1">
      <alignment horizontal="center" vertical="center"/>
    </xf>
    <xf numFmtId="0" fontId="2" fillId="6" borderId="0" xfId="0" applyFont="1" applyFill="1" applyBorder="1"/>
    <xf numFmtId="0" fontId="4" fillId="6" borderId="0" xfId="0" applyFont="1" applyFill="1" applyBorder="1" applyAlignment="1">
      <alignment horizontal="center"/>
    </xf>
    <xf numFmtId="0" fontId="5" fillId="6" borderId="0" xfId="0" applyFont="1" applyFill="1" applyBorder="1" applyAlignment="1">
      <alignment vertical="center"/>
    </xf>
    <xf numFmtId="0" fontId="7" fillId="6" borderId="80" xfId="0" applyFont="1" applyFill="1" applyBorder="1" applyAlignment="1">
      <alignment horizontal="center" vertical="center"/>
    </xf>
    <xf numFmtId="0" fontId="4" fillId="6" borderId="81" xfId="0" applyFont="1" applyFill="1" applyBorder="1" applyAlignment="1">
      <alignment horizontal="center" vertical="center"/>
    </xf>
    <xf numFmtId="170" fontId="4" fillId="6" borderId="81" xfId="0" applyNumberFormat="1" applyFont="1" applyFill="1" applyBorder="1" applyAlignment="1">
      <alignment horizontal="center" vertical="center"/>
    </xf>
    <xf numFmtId="169" fontId="4" fillId="6" borderId="81" xfId="0" applyNumberFormat="1" applyFont="1" applyFill="1" applyBorder="1" applyAlignment="1">
      <alignment horizontal="center" vertical="center"/>
    </xf>
    <xf numFmtId="0" fontId="42" fillId="6" borderId="0" xfId="0" applyFont="1" applyFill="1"/>
    <xf numFmtId="0" fontId="39" fillId="6" borderId="0" xfId="0" applyFont="1" applyFill="1" applyBorder="1" applyAlignment="1">
      <alignment vertical="center"/>
    </xf>
    <xf numFmtId="168" fontId="4" fillId="6" borderId="81" xfId="0" applyNumberFormat="1" applyFont="1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6" borderId="0" xfId="0" applyNumberFormat="1" applyFill="1" applyAlignment="1">
      <alignment horizontal="center" vertical="center"/>
    </xf>
    <xf numFmtId="0" fontId="22" fillId="2" borderId="22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center"/>
    </xf>
    <xf numFmtId="169" fontId="21" fillId="13" borderId="30" xfId="3" applyNumberFormat="1" applyFont="1" applyFill="1" applyBorder="1" applyAlignment="1">
      <alignment horizontal="center" vertical="center"/>
    </xf>
    <xf numFmtId="169" fontId="21" fillId="13" borderId="27" xfId="3" applyNumberFormat="1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22" fillId="2" borderId="22" xfId="0" applyFont="1" applyFill="1" applyBorder="1" applyAlignment="1">
      <alignment horizontal="center" vertical="center"/>
    </xf>
    <xf numFmtId="0" fontId="22" fillId="2" borderId="30" xfId="0" applyFont="1" applyFill="1" applyBorder="1" applyAlignment="1">
      <alignment horizontal="center" vertical="center"/>
    </xf>
    <xf numFmtId="0" fontId="22" fillId="2" borderId="27" xfId="0" applyFont="1" applyFill="1" applyBorder="1" applyAlignment="1">
      <alignment horizontal="center" vertical="center"/>
    </xf>
    <xf numFmtId="0" fontId="21" fillId="13" borderId="22" xfId="3" applyFont="1" applyFill="1" applyBorder="1" applyAlignment="1">
      <alignment horizontal="center" vertical="center"/>
    </xf>
    <xf numFmtId="0" fontId="21" fillId="13" borderId="30" xfId="3" applyFont="1" applyFill="1" applyBorder="1" applyAlignment="1">
      <alignment horizontal="center" vertical="center"/>
    </xf>
    <xf numFmtId="0" fontId="21" fillId="13" borderId="27" xfId="3" applyFont="1" applyFill="1" applyBorder="1" applyAlignment="1">
      <alignment horizontal="center" vertical="center"/>
    </xf>
    <xf numFmtId="169" fontId="21" fillId="13" borderId="26" xfId="0" applyNumberFormat="1" applyFont="1" applyFill="1" applyBorder="1" applyAlignment="1">
      <alignment horizontal="center" vertical="center"/>
    </xf>
    <xf numFmtId="0" fontId="21" fillId="13" borderId="25" xfId="0" applyFont="1" applyFill="1" applyBorder="1" applyAlignment="1">
      <alignment horizontal="center" vertical="center"/>
    </xf>
    <xf numFmtId="169" fontId="21" fillId="13" borderId="22" xfId="3" applyNumberFormat="1" applyFont="1" applyFill="1" applyBorder="1" applyAlignment="1">
      <alignment horizontal="center" vertical="center"/>
    </xf>
    <xf numFmtId="0" fontId="28" fillId="12" borderId="30" xfId="0" applyFont="1" applyFill="1" applyBorder="1" applyAlignment="1">
      <alignment horizontal="center" vertical="center"/>
    </xf>
    <xf numFmtId="0" fontId="28" fillId="12" borderId="27" xfId="0" applyFont="1" applyFill="1" applyBorder="1" applyAlignment="1">
      <alignment horizontal="center" vertical="center"/>
    </xf>
    <xf numFmtId="0" fontId="22" fillId="12" borderId="64" xfId="0" applyFont="1" applyFill="1" applyBorder="1" applyAlignment="1">
      <alignment horizontal="center" vertical="center"/>
    </xf>
    <xf numFmtId="0" fontId="22" fillId="12" borderId="65" xfId="0" applyFont="1" applyFill="1" applyBorder="1" applyAlignment="1">
      <alignment horizontal="center" vertical="center"/>
    </xf>
    <xf numFmtId="0" fontId="22" fillId="12" borderId="66" xfId="0" applyFont="1" applyFill="1" applyBorder="1" applyAlignment="1">
      <alignment horizontal="center" vertical="center"/>
    </xf>
    <xf numFmtId="0" fontId="22" fillId="12" borderId="10" xfId="0" applyFont="1" applyFill="1" applyBorder="1" applyAlignment="1">
      <alignment horizontal="center" vertical="center"/>
    </xf>
    <xf numFmtId="0" fontId="22" fillId="12" borderId="90" xfId="0" applyFont="1" applyFill="1" applyBorder="1" applyAlignment="1">
      <alignment horizontal="center" vertical="center"/>
    </xf>
    <xf numFmtId="0" fontId="22" fillId="12" borderId="11" xfId="0" applyFont="1" applyFill="1" applyBorder="1" applyAlignment="1">
      <alignment horizontal="center" vertical="center"/>
    </xf>
    <xf numFmtId="0" fontId="29" fillId="12" borderId="30" xfId="0" applyFont="1" applyFill="1" applyBorder="1" applyAlignment="1">
      <alignment horizontal="center" vertical="center"/>
    </xf>
    <xf numFmtId="0" fontId="29" fillId="12" borderId="27" xfId="0" applyFont="1" applyFill="1" applyBorder="1" applyAlignment="1">
      <alignment horizontal="center" vertical="center"/>
    </xf>
    <xf numFmtId="0" fontId="18" fillId="12" borderId="30" xfId="0" applyFont="1" applyFill="1" applyBorder="1" applyAlignment="1">
      <alignment horizontal="center" vertical="center"/>
    </xf>
    <xf numFmtId="0" fontId="18" fillId="12" borderId="27" xfId="0" applyFont="1" applyFill="1" applyBorder="1" applyAlignment="1">
      <alignment horizontal="center" vertical="center"/>
    </xf>
    <xf numFmtId="0" fontId="22" fillId="12" borderId="29" xfId="0" applyFont="1" applyFill="1" applyBorder="1" applyAlignment="1">
      <alignment horizontal="center" vertical="center"/>
    </xf>
    <xf numFmtId="0" fontId="22" fillId="12" borderId="67" xfId="0" applyFont="1" applyFill="1" applyBorder="1" applyAlignment="1">
      <alignment horizontal="center" vertical="center"/>
    </xf>
    <xf numFmtId="0" fontId="28" fillId="2" borderId="30" xfId="0" applyFont="1" applyFill="1" applyBorder="1" applyAlignment="1">
      <alignment horizontal="center" vertical="center"/>
    </xf>
    <xf numFmtId="0" fontId="28" fillId="2" borderId="27" xfId="0" applyFont="1" applyFill="1" applyBorder="1" applyAlignment="1">
      <alignment horizontal="center" vertical="center"/>
    </xf>
    <xf numFmtId="0" fontId="41" fillId="4" borderId="82" xfId="0" applyFont="1" applyFill="1" applyBorder="1" applyAlignment="1">
      <alignment horizontal="center" vertical="center"/>
    </xf>
    <xf numFmtId="0" fontId="41" fillId="4" borderId="83" xfId="0" applyFont="1" applyFill="1" applyBorder="1" applyAlignment="1">
      <alignment horizontal="center" vertical="center"/>
    </xf>
    <xf numFmtId="0" fontId="41" fillId="4" borderId="84" xfId="0" applyFont="1" applyFill="1" applyBorder="1" applyAlignment="1">
      <alignment horizontal="center" vertical="center"/>
    </xf>
    <xf numFmtId="0" fontId="41" fillId="4" borderId="85" xfId="0" applyFont="1" applyFill="1" applyBorder="1" applyAlignment="1">
      <alignment horizontal="center" vertical="center"/>
    </xf>
    <xf numFmtId="0" fontId="41" fillId="4" borderId="0" xfId="0" applyFont="1" applyFill="1" applyBorder="1" applyAlignment="1">
      <alignment horizontal="center" vertical="center"/>
    </xf>
    <xf numFmtId="0" fontId="41" fillId="4" borderId="86" xfId="0" applyFont="1" applyFill="1" applyBorder="1" applyAlignment="1">
      <alignment horizontal="center" vertical="center"/>
    </xf>
    <xf numFmtId="0" fontId="41" fillId="4" borderId="87" xfId="0" applyFont="1" applyFill="1" applyBorder="1" applyAlignment="1">
      <alignment horizontal="center" vertical="center"/>
    </xf>
    <xf numFmtId="0" fontId="41" fillId="4" borderId="88" xfId="0" applyFont="1" applyFill="1" applyBorder="1" applyAlignment="1">
      <alignment horizontal="center" vertical="center"/>
    </xf>
    <xf numFmtId="0" fontId="41" fillId="4" borderId="89" xfId="0" applyFont="1" applyFill="1" applyBorder="1" applyAlignment="1">
      <alignment horizontal="center" vertical="center"/>
    </xf>
    <xf numFmtId="0" fontId="43" fillId="3" borderId="83" xfId="0" applyFont="1" applyFill="1" applyBorder="1" applyAlignment="1">
      <alignment horizontal="center" vertical="center"/>
    </xf>
    <xf numFmtId="0" fontId="43" fillId="3" borderId="0" xfId="0" applyFont="1" applyFill="1" applyAlignment="1">
      <alignment horizontal="center" vertical="center"/>
    </xf>
    <xf numFmtId="0" fontId="18" fillId="12" borderId="91" xfId="0" applyFont="1" applyFill="1" applyBorder="1" applyAlignment="1">
      <alignment horizontal="center" vertical="center"/>
    </xf>
    <xf numFmtId="0" fontId="18" fillId="12" borderId="34" xfId="0" applyFont="1" applyFill="1" applyBorder="1" applyAlignment="1">
      <alignment horizontal="center" vertical="center"/>
    </xf>
    <xf numFmtId="0" fontId="32" fillId="19" borderId="33" xfId="0" applyFont="1" applyFill="1" applyBorder="1" applyAlignment="1">
      <alignment horizontal="center" vertical="center"/>
    </xf>
    <xf numFmtId="0" fontId="48" fillId="13" borderId="23" xfId="0" applyNumberFormat="1" applyFont="1" applyFill="1" applyBorder="1" applyAlignment="1">
      <alignment horizontal="center" vertical="center"/>
    </xf>
    <xf numFmtId="0" fontId="48" fillId="13" borderId="24" xfId="0" applyNumberFormat="1" applyFont="1" applyFill="1" applyBorder="1" applyAlignment="1">
      <alignment horizontal="center" vertical="center"/>
    </xf>
    <xf numFmtId="0" fontId="2" fillId="5" borderId="98" xfId="0" applyFont="1" applyFill="1" applyBorder="1" applyAlignment="1">
      <alignment horizontal="center" vertical="center"/>
    </xf>
    <xf numFmtId="0" fontId="5" fillId="6" borderId="0" xfId="0" applyFont="1" applyFill="1" applyBorder="1" applyAlignment="1"/>
    <xf numFmtId="167" fontId="2" fillId="6" borderId="0" xfId="0" applyNumberFormat="1" applyFont="1" applyFill="1" applyBorder="1" applyAlignment="1">
      <alignment horizontal="center"/>
    </xf>
    <xf numFmtId="169" fontId="2" fillId="6" borderId="0" xfId="0" applyNumberFormat="1" applyFont="1" applyFill="1" applyBorder="1" applyAlignment="1">
      <alignment horizontal="center"/>
    </xf>
    <xf numFmtId="0" fontId="8" fillId="6" borderId="0" xfId="0" applyFont="1" applyFill="1" applyBorder="1" applyAlignment="1"/>
    <xf numFmtId="170" fontId="21" fillId="16" borderId="102" xfId="4" applyNumberFormat="1" applyFont="1" applyFill="1" applyBorder="1" applyAlignment="1">
      <alignment horizontal="center" vertical="center"/>
    </xf>
    <xf numFmtId="170" fontId="21" fillId="16" borderId="103" xfId="4" applyNumberFormat="1" applyFont="1" applyFill="1" applyBorder="1" applyAlignment="1">
      <alignment horizontal="center" vertical="center"/>
    </xf>
    <xf numFmtId="170" fontId="21" fillId="16" borderId="104" xfId="4" applyNumberFormat="1" applyFont="1" applyFill="1" applyBorder="1" applyAlignment="1">
      <alignment horizontal="center" vertical="center"/>
    </xf>
    <xf numFmtId="0" fontId="46" fillId="6" borderId="0" xfId="0" applyFont="1" applyFill="1" applyBorder="1"/>
    <xf numFmtId="167" fontId="50" fillId="6" borderId="0" xfId="0" applyNumberFormat="1" applyFont="1" applyFill="1" applyBorder="1" applyAlignment="1">
      <alignment horizontal="center"/>
    </xf>
    <xf numFmtId="0" fontId="51" fillId="6" borderId="33" xfId="0" applyFont="1" applyFill="1" applyBorder="1" applyAlignment="1">
      <alignment horizontal="center" vertical="center"/>
    </xf>
    <xf numFmtId="0" fontId="51" fillId="6" borderId="34" xfId="0" applyFont="1" applyFill="1" applyBorder="1" applyAlignment="1">
      <alignment horizontal="center" vertical="center"/>
    </xf>
    <xf numFmtId="0" fontId="4" fillId="21" borderId="105" xfId="0" applyFont="1" applyFill="1" applyBorder="1" applyAlignment="1">
      <alignment horizontal="center"/>
    </xf>
    <xf numFmtId="167" fontId="2" fillId="0" borderId="106" xfId="0" applyNumberFormat="1" applyFont="1" applyBorder="1" applyAlignment="1">
      <alignment horizontal="center"/>
    </xf>
    <xf numFmtId="0" fontId="2" fillId="0" borderId="106" xfId="0" applyFont="1" applyBorder="1" applyAlignment="1">
      <alignment horizontal="center"/>
    </xf>
    <xf numFmtId="169" fontId="2" fillId="0" borderId="106" xfId="0" applyNumberFormat="1" applyFont="1" applyBorder="1" applyAlignment="1">
      <alignment horizontal="center"/>
    </xf>
    <xf numFmtId="0" fontId="47" fillId="22" borderId="107" xfId="0" applyFont="1" applyFill="1" applyBorder="1" applyAlignment="1">
      <alignment horizontal="center"/>
    </xf>
    <xf numFmtId="0" fontId="50" fillId="0" borderId="108" xfId="0" applyNumberFormat="1" applyFont="1" applyBorder="1" applyAlignment="1">
      <alignment horizontal="center"/>
    </xf>
    <xf numFmtId="0" fontId="52" fillId="0" borderId="106" xfId="0" applyNumberFormat="1" applyFont="1" applyBorder="1" applyAlignment="1">
      <alignment horizontal="center"/>
    </xf>
    <xf numFmtId="0" fontId="52" fillId="0" borderId="106" xfId="0" applyFont="1" applyBorder="1" applyAlignment="1">
      <alignment horizontal="center"/>
    </xf>
    <xf numFmtId="0" fontId="52" fillId="0" borderId="108" xfId="0" applyFont="1" applyBorder="1" applyAlignment="1">
      <alignment horizontal="center"/>
    </xf>
    <xf numFmtId="171" fontId="54" fillId="8" borderId="37" xfId="0" applyNumberFormat="1" applyFont="1" applyFill="1" applyBorder="1" applyAlignment="1">
      <alignment horizontal="center" vertical="center"/>
    </xf>
    <xf numFmtId="169" fontId="54" fillId="8" borderId="92" xfId="0" applyNumberFormat="1" applyFont="1" applyFill="1" applyBorder="1" applyAlignment="1">
      <alignment horizontal="center" vertical="center"/>
    </xf>
    <xf numFmtId="0" fontId="2" fillId="8" borderId="93" xfId="0" applyNumberFormat="1" applyFont="1" applyFill="1" applyBorder="1" applyAlignment="1">
      <alignment horizontal="center" vertical="center"/>
    </xf>
    <xf numFmtId="171" fontId="2" fillId="8" borderId="99" xfId="0" applyNumberFormat="1" applyFont="1" applyFill="1" applyBorder="1" applyAlignment="1">
      <alignment horizontal="center" vertical="center"/>
    </xf>
    <xf numFmtId="171" fontId="54" fillId="8" borderId="38" xfId="0" applyNumberFormat="1" applyFont="1" applyFill="1" applyBorder="1" applyAlignment="1">
      <alignment horizontal="center" vertical="center"/>
    </xf>
    <xf numFmtId="169" fontId="54" fillId="8" borderId="94" xfId="0" applyNumberFormat="1" applyFont="1" applyFill="1" applyBorder="1" applyAlignment="1">
      <alignment horizontal="center" vertical="center"/>
    </xf>
    <xf numFmtId="0" fontId="2" fillId="8" borderId="95" xfId="0" applyNumberFormat="1" applyFont="1" applyFill="1" applyBorder="1" applyAlignment="1">
      <alignment horizontal="center" vertical="center"/>
    </xf>
    <xf numFmtId="171" fontId="2" fillId="8" borderId="100" xfId="0" applyNumberFormat="1" applyFont="1" applyFill="1" applyBorder="1" applyAlignment="1">
      <alignment horizontal="center" vertical="center"/>
    </xf>
    <xf numFmtId="171" fontId="54" fillId="8" borderId="39" xfId="0" applyNumberFormat="1" applyFont="1" applyFill="1" applyBorder="1" applyAlignment="1">
      <alignment horizontal="center" vertical="center"/>
    </xf>
    <xf numFmtId="169" fontId="54" fillId="8" borderId="96" xfId="0" applyNumberFormat="1" applyFont="1" applyFill="1" applyBorder="1" applyAlignment="1">
      <alignment horizontal="center" vertical="center"/>
    </xf>
    <xf numFmtId="0" fontId="2" fillId="8" borderId="97" xfId="0" applyNumberFormat="1" applyFont="1" applyFill="1" applyBorder="1" applyAlignment="1">
      <alignment horizontal="center" vertical="center"/>
    </xf>
    <xf numFmtId="171" fontId="2" fillId="8" borderId="101" xfId="0" applyNumberFormat="1" applyFont="1" applyFill="1" applyBorder="1" applyAlignment="1">
      <alignment horizontal="center" vertical="center"/>
    </xf>
    <xf numFmtId="0" fontId="51" fillId="17" borderId="109" xfId="0" applyFont="1" applyFill="1" applyBorder="1" applyAlignment="1">
      <alignment horizontal="center" vertical="center"/>
    </xf>
    <xf numFmtId="0" fontId="0" fillId="21" borderId="112" xfId="0" applyFill="1" applyBorder="1" applyAlignment="1">
      <alignment horizontal="center"/>
    </xf>
    <xf numFmtId="0" fontId="4" fillId="21" borderId="113" xfId="0" applyFont="1" applyFill="1" applyBorder="1" applyAlignment="1">
      <alignment horizontal="center"/>
    </xf>
    <xf numFmtId="0" fontId="8" fillId="5" borderId="114" xfId="0" applyFont="1" applyFill="1" applyBorder="1" applyAlignment="1">
      <alignment horizontal="center" vertical="center"/>
    </xf>
    <xf numFmtId="167" fontId="53" fillId="5" borderId="115" xfId="0" applyNumberFormat="1" applyFont="1" applyFill="1" applyBorder="1" applyAlignment="1">
      <alignment horizontal="center" vertical="center"/>
    </xf>
    <xf numFmtId="0" fontId="4" fillId="17" borderId="116" xfId="0" applyFont="1" applyFill="1" applyBorder="1" applyAlignment="1">
      <alignment horizontal="center" vertical="center"/>
    </xf>
    <xf numFmtId="0" fontId="4" fillId="17" borderId="117" xfId="0" applyFont="1" applyFill="1" applyBorder="1" applyAlignment="1">
      <alignment horizontal="center" vertical="center"/>
    </xf>
    <xf numFmtId="0" fontId="4" fillId="17" borderId="118" xfId="0" applyFont="1" applyFill="1" applyBorder="1" applyAlignment="1">
      <alignment horizontal="center" vertical="center"/>
    </xf>
    <xf numFmtId="0" fontId="5" fillId="0" borderId="119" xfId="0" applyFont="1" applyBorder="1" applyAlignment="1">
      <alignment horizontal="center"/>
    </xf>
    <xf numFmtId="167" fontId="5" fillId="0" borderId="120" xfId="0" applyNumberFormat="1" applyFont="1" applyBorder="1" applyAlignment="1">
      <alignment horizontal="center"/>
    </xf>
    <xf numFmtId="0" fontId="8" fillId="0" borderId="119" xfId="0" applyFont="1" applyBorder="1" applyAlignment="1">
      <alignment horizontal="center"/>
    </xf>
    <xf numFmtId="0" fontId="8" fillId="0" borderId="121" xfId="0" applyFont="1" applyBorder="1" applyAlignment="1">
      <alignment horizontal="center"/>
    </xf>
    <xf numFmtId="0" fontId="2" fillId="0" borderId="122" xfId="0" applyFont="1" applyBorder="1" applyAlignment="1">
      <alignment horizontal="center"/>
    </xf>
    <xf numFmtId="0" fontId="52" fillId="0" borderId="122" xfId="0" applyFont="1" applyBorder="1" applyAlignment="1">
      <alignment horizontal="center"/>
    </xf>
    <xf numFmtId="167" fontId="5" fillId="0" borderId="123" xfId="0" applyNumberFormat="1" applyFont="1" applyBorder="1" applyAlignment="1">
      <alignment horizontal="center"/>
    </xf>
    <xf numFmtId="0" fontId="53" fillId="5" borderId="115" xfId="0" applyFont="1" applyFill="1" applyBorder="1" applyAlignment="1">
      <alignment horizontal="center" vertical="center"/>
    </xf>
    <xf numFmtId="0" fontId="49" fillId="22" borderId="127" xfId="0" applyFont="1" applyFill="1" applyBorder="1" applyAlignment="1">
      <alignment horizontal="center"/>
    </xf>
    <xf numFmtId="0" fontId="47" fillId="22" borderId="128" xfId="0" applyFont="1" applyFill="1" applyBorder="1" applyAlignment="1">
      <alignment horizontal="center"/>
    </xf>
    <xf numFmtId="0" fontId="46" fillId="0" borderId="129" xfId="0" applyFont="1" applyBorder="1" applyAlignment="1">
      <alignment horizontal="center"/>
    </xf>
    <xf numFmtId="0" fontId="46" fillId="0" borderId="130" xfId="0" applyNumberFormat="1" applyFont="1" applyBorder="1" applyAlignment="1">
      <alignment horizontal="center"/>
    </xf>
    <xf numFmtId="0" fontId="46" fillId="0" borderId="121" xfId="0" applyFont="1" applyBorder="1" applyAlignment="1">
      <alignment horizontal="center"/>
    </xf>
    <xf numFmtId="0" fontId="50" fillId="0" borderId="122" xfId="0" applyNumberFormat="1" applyFont="1" applyBorder="1" applyAlignment="1">
      <alignment horizontal="center"/>
    </xf>
    <xf numFmtId="167" fontId="46" fillId="0" borderId="123" xfId="0" applyNumberFormat="1" applyFont="1" applyBorder="1" applyAlignment="1">
      <alignment horizontal="center"/>
    </xf>
    <xf numFmtId="0" fontId="47" fillId="23" borderId="124" xfId="0" applyFont="1" applyFill="1" applyBorder="1" applyAlignment="1">
      <alignment horizontal="center" vertical="center"/>
    </xf>
    <xf numFmtId="0" fontId="47" fillId="23" borderId="125" xfId="0" applyFont="1" applyFill="1" applyBorder="1" applyAlignment="1">
      <alignment horizontal="center" vertical="center"/>
    </xf>
    <xf numFmtId="0" fontId="47" fillId="23" borderId="126" xfId="0" applyFont="1" applyFill="1" applyBorder="1" applyAlignment="1">
      <alignment horizontal="center" vertical="center"/>
    </xf>
    <xf numFmtId="0" fontId="4" fillId="2" borderId="109" xfId="0" applyFont="1" applyFill="1" applyBorder="1" applyAlignment="1">
      <alignment horizontal="center"/>
    </xf>
    <xf numFmtId="169" fontId="4" fillId="2" borderId="109" xfId="0" applyNumberFormat="1" applyFont="1" applyFill="1" applyBorder="1" applyAlignment="1">
      <alignment horizontal="center"/>
    </xf>
    <xf numFmtId="167" fontId="4" fillId="2" borderId="109" xfId="0" applyNumberFormat="1" applyFont="1" applyFill="1" applyBorder="1" applyAlignment="1">
      <alignment horizontal="center"/>
    </xf>
    <xf numFmtId="0" fontId="47" fillId="20" borderId="109" xfId="0" applyFont="1" applyFill="1" applyBorder="1" applyAlignment="1">
      <alignment horizontal="center"/>
    </xf>
    <xf numFmtId="0" fontId="47" fillId="20" borderId="109" xfId="0" applyNumberFormat="1" applyFont="1" applyFill="1" applyBorder="1" applyAlignment="1">
      <alignment horizontal="center"/>
    </xf>
    <xf numFmtId="169" fontId="47" fillId="20" borderId="109" xfId="0" applyNumberFormat="1" applyFont="1" applyFill="1" applyBorder="1" applyAlignment="1">
      <alignment horizontal="center"/>
    </xf>
    <xf numFmtId="0" fontId="4" fillId="2" borderId="109" xfId="0" applyNumberFormat="1" applyFont="1" applyFill="1" applyBorder="1" applyAlignment="1">
      <alignment horizontal="center"/>
    </xf>
    <xf numFmtId="171" fontId="47" fillId="20" borderId="109" xfId="0" applyNumberFormat="1" applyFont="1" applyFill="1" applyBorder="1" applyAlignment="1">
      <alignment horizontal="center"/>
    </xf>
    <xf numFmtId="171" fontId="4" fillId="2" borderId="109" xfId="0" applyNumberFormat="1" applyFont="1" applyFill="1" applyBorder="1" applyAlignment="1">
      <alignment horizontal="center"/>
    </xf>
    <xf numFmtId="0" fontId="8" fillId="24" borderId="110" xfId="0" applyFont="1" applyFill="1" applyBorder="1" applyAlignment="1">
      <alignment horizontal="center"/>
    </xf>
    <xf numFmtId="0" fontId="8" fillId="24" borderId="111" xfId="0" applyFont="1" applyFill="1" applyBorder="1" applyAlignment="1">
      <alignment horizontal="center"/>
    </xf>
    <xf numFmtId="0" fontId="9" fillId="24" borderId="110" xfId="0" applyFont="1" applyFill="1" applyBorder="1" applyAlignment="1">
      <alignment horizontal="center"/>
    </xf>
    <xf numFmtId="0" fontId="9" fillId="24" borderId="111" xfId="0" applyFont="1" applyFill="1" applyBorder="1" applyAlignment="1">
      <alignment horizontal="center"/>
    </xf>
    <xf numFmtId="0" fontId="5" fillId="24" borderId="110" xfId="0" applyFont="1" applyFill="1" applyBorder="1" applyAlignment="1">
      <alignment horizontal="center"/>
    </xf>
    <xf numFmtId="0" fontId="5" fillId="24" borderId="111" xfId="0" applyFont="1" applyFill="1" applyBorder="1" applyAlignment="1">
      <alignment horizontal="center"/>
    </xf>
    <xf numFmtId="0" fontId="0" fillId="24" borderId="110" xfId="0" applyFill="1" applyBorder="1" applyAlignment="1">
      <alignment horizontal="center"/>
    </xf>
    <xf numFmtId="0" fontId="0" fillId="24" borderId="111" xfId="0" applyFill="1" applyBorder="1" applyAlignment="1">
      <alignment horizontal="center"/>
    </xf>
    <xf numFmtId="0" fontId="46" fillId="25" borderId="110" xfId="0" applyFont="1" applyFill="1" applyBorder="1" applyAlignment="1">
      <alignment horizontal="center"/>
    </xf>
    <xf numFmtId="0" fontId="46" fillId="25" borderId="111" xfId="0" applyFont="1" applyFill="1" applyBorder="1" applyAlignment="1">
      <alignment horizontal="center"/>
    </xf>
    <xf numFmtId="2" fontId="5" fillId="0" borderId="120" xfId="0" applyNumberFormat="1" applyFont="1" applyBorder="1" applyAlignment="1">
      <alignment horizontal="center"/>
    </xf>
    <xf numFmtId="2" fontId="2" fillId="0" borderId="106" xfId="0" applyNumberFormat="1" applyFont="1" applyBorder="1" applyAlignment="1">
      <alignment horizontal="center"/>
    </xf>
  </cellXfs>
  <cellStyles count="19">
    <cellStyle name="Excel Built-in Normal" xfId="2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Neutre" xfId="3" builtinId="28"/>
    <cellStyle name="Normal" xfId="0" builtinId="0"/>
    <cellStyle name="Normal 2" xfId="1"/>
    <cellStyle name="Sortie" xfId="4" builtinId="21"/>
  </cellStyles>
  <dxfs count="48"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6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FF0000"/>
      </font>
      <fill>
        <patternFill>
          <bgColor rgb="FFFFF969"/>
        </patternFill>
      </fill>
    </dxf>
    <dxf>
      <font>
        <color theme="1"/>
      </font>
      <fill>
        <patternFill>
          <bgColor theme="6"/>
        </patternFill>
      </fill>
    </dxf>
    <dxf>
      <font>
        <color theme="0"/>
      </font>
      <fill>
        <patternFill patternType="solid"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6"/>
        </patternFill>
      </fill>
    </dxf>
    <dxf>
      <font>
        <color rgb="FFFF0000"/>
      </font>
      <fill>
        <patternFill>
          <bgColor rgb="FFFFF969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FF0000"/>
      </font>
      <fill>
        <patternFill>
          <bgColor rgb="FFFFF969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FF0000"/>
      </font>
      <fill>
        <patternFill>
          <bgColor rgb="FFFFF969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6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FF0000"/>
      </font>
      <fill>
        <patternFill>
          <bgColor rgb="FFFFF969"/>
        </patternFill>
      </fill>
    </dxf>
    <dxf>
      <font>
        <color theme="1"/>
      </font>
      <fill>
        <patternFill>
          <bgColor theme="6"/>
        </patternFill>
      </fill>
    </dxf>
    <dxf>
      <font>
        <color theme="0"/>
      </font>
      <fill>
        <patternFill patternType="solid"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6"/>
        </patternFill>
      </fill>
    </dxf>
    <dxf>
      <font>
        <color rgb="FFFF0000"/>
      </font>
      <fill>
        <patternFill>
          <bgColor rgb="FFFFF969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FF0000"/>
      </font>
      <fill>
        <patternFill>
          <bgColor rgb="FFFFF969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FF0000"/>
      </font>
      <fill>
        <patternFill>
          <bgColor rgb="FFFFF969"/>
        </patternFill>
      </fill>
    </dxf>
  </dxfs>
  <tableStyles count="0" defaultTableStyle="TableStyleMedium9" defaultPivotStyle="PivotStyleLight16"/>
  <colors>
    <mruColors>
      <color rgb="FFAEFB88"/>
      <color rgb="FFBFE771"/>
      <color rgb="FFD0FC7C"/>
      <color rgb="FFA2C45F"/>
      <color rgb="FF0087E8"/>
      <color rgb="FF99E352"/>
      <color rgb="FFC6FDC3"/>
      <color rgb="FFD2FDCC"/>
      <color rgb="FFB0FCBB"/>
      <color rgb="FF96FCB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700617</xdr:colOff>
      <xdr:row>25</xdr:row>
      <xdr:rowOff>135371</xdr:rowOff>
    </xdr:from>
    <xdr:to>
      <xdr:col>35</xdr:col>
      <xdr:colOff>127001</xdr:colOff>
      <xdr:row>28</xdr:row>
      <xdr:rowOff>42333</xdr:rowOff>
    </xdr:to>
    <xdr:sp macro="[0]!Reset" textlink="">
      <xdr:nvSpPr>
        <xdr:cNvPr id="2" name="Plaque 1"/>
        <xdr:cNvSpPr/>
      </xdr:nvSpPr>
      <xdr:spPr>
        <a:xfrm>
          <a:off x="16392173" y="5215371"/>
          <a:ext cx="2629606" cy="499629"/>
        </a:xfrm>
        <a:prstGeom prst="bevel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Bouton de remise à zero du tableau</a:t>
          </a:r>
          <a:endParaRPr lang="fr-FR" sz="1100" baseline="0"/>
        </a:p>
      </xdr:txBody>
    </xdr:sp>
    <xdr:clientData/>
  </xdr:twoCellAnchor>
  <xdr:twoCellAnchor>
    <xdr:from>
      <xdr:col>14</xdr:col>
      <xdr:colOff>282222</xdr:colOff>
      <xdr:row>0</xdr:row>
      <xdr:rowOff>225777</xdr:rowOff>
    </xdr:from>
    <xdr:to>
      <xdr:col>17</xdr:col>
      <xdr:colOff>677334</xdr:colOff>
      <xdr:row>3</xdr:row>
      <xdr:rowOff>42333</xdr:rowOff>
    </xdr:to>
    <xdr:sp macro="[0]!masquer_statistiques" textlink="">
      <xdr:nvSpPr>
        <xdr:cNvPr id="3" name="Plaque 2"/>
        <xdr:cNvSpPr/>
      </xdr:nvSpPr>
      <xdr:spPr>
        <a:xfrm>
          <a:off x="10117666" y="225777"/>
          <a:ext cx="3104446" cy="550334"/>
        </a:xfrm>
        <a:prstGeom prst="bevel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Masquer</a:t>
          </a:r>
          <a:r>
            <a:rPr lang="fr-FR" sz="1400" b="1" baseline="0">
              <a:solidFill>
                <a:schemeClr val="bg1"/>
              </a:solidFill>
            </a:rPr>
            <a:t> les statistiques détaillées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xdr:oneCellAnchor>
    <xdr:from>
      <xdr:col>16</xdr:col>
      <xdr:colOff>493889</xdr:colOff>
      <xdr:row>2</xdr:row>
      <xdr:rowOff>28222</xdr:rowOff>
    </xdr:from>
    <xdr:ext cx="184731" cy="264560"/>
    <xdr:sp macro="" textlink="">
      <xdr:nvSpPr>
        <xdr:cNvPr id="4" name="ZoneTexte 3"/>
        <xdr:cNvSpPr txBox="1"/>
      </xdr:nvSpPr>
      <xdr:spPr>
        <a:xfrm>
          <a:off x="12135556" y="550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32</xdr:col>
      <xdr:colOff>507997</xdr:colOff>
      <xdr:row>21</xdr:row>
      <xdr:rowOff>1</xdr:rowOff>
    </xdr:from>
    <xdr:to>
      <xdr:col>35</xdr:col>
      <xdr:colOff>324555</xdr:colOff>
      <xdr:row>24</xdr:row>
      <xdr:rowOff>1</xdr:rowOff>
    </xdr:to>
    <xdr:sp macro="[0]!afficher_statistiques" textlink="">
      <xdr:nvSpPr>
        <xdr:cNvPr id="5" name="Plaque 4"/>
        <xdr:cNvSpPr/>
      </xdr:nvSpPr>
      <xdr:spPr>
        <a:xfrm>
          <a:off x="16157219" y="4289779"/>
          <a:ext cx="3019780" cy="592666"/>
        </a:xfrm>
        <a:prstGeom prst="bevel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Afficher les statistiques détaillées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268110</xdr:colOff>
      <xdr:row>1</xdr:row>
      <xdr:rowOff>28221</xdr:rowOff>
    </xdr:from>
    <xdr:to>
      <xdr:col>17</xdr:col>
      <xdr:colOff>620888</xdr:colOff>
      <xdr:row>2</xdr:row>
      <xdr:rowOff>296332</xdr:rowOff>
    </xdr:to>
    <xdr:sp macro="[0]!masquer_statistiques" textlink="">
      <xdr:nvSpPr>
        <xdr:cNvPr id="3" name="Plaque 2"/>
        <xdr:cNvSpPr/>
      </xdr:nvSpPr>
      <xdr:spPr>
        <a:xfrm>
          <a:off x="10145888" y="338665"/>
          <a:ext cx="3062111" cy="592667"/>
        </a:xfrm>
        <a:prstGeom prst="bevel">
          <a:avLst/>
        </a:prstGeom>
        <a:effectLst>
          <a:glow rad="228600">
            <a:schemeClr val="accent6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Masquer</a:t>
          </a:r>
          <a:r>
            <a:rPr lang="fr-FR" sz="1400" b="1" baseline="0">
              <a:solidFill>
                <a:schemeClr val="bg1"/>
              </a:solidFill>
            </a:rPr>
            <a:t> les statistiques détaillées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xdr:oneCellAnchor>
    <xdr:from>
      <xdr:col>16</xdr:col>
      <xdr:colOff>493889</xdr:colOff>
      <xdr:row>2</xdr:row>
      <xdr:rowOff>28222</xdr:rowOff>
    </xdr:from>
    <xdr:ext cx="184731" cy="264560"/>
    <xdr:sp macro="" textlink="">
      <xdr:nvSpPr>
        <xdr:cNvPr id="4" name="ZoneTexte 3"/>
        <xdr:cNvSpPr txBox="1"/>
      </xdr:nvSpPr>
      <xdr:spPr>
        <a:xfrm>
          <a:off x="8966200" y="54892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32</xdr:col>
      <xdr:colOff>296329</xdr:colOff>
      <xdr:row>20</xdr:row>
      <xdr:rowOff>112889</xdr:rowOff>
    </xdr:from>
    <xdr:to>
      <xdr:col>35</xdr:col>
      <xdr:colOff>493888</xdr:colOff>
      <xdr:row>24</xdr:row>
      <xdr:rowOff>112888</xdr:rowOff>
    </xdr:to>
    <xdr:sp macro="[0]!afficher_statistiques" textlink="">
      <xdr:nvSpPr>
        <xdr:cNvPr id="5" name="Plaque 4"/>
        <xdr:cNvSpPr/>
      </xdr:nvSpPr>
      <xdr:spPr>
        <a:xfrm>
          <a:off x="16044329" y="4769556"/>
          <a:ext cx="3400781" cy="790221"/>
        </a:xfrm>
        <a:prstGeom prst="bevel">
          <a:avLst/>
        </a:prstGeom>
        <a:solidFill>
          <a:srgbClr val="7030A0"/>
        </a:solidFill>
        <a:effectLst>
          <a:glow rad="228600">
            <a:srgbClr val="7030A0">
              <a:alpha val="40000"/>
            </a:srgb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Afficher les statistiques détaillées</a:t>
          </a:r>
        </a:p>
      </xdr:txBody>
    </xdr:sp>
    <xdr:clientData/>
  </xdr:twoCellAnchor>
  <xdr:twoCellAnchor>
    <xdr:from>
      <xdr:col>32</xdr:col>
      <xdr:colOff>860777</xdr:colOff>
      <xdr:row>28</xdr:row>
      <xdr:rowOff>127001</xdr:rowOff>
    </xdr:from>
    <xdr:to>
      <xdr:col>34</xdr:col>
      <xdr:colOff>677334</xdr:colOff>
      <xdr:row>40</xdr:row>
      <xdr:rowOff>42333</xdr:rowOff>
    </xdr:to>
    <xdr:sp macro="[0]!Reset" textlink="">
      <xdr:nvSpPr>
        <xdr:cNvPr id="7" name="Plaque 6"/>
        <xdr:cNvSpPr/>
      </xdr:nvSpPr>
      <xdr:spPr>
        <a:xfrm>
          <a:off x="16608777" y="6364112"/>
          <a:ext cx="2286001" cy="2285999"/>
        </a:xfrm>
        <a:prstGeom prst="bevel">
          <a:avLst/>
        </a:prstGeom>
        <a:solidFill>
          <a:srgbClr val="FF0000"/>
        </a:solidFill>
        <a:ln>
          <a:solidFill>
            <a:srgbClr val="C00000"/>
          </a:solidFill>
        </a:ln>
        <a:effectLst>
          <a:glow rad="228600">
            <a:schemeClr val="accent2">
              <a:satMod val="175000"/>
              <a:alpha val="40000"/>
            </a:schemeClr>
          </a:glow>
          <a:innerShdw blurRad="114300">
            <a:prstClr val="black"/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>
                <a:noFill/>
              </a:ln>
              <a:solidFill>
                <a:schemeClr val="bg1"/>
              </a:solidFill>
              <a:effectLst/>
            </a:rPr>
            <a:t>Cliquez ici pour</a:t>
          </a:r>
        </a:p>
        <a:p>
          <a:pPr algn="ctr"/>
          <a:r>
            <a:rPr lang="fr-FR" sz="1400" b="1" cap="none" spc="0" baseline="0">
              <a:ln>
                <a:noFill/>
              </a:ln>
              <a:solidFill>
                <a:schemeClr val="bg1"/>
              </a:solidFill>
              <a:effectLst/>
            </a:rPr>
            <a:t>remettre à zero de ce tableau</a:t>
          </a:r>
        </a:p>
        <a:p>
          <a:pPr algn="ctr"/>
          <a:r>
            <a:rPr lang="fr-FR" sz="1400" b="1" cap="none" spc="0" baseline="0">
              <a:ln>
                <a:noFill/>
              </a:ln>
              <a:solidFill>
                <a:schemeClr val="bg1"/>
              </a:solidFill>
              <a:effectLst/>
            </a:rPr>
            <a:t>automatiquement</a:t>
          </a:r>
          <a:endParaRPr lang="fr-FR" sz="1400" b="1" cap="none" spc="0">
            <a:ln>
              <a:noFill/>
            </a:ln>
            <a:solidFill>
              <a:schemeClr val="bg1"/>
            </a:solidFill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Relationship Id="rId3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" enableFormatConditionsCalculation="0"/>
  <dimension ref="A1:AO50"/>
  <sheetViews>
    <sheetView zoomScale="90" zoomScaleNormal="90" zoomScalePageLayoutView="90" workbookViewId="0">
      <selection activeCell="T24" sqref="T24"/>
    </sheetView>
  </sheetViews>
  <sheetFormatPr baseColWidth="10" defaultRowHeight="15" x14ac:dyDescent="0.2"/>
  <cols>
    <col min="1" max="1" width="6.83203125" customWidth="1"/>
    <col min="2" max="2" width="10.33203125" hidden="1" customWidth="1"/>
    <col min="3" max="3" width="26.5" customWidth="1"/>
    <col min="4" max="4" width="11.33203125" customWidth="1"/>
    <col min="5" max="5" width="9.83203125" customWidth="1"/>
    <col min="6" max="8" width="7.33203125" customWidth="1"/>
    <col min="9" max="10" width="7.83203125" customWidth="1"/>
    <col min="11" max="11" width="8.33203125" customWidth="1"/>
    <col min="12" max="12" width="6.83203125" customWidth="1"/>
    <col min="13" max="13" width="10.33203125" customWidth="1"/>
    <col min="14" max="19" width="11.83203125" customWidth="1"/>
    <col min="20" max="27" width="8.83203125" customWidth="1"/>
    <col min="28" max="28" width="49.33203125" customWidth="1"/>
    <col min="29" max="29" width="2.83203125" customWidth="1"/>
    <col min="30" max="30" width="23.1640625" customWidth="1"/>
    <col min="31" max="31" width="10.33203125" customWidth="1"/>
    <col min="32" max="32" width="2.6640625" customWidth="1"/>
    <col min="33" max="33" width="22.6640625" customWidth="1"/>
    <col min="34" max="34" width="9.83203125" customWidth="1"/>
    <col min="35" max="35" width="9.6640625" customWidth="1"/>
    <col min="36" max="36" width="9.83203125" customWidth="1"/>
    <col min="37" max="37" width="17.83203125" customWidth="1"/>
    <col min="38" max="38" width="15.5" customWidth="1"/>
    <col min="39" max="39" width="18.5" customWidth="1"/>
    <col min="41" max="41" width="4.6640625" customWidth="1"/>
  </cols>
  <sheetData>
    <row r="1" spans="1:41" ht="24" thickBot="1" x14ac:dyDescent="0.25">
      <c r="A1" s="39"/>
      <c r="B1" s="39"/>
      <c r="C1" s="39"/>
      <c r="D1" s="39"/>
      <c r="E1" s="39"/>
      <c r="F1" s="38"/>
      <c r="G1" s="26"/>
      <c r="H1" s="26"/>
      <c r="I1" s="39"/>
      <c r="J1" s="26"/>
      <c r="K1" s="39"/>
      <c r="L1" s="39"/>
      <c r="M1" s="39"/>
      <c r="N1" s="39"/>
      <c r="O1" s="39"/>
      <c r="P1" s="10"/>
      <c r="Q1" s="10"/>
      <c r="R1" s="26"/>
      <c r="S1" s="26"/>
      <c r="T1" s="26"/>
      <c r="U1" s="26"/>
      <c r="V1" s="26"/>
      <c r="W1" s="26"/>
      <c r="X1" s="26"/>
      <c r="Y1" s="26"/>
      <c r="Z1" s="108"/>
      <c r="AA1" s="109"/>
      <c r="AB1" s="109"/>
      <c r="AC1" s="109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</row>
    <row r="2" spans="1:41" ht="17" customHeight="1" thickBot="1" x14ac:dyDescent="0.3">
      <c r="A2" s="40"/>
      <c r="B2" s="40"/>
      <c r="C2" s="40"/>
      <c r="D2" s="40"/>
      <c r="E2" s="160"/>
      <c r="F2" s="161"/>
      <c r="G2" s="161"/>
      <c r="H2" s="162"/>
      <c r="I2" s="37"/>
      <c r="J2" s="10"/>
      <c r="K2" s="40"/>
      <c r="L2" s="40"/>
      <c r="M2" s="40"/>
      <c r="N2" s="40"/>
      <c r="O2" s="40"/>
      <c r="P2" s="10"/>
      <c r="Q2" s="135"/>
      <c r="R2" s="30"/>
      <c r="S2" s="9"/>
      <c r="T2" s="10"/>
      <c r="U2" s="10"/>
      <c r="V2" s="10"/>
      <c r="W2" s="9"/>
      <c r="X2" s="10"/>
      <c r="Y2" s="10"/>
      <c r="Z2" s="10"/>
      <c r="AA2" s="10"/>
      <c r="AB2" s="14"/>
      <c r="AC2" s="9"/>
      <c r="AD2" s="220" t="s">
        <v>99</v>
      </c>
      <c r="AE2" s="220"/>
      <c r="AF2" s="10"/>
      <c r="AG2" s="225" t="s">
        <v>40</v>
      </c>
      <c r="AH2" s="226"/>
      <c r="AI2" s="226"/>
      <c r="AJ2" s="227"/>
      <c r="AK2" s="10"/>
      <c r="AL2" s="10"/>
      <c r="AM2" s="10"/>
      <c r="AN2" s="10"/>
      <c r="AO2" s="10"/>
    </row>
    <row r="3" spans="1:41" ht="17" customHeight="1" x14ac:dyDescent="0.2">
      <c r="A3" s="9"/>
      <c r="B3" s="9"/>
      <c r="C3" s="10"/>
      <c r="D3" s="10"/>
      <c r="E3" s="46" t="s">
        <v>68</v>
      </c>
      <c r="F3" s="50">
        <v>0.875</v>
      </c>
      <c r="G3" s="55" t="s">
        <v>62</v>
      </c>
      <c r="H3" s="100" t="s">
        <v>60</v>
      </c>
      <c r="I3" s="10"/>
      <c r="J3" s="136"/>
      <c r="K3" s="136"/>
      <c r="L3" s="136"/>
      <c r="M3" s="136"/>
      <c r="N3" s="10"/>
      <c r="O3" s="138"/>
      <c r="P3" s="139"/>
      <c r="Q3" s="138"/>
      <c r="R3" s="9"/>
      <c r="S3" s="9"/>
      <c r="T3" s="165" t="s">
        <v>87</v>
      </c>
      <c r="U3" s="166"/>
      <c r="V3" s="163" t="s">
        <v>85</v>
      </c>
      <c r="W3" s="164"/>
      <c r="X3" s="165" t="s">
        <v>86</v>
      </c>
      <c r="Y3" s="166"/>
      <c r="Z3" s="165" t="s">
        <v>88</v>
      </c>
      <c r="AA3" s="166"/>
      <c r="AB3" s="14"/>
      <c r="AC3" s="9"/>
      <c r="AD3" s="246" t="s">
        <v>2</v>
      </c>
      <c r="AE3" s="246">
        <f>COUNTA(F10:F42)</f>
        <v>3</v>
      </c>
      <c r="AF3" s="10"/>
      <c r="AG3" s="221"/>
      <c r="AH3" s="199" t="s">
        <v>7</v>
      </c>
      <c r="AI3" s="199" t="s">
        <v>46</v>
      </c>
      <c r="AJ3" s="222" t="s">
        <v>29</v>
      </c>
      <c r="AK3" s="10"/>
      <c r="AL3" s="10"/>
      <c r="AM3" s="10"/>
      <c r="AN3" s="10"/>
      <c r="AO3" s="10"/>
    </row>
    <row r="4" spans="1:41" ht="16" customHeight="1" thickBot="1" x14ac:dyDescent="0.25">
      <c r="A4" s="10"/>
      <c r="B4" s="10"/>
      <c r="C4" s="10"/>
      <c r="D4" s="10"/>
      <c r="E4" s="47" t="s">
        <v>69</v>
      </c>
      <c r="F4" s="51">
        <v>0.25</v>
      </c>
      <c r="G4" s="56" t="s">
        <v>63</v>
      </c>
      <c r="H4" s="52" t="s">
        <v>61</v>
      </c>
      <c r="I4" s="10"/>
      <c r="J4" s="136"/>
      <c r="K4" s="136"/>
      <c r="L4" s="136"/>
      <c r="M4" s="136"/>
      <c r="N4" s="10"/>
      <c r="O4" s="10"/>
      <c r="P4" s="10"/>
      <c r="Q4" s="10"/>
      <c r="R4" s="10"/>
      <c r="S4" s="10"/>
      <c r="T4" s="147" t="s">
        <v>73</v>
      </c>
      <c r="U4" s="148"/>
      <c r="V4" s="169" t="s">
        <v>84</v>
      </c>
      <c r="W4" s="170"/>
      <c r="X4" s="147" t="s">
        <v>74</v>
      </c>
      <c r="Y4" s="148"/>
      <c r="Z4" s="147" t="s">
        <v>70</v>
      </c>
      <c r="AA4" s="148"/>
      <c r="AB4" s="15"/>
      <c r="AC4" s="10"/>
      <c r="AD4" s="255"/>
      <c r="AE4" s="256"/>
      <c r="AF4" s="10"/>
      <c r="AG4" s="228" t="s">
        <v>1</v>
      </c>
      <c r="AH4" s="200">
        <f>SUMIF(C10:C42,"&gt;0",Z10:Z42)</f>
        <v>1.4999999999999998</v>
      </c>
      <c r="AI4" s="205">
        <v>9.93</v>
      </c>
      <c r="AJ4" s="229">
        <f>AH4*AI4</f>
        <v>14.894999999999998</v>
      </c>
      <c r="AK4" s="10"/>
      <c r="AL4" s="10"/>
      <c r="AM4" s="10"/>
      <c r="AN4" s="10"/>
      <c r="AO4" s="10"/>
    </row>
    <row r="5" spans="1:41" ht="16" customHeight="1" thickBot="1" x14ac:dyDescent="0.25">
      <c r="A5" s="10"/>
      <c r="B5" s="10"/>
      <c r="C5" s="44"/>
      <c r="D5" s="44"/>
      <c r="E5" s="48" t="s">
        <v>28</v>
      </c>
      <c r="F5" s="49"/>
      <c r="G5" s="57" t="s">
        <v>64</v>
      </c>
      <c r="H5" s="53"/>
      <c r="I5" s="10"/>
      <c r="J5" s="136"/>
      <c r="K5" s="136"/>
      <c r="L5" s="136"/>
      <c r="M5" s="136"/>
      <c r="N5" s="157" t="s">
        <v>56</v>
      </c>
      <c r="O5" s="158"/>
      <c r="P5" s="159"/>
      <c r="Q5" s="167" t="s">
        <v>57</v>
      </c>
      <c r="R5" s="158"/>
      <c r="S5" s="168"/>
      <c r="T5" s="142">
        <f>SUM(T7+U7)</f>
        <v>0</v>
      </c>
      <c r="U5" s="143"/>
      <c r="V5" s="152">
        <f>SUM(V7+W7)</f>
        <v>0.99999999999999989</v>
      </c>
      <c r="W5" s="153"/>
      <c r="X5" s="142">
        <f>SUM(X7+Y7)</f>
        <v>0.99999999999999989</v>
      </c>
      <c r="Y5" s="143"/>
      <c r="Z5" s="154">
        <f>SUMPRODUCT((MONTH($C$10:$C$42=$D$8)*($B$10:$B$42&lt;&gt;"")*($Z$10:$AA$42)))</f>
        <v>1.4999999999999998</v>
      </c>
      <c r="AA5" s="154"/>
      <c r="AB5" s="15"/>
      <c r="AC5" s="10"/>
      <c r="AD5" s="246" t="s">
        <v>97</v>
      </c>
      <c r="AE5" s="246">
        <f>SUMPRODUCT((($B$10:$B$42="férié")*(WEEKDAY($C$10:$C$42)&lt;&gt;1)+($B$10:$B$42="se"))*($M$10:$M$42&gt;0))</f>
        <v>1</v>
      </c>
      <c r="AF5" s="10"/>
      <c r="AG5" s="228" t="s">
        <v>41</v>
      </c>
      <c r="AH5" s="200">
        <f>SUMIF(C10:C42,"&gt;0",AA10:AA42)</f>
        <v>0</v>
      </c>
      <c r="AI5" s="206">
        <v>0.99299999999999999</v>
      </c>
      <c r="AJ5" s="229">
        <f t="shared" ref="AJ5:AJ10" si="0">AH5*AI5</f>
        <v>0</v>
      </c>
      <c r="AK5" s="10"/>
      <c r="AL5" s="10"/>
      <c r="AM5" s="10"/>
      <c r="AN5" s="10"/>
      <c r="AO5" s="10"/>
    </row>
    <row r="6" spans="1:41" ht="16" customHeight="1" thickBot="1" x14ac:dyDescent="0.25">
      <c r="A6" s="11"/>
      <c r="B6" s="12"/>
      <c r="C6" s="45"/>
      <c r="D6" s="45"/>
      <c r="E6" s="10"/>
      <c r="F6" s="10"/>
      <c r="G6" s="10"/>
      <c r="H6" s="10"/>
      <c r="I6" s="54"/>
      <c r="J6" s="10"/>
      <c r="K6" s="10"/>
      <c r="L6" s="10"/>
      <c r="M6" s="10"/>
      <c r="N6" s="123" t="s">
        <v>54</v>
      </c>
      <c r="O6" s="124" t="s">
        <v>52</v>
      </c>
      <c r="P6" s="124" t="s">
        <v>53</v>
      </c>
      <c r="Q6" s="124" t="s">
        <v>54</v>
      </c>
      <c r="R6" s="124" t="s">
        <v>52</v>
      </c>
      <c r="S6" s="125" t="s">
        <v>53</v>
      </c>
      <c r="T6" s="59" t="s">
        <v>71</v>
      </c>
      <c r="U6" s="59" t="s">
        <v>72</v>
      </c>
      <c r="V6" s="58" t="s">
        <v>82</v>
      </c>
      <c r="W6" s="58" t="s">
        <v>83</v>
      </c>
      <c r="X6" s="59" t="s">
        <v>75</v>
      </c>
      <c r="Y6" s="59" t="s">
        <v>76</v>
      </c>
      <c r="Z6" s="59" t="s">
        <v>1</v>
      </c>
      <c r="AA6" s="59" t="s">
        <v>41</v>
      </c>
      <c r="AB6" s="16"/>
      <c r="AC6" s="10"/>
      <c r="AD6" s="255"/>
      <c r="AE6" s="256"/>
      <c r="AF6" s="10"/>
      <c r="AG6" s="228" t="s">
        <v>43</v>
      </c>
      <c r="AH6" s="200">
        <f>SUMPRODUCT(($B$10:$B$42="dim")*($Z$10:$Z$42))</f>
        <v>0.49999999999999994</v>
      </c>
      <c r="AI6" s="206">
        <v>0.99299999999999999</v>
      </c>
      <c r="AJ6" s="229">
        <f t="shared" si="0"/>
        <v>0.49649999999999994</v>
      </c>
      <c r="AK6" s="10"/>
      <c r="AL6" s="10"/>
      <c r="AM6" s="10"/>
      <c r="AN6" s="10"/>
      <c r="AO6" s="10"/>
    </row>
    <row r="7" spans="1:41" ht="15" customHeight="1" x14ac:dyDescent="0.2">
      <c r="A7" s="11"/>
      <c r="B7" s="12"/>
      <c r="C7" s="41" t="s">
        <v>118</v>
      </c>
      <c r="D7" s="43">
        <v>11</v>
      </c>
      <c r="E7" s="10"/>
      <c r="F7" s="10"/>
      <c r="G7" s="22"/>
      <c r="H7" s="22"/>
      <c r="I7" s="10"/>
      <c r="J7" s="10"/>
      <c r="K7" s="155" t="s">
        <v>89</v>
      </c>
      <c r="L7" s="156"/>
      <c r="M7" s="184" t="s">
        <v>65</v>
      </c>
      <c r="N7" s="61" t="str">
        <f>TEXT(N8,"[hh]:mm")&amp;"h"&amp;" à "&amp;TEXT(N9,"[hh]:mm")&amp;"h"</f>
        <v>00:00h à 06:00h</v>
      </c>
      <c r="O7" s="62" t="str">
        <f>TEXT(O8,"[hh]:mm")&amp;"h"&amp;" à "&amp;TEXT(O9,"[hh]:mm")&amp;"h"</f>
        <v>06:00h à 21:00h</v>
      </c>
      <c r="P7" s="62" t="str">
        <f>TEXT(P8,"[hh]:mm")&amp;"h"&amp;" à "&amp;TEXT(P9,"[hh]:mm")&amp;"h"</f>
        <v>21:00h à 24:00h</v>
      </c>
      <c r="Q7" s="63" t="str">
        <f>TEXT(Q8,"[hh]:mm")&amp;"h"&amp;" à "&amp;TEXT(Q9,"hh:mm")&amp;"h"</f>
        <v>24:00h à 06:00h</v>
      </c>
      <c r="R7" s="62" t="str">
        <f>TEXT(R8,"hh:mm")&amp;"h"&amp;" à "&amp;TEXT(R9,"hh:mm")&amp;"h"</f>
        <v>06:00h à 21:00h</v>
      </c>
      <c r="S7" s="64" t="str">
        <f>TEXT(S8,"hh:mm")&amp;"h"&amp;" à "&amp;TEXT(S9-24/24,"[hh]:mm")&amp;"h"</f>
        <v>21:00h à 24:00h</v>
      </c>
      <c r="T7" s="60">
        <f>SUMIF(C10:C42,"&gt;0",T10:T42)</f>
        <v>0</v>
      </c>
      <c r="U7" s="60">
        <f>SUMIF(C10:C42,"&gt;0",U10:U42)</f>
        <v>0</v>
      </c>
      <c r="V7" s="101">
        <f>SUMPRODUCT((WEEKDAY($C$10:$C$42)=1)*($Z$10:$Z$42))</f>
        <v>0.99999999999999989</v>
      </c>
      <c r="W7" s="101">
        <f>SUMPRODUCT((WEEKDAY($C$10:$C$42)=1)*($AA$10:$AA$42))</f>
        <v>0</v>
      </c>
      <c r="X7" s="60">
        <f>SUMPRODUCT(($B$10:$B$42="férié")*($X$10:$X$42))</f>
        <v>0.99999999999999989</v>
      </c>
      <c r="Y7" s="60">
        <f>SUMPRODUCT(($B$10:$B$42="férié")*($Y$10:$Y$42))</f>
        <v>0</v>
      </c>
      <c r="Z7" s="60">
        <f>SUMIF(C10:C42,"&gt;0",Z10:Z42)</f>
        <v>1.4999999999999998</v>
      </c>
      <c r="AA7" s="60">
        <f>SUMIF(C10:C42,"&gt;0",AA10:AA42)</f>
        <v>0</v>
      </c>
      <c r="AB7" s="21"/>
      <c r="AC7" s="10"/>
      <c r="AD7" s="246" t="s">
        <v>105</v>
      </c>
      <c r="AE7" s="247">
        <f>SUM(M10:M42)</f>
        <v>1.4999999999999998</v>
      </c>
      <c r="AF7" s="10"/>
      <c r="AG7" s="228" t="s">
        <v>42</v>
      </c>
      <c r="AH7" s="202">
        <f>SUMPRODUCT(($B$10:$B$42="dim")*($AA$10:$AA$42))</f>
        <v>0</v>
      </c>
      <c r="AI7" s="206">
        <v>1.88</v>
      </c>
      <c r="AJ7" s="229">
        <f t="shared" si="0"/>
        <v>0</v>
      </c>
      <c r="AK7" s="10"/>
      <c r="AL7" s="10"/>
      <c r="AM7" s="10"/>
      <c r="AN7" s="10"/>
      <c r="AO7" s="10"/>
    </row>
    <row r="8" spans="1:41" ht="15" customHeight="1" x14ac:dyDescent="0.2">
      <c r="A8" s="10"/>
      <c r="B8" s="10"/>
      <c r="C8" s="42" t="s">
        <v>117</v>
      </c>
      <c r="D8" s="42">
        <v>2015</v>
      </c>
      <c r="E8" s="27"/>
      <c r="F8" s="31" t="s">
        <v>65</v>
      </c>
      <c r="G8" s="31" t="s">
        <v>65</v>
      </c>
      <c r="H8" s="31" t="s">
        <v>65</v>
      </c>
      <c r="I8" s="31" t="s">
        <v>65</v>
      </c>
      <c r="J8" s="31" t="s">
        <v>65</v>
      </c>
      <c r="K8" s="65" t="s">
        <v>80</v>
      </c>
      <c r="L8" s="65" t="s">
        <v>81</v>
      </c>
      <c r="M8" s="182" t="s">
        <v>59</v>
      </c>
      <c r="N8" s="126">
        <v>0</v>
      </c>
      <c r="O8" s="126">
        <f>IF(ISBLANK(F4),0/24,N9)</f>
        <v>0.25</v>
      </c>
      <c r="P8" s="126">
        <f>O9</f>
        <v>0.875</v>
      </c>
      <c r="Q8" s="127">
        <f>P9</f>
        <v>1</v>
      </c>
      <c r="R8" s="127">
        <f>Q9</f>
        <v>1.25</v>
      </c>
      <c r="S8" s="127">
        <f>R9</f>
        <v>1.875</v>
      </c>
      <c r="T8" s="147" t="s">
        <v>77</v>
      </c>
      <c r="U8" s="148"/>
      <c r="V8" s="144" t="s">
        <v>4</v>
      </c>
      <c r="W8" s="145"/>
      <c r="X8" s="147" t="s">
        <v>3</v>
      </c>
      <c r="Y8" s="148"/>
      <c r="Z8" s="146" t="s">
        <v>2</v>
      </c>
      <c r="AA8" s="146"/>
      <c r="AB8" s="197" t="s">
        <v>0</v>
      </c>
      <c r="AC8" s="13"/>
      <c r="AD8" s="255"/>
      <c r="AE8" s="256"/>
      <c r="AF8" s="10"/>
      <c r="AG8" s="228" t="s">
        <v>44</v>
      </c>
      <c r="AH8" s="200">
        <f>SUM(X7+Y7)</f>
        <v>0.99999999999999989</v>
      </c>
      <c r="AI8" s="206">
        <v>9.93</v>
      </c>
      <c r="AJ8" s="229">
        <f t="shared" si="0"/>
        <v>9.9299999999999979</v>
      </c>
      <c r="AK8" s="10"/>
      <c r="AL8" s="10"/>
      <c r="AM8" s="10"/>
      <c r="AN8" s="10"/>
      <c r="AO8" s="10"/>
    </row>
    <row r="9" spans="1:41" ht="16" x14ac:dyDescent="0.2">
      <c r="A9" s="28" t="s">
        <v>5</v>
      </c>
      <c r="B9" s="116" t="s">
        <v>48</v>
      </c>
      <c r="C9" s="29" t="s">
        <v>30</v>
      </c>
      <c r="D9" s="29" t="s">
        <v>22</v>
      </c>
      <c r="E9" s="29" t="s">
        <v>32</v>
      </c>
      <c r="F9" s="32" t="s">
        <v>66</v>
      </c>
      <c r="G9" s="32" t="s">
        <v>67</v>
      </c>
      <c r="H9" s="122" t="s">
        <v>29</v>
      </c>
      <c r="I9" s="32" t="s">
        <v>78</v>
      </c>
      <c r="J9" s="32" t="s">
        <v>79</v>
      </c>
      <c r="K9" s="34">
        <f>COUNTA(F10:F42)</f>
        <v>3</v>
      </c>
      <c r="L9" s="33">
        <f>SUM(L10:L42)</f>
        <v>0</v>
      </c>
      <c r="M9" s="183" t="s">
        <v>98</v>
      </c>
      <c r="N9" s="35">
        <f>IF(ISBLANK(F4),"",F4)</f>
        <v>0.25</v>
      </c>
      <c r="O9" s="35">
        <f>F3</f>
        <v>0.875</v>
      </c>
      <c r="P9" s="36">
        <f>24/24</f>
        <v>1</v>
      </c>
      <c r="Q9" s="36">
        <f>IF(ISBLANK(F4),O9+24/24,IF(N9=0/24,O9+24/24,N9+24/24))</f>
        <v>1.25</v>
      </c>
      <c r="R9" s="36">
        <f>O9+24/24</f>
        <v>1.875</v>
      </c>
      <c r="S9" s="36">
        <f>P9+24/24</f>
        <v>2</v>
      </c>
      <c r="T9" s="150">
        <f>SUMPRODUCT((($B$10:$B$42="férié")*(WEEKDAY($C$10:$C$42)&lt;&gt;1)+($B$10:$B$42="se"))*($M$10:$M$42&gt;0))</f>
        <v>1</v>
      </c>
      <c r="U9" s="151"/>
      <c r="V9" s="185">
        <f>SUMPRODUCT((WEEKDAY($C$10:$C$42)=1)*($M$10:$M$42&gt;0))</f>
        <v>2</v>
      </c>
      <c r="W9" s="186"/>
      <c r="X9" s="150">
        <f>SUMPRODUCT(($B$10:$B$42="férié")*($M$10:$M$42&gt;0))</f>
        <v>2</v>
      </c>
      <c r="Y9" s="151"/>
      <c r="Z9" s="149">
        <f>COUNTA(F10:F42)</f>
        <v>3</v>
      </c>
      <c r="AA9" s="149"/>
      <c r="AB9" s="198"/>
      <c r="AC9" s="13"/>
      <c r="AD9" s="246" t="s">
        <v>109</v>
      </c>
      <c r="AE9" s="248">
        <f>SUMIF(C10:C42,"&gt;0",Z10:Z42)</f>
        <v>1.4999999999999998</v>
      </c>
      <c r="AF9" s="10"/>
      <c r="AG9" s="230" t="s">
        <v>45</v>
      </c>
      <c r="AH9" s="201"/>
      <c r="AI9" s="206">
        <v>0.13100000000000001</v>
      </c>
      <c r="AJ9" s="229">
        <f t="shared" si="0"/>
        <v>0</v>
      </c>
      <c r="AK9" s="10"/>
      <c r="AL9" s="10"/>
      <c r="AM9" s="10"/>
      <c r="AN9" s="10"/>
      <c r="AO9" s="10"/>
    </row>
    <row r="10" spans="1:41" ht="16" x14ac:dyDescent="0.2">
      <c r="A10" s="67">
        <v>1</v>
      </c>
      <c r="B10" s="68" t="str">
        <f t="shared" ref="B10:B40" si="1">IF(C10="","",IF(COUNTIF(Fer,C10)&gt;0,"Férié",IF(WEEKDAY(C10,2)&lt;=6,"Se","Dim")))</f>
        <v>Férié</v>
      </c>
      <c r="C10" s="68">
        <v>42309</v>
      </c>
      <c r="D10" s="69" t="s">
        <v>23</v>
      </c>
      <c r="E10" s="69" t="s">
        <v>91</v>
      </c>
      <c r="F10" s="70">
        <v>0.35416666666666702</v>
      </c>
      <c r="G10" s="70">
        <v>0.85416666666666696</v>
      </c>
      <c r="H10" s="71">
        <f t="shared" ref="H10:H42" si="2">IF(OR(C10="",F10="",G10=""),"",IF(COUNT(F$3:F$4)=1,"",IF(G10&gt;F10,G10-F10,MOD(G10+24/24-F10,1))))</f>
        <v>0.49999999999999994</v>
      </c>
      <c r="I10" s="208"/>
      <c r="J10" s="209"/>
      <c r="K10" s="210" t="str">
        <f>IF(M10*24&gt;=6,"1","")</f>
        <v>1</v>
      </c>
      <c r="L10" s="211" t="str">
        <f>IF(D10="Maitre chien",H10+I10+J10,"")</f>
        <v/>
      </c>
      <c r="M10" s="192">
        <f>SUM(H10,I10,J10)</f>
        <v>0.49999999999999994</v>
      </c>
      <c r="N10" s="72">
        <f>IF(OR($C10="",H10="",N$9=""),"",IF($F10&gt;$G10,MAX(,MIN(N$9,$G10+24/24)-MAX(N$8,$F10)),MAX(,MIN(N$9,$H10)-MAX(N$8,$F10))))</f>
        <v>0</v>
      </c>
      <c r="O10" s="73">
        <f>IF(OR($C10="",N10="",O$9=""),"",IF($F10&gt;$G10,MAX(,MIN(O$9,$G10+24/24)-MAX(O$8,$F10)),MAX(,MIN(O$9,$G10)-MAX(O$8,$F10))))</f>
        <v>0.49999999999999994</v>
      </c>
      <c r="P10" s="74">
        <f t="shared" ref="O10:P29" si="3">IF(OR($C10="",O10="",P$9=""),"",IF($F10&gt;$G10,MAX(,MIN(P$9,$G10+24/24)-MAX(P$8,$F10)),MAX(,MIN(P$9,$G10)-MAX(P$8,$F10))))</f>
        <v>0</v>
      </c>
      <c r="Q10" s="72"/>
      <c r="R10" s="73"/>
      <c r="S10" s="74"/>
      <c r="T10" s="77">
        <f>SUMPRODUCT(($B$10="se")*($Z$10))</f>
        <v>0</v>
      </c>
      <c r="U10" s="102">
        <f>SUMPRODUCT(($B$10="se")*($AA$10))</f>
        <v>0</v>
      </c>
      <c r="V10" s="75">
        <f>(WEEKDAY($C10)=1)*($Z10)</f>
        <v>0.49999999999999994</v>
      </c>
      <c r="W10" s="76">
        <f>(WEEKDAY($C10)=1)*($AA10)</f>
        <v>0</v>
      </c>
      <c r="X10" s="105">
        <f>SUMPRODUCT(($B$10="férié")*($Z$10))</f>
        <v>0.49999999999999994</v>
      </c>
      <c r="Y10" s="102">
        <f>SUMPRODUCT(($B$10="férié")*($AA$10))</f>
        <v>0</v>
      </c>
      <c r="Z10" s="110">
        <f>SUM(I10,O10,R10)</f>
        <v>0.49999999999999994</v>
      </c>
      <c r="AA10" s="111">
        <f>SUM(J10,N10,P10,Q10,S10)</f>
        <v>0</v>
      </c>
      <c r="AB10" s="118"/>
      <c r="AC10" s="13"/>
      <c r="AD10" s="257"/>
      <c r="AE10" s="258"/>
      <c r="AF10" s="10"/>
      <c r="AG10" s="231" t="s">
        <v>47</v>
      </c>
      <c r="AH10" s="232"/>
      <c r="AI10" s="233"/>
      <c r="AJ10" s="234">
        <f t="shared" si="0"/>
        <v>0</v>
      </c>
      <c r="AK10" s="10"/>
      <c r="AL10" s="10"/>
      <c r="AM10" s="10"/>
      <c r="AN10" s="10"/>
      <c r="AO10" s="10"/>
    </row>
    <row r="11" spans="1:41" ht="16" x14ac:dyDescent="0.2">
      <c r="A11" s="25">
        <v>2</v>
      </c>
      <c r="B11" s="78" t="str">
        <f t="shared" si="1"/>
        <v>Se</v>
      </c>
      <c r="C11" s="68">
        <v>42310</v>
      </c>
      <c r="D11" s="79"/>
      <c r="E11" s="79"/>
      <c r="F11" s="80"/>
      <c r="G11" s="80"/>
      <c r="H11" s="81" t="str">
        <f t="shared" si="2"/>
        <v/>
      </c>
      <c r="I11" s="212"/>
      <c r="J11" s="213"/>
      <c r="K11" s="214" t="str">
        <f>IF(M11*24&gt;=6,"1","")</f>
        <v/>
      </c>
      <c r="L11" s="215" t="str">
        <f>IF(D11="Maitre chien",H11+I11+J11,"")</f>
        <v/>
      </c>
      <c r="M11" s="193">
        <f>SUM(H11,I11,J11)</f>
        <v>0</v>
      </c>
      <c r="N11" s="82" t="str">
        <f>IF(OR($C11="",H11="",N$9=""),"",IF($F11&gt;$G11,MAX(,MIN(N$9,$G11+24/24)-MAX(N$8,$F11)),MAX(,MIN(N$9,$H11)-MAX(N$8,$F11))))</f>
        <v/>
      </c>
      <c r="O11" s="73" t="str">
        <f t="shared" si="3"/>
        <v/>
      </c>
      <c r="P11" s="83" t="str">
        <f t="shared" si="3"/>
        <v/>
      </c>
      <c r="Q11" s="84">
        <f>IF(OR(P10="",Q$9=""),"",IF($F10&gt;$G10,MAX(,MIN(Q$9,$G10+24/24)-MAX(Q$8,$F10)),MAX(,MIN(Q$9,$G10)-MAX(Q$8,$F10))))</f>
        <v>0</v>
      </c>
      <c r="R11" s="85">
        <f>IF(OR(Q11="",R$9=""),"",IF($F10&gt;$G10,MAX(,MIN(R$9,$G10+24/24)-MAX(R$8,$F10)),MAX(,MIN(R$9,$G10)-MAX(R$8,$F10))))</f>
        <v>0</v>
      </c>
      <c r="S11" s="83">
        <f>IF(OR(R11="",S$9=""),"",IF($F10&gt;$G10,MAX(,MIN(S$9,$G10+24/24)-MAX(S$8,$F10)),MAX(,MIN(S$9,$G10)-MAX(S$8,$F10))))</f>
        <v>0</v>
      </c>
      <c r="T11" s="88">
        <f>SUMPRODUCT(($B$11="se")*($Z$11))</f>
        <v>0</v>
      </c>
      <c r="U11" s="103">
        <f>SUMPRODUCT(($B$11="se")*($AA$11))</f>
        <v>0</v>
      </c>
      <c r="V11" s="86">
        <f>(WEEKDAY($C11)=1)*($Z11)</f>
        <v>0</v>
      </c>
      <c r="W11" s="87">
        <f>(WEEKDAY($C11)=1)*($AA11)</f>
        <v>0</v>
      </c>
      <c r="X11" s="106">
        <f>SUMPRODUCT(($B$11="férié")*($Z$11))</f>
        <v>0</v>
      </c>
      <c r="Y11" s="103">
        <f>SUMPRODUCT(($B$11="férié")*($AA$11))</f>
        <v>0</v>
      </c>
      <c r="Z11" s="112">
        <f>SUM(I11,O11,R11)</f>
        <v>0</v>
      </c>
      <c r="AA11" s="113">
        <f>SUM(J11,N11,P11,Q11,S11)</f>
        <v>0</v>
      </c>
      <c r="AB11" s="119"/>
      <c r="AC11" s="13"/>
      <c r="AD11" s="246" t="s">
        <v>110</v>
      </c>
      <c r="AE11" s="248">
        <f>SUMIF(C10:C42,"&gt;0",AA10:AA42)</f>
        <v>0</v>
      </c>
      <c r="AF11" s="10"/>
      <c r="AG11" s="10"/>
      <c r="AH11" s="22"/>
      <c r="AI11" s="223" t="s">
        <v>114</v>
      </c>
      <c r="AJ11" s="224">
        <f>SUM(AJ4:AJ10)</f>
        <v>25.321499999999993</v>
      </c>
      <c r="AK11" s="10"/>
      <c r="AL11" s="10"/>
      <c r="AM11" s="10"/>
      <c r="AN11" s="10"/>
      <c r="AO11" s="10"/>
    </row>
    <row r="12" spans="1:41" ht="16" x14ac:dyDescent="0.2">
      <c r="A12" s="25">
        <v>3</v>
      </c>
      <c r="B12" s="78" t="str">
        <f t="shared" si="1"/>
        <v>Se</v>
      </c>
      <c r="C12" s="68">
        <v>42311</v>
      </c>
      <c r="D12" s="79"/>
      <c r="E12" s="79"/>
      <c r="F12" s="80"/>
      <c r="G12" s="80"/>
      <c r="H12" s="81" t="str">
        <f t="shared" si="2"/>
        <v/>
      </c>
      <c r="I12" s="212"/>
      <c r="J12" s="213"/>
      <c r="K12" s="214" t="str">
        <f>IF(M12*24&gt;=6,"1","")</f>
        <v/>
      </c>
      <c r="L12" s="215" t="str">
        <f>IF(D12="Maitre chien",H12+I12+J12,"")</f>
        <v/>
      </c>
      <c r="M12" s="193">
        <f>SUM(H12,I12,J12)</f>
        <v>0</v>
      </c>
      <c r="N12" s="82" t="str">
        <f>IF(OR($C12="",H12="",N$9=""),"",IF($F12&gt;$G12,MAX(,MIN(N$9,$G12+24/24)-MAX(N$8,$F12)),MAX(,MIN(N$9,$H12)-MAX(N$8,$F12))))</f>
        <v/>
      </c>
      <c r="O12" s="73" t="str">
        <f t="shared" si="3"/>
        <v/>
      </c>
      <c r="P12" s="83" t="str">
        <f t="shared" si="3"/>
        <v/>
      </c>
      <c r="Q12" s="84" t="str">
        <f t="shared" ref="Q12:Q42" si="4">IF(OR(P11="",Q$9=""),"",IF($F11&gt;$G11,MAX(,MIN(Q$9,$G11+24/24)-MAX(Q$8,$F11)),MAX(,MIN(Q$9,$G11)-MAX(Q$8,$F11))))</f>
        <v/>
      </c>
      <c r="R12" s="85" t="str">
        <f t="shared" ref="R12:S27" si="5">IF(OR(Q12="",R$9=""),"",IF($F11&gt;$G11,MAX(,MIN(R$9,$G11+24/24)-MAX(R$8,$F11)),MAX(,MIN(R$9,$G11)-MAX(R$8,$F11))))</f>
        <v/>
      </c>
      <c r="S12" s="83" t="str">
        <f t="shared" si="5"/>
        <v/>
      </c>
      <c r="T12" s="88">
        <f>SUMPRODUCT(($B$12="se")*($Z$12))</f>
        <v>0</v>
      </c>
      <c r="U12" s="103">
        <f>SUMPRODUCT(($B$12="se")*($AA$12))</f>
        <v>0</v>
      </c>
      <c r="V12" s="86">
        <f>(WEEKDAY($C12)=1)*($Z12)</f>
        <v>0</v>
      </c>
      <c r="W12" s="87">
        <f>(WEEKDAY($C12)=1)*($AA12)</f>
        <v>0</v>
      </c>
      <c r="X12" s="106">
        <f>SUMPRODUCT(($B$12="férié")*($Z$12))</f>
        <v>0</v>
      </c>
      <c r="Y12" s="103">
        <f>SUMPRODUCT(($B$12="férié")*($AA$12))</f>
        <v>0</v>
      </c>
      <c r="Z12" s="112">
        <f>SUM(I12,O12,R12)</f>
        <v>0</v>
      </c>
      <c r="AA12" s="113">
        <f>SUM(J12,N12,P12,Q12,S12)</f>
        <v>0</v>
      </c>
      <c r="AB12" s="119"/>
      <c r="AC12" s="13"/>
      <c r="AD12" s="259"/>
      <c r="AE12" s="260"/>
      <c r="AF12" s="10"/>
      <c r="AG12" s="10"/>
      <c r="AH12" s="10"/>
      <c r="AI12" s="10"/>
      <c r="AJ12" s="10"/>
      <c r="AK12" s="10"/>
      <c r="AL12" s="10"/>
      <c r="AM12" s="10"/>
      <c r="AN12" s="10"/>
      <c r="AO12" s="10"/>
    </row>
    <row r="13" spans="1:41" ht="16" x14ac:dyDescent="0.2">
      <c r="A13" s="25">
        <v>4</v>
      </c>
      <c r="B13" s="78" t="str">
        <f t="shared" si="1"/>
        <v>Se</v>
      </c>
      <c r="C13" s="68">
        <v>42312</v>
      </c>
      <c r="D13" s="79"/>
      <c r="E13" s="79"/>
      <c r="F13" s="80"/>
      <c r="G13" s="80"/>
      <c r="H13" s="81" t="str">
        <f t="shared" si="2"/>
        <v/>
      </c>
      <c r="I13" s="212"/>
      <c r="J13" s="213"/>
      <c r="K13" s="214" t="str">
        <f>IF(M13*24&gt;=6,"1","")</f>
        <v/>
      </c>
      <c r="L13" s="215" t="str">
        <f>IF(D13="Maitre chien",H13+I13+J13,"")</f>
        <v/>
      </c>
      <c r="M13" s="193">
        <f>SUM(H13,I13,J13)</f>
        <v>0</v>
      </c>
      <c r="N13" s="82" t="str">
        <f>IF(OR($C13="",H13="",N$9=""),"",IF($F13&gt;$G13,MAX(,MIN(N$9,$G13+24/24)-MAX(N$8,$F13)),MAX(,MIN(N$9,$H13)-MAX(N$8,$F13))))</f>
        <v/>
      </c>
      <c r="O13" s="73" t="str">
        <f t="shared" si="3"/>
        <v/>
      </c>
      <c r="P13" s="83" t="str">
        <f t="shared" si="3"/>
        <v/>
      </c>
      <c r="Q13" s="84" t="str">
        <f t="shared" si="4"/>
        <v/>
      </c>
      <c r="R13" s="85" t="str">
        <f t="shared" si="5"/>
        <v/>
      </c>
      <c r="S13" s="83" t="str">
        <f t="shared" si="5"/>
        <v/>
      </c>
      <c r="T13" s="88">
        <f>SUMPRODUCT(($B$13="se")*($Z$13))</f>
        <v>0</v>
      </c>
      <c r="U13" s="103">
        <f>SUMPRODUCT(($B$13="se")*($AA$13))</f>
        <v>0</v>
      </c>
      <c r="V13" s="86">
        <f>(WEEKDAY($C13)=1)*($Z13)</f>
        <v>0</v>
      </c>
      <c r="W13" s="87">
        <f>(WEEKDAY($C13)=1)*($AA13)</f>
        <v>0</v>
      </c>
      <c r="X13" s="106">
        <f>SUMPRODUCT(($B$13="férié")*($Z$13))</f>
        <v>0</v>
      </c>
      <c r="Y13" s="103">
        <f>SUMPRODUCT(($B$13="férié")*($AA$13))</f>
        <v>0</v>
      </c>
      <c r="Z13" s="112">
        <f>SUM(I13,O13,R13)</f>
        <v>0</v>
      </c>
      <c r="AA13" s="113">
        <f>SUM(J13,N13,P13,Q13,S13)</f>
        <v>0</v>
      </c>
      <c r="AB13" s="119"/>
      <c r="AC13" s="13"/>
      <c r="AD13" s="249" t="s">
        <v>119</v>
      </c>
      <c r="AE13" s="250">
        <f>SUMPRODUCT((WEEKDAY($C$10:$C$42)=1)*($M$10:$M$42&gt;0))</f>
        <v>2</v>
      </c>
      <c r="AF13" s="10"/>
      <c r="AG13" s="10"/>
      <c r="AH13" s="10"/>
      <c r="AI13" s="10"/>
      <c r="AJ13" s="10"/>
      <c r="AK13" s="10"/>
      <c r="AL13" s="10"/>
      <c r="AM13" s="10"/>
      <c r="AN13" s="10"/>
      <c r="AO13" s="10"/>
    </row>
    <row r="14" spans="1:41" ht="16" x14ac:dyDescent="0.2">
      <c r="A14" s="25">
        <v>5</v>
      </c>
      <c r="B14" s="78" t="str">
        <f t="shared" si="1"/>
        <v>Se</v>
      </c>
      <c r="C14" s="68">
        <v>42313</v>
      </c>
      <c r="D14" s="79"/>
      <c r="E14" s="79"/>
      <c r="F14" s="80"/>
      <c r="G14" s="80"/>
      <c r="H14" s="81" t="str">
        <f t="shared" si="2"/>
        <v/>
      </c>
      <c r="I14" s="212"/>
      <c r="J14" s="213"/>
      <c r="K14" s="214" t="str">
        <f>IF(M14*24&gt;=6,"1","")</f>
        <v/>
      </c>
      <c r="L14" s="215" t="str">
        <f>IF(D14="Maitre chien",H14+I14+J14,"")</f>
        <v/>
      </c>
      <c r="M14" s="193">
        <f>SUM(H14,I14,J14)</f>
        <v>0</v>
      </c>
      <c r="N14" s="82" t="str">
        <f>IF(OR($C14="",H14="",N$9=""),"",IF($F14&gt;$G14,MAX(,MIN(N$9,$G14+24/24)-MAX(N$8,$F14)),MAX(,MIN(N$9,$H14)-MAX(N$8,$F14))))</f>
        <v/>
      </c>
      <c r="O14" s="73" t="str">
        <f t="shared" si="3"/>
        <v/>
      </c>
      <c r="P14" s="83" t="str">
        <f t="shared" si="3"/>
        <v/>
      </c>
      <c r="Q14" s="84" t="str">
        <f t="shared" si="4"/>
        <v/>
      </c>
      <c r="R14" s="85" t="str">
        <f t="shared" si="5"/>
        <v/>
      </c>
      <c r="S14" s="83" t="str">
        <f t="shared" si="5"/>
        <v/>
      </c>
      <c r="T14" s="88">
        <f>SUMPRODUCT(($B$14="se")*($Z$14))</f>
        <v>0</v>
      </c>
      <c r="U14" s="103">
        <f>SUMPRODUCT(($B$14="se")*($AA$14))</f>
        <v>0</v>
      </c>
      <c r="V14" s="86">
        <f>(WEEKDAY($C14)=1)*($Z14)</f>
        <v>0</v>
      </c>
      <c r="W14" s="87">
        <f>(WEEKDAY($C14)=1)*($AA14)</f>
        <v>0</v>
      </c>
      <c r="X14" s="106">
        <f>SUMPRODUCT(($B$14="férié")*($Z$14))</f>
        <v>0</v>
      </c>
      <c r="Y14" s="103">
        <f>SUMPRODUCT(($B$14="férié")*($AA$14))</f>
        <v>0</v>
      </c>
      <c r="Z14" s="112">
        <f>SUM(I14,O14,R14)</f>
        <v>0</v>
      </c>
      <c r="AA14" s="113">
        <f>SUM(J14,N14,P14,Q14,S14)</f>
        <v>0</v>
      </c>
      <c r="AB14" s="119"/>
      <c r="AC14" s="13"/>
      <c r="AD14" s="255"/>
      <c r="AE14" s="256"/>
      <c r="AF14" s="10"/>
      <c r="AG14" s="243" t="s">
        <v>39</v>
      </c>
      <c r="AH14" s="244"/>
      <c r="AI14" s="244"/>
      <c r="AJ14" s="245"/>
      <c r="AK14" s="10"/>
      <c r="AL14" s="10"/>
      <c r="AM14" s="10"/>
      <c r="AN14" s="10"/>
      <c r="AO14" s="10"/>
    </row>
    <row r="15" spans="1:41" ht="16" x14ac:dyDescent="0.2">
      <c r="A15" s="25">
        <v>6</v>
      </c>
      <c r="B15" s="78" t="str">
        <f t="shared" si="1"/>
        <v>Se</v>
      </c>
      <c r="C15" s="68">
        <v>42314</v>
      </c>
      <c r="D15" s="79"/>
      <c r="E15" s="79"/>
      <c r="F15" s="80"/>
      <c r="G15" s="80"/>
      <c r="H15" s="81" t="str">
        <f t="shared" si="2"/>
        <v/>
      </c>
      <c r="I15" s="212"/>
      <c r="J15" s="213"/>
      <c r="K15" s="214" t="str">
        <f>IF(M15*24&gt;=6,"1","")</f>
        <v/>
      </c>
      <c r="L15" s="215" t="str">
        <f>IF(D15="Maitre chien",H15+I15+J15,"")</f>
        <v/>
      </c>
      <c r="M15" s="193">
        <f>SUM(H15,I15,J15)</f>
        <v>0</v>
      </c>
      <c r="N15" s="82" t="str">
        <f>IF(OR($C15="",H15="",N$9=""),"",IF($F15&gt;$G15,MAX(,MIN(N$9,$G15+24/24)-MAX(N$8,$F15)),MAX(,MIN(N$9,$H15)-MAX(N$8,$F15))))</f>
        <v/>
      </c>
      <c r="O15" s="73" t="str">
        <f t="shared" si="3"/>
        <v/>
      </c>
      <c r="P15" s="83" t="str">
        <f t="shared" si="3"/>
        <v/>
      </c>
      <c r="Q15" s="84" t="str">
        <f t="shared" si="4"/>
        <v/>
      </c>
      <c r="R15" s="85" t="str">
        <f t="shared" si="5"/>
        <v/>
      </c>
      <c r="S15" s="83" t="str">
        <f t="shared" si="5"/>
        <v/>
      </c>
      <c r="T15" s="88">
        <f>SUMPRODUCT(($B$15="se")*($Z$15))</f>
        <v>0</v>
      </c>
      <c r="U15" s="103">
        <f>SUMPRODUCT(($B$15="se")*($AA$15))</f>
        <v>0</v>
      </c>
      <c r="V15" s="86">
        <f>(WEEKDAY($C15)=1)*($Z15)</f>
        <v>0</v>
      </c>
      <c r="W15" s="87">
        <f>(WEEKDAY($C15)=1)*($AA15)</f>
        <v>0</v>
      </c>
      <c r="X15" s="106">
        <f>SUMPRODUCT(($B$15="férié")*($Z$15))</f>
        <v>0</v>
      </c>
      <c r="Y15" s="103">
        <f>SUMPRODUCT(($B$15="férié")*($AA$15))</f>
        <v>0</v>
      </c>
      <c r="Z15" s="112">
        <f>SUM(I15,O15,R15)</f>
        <v>0</v>
      </c>
      <c r="AA15" s="113">
        <f>SUM(J15,N15,P15,Q15,S15)</f>
        <v>0</v>
      </c>
      <c r="AB15" s="119"/>
      <c r="AC15" s="13"/>
      <c r="AD15" s="249" t="s">
        <v>113</v>
      </c>
      <c r="AE15" s="251">
        <f>SUM(V7+W7)</f>
        <v>0.99999999999999989</v>
      </c>
      <c r="AF15" s="10"/>
      <c r="AG15" s="236"/>
      <c r="AH15" s="203" t="s">
        <v>29</v>
      </c>
      <c r="AI15" s="203" t="s">
        <v>46</v>
      </c>
      <c r="AJ15" s="237" t="s">
        <v>29</v>
      </c>
      <c r="AK15" s="10"/>
      <c r="AL15" s="10"/>
      <c r="AM15" s="10"/>
      <c r="AN15" s="10"/>
      <c r="AO15" s="10"/>
    </row>
    <row r="16" spans="1:41" ht="16" x14ac:dyDescent="0.2">
      <c r="A16" s="25">
        <v>7</v>
      </c>
      <c r="B16" s="78" t="str">
        <f t="shared" si="1"/>
        <v>Se</v>
      </c>
      <c r="C16" s="68">
        <v>42315</v>
      </c>
      <c r="D16" s="79"/>
      <c r="E16" s="79"/>
      <c r="F16" s="80"/>
      <c r="G16" s="80"/>
      <c r="H16" s="81" t="str">
        <f t="shared" si="2"/>
        <v/>
      </c>
      <c r="I16" s="212"/>
      <c r="J16" s="213"/>
      <c r="K16" s="214" t="str">
        <f>IF(M16*24&gt;=6,"1","")</f>
        <v/>
      </c>
      <c r="L16" s="215" t="str">
        <f>IF(D16="Maitre chien",H16+I16+J16,"")</f>
        <v/>
      </c>
      <c r="M16" s="193">
        <f>SUM(H16,I16,J16)</f>
        <v>0</v>
      </c>
      <c r="N16" s="82" t="str">
        <f>IF(OR($C16="",H16="",N$9=""),"",IF($F16&gt;$G16,MAX(,MIN(N$9,$G16+24/24)-MAX(N$8,$F16)),MAX(,MIN(N$9,$H16)-MAX(N$8,$F16))))</f>
        <v/>
      </c>
      <c r="O16" s="73" t="str">
        <f t="shared" si="3"/>
        <v/>
      </c>
      <c r="P16" s="83" t="str">
        <f t="shared" si="3"/>
        <v/>
      </c>
      <c r="Q16" s="84" t="str">
        <f t="shared" si="4"/>
        <v/>
      </c>
      <c r="R16" s="85" t="str">
        <f t="shared" si="5"/>
        <v/>
      </c>
      <c r="S16" s="83" t="str">
        <f t="shared" si="5"/>
        <v/>
      </c>
      <c r="T16" s="88">
        <f>SUMPRODUCT(($B$16="se")*($Z$16))</f>
        <v>0</v>
      </c>
      <c r="U16" s="103">
        <f>SUMPRODUCT(($B$16="se")*($AA$16))</f>
        <v>0</v>
      </c>
      <c r="V16" s="86">
        <f>(WEEKDAY($C16)=1)*($Z16)</f>
        <v>0</v>
      </c>
      <c r="W16" s="87">
        <f>(WEEKDAY($C16)=1)*($AA16)</f>
        <v>0</v>
      </c>
      <c r="X16" s="106">
        <f>SUMPRODUCT(($B$16="férié")*($Z$16))</f>
        <v>0</v>
      </c>
      <c r="Y16" s="103">
        <f>SUMPRODUCT(($B$16="férié")*($AA$16))</f>
        <v>0</v>
      </c>
      <c r="Z16" s="112">
        <f>SUM(I16,O16,R16)</f>
        <v>0</v>
      </c>
      <c r="AA16" s="113">
        <f>SUM(J16,N16,P16,Q16,S16)</f>
        <v>0</v>
      </c>
      <c r="AB16" s="119"/>
      <c r="AC16" s="13"/>
      <c r="AD16" s="255"/>
      <c r="AE16" s="256"/>
      <c r="AF16" s="10"/>
      <c r="AG16" s="238" t="s">
        <v>116</v>
      </c>
      <c r="AH16" s="204">
        <f>COUNTA(F10:F42)</f>
        <v>3</v>
      </c>
      <c r="AI16" s="207">
        <v>3.43</v>
      </c>
      <c r="AJ16" s="239">
        <f>AH16*AI16</f>
        <v>10.290000000000001</v>
      </c>
      <c r="AK16" s="10"/>
      <c r="AL16" s="10"/>
      <c r="AM16" s="10"/>
      <c r="AN16" s="10"/>
      <c r="AO16" s="10"/>
    </row>
    <row r="17" spans="1:41" ht="16" x14ac:dyDescent="0.2">
      <c r="A17" s="25">
        <v>8</v>
      </c>
      <c r="B17" s="78" t="str">
        <f t="shared" si="1"/>
        <v>Dim</v>
      </c>
      <c r="C17" s="68">
        <v>42316</v>
      </c>
      <c r="D17" s="79"/>
      <c r="E17" s="79"/>
      <c r="F17" s="80"/>
      <c r="G17" s="80"/>
      <c r="H17" s="81" t="str">
        <f t="shared" si="2"/>
        <v/>
      </c>
      <c r="I17" s="212"/>
      <c r="J17" s="213"/>
      <c r="K17" s="214" t="str">
        <f>IF(M17*24&gt;=6,"1","")</f>
        <v/>
      </c>
      <c r="L17" s="215" t="str">
        <f>IF(D17="Maitre chien",H17+I17+J17,"")</f>
        <v/>
      </c>
      <c r="M17" s="193">
        <f>SUM(H17,I17,J17)</f>
        <v>0</v>
      </c>
      <c r="N17" s="82" t="str">
        <f>IF(OR($C17="",H17="",N$9=""),"",IF($F17&gt;$G17,MAX(,MIN(N$9,$G17+24/24)-MAX(N$8,$F17)),MAX(,MIN(N$9,$H17)-MAX(N$8,$F17))))</f>
        <v/>
      </c>
      <c r="O17" s="73" t="str">
        <f t="shared" si="3"/>
        <v/>
      </c>
      <c r="P17" s="83" t="str">
        <f t="shared" si="3"/>
        <v/>
      </c>
      <c r="Q17" s="84" t="str">
        <f t="shared" si="4"/>
        <v/>
      </c>
      <c r="R17" s="85" t="str">
        <f t="shared" si="5"/>
        <v/>
      </c>
      <c r="S17" s="83" t="str">
        <f t="shared" si="5"/>
        <v/>
      </c>
      <c r="T17" s="88">
        <f>SUMPRODUCT(($B$17="se")*($Z$17))</f>
        <v>0</v>
      </c>
      <c r="U17" s="103">
        <f>SUMPRODUCT(($B$17="se")*($AA$17))</f>
        <v>0</v>
      </c>
      <c r="V17" s="86">
        <f>(WEEKDAY($C17)=1)*($Z17)</f>
        <v>0</v>
      </c>
      <c r="W17" s="87">
        <f>(WEEKDAY($C17)=1)*($AA17)</f>
        <v>0</v>
      </c>
      <c r="X17" s="106">
        <f>SUMPRODUCT(($B$17="férié")*($Z$17))</f>
        <v>0</v>
      </c>
      <c r="Y17" s="103">
        <f>SUMPRODUCT(($B$17="férié")*($AA$17))</f>
        <v>0</v>
      </c>
      <c r="Z17" s="112">
        <f>SUM(I17,O17,R17)</f>
        <v>0</v>
      </c>
      <c r="AA17" s="113">
        <f>SUM(J17,N17,P17,Q17,S17)</f>
        <v>0</v>
      </c>
      <c r="AB17" s="119"/>
      <c r="AC17" s="13"/>
      <c r="AD17" s="246" t="s">
        <v>111</v>
      </c>
      <c r="AE17" s="248">
        <f>SUMPRODUCT(($B$10:$B$42="dim")*($Z$10:$Z$42))</f>
        <v>0.49999999999999994</v>
      </c>
      <c r="AF17" s="10"/>
      <c r="AG17" s="240" t="s">
        <v>115</v>
      </c>
      <c r="AH17" s="241"/>
      <c r="AI17" s="233">
        <v>0.81</v>
      </c>
      <c r="AJ17" s="242">
        <f>AH17*AI17</f>
        <v>0</v>
      </c>
      <c r="AK17" s="10"/>
      <c r="AL17" s="10"/>
      <c r="AM17" s="10"/>
      <c r="AN17" s="10"/>
      <c r="AO17" s="10"/>
    </row>
    <row r="18" spans="1:41" ht="16" x14ac:dyDescent="0.2">
      <c r="A18" s="25">
        <v>9</v>
      </c>
      <c r="B18" s="78" t="str">
        <f t="shared" si="1"/>
        <v>Se</v>
      </c>
      <c r="C18" s="68">
        <v>42317</v>
      </c>
      <c r="D18" s="79"/>
      <c r="E18" s="79"/>
      <c r="F18" s="80"/>
      <c r="G18" s="80"/>
      <c r="H18" s="81" t="str">
        <f t="shared" si="2"/>
        <v/>
      </c>
      <c r="I18" s="212"/>
      <c r="J18" s="213"/>
      <c r="K18" s="214" t="str">
        <f>IF(M18*24&gt;=6,"1","")</f>
        <v/>
      </c>
      <c r="L18" s="215" t="str">
        <f>IF(D18="Maitre chien",H18+I18+J18,"")</f>
        <v/>
      </c>
      <c r="M18" s="193">
        <f>SUM(H18,I18,J18)</f>
        <v>0</v>
      </c>
      <c r="N18" s="82" t="str">
        <f>IF(OR($C18="",H18="",N$9=""),"",IF($F18&gt;$G18,MAX(,MIN(N$9,$G18+24/24)-MAX(N$8,$F18)),MAX(,MIN(N$9,$H18)-MAX(N$8,$F18))))</f>
        <v/>
      </c>
      <c r="O18" s="73" t="str">
        <f t="shared" si="3"/>
        <v/>
      </c>
      <c r="P18" s="83" t="str">
        <f t="shared" si="3"/>
        <v/>
      </c>
      <c r="Q18" s="84" t="str">
        <f t="shared" si="4"/>
        <v/>
      </c>
      <c r="R18" s="85" t="str">
        <f t="shared" si="5"/>
        <v/>
      </c>
      <c r="S18" s="83" t="str">
        <f t="shared" si="5"/>
        <v/>
      </c>
      <c r="T18" s="88">
        <f>SUMPRODUCT(($B$18="se")*($Z$18))</f>
        <v>0</v>
      </c>
      <c r="U18" s="103">
        <f>SUMPRODUCT(($B$18="se")*($AA$18))</f>
        <v>0</v>
      </c>
      <c r="V18" s="86">
        <f>(WEEKDAY($C18)=1)*($Z18)</f>
        <v>0</v>
      </c>
      <c r="W18" s="87">
        <f>(WEEKDAY($C18)=1)*($AA18)</f>
        <v>0</v>
      </c>
      <c r="X18" s="106">
        <f>SUMPRODUCT(($B$18="férié")*($Z$18))</f>
        <v>0</v>
      </c>
      <c r="Y18" s="103">
        <f>SUMPRODUCT(($B$18="férié")*($AA$18))</f>
        <v>0</v>
      </c>
      <c r="Z18" s="112">
        <f>SUM(I18,O18,R18)</f>
        <v>0</v>
      </c>
      <c r="AA18" s="113">
        <f>SUM(J18,N18,P18,Q18,S18)</f>
        <v>0</v>
      </c>
      <c r="AB18" s="119"/>
      <c r="AC18" s="13"/>
      <c r="AD18" s="259"/>
      <c r="AE18" s="260"/>
      <c r="AF18" s="10"/>
      <c r="AG18" s="195"/>
      <c r="AH18" s="196"/>
      <c r="AI18" s="223" t="s">
        <v>114</v>
      </c>
      <c r="AJ18" s="235">
        <f>SUM(AJ16:AJ17)</f>
        <v>10.290000000000001</v>
      </c>
      <c r="AK18" s="10"/>
      <c r="AL18" s="10"/>
      <c r="AM18" s="10"/>
      <c r="AN18" s="10"/>
      <c r="AO18" s="10"/>
    </row>
    <row r="19" spans="1:41" ht="16" x14ac:dyDescent="0.2">
      <c r="A19" s="25">
        <v>10</v>
      </c>
      <c r="B19" s="78" t="str">
        <f t="shared" si="1"/>
        <v>Se</v>
      </c>
      <c r="C19" s="68">
        <v>42318</v>
      </c>
      <c r="D19" s="79"/>
      <c r="E19" s="79"/>
      <c r="F19" s="80"/>
      <c r="G19" s="80"/>
      <c r="H19" s="81" t="str">
        <f t="shared" si="2"/>
        <v/>
      </c>
      <c r="I19" s="212"/>
      <c r="J19" s="213"/>
      <c r="K19" s="214" t="str">
        <f>IF(M19*24&gt;=6,"1","")</f>
        <v/>
      </c>
      <c r="L19" s="215" t="str">
        <f>IF(D19="Maitre chien",H19+I19+J19,"")</f>
        <v/>
      </c>
      <c r="M19" s="193">
        <f>SUM(H19,I19,J19)</f>
        <v>0</v>
      </c>
      <c r="N19" s="82" t="str">
        <f>IF(OR($C19="",H19="",N$9=""),"",IF($F19&gt;$G19,MAX(,MIN(N$9,$G19+24/24)-MAX(N$8,$F19)),MAX(,MIN(N$9,$H19)-MAX(N$8,$F19))))</f>
        <v/>
      </c>
      <c r="O19" s="73" t="str">
        <f t="shared" si="3"/>
        <v/>
      </c>
      <c r="P19" s="83" t="str">
        <f t="shared" si="3"/>
        <v/>
      </c>
      <c r="Q19" s="84" t="str">
        <f t="shared" si="4"/>
        <v/>
      </c>
      <c r="R19" s="85" t="str">
        <f t="shared" si="5"/>
        <v/>
      </c>
      <c r="S19" s="83" t="str">
        <f t="shared" si="5"/>
        <v/>
      </c>
      <c r="T19" s="88">
        <f>SUMPRODUCT(($B$19="se")*($Z$19))</f>
        <v>0</v>
      </c>
      <c r="U19" s="103">
        <f>SUMPRODUCT(($B$19="se")*($AA$19))</f>
        <v>0</v>
      </c>
      <c r="V19" s="86">
        <f>(WEEKDAY($C19)=1)*($Z19)</f>
        <v>0</v>
      </c>
      <c r="W19" s="87">
        <f>(WEEKDAY($C19)=1)*($AA19)</f>
        <v>0</v>
      </c>
      <c r="X19" s="106">
        <f>SUMPRODUCT(($B$19="férié")*($Z$19))</f>
        <v>0</v>
      </c>
      <c r="Y19" s="103">
        <f>SUMPRODUCT(($B$19="férié")*($AA$19))</f>
        <v>0</v>
      </c>
      <c r="Z19" s="112">
        <f>SUM(I19,O19,R19)</f>
        <v>0</v>
      </c>
      <c r="AA19" s="113">
        <f>SUM(J19,N19,P19,Q19,S19)</f>
        <v>0</v>
      </c>
      <c r="AB19" s="119"/>
      <c r="AC19" s="13"/>
      <c r="AD19" s="246" t="s">
        <v>112</v>
      </c>
      <c r="AE19" s="248">
        <f>SUMPRODUCT(($B$10:$B$42="dim")*($AA$10:$AA$42))</f>
        <v>0</v>
      </c>
      <c r="AF19" s="10"/>
      <c r="AG19" s="10"/>
      <c r="AH19" s="10"/>
      <c r="AI19" s="10"/>
      <c r="AJ19" s="10"/>
      <c r="AK19" s="10"/>
      <c r="AL19" s="10"/>
      <c r="AM19" s="10"/>
      <c r="AN19" s="10"/>
      <c r="AO19" s="10"/>
    </row>
    <row r="20" spans="1:41" ht="16" x14ac:dyDescent="0.2">
      <c r="A20" s="25">
        <v>11</v>
      </c>
      <c r="B20" s="78" t="str">
        <f t="shared" si="1"/>
        <v>Férié</v>
      </c>
      <c r="C20" s="68">
        <v>42319</v>
      </c>
      <c r="D20" s="79" t="s">
        <v>23</v>
      </c>
      <c r="E20" s="79" t="s">
        <v>91</v>
      </c>
      <c r="F20" s="80">
        <v>0.35416666666666702</v>
      </c>
      <c r="G20" s="80">
        <v>0.85416666666666696</v>
      </c>
      <c r="H20" s="81">
        <f t="shared" si="2"/>
        <v>0.49999999999999994</v>
      </c>
      <c r="I20" s="212"/>
      <c r="J20" s="213"/>
      <c r="K20" s="214" t="str">
        <f>IF(M20*24&gt;=6,"1","")</f>
        <v>1</v>
      </c>
      <c r="L20" s="215" t="str">
        <f>IF(D20="Maitre chien",H20+I20+J20,"")</f>
        <v/>
      </c>
      <c r="M20" s="193">
        <f>SUM(H20,I20,J20)</f>
        <v>0.49999999999999994</v>
      </c>
      <c r="N20" s="82">
        <f>IF(OR($C20="",H20="",N$9=""),"",IF($F20&gt;$G20,MAX(,MIN(N$9,$G20+24/24)-MAX(N$8,$F20)),MAX(,MIN(N$9,$H20)-MAX(N$8,$F20))))</f>
        <v>0</v>
      </c>
      <c r="O20" s="73">
        <f t="shared" si="3"/>
        <v>0.49999999999999994</v>
      </c>
      <c r="P20" s="83">
        <f t="shared" si="3"/>
        <v>0</v>
      </c>
      <c r="Q20" s="84" t="str">
        <f t="shared" si="4"/>
        <v/>
      </c>
      <c r="R20" s="85" t="str">
        <f t="shared" si="5"/>
        <v/>
      </c>
      <c r="S20" s="83" t="str">
        <f t="shared" si="5"/>
        <v/>
      </c>
      <c r="T20" s="88">
        <f>SUMPRODUCT(($B$20="se")*($Z$20))</f>
        <v>0</v>
      </c>
      <c r="U20" s="103">
        <f>SUMPRODUCT(($B$20="se")*($AA$20))</f>
        <v>0</v>
      </c>
      <c r="V20" s="86">
        <f>(WEEKDAY($C20)=1)*($Z20)</f>
        <v>0</v>
      </c>
      <c r="W20" s="87">
        <f>(WEEKDAY($C20)=1)*($AA20)</f>
        <v>0</v>
      </c>
      <c r="X20" s="106">
        <f>SUMPRODUCT(($B$20="férié")*($Z$20))</f>
        <v>0.49999999999999994</v>
      </c>
      <c r="Y20" s="103">
        <f>SUMPRODUCT(($B$20="férié")*($AA$20))</f>
        <v>0</v>
      </c>
      <c r="Z20" s="112">
        <f>SUM(I20,O20,R20)</f>
        <v>0.49999999999999994</v>
      </c>
      <c r="AA20" s="113">
        <f>SUM(J20,N20,P20,Q20,S20)</f>
        <v>0</v>
      </c>
      <c r="AB20" s="119"/>
      <c r="AC20" s="13"/>
      <c r="AD20" s="259"/>
      <c r="AE20" s="260"/>
      <c r="AF20" s="10"/>
      <c r="AG20" s="10"/>
      <c r="AH20" s="10"/>
      <c r="AI20" s="10"/>
      <c r="AJ20" s="10"/>
      <c r="AK20" s="10"/>
      <c r="AL20" s="10"/>
      <c r="AM20" s="10"/>
      <c r="AN20" s="10"/>
      <c r="AO20" s="10"/>
    </row>
    <row r="21" spans="1:41" ht="16" x14ac:dyDescent="0.2">
      <c r="A21" s="25">
        <v>12</v>
      </c>
      <c r="B21" s="78" t="str">
        <f t="shared" si="1"/>
        <v>Se</v>
      </c>
      <c r="C21" s="68">
        <v>42320</v>
      </c>
      <c r="D21" s="79"/>
      <c r="E21" s="79"/>
      <c r="F21" s="80"/>
      <c r="G21" s="80"/>
      <c r="H21" s="81" t="str">
        <f t="shared" si="2"/>
        <v/>
      </c>
      <c r="I21" s="212"/>
      <c r="J21" s="213"/>
      <c r="K21" s="214" t="str">
        <f>IF(M21*24&gt;=6,"1","")</f>
        <v/>
      </c>
      <c r="L21" s="215" t="str">
        <f>IF(D21="Maitre chien",H21+I21+J21,"")</f>
        <v/>
      </c>
      <c r="M21" s="193">
        <f>SUM(H21,I21,J21)</f>
        <v>0</v>
      </c>
      <c r="N21" s="82" t="str">
        <f>IF(OR($C21="",H21="",N$9=""),"",IF($F21&gt;$G21,MAX(,MIN(N$9,$G21+24/24)-MAX(N$8,$F21)),MAX(,MIN(N$9,$H21)-MAX(N$8,$F21))))</f>
        <v/>
      </c>
      <c r="O21" s="73" t="str">
        <f t="shared" si="3"/>
        <v/>
      </c>
      <c r="P21" s="83" t="str">
        <f t="shared" si="3"/>
        <v/>
      </c>
      <c r="Q21" s="84">
        <f t="shared" si="4"/>
        <v>0</v>
      </c>
      <c r="R21" s="85">
        <f t="shared" si="5"/>
        <v>0</v>
      </c>
      <c r="S21" s="83">
        <f t="shared" si="5"/>
        <v>0</v>
      </c>
      <c r="T21" s="88">
        <f>SUMPRODUCT(($B$21="se")*($Z$21))</f>
        <v>0</v>
      </c>
      <c r="U21" s="103">
        <f>SUMPRODUCT(($B$21="se")*($AA$21))</f>
        <v>0</v>
      </c>
      <c r="V21" s="86">
        <f>(WEEKDAY($C21)=1)*($Z21)</f>
        <v>0</v>
      </c>
      <c r="W21" s="87">
        <f>(WEEKDAY($C21)=1)*($AA21)</f>
        <v>0</v>
      </c>
      <c r="X21" s="106">
        <f>SUMPRODUCT(($B$21="férié")*($Z$21))</f>
        <v>0</v>
      </c>
      <c r="Y21" s="103">
        <f>SUMPRODUCT(($B$21="férié")*($AA$21))</f>
        <v>0</v>
      </c>
      <c r="Z21" s="112">
        <f>SUM(I21,O21,R21)</f>
        <v>0</v>
      </c>
      <c r="AA21" s="113">
        <f>SUM(J21,N21,P21,Q21,S21)</f>
        <v>0</v>
      </c>
      <c r="AB21" s="119"/>
      <c r="AC21" s="13"/>
      <c r="AD21" s="246" t="s">
        <v>3</v>
      </c>
      <c r="AE21" s="252">
        <f>SUMPRODUCT(($B$10:$B$42="férié")*($M$10:$M$42&gt;0))</f>
        <v>2</v>
      </c>
      <c r="AF21" s="10"/>
      <c r="AG21" s="10"/>
      <c r="AH21" s="10"/>
      <c r="AI21" s="10"/>
      <c r="AJ21" s="10"/>
      <c r="AK21" s="10"/>
      <c r="AL21" s="10"/>
      <c r="AM21" s="10"/>
      <c r="AN21" s="10"/>
      <c r="AO21" s="10"/>
    </row>
    <row r="22" spans="1:41" ht="16" x14ac:dyDescent="0.2">
      <c r="A22" s="25">
        <v>13</v>
      </c>
      <c r="B22" s="78" t="str">
        <f t="shared" si="1"/>
        <v>Se</v>
      </c>
      <c r="C22" s="68">
        <v>42321</v>
      </c>
      <c r="D22" s="79"/>
      <c r="E22" s="79"/>
      <c r="F22" s="80"/>
      <c r="G22" s="80"/>
      <c r="H22" s="81" t="str">
        <f t="shared" si="2"/>
        <v/>
      </c>
      <c r="I22" s="212"/>
      <c r="J22" s="213"/>
      <c r="K22" s="214" t="str">
        <f>IF(M22*24&gt;=6,"1","")</f>
        <v/>
      </c>
      <c r="L22" s="215" t="str">
        <f>IF(D22="Maitre chien",H22+I22+J22,"")</f>
        <v/>
      </c>
      <c r="M22" s="193">
        <f>SUM(H22,I22,J22)</f>
        <v>0</v>
      </c>
      <c r="N22" s="82" t="str">
        <f>IF(OR($C22="",H22="",N$9=""),"",IF($F22&gt;$G22,MAX(,MIN(N$9,$G22+24/24)-MAX(N$8,$F22)),MAX(,MIN(N$9,$H22)-MAX(N$8,$F22))))</f>
        <v/>
      </c>
      <c r="O22" s="73" t="str">
        <f t="shared" si="3"/>
        <v/>
      </c>
      <c r="P22" s="83" t="str">
        <f t="shared" si="3"/>
        <v/>
      </c>
      <c r="Q22" s="84" t="str">
        <f t="shared" si="4"/>
        <v/>
      </c>
      <c r="R22" s="85" t="str">
        <f t="shared" si="5"/>
        <v/>
      </c>
      <c r="S22" s="83" t="str">
        <f t="shared" si="5"/>
        <v/>
      </c>
      <c r="T22" s="88">
        <f>SUMPRODUCT(($B$22="se")*($Z$22))</f>
        <v>0</v>
      </c>
      <c r="U22" s="103">
        <f>SUMPRODUCT(($B$22="se")*($AA$22))</f>
        <v>0</v>
      </c>
      <c r="V22" s="86">
        <f>(WEEKDAY($C22)=1)*($Z22)</f>
        <v>0</v>
      </c>
      <c r="W22" s="87">
        <f>(WEEKDAY($C22)=1)*($AA22)</f>
        <v>0</v>
      </c>
      <c r="X22" s="106">
        <f>SUMPRODUCT(($B$22="férié")*($Z$22))</f>
        <v>0</v>
      </c>
      <c r="Y22" s="103">
        <f>SUMPRODUCT(($B$22="férié")*($AA$22))</f>
        <v>0</v>
      </c>
      <c r="Z22" s="112">
        <f>SUM(I22,O22,R22)</f>
        <v>0</v>
      </c>
      <c r="AA22" s="113">
        <f>SUM(J22,N22,P22,Q22,S22)</f>
        <v>0</v>
      </c>
      <c r="AB22" s="119"/>
      <c r="AC22" s="13"/>
      <c r="AD22" s="261"/>
      <c r="AE22" s="262"/>
      <c r="AF22" s="10"/>
      <c r="AG22" s="10"/>
      <c r="AH22" s="10"/>
      <c r="AI22" s="10"/>
      <c r="AJ22" s="10"/>
      <c r="AK22" s="10"/>
      <c r="AL22" s="10"/>
      <c r="AM22" s="10"/>
      <c r="AN22" s="10"/>
      <c r="AO22" s="10"/>
    </row>
    <row r="23" spans="1:41" ht="16" x14ac:dyDescent="0.2">
      <c r="A23" s="25">
        <v>14</v>
      </c>
      <c r="B23" s="78" t="str">
        <f t="shared" si="1"/>
        <v>Se</v>
      </c>
      <c r="C23" s="68">
        <v>42322</v>
      </c>
      <c r="D23" s="79"/>
      <c r="E23" s="79"/>
      <c r="F23" s="80"/>
      <c r="G23" s="80"/>
      <c r="H23" s="81" t="str">
        <f t="shared" si="2"/>
        <v/>
      </c>
      <c r="I23" s="212"/>
      <c r="J23" s="213"/>
      <c r="K23" s="214" t="str">
        <f>IF(M23*24&gt;=6,"1","")</f>
        <v/>
      </c>
      <c r="L23" s="215" t="str">
        <f>IF(D23="Maitre chien",H23+I23+J23,"")</f>
        <v/>
      </c>
      <c r="M23" s="193">
        <f>SUM(H23,I23,J23)</f>
        <v>0</v>
      </c>
      <c r="N23" s="82" t="str">
        <f>IF(OR($C23="",H23="",N$9=""),"",IF($F23&gt;$G23,MAX(,MIN(N$9,$G23+24/24)-MAX(N$8,$F23)),MAX(,MIN(N$9,$H23)-MAX(N$8,$F23))))</f>
        <v/>
      </c>
      <c r="O23" s="73" t="str">
        <f t="shared" si="3"/>
        <v/>
      </c>
      <c r="P23" s="83" t="str">
        <f t="shared" si="3"/>
        <v/>
      </c>
      <c r="Q23" s="84" t="str">
        <f t="shared" si="4"/>
        <v/>
      </c>
      <c r="R23" s="85" t="str">
        <f t="shared" si="5"/>
        <v/>
      </c>
      <c r="S23" s="83" t="str">
        <f t="shared" si="5"/>
        <v/>
      </c>
      <c r="T23" s="88">
        <f>SUMPRODUCT(($B$23="se")*($Z$23))</f>
        <v>0</v>
      </c>
      <c r="U23" s="103">
        <f>SUMPRODUCT(($B$23="se")*($AA$23))</f>
        <v>0</v>
      </c>
      <c r="V23" s="86">
        <f>(WEEKDAY($C23)=1)*($Z23)</f>
        <v>0</v>
      </c>
      <c r="W23" s="87">
        <f>(WEEKDAY($C23)=1)*($AA23)</f>
        <v>0</v>
      </c>
      <c r="X23" s="106">
        <f>SUMPRODUCT(($B$23="férié")*($Z$23))</f>
        <v>0</v>
      </c>
      <c r="Y23" s="103">
        <f>SUMPRODUCT(($B$23="férié")*($AA$23))</f>
        <v>0</v>
      </c>
      <c r="Z23" s="112">
        <f>SUM(I23,O23,R23)</f>
        <v>0</v>
      </c>
      <c r="AA23" s="113">
        <f>SUM(J23,N23,P23,Q23,S23)</f>
        <v>0</v>
      </c>
      <c r="AB23" s="119"/>
      <c r="AC23" s="13"/>
      <c r="AD23" s="246" t="s">
        <v>106</v>
      </c>
      <c r="AE23" s="248">
        <f>SUM(X7+Y7)</f>
        <v>0.99999999999999989</v>
      </c>
      <c r="AF23" s="10"/>
      <c r="AG23" s="141"/>
      <c r="AH23" s="141"/>
      <c r="AI23" s="141"/>
      <c r="AJ23" s="141"/>
      <c r="AK23" s="10"/>
      <c r="AL23" s="10"/>
      <c r="AM23" s="10"/>
      <c r="AN23" s="10"/>
      <c r="AO23" s="10"/>
    </row>
    <row r="24" spans="1:41" ht="16" x14ac:dyDescent="0.2">
      <c r="A24" s="25">
        <v>15</v>
      </c>
      <c r="B24" s="78" t="str">
        <f t="shared" si="1"/>
        <v>Dim</v>
      </c>
      <c r="C24" s="68">
        <v>42323</v>
      </c>
      <c r="D24" s="79" t="s">
        <v>23</v>
      </c>
      <c r="E24" s="79" t="s">
        <v>91</v>
      </c>
      <c r="F24" s="80">
        <v>0.35416666666666702</v>
      </c>
      <c r="G24" s="80">
        <v>0.85416666666666696</v>
      </c>
      <c r="H24" s="81">
        <f t="shared" si="2"/>
        <v>0.49999999999999994</v>
      </c>
      <c r="I24" s="212"/>
      <c r="J24" s="213"/>
      <c r="K24" s="214" t="str">
        <f>IF(M24*24&gt;=6,"1","")</f>
        <v>1</v>
      </c>
      <c r="L24" s="215" t="str">
        <f>IF(D24="Maitre chien",H24+I24+J24,"")</f>
        <v/>
      </c>
      <c r="M24" s="193">
        <f>SUM(H24,I24,J24)</f>
        <v>0.49999999999999994</v>
      </c>
      <c r="N24" s="82">
        <f>IF(OR($C24="",H24="",N$9=""),"",IF($F24&gt;$G24,MAX(,MIN(N$9,$G24+24/24)-MAX(N$8,$F24)),MAX(,MIN(N$9,$H24)-MAX(N$8,$F24))))</f>
        <v>0</v>
      </c>
      <c r="O24" s="73">
        <f t="shared" si="3"/>
        <v>0.49999999999999994</v>
      </c>
      <c r="P24" s="83">
        <f t="shared" si="3"/>
        <v>0</v>
      </c>
      <c r="Q24" s="84" t="str">
        <f t="shared" si="4"/>
        <v/>
      </c>
      <c r="R24" s="85" t="str">
        <f t="shared" si="5"/>
        <v/>
      </c>
      <c r="S24" s="83" t="str">
        <f t="shared" si="5"/>
        <v/>
      </c>
      <c r="T24" s="88">
        <f>SUMPRODUCT(($B$24="se")*($Z$24))</f>
        <v>0</v>
      </c>
      <c r="U24" s="103">
        <f>SUMPRODUCT(($B$24="se")*($AA$24))</f>
        <v>0</v>
      </c>
      <c r="V24" s="86">
        <f>(WEEKDAY($C24)=1)*($Z24)</f>
        <v>0.49999999999999994</v>
      </c>
      <c r="W24" s="87">
        <f>(WEEKDAY($C24)=1)*($AA24)</f>
        <v>0</v>
      </c>
      <c r="X24" s="106">
        <f>SUMPRODUCT(($B$24="férié")*($Z$24))</f>
        <v>0</v>
      </c>
      <c r="Y24" s="103">
        <f>SUMPRODUCT(($B$24="férié")*($AA$24))</f>
        <v>0</v>
      </c>
      <c r="Z24" s="112">
        <f>SUM(I24,O24,R24)</f>
        <v>0.49999999999999994</v>
      </c>
      <c r="AA24" s="113">
        <f>SUM(J24,N24,P24,Q24,S24)</f>
        <v>0</v>
      </c>
      <c r="AB24" s="119"/>
      <c r="AC24" s="13"/>
      <c r="AD24" s="259"/>
      <c r="AE24" s="260"/>
      <c r="AF24" s="10"/>
      <c r="AG24" s="13"/>
      <c r="AH24" s="129"/>
      <c r="AI24" s="129"/>
      <c r="AJ24" s="129"/>
      <c r="AK24" s="10"/>
      <c r="AL24" s="10"/>
      <c r="AM24" s="10"/>
      <c r="AN24" s="10"/>
      <c r="AO24" s="10"/>
    </row>
    <row r="25" spans="1:41" ht="16" x14ac:dyDescent="0.2">
      <c r="A25" s="25">
        <v>16</v>
      </c>
      <c r="B25" s="78" t="str">
        <f t="shared" si="1"/>
        <v>Se</v>
      </c>
      <c r="C25" s="68">
        <v>42324</v>
      </c>
      <c r="D25" s="79"/>
      <c r="E25" s="79"/>
      <c r="F25" s="80"/>
      <c r="G25" s="80"/>
      <c r="H25" s="81" t="str">
        <f t="shared" si="2"/>
        <v/>
      </c>
      <c r="I25" s="212"/>
      <c r="J25" s="213"/>
      <c r="K25" s="214" t="str">
        <f>IF(M25*24&gt;=6,"1","")</f>
        <v/>
      </c>
      <c r="L25" s="215" t="str">
        <f>IF(D25="Maitre chien",H25+I25+J25,"")</f>
        <v/>
      </c>
      <c r="M25" s="193">
        <f>SUM(H25,I25,J25)</f>
        <v>0</v>
      </c>
      <c r="N25" s="82" t="str">
        <f>IF(OR($C25="",H25="",N$9=""),"",IF($F25&gt;$G25,MAX(,MIN(N$9,$G25+24/24)-MAX(N$8,$F25)),MAX(,MIN(N$9,$H25)-MAX(N$8,$F25))))</f>
        <v/>
      </c>
      <c r="O25" s="73" t="str">
        <f t="shared" si="3"/>
        <v/>
      </c>
      <c r="P25" s="83" t="str">
        <f t="shared" si="3"/>
        <v/>
      </c>
      <c r="Q25" s="84">
        <f t="shared" si="4"/>
        <v>0</v>
      </c>
      <c r="R25" s="85">
        <f t="shared" si="5"/>
        <v>0</v>
      </c>
      <c r="S25" s="83">
        <f t="shared" si="5"/>
        <v>0</v>
      </c>
      <c r="T25" s="88">
        <f>SUMPRODUCT(($B$25="se")*($Z$25))</f>
        <v>0</v>
      </c>
      <c r="U25" s="103">
        <f>SUMPRODUCT(($B$25="se")*($AA$25))</f>
        <v>0</v>
      </c>
      <c r="V25" s="86">
        <f>(WEEKDAY($C25)=1)*($Z25)</f>
        <v>0</v>
      </c>
      <c r="W25" s="87">
        <f>(WEEKDAY($C25)=1)*($AA25)</f>
        <v>0</v>
      </c>
      <c r="X25" s="106">
        <f>SUMPRODUCT(($B$25="férié")*($Z$25))</f>
        <v>0</v>
      </c>
      <c r="Y25" s="103">
        <f>SUMPRODUCT(($B$25="férié")*($AA$25))</f>
        <v>0</v>
      </c>
      <c r="Z25" s="112">
        <f>SUM(I25,O25,R25)</f>
        <v>0</v>
      </c>
      <c r="AA25" s="113">
        <f>SUM(J25,N25,P25,Q25,S25)</f>
        <v>0</v>
      </c>
      <c r="AB25" s="119"/>
      <c r="AC25" s="13"/>
      <c r="AD25" s="246" t="s">
        <v>107</v>
      </c>
      <c r="AE25" s="248">
        <f>SUM(X9+Y9)</f>
        <v>2</v>
      </c>
      <c r="AF25" s="10"/>
      <c r="AG25" s="188"/>
      <c r="AH25" s="189"/>
      <c r="AI25" s="121"/>
      <c r="AJ25" s="121"/>
      <c r="AK25" s="10"/>
      <c r="AL25" s="10"/>
      <c r="AM25" s="10"/>
      <c r="AN25" s="10"/>
      <c r="AO25" s="10"/>
    </row>
    <row r="26" spans="1:41" ht="16" x14ac:dyDescent="0.2">
      <c r="A26" s="25">
        <v>17</v>
      </c>
      <c r="B26" s="78" t="str">
        <f t="shared" si="1"/>
        <v>Se</v>
      </c>
      <c r="C26" s="68">
        <v>42325</v>
      </c>
      <c r="D26" s="79"/>
      <c r="E26" s="79"/>
      <c r="F26" s="80"/>
      <c r="G26" s="80"/>
      <c r="H26" s="81" t="str">
        <f t="shared" si="2"/>
        <v/>
      </c>
      <c r="I26" s="212"/>
      <c r="J26" s="213"/>
      <c r="K26" s="214" t="str">
        <f>IF(M26*24&gt;=6,"1","")</f>
        <v/>
      </c>
      <c r="L26" s="215" t="str">
        <f>IF(D26="Maitre chien",H26+I26+J26,"")</f>
        <v/>
      </c>
      <c r="M26" s="193">
        <f>SUM(H26,I26,J26)</f>
        <v>0</v>
      </c>
      <c r="N26" s="82" t="str">
        <f>IF(OR($C26="",H26="",N$9=""),"",IF($F26&gt;$G26,MAX(,MIN(N$9,$G26+24/24)-MAX(N$8,$F26)),MAX(,MIN(N$9,$H26)-MAX(N$8,$F26))))</f>
        <v/>
      </c>
      <c r="O26" s="73" t="str">
        <f t="shared" si="3"/>
        <v/>
      </c>
      <c r="P26" s="83" t="str">
        <f t="shared" si="3"/>
        <v/>
      </c>
      <c r="Q26" s="84" t="str">
        <f t="shared" si="4"/>
        <v/>
      </c>
      <c r="R26" s="85" t="str">
        <f t="shared" si="5"/>
        <v/>
      </c>
      <c r="S26" s="83" t="str">
        <f t="shared" si="5"/>
        <v/>
      </c>
      <c r="T26" s="88">
        <f>SUMPRODUCT(($B$26="se")*($Z$26))</f>
        <v>0</v>
      </c>
      <c r="U26" s="103">
        <f>SUMPRODUCT(($B$26="se")*($AA$26))</f>
        <v>0</v>
      </c>
      <c r="V26" s="86">
        <f>(WEEKDAY($C26)=1)*($Z26)</f>
        <v>0</v>
      </c>
      <c r="W26" s="87">
        <f>(WEEKDAY($C26)=1)*($AA26)</f>
        <v>0</v>
      </c>
      <c r="X26" s="106">
        <f>SUMPRODUCT(($B$26="férié")*($Z$26))</f>
        <v>0</v>
      </c>
      <c r="Y26" s="103">
        <f>SUMPRODUCT(($B$26="férié")*($AA$26))</f>
        <v>0</v>
      </c>
      <c r="Z26" s="112">
        <f>SUM(I26,O26,R26)</f>
        <v>0</v>
      </c>
      <c r="AA26" s="113">
        <f>SUM(J26,N26,P26,Q26,S26)</f>
        <v>0</v>
      </c>
      <c r="AB26" s="119"/>
      <c r="AC26" s="13"/>
      <c r="AD26" s="259"/>
      <c r="AE26" s="260"/>
      <c r="AF26" s="10"/>
      <c r="AG26" s="188"/>
      <c r="AH26" s="189"/>
      <c r="AI26" s="121"/>
      <c r="AJ26" s="121"/>
      <c r="AK26" s="10"/>
      <c r="AL26" s="10"/>
      <c r="AM26" s="10"/>
      <c r="AN26" s="10"/>
      <c r="AO26" s="10"/>
    </row>
    <row r="27" spans="1:41" ht="16" x14ac:dyDescent="0.2">
      <c r="A27" s="25">
        <v>18</v>
      </c>
      <c r="B27" s="78" t="str">
        <f t="shared" si="1"/>
        <v>Se</v>
      </c>
      <c r="C27" s="68">
        <v>42326</v>
      </c>
      <c r="D27" s="79"/>
      <c r="E27" s="79"/>
      <c r="F27" s="80"/>
      <c r="G27" s="80"/>
      <c r="H27" s="81" t="str">
        <f t="shared" si="2"/>
        <v/>
      </c>
      <c r="I27" s="212"/>
      <c r="J27" s="213"/>
      <c r="K27" s="214" t="str">
        <f>IF(M27*24&gt;=6,"1","")</f>
        <v/>
      </c>
      <c r="L27" s="215" t="str">
        <f>IF(D27="Maitre chien",H27+I27+J27,"")</f>
        <v/>
      </c>
      <c r="M27" s="193">
        <f>SUM(H27,I27,J27)</f>
        <v>0</v>
      </c>
      <c r="N27" s="82" t="str">
        <f>IF(OR($C27="",H27="",N$9=""),"",IF($F27&gt;$G27,MAX(,MIN(N$9,$G27+24/24)-MAX(N$8,$F27)),MAX(,MIN(N$9,$H27)-MAX(N$8,$F27))))</f>
        <v/>
      </c>
      <c r="O27" s="73" t="str">
        <f t="shared" si="3"/>
        <v/>
      </c>
      <c r="P27" s="83" t="str">
        <f t="shared" si="3"/>
        <v/>
      </c>
      <c r="Q27" s="84" t="str">
        <f t="shared" si="4"/>
        <v/>
      </c>
      <c r="R27" s="85" t="str">
        <f t="shared" si="5"/>
        <v/>
      </c>
      <c r="S27" s="83" t="str">
        <f t="shared" si="5"/>
        <v/>
      </c>
      <c r="T27" s="88">
        <f>SUMPRODUCT(($B$27="se")*($Z$27))</f>
        <v>0</v>
      </c>
      <c r="U27" s="103">
        <f>SUMPRODUCT(($B$27="se")*($AA$27))</f>
        <v>0</v>
      </c>
      <c r="V27" s="86">
        <f>(WEEKDAY($C27)=1)*($Z27)</f>
        <v>0</v>
      </c>
      <c r="W27" s="87">
        <f>(WEEKDAY($C27)=1)*($AA27)</f>
        <v>0</v>
      </c>
      <c r="X27" s="106">
        <f>SUMPRODUCT(($B$27="férié")*($Z$27))</f>
        <v>0</v>
      </c>
      <c r="Y27" s="103">
        <f>SUMPRODUCT(($B$27="férié")*($AA$27))</f>
        <v>0</v>
      </c>
      <c r="Z27" s="112">
        <f>SUM(I27,O27,R27)</f>
        <v>0</v>
      </c>
      <c r="AA27" s="113">
        <f>SUM(J27,N27,P27,Q27,S27)</f>
        <v>0</v>
      </c>
      <c r="AB27" s="119"/>
      <c r="AC27" s="13"/>
      <c r="AD27" s="246" t="s">
        <v>108</v>
      </c>
      <c r="AE27" s="248">
        <f>SUM(X11+Y11)</f>
        <v>0</v>
      </c>
      <c r="AF27" s="10"/>
      <c r="AG27" s="188"/>
      <c r="AH27" s="189"/>
      <c r="AI27" s="121"/>
      <c r="AJ27" s="121"/>
      <c r="AK27" s="10"/>
      <c r="AL27" s="10"/>
      <c r="AM27" s="10"/>
      <c r="AN27" s="10"/>
      <c r="AO27" s="10"/>
    </row>
    <row r="28" spans="1:41" ht="16" x14ac:dyDescent="0.2">
      <c r="A28" s="25">
        <v>19</v>
      </c>
      <c r="B28" s="78" t="str">
        <f t="shared" si="1"/>
        <v>Se</v>
      </c>
      <c r="C28" s="68">
        <v>42327</v>
      </c>
      <c r="D28" s="79"/>
      <c r="E28" s="79"/>
      <c r="F28" s="80"/>
      <c r="G28" s="80"/>
      <c r="H28" s="81" t="str">
        <f t="shared" si="2"/>
        <v/>
      </c>
      <c r="I28" s="212"/>
      <c r="J28" s="213"/>
      <c r="K28" s="214" t="str">
        <f>IF(M28*24&gt;=6,"1","")</f>
        <v/>
      </c>
      <c r="L28" s="215" t="str">
        <f>IF(D28="Maitre chien",H28+I28+J28,"")</f>
        <v/>
      </c>
      <c r="M28" s="193">
        <f>SUM(H28,I28,J28)</f>
        <v>0</v>
      </c>
      <c r="N28" s="82" t="str">
        <f>IF(OR($C28="",H28="",N$9=""),"",IF($F28&gt;$G28,MAX(,MIN(N$9,$G28+24/24)-MAX(N$8,$F28)),MAX(,MIN(N$9,$H28)-MAX(N$8,$F28))))</f>
        <v/>
      </c>
      <c r="O28" s="73" t="str">
        <f t="shared" si="3"/>
        <v/>
      </c>
      <c r="P28" s="83" t="str">
        <f t="shared" si="3"/>
        <v/>
      </c>
      <c r="Q28" s="84" t="str">
        <f t="shared" si="4"/>
        <v/>
      </c>
      <c r="R28" s="85" t="str">
        <f t="shared" ref="R28:S42" si="6">IF(OR(Q28="",R$9=""),"",IF($F27&gt;$G27,MAX(,MIN(R$9,$G27+24/24)-MAX(R$8,$F27)),MAX(,MIN(R$9,$G27)-MAX(R$8,$F27))))</f>
        <v/>
      </c>
      <c r="S28" s="83" t="str">
        <f t="shared" si="6"/>
        <v/>
      </c>
      <c r="T28" s="88">
        <f>SUMPRODUCT(($B$28="se")*($Z$28))</f>
        <v>0</v>
      </c>
      <c r="U28" s="103">
        <f>SUMPRODUCT(($B$28="se")*($AA$28))</f>
        <v>0</v>
      </c>
      <c r="V28" s="86">
        <f>(WEEKDAY($C28)=1)*($Z28)</f>
        <v>0</v>
      </c>
      <c r="W28" s="87">
        <f>(WEEKDAY($C28)=1)*($AA28)</f>
        <v>0</v>
      </c>
      <c r="X28" s="106">
        <f>SUMPRODUCT(($B$28="férié")*($Z$28))</f>
        <v>0</v>
      </c>
      <c r="Y28" s="103">
        <f>SUMPRODUCT(($B$28="férié")*($AA$28))</f>
        <v>0</v>
      </c>
      <c r="Z28" s="112">
        <f>SUM(I28,O28,R28)</f>
        <v>0</v>
      </c>
      <c r="AA28" s="113">
        <f>SUM(J28,N28,P28,Q28,S28)</f>
        <v>0</v>
      </c>
      <c r="AB28" s="119"/>
      <c r="AC28" s="13"/>
      <c r="AD28" s="259"/>
      <c r="AE28" s="260"/>
      <c r="AF28" s="10"/>
      <c r="AG28" s="188"/>
      <c r="AH28" s="190"/>
      <c r="AI28" s="121"/>
      <c r="AJ28" s="121"/>
      <c r="AK28" s="10"/>
      <c r="AL28" s="10"/>
      <c r="AM28" s="10"/>
      <c r="AN28" s="10"/>
      <c r="AO28" s="10"/>
    </row>
    <row r="29" spans="1:41" ht="16" x14ac:dyDescent="0.2">
      <c r="A29" s="25">
        <v>20</v>
      </c>
      <c r="B29" s="78" t="str">
        <f t="shared" si="1"/>
        <v>Se</v>
      </c>
      <c r="C29" s="68">
        <v>42328</v>
      </c>
      <c r="D29" s="79"/>
      <c r="E29" s="79"/>
      <c r="F29" s="80"/>
      <c r="G29" s="80"/>
      <c r="H29" s="81" t="str">
        <f t="shared" si="2"/>
        <v/>
      </c>
      <c r="I29" s="212"/>
      <c r="J29" s="213"/>
      <c r="K29" s="214" t="str">
        <f>IF(M29*24&gt;=6,"1","")</f>
        <v/>
      </c>
      <c r="L29" s="215" t="str">
        <f>IF(D29="Maitre chien",H29+I29+J29,"")</f>
        <v/>
      </c>
      <c r="M29" s="193">
        <f>SUM(H29,I29,J29)</f>
        <v>0</v>
      </c>
      <c r="N29" s="82" t="str">
        <f>IF(OR($C29="",H29="",N$9=""),"",IF($F29&gt;$G29,MAX(,MIN(N$9,$G29+24/24)-MAX(N$8,$F29)),MAX(,MIN(N$9,$H29)-MAX(N$8,$F29))))</f>
        <v/>
      </c>
      <c r="O29" s="73" t="str">
        <f t="shared" si="3"/>
        <v/>
      </c>
      <c r="P29" s="83" t="str">
        <f t="shared" si="3"/>
        <v/>
      </c>
      <c r="Q29" s="84" t="str">
        <f t="shared" si="4"/>
        <v/>
      </c>
      <c r="R29" s="85" t="str">
        <f t="shared" si="6"/>
        <v/>
      </c>
      <c r="S29" s="83" t="str">
        <f t="shared" si="6"/>
        <v/>
      </c>
      <c r="T29" s="88">
        <f>SUMPRODUCT(($B$29="se")*($Z$29))</f>
        <v>0</v>
      </c>
      <c r="U29" s="103">
        <f>SUMPRODUCT(($B$29="se")*($AA$29))</f>
        <v>0</v>
      </c>
      <c r="V29" s="86">
        <f>(WEEKDAY($C29)=1)*($Z29)</f>
        <v>0</v>
      </c>
      <c r="W29" s="87">
        <f>(WEEKDAY($C29)=1)*($AA29)</f>
        <v>0</v>
      </c>
      <c r="X29" s="106">
        <f>SUMPRODUCT(($B$29="férié")*($Z$29))</f>
        <v>0</v>
      </c>
      <c r="Y29" s="103">
        <f>SUMPRODUCT(($B$29="férié")*($AA$29))</f>
        <v>0</v>
      </c>
      <c r="Z29" s="112">
        <f>SUM(I29,O29,R29)</f>
        <v>0</v>
      </c>
      <c r="AA29" s="113">
        <f>SUM(J29,N29,P29,Q29,S29)</f>
        <v>0</v>
      </c>
      <c r="AB29" s="119"/>
      <c r="AC29" s="13"/>
      <c r="AD29" s="249" t="s">
        <v>100</v>
      </c>
      <c r="AE29" s="253">
        <f>SUM(I10:I42,J10:J42)</f>
        <v>0</v>
      </c>
      <c r="AF29" s="10"/>
      <c r="AG29" s="188"/>
      <c r="AH29" s="189"/>
      <c r="AI29" s="121"/>
      <c r="AJ29" s="121"/>
      <c r="AK29" s="10"/>
      <c r="AL29" s="10"/>
      <c r="AM29" s="10"/>
      <c r="AN29" s="10"/>
      <c r="AO29" s="10"/>
    </row>
    <row r="30" spans="1:41" ht="16" x14ac:dyDescent="0.2">
      <c r="A30" s="25">
        <v>21</v>
      </c>
      <c r="B30" s="78" t="str">
        <f t="shared" si="1"/>
        <v/>
      </c>
      <c r="C30" s="68"/>
      <c r="D30" s="79"/>
      <c r="E30" s="79"/>
      <c r="F30" s="80"/>
      <c r="G30" s="80"/>
      <c r="H30" s="81" t="str">
        <f t="shared" si="2"/>
        <v/>
      </c>
      <c r="I30" s="212"/>
      <c r="J30" s="213"/>
      <c r="K30" s="214" t="str">
        <f>IF(M30*24&gt;=6,"1","")</f>
        <v/>
      </c>
      <c r="L30" s="215" t="str">
        <f>IF(D30="Maitre chien",H30+I30+J30,"")</f>
        <v/>
      </c>
      <c r="M30" s="193">
        <f>SUM(H30,I30,J30)</f>
        <v>0</v>
      </c>
      <c r="N30" s="82" t="str">
        <f>IF(OR($C30="",H30="",N$9=""),"",IF($F30&gt;$G30,MAX(,MIN(N$9,$G30+24/24)-MAX(N$8,$F30)),MAX(,MIN(N$9,$H30)-MAX(N$8,$F30))))</f>
        <v/>
      </c>
      <c r="O30" s="73" t="str">
        <f t="shared" ref="O30:P42" si="7">IF(OR($C30="",N30="",O$9=""),"",IF($F30&gt;$G30,MAX(,MIN(O$9,$G30+24/24)-MAX(O$8,$F30)),MAX(,MIN(O$9,$G30)-MAX(O$8,$F30))))</f>
        <v/>
      </c>
      <c r="P30" s="83" t="str">
        <f t="shared" si="7"/>
        <v/>
      </c>
      <c r="Q30" s="84" t="str">
        <f t="shared" si="4"/>
        <v/>
      </c>
      <c r="R30" s="85" t="str">
        <f t="shared" si="6"/>
        <v/>
      </c>
      <c r="S30" s="83" t="str">
        <f t="shared" si="6"/>
        <v/>
      </c>
      <c r="T30" s="88">
        <f>SUMPRODUCT(($B$30="se")*($Z$30))</f>
        <v>0</v>
      </c>
      <c r="U30" s="103">
        <f>SUMPRODUCT(($B$30="se")*($AA$30))</f>
        <v>0</v>
      </c>
      <c r="V30" s="86">
        <f>(WEEKDAY($C30)=1)*($Z30)</f>
        <v>0</v>
      </c>
      <c r="W30" s="87">
        <f>(WEEKDAY($C30)=1)*($AA30)</f>
        <v>0</v>
      </c>
      <c r="X30" s="106">
        <f>SUMPRODUCT(($B$30="férié")*($Z$30))</f>
        <v>0</v>
      </c>
      <c r="Y30" s="103">
        <f>SUMPRODUCT(($B$30="férié")*($AA$30))</f>
        <v>0</v>
      </c>
      <c r="Z30" s="112">
        <f>SUM(I30,O30,R30)</f>
        <v>0</v>
      </c>
      <c r="AA30" s="113">
        <f>SUM(J30,N30,P30,Q30,S30)</f>
        <v>0</v>
      </c>
      <c r="AB30" s="119"/>
      <c r="AC30" s="128"/>
      <c r="AD30" s="263"/>
      <c r="AE30" s="264"/>
      <c r="AF30" s="10"/>
      <c r="AG30" s="191"/>
      <c r="AH30" s="121"/>
      <c r="AI30" s="121"/>
      <c r="AJ30" s="121"/>
      <c r="AK30" s="10"/>
      <c r="AL30" s="10"/>
      <c r="AM30" s="10"/>
      <c r="AN30" s="10"/>
      <c r="AO30" s="10"/>
    </row>
    <row r="31" spans="1:41" ht="16" x14ac:dyDescent="0.2">
      <c r="A31" s="25">
        <v>22</v>
      </c>
      <c r="B31" s="78" t="str">
        <f t="shared" si="1"/>
        <v/>
      </c>
      <c r="C31" s="68"/>
      <c r="D31" s="79"/>
      <c r="E31" s="79"/>
      <c r="F31" s="80"/>
      <c r="G31" s="80"/>
      <c r="H31" s="81" t="str">
        <f t="shared" si="2"/>
        <v/>
      </c>
      <c r="I31" s="212"/>
      <c r="J31" s="213"/>
      <c r="K31" s="214" t="str">
        <f>IF(M31*24&gt;=6,"1","")</f>
        <v/>
      </c>
      <c r="L31" s="215" t="str">
        <f>IF(D31="Maitre chien",H31+I31+J31,"")</f>
        <v/>
      </c>
      <c r="M31" s="193">
        <f>SUM(H31,I31,J31)</f>
        <v>0</v>
      </c>
      <c r="N31" s="82" t="str">
        <f>IF(OR($C31="",H31="",N$9=""),"",IF($F31&gt;$G31,MAX(,MIN(N$9,$G31+24/24)-MAX(N$8,$F31)),MAX(,MIN(N$9,$H31)-MAX(N$8,$F31))))</f>
        <v/>
      </c>
      <c r="O31" s="73" t="str">
        <f t="shared" si="7"/>
        <v/>
      </c>
      <c r="P31" s="83" t="str">
        <f t="shared" si="7"/>
        <v/>
      </c>
      <c r="Q31" s="84" t="str">
        <f t="shared" si="4"/>
        <v/>
      </c>
      <c r="R31" s="85" t="str">
        <f t="shared" si="6"/>
        <v/>
      </c>
      <c r="S31" s="83" t="str">
        <f t="shared" si="6"/>
        <v/>
      </c>
      <c r="T31" s="88">
        <f>SUMPRODUCT(($B$31="se")*($Z$31))</f>
        <v>0</v>
      </c>
      <c r="U31" s="103">
        <f>SUMPRODUCT(($B$31="se")*($AA$31))</f>
        <v>0</v>
      </c>
      <c r="V31" s="86">
        <f>(WEEKDAY($C31)=1)*($Z31)</f>
        <v>0</v>
      </c>
      <c r="W31" s="87">
        <f>(WEEKDAY($C31)=1)*($AA31)</f>
        <v>0</v>
      </c>
      <c r="X31" s="106">
        <f>SUMPRODUCT(($B$31="férié")*($Z$31))</f>
        <v>0</v>
      </c>
      <c r="Y31" s="103">
        <f>SUMPRODUCT(($B$31="férié")*($AA$31))</f>
        <v>0</v>
      </c>
      <c r="Z31" s="112">
        <f>SUM(I31,O31,R31)</f>
        <v>0</v>
      </c>
      <c r="AA31" s="113">
        <f>SUM(J31,N31,P31,Q31,S31)</f>
        <v>0</v>
      </c>
      <c r="AB31" s="119"/>
      <c r="AC31" s="13"/>
      <c r="AD31" s="249" t="s">
        <v>101</v>
      </c>
      <c r="AE31" s="253">
        <f>SUM(I10:I42)</f>
        <v>0</v>
      </c>
      <c r="AF31" s="10"/>
      <c r="AG31" s="191"/>
      <c r="AH31" s="121"/>
      <c r="AI31" s="121"/>
      <c r="AJ31" s="121"/>
      <c r="AK31" s="10"/>
      <c r="AL31" s="10"/>
      <c r="AM31" s="10"/>
      <c r="AN31" s="10"/>
      <c r="AO31" s="10"/>
    </row>
    <row r="32" spans="1:41" ht="16" x14ac:dyDescent="0.2">
      <c r="A32" s="25">
        <v>23</v>
      </c>
      <c r="B32" s="78" t="str">
        <f t="shared" si="1"/>
        <v/>
      </c>
      <c r="C32" s="68"/>
      <c r="D32" s="79"/>
      <c r="E32" s="79"/>
      <c r="F32" s="80"/>
      <c r="G32" s="80"/>
      <c r="H32" s="81" t="str">
        <f t="shared" si="2"/>
        <v/>
      </c>
      <c r="I32" s="212"/>
      <c r="J32" s="213"/>
      <c r="K32" s="214" t="str">
        <f>IF(M32*24&gt;=6,"1","")</f>
        <v/>
      </c>
      <c r="L32" s="215" t="str">
        <f>IF(D32="Maitre chien",H32+I32+J32,"")</f>
        <v/>
      </c>
      <c r="M32" s="193">
        <f>SUM(H32,I32,J32)</f>
        <v>0</v>
      </c>
      <c r="N32" s="82" t="str">
        <f>IF(OR($C32="",H32="",N$9=""),"",IF($F32&gt;$G32,MAX(,MIN(N$9,$G32+24/24)-MAX(N$8,$F32)),MAX(,MIN(N$9,$H32)-MAX(N$8,$F32))))</f>
        <v/>
      </c>
      <c r="O32" s="73" t="str">
        <f t="shared" si="7"/>
        <v/>
      </c>
      <c r="P32" s="83" t="str">
        <f t="shared" si="7"/>
        <v/>
      </c>
      <c r="Q32" s="84" t="str">
        <f t="shared" si="4"/>
        <v/>
      </c>
      <c r="R32" s="85" t="str">
        <f t="shared" si="6"/>
        <v/>
      </c>
      <c r="S32" s="83" t="str">
        <f t="shared" si="6"/>
        <v/>
      </c>
      <c r="T32" s="88">
        <f>SUMPRODUCT(($B$32="se")*($Z$32))</f>
        <v>0</v>
      </c>
      <c r="U32" s="103">
        <f>SUMPRODUCT(($B$32="se")*($AA$32))</f>
        <v>0</v>
      </c>
      <c r="V32" s="86">
        <f>(WEEKDAY($C32)=1)*($Z32)</f>
        <v>0</v>
      </c>
      <c r="W32" s="87">
        <f>(WEEKDAY($C32)=1)*($AA32)</f>
        <v>0</v>
      </c>
      <c r="X32" s="106">
        <f>SUMPRODUCT(($B$32="férié")*($Z$32))</f>
        <v>0</v>
      </c>
      <c r="Y32" s="103">
        <f>SUMPRODUCT(($B$32="férié")*($AA$32))</f>
        <v>0</v>
      </c>
      <c r="Z32" s="112">
        <f>SUM(I32,O32,R32)</f>
        <v>0</v>
      </c>
      <c r="AA32" s="113">
        <f>SUM(J32,N32,P32,Q32,S32)</f>
        <v>0</v>
      </c>
      <c r="AB32" s="119"/>
      <c r="AC32" s="128"/>
      <c r="AD32" s="263"/>
      <c r="AE32" s="264"/>
      <c r="AF32" s="10"/>
      <c r="AG32" s="10"/>
      <c r="AH32" s="10"/>
      <c r="AI32" s="10"/>
      <c r="AJ32" s="10"/>
      <c r="AK32" s="10"/>
      <c r="AL32" s="10"/>
      <c r="AM32" s="10"/>
      <c r="AN32" s="10"/>
      <c r="AO32" s="10"/>
    </row>
    <row r="33" spans="1:41" ht="16" x14ac:dyDescent="0.2">
      <c r="A33" s="25">
        <v>24</v>
      </c>
      <c r="B33" s="78" t="str">
        <f t="shared" si="1"/>
        <v/>
      </c>
      <c r="C33" s="68"/>
      <c r="D33" s="79"/>
      <c r="E33" s="79"/>
      <c r="F33" s="80"/>
      <c r="G33" s="80"/>
      <c r="H33" s="81" t="str">
        <f t="shared" si="2"/>
        <v/>
      </c>
      <c r="I33" s="212"/>
      <c r="J33" s="213"/>
      <c r="K33" s="214" t="str">
        <f>IF(M33*24&gt;=6,"1","")</f>
        <v/>
      </c>
      <c r="L33" s="215" t="str">
        <f>IF(D33="Maitre chien",H33+I33+J33,"")</f>
        <v/>
      </c>
      <c r="M33" s="193">
        <f>SUM(H33,I33,J33)</f>
        <v>0</v>
      </c>
      <c r="N33" s="82" t="str">
        <f>IF(OR($C33="",H33="",N$9=""),"",IF($F33&gt;$G33,MAX(,MIN(N$9,$G33+24/24)-MAX(N$8,$F33)),MAX(,MIN(N$9,$H33)-MAX(N$8,$F33))))</f>
        <v/>
      </c>
      <c r="O33" s="73" t="str">
        <f t="shared" si="7"/>
        <v/>
      </c>
      <c r="P33" s="83" t="str">
        <f t="shared" si="7"/>
        <v/>
      </c>
      <c r="Q33" s="84" t="str">
        <f t="shared" si="4"/>
        <v/>
      </c>
      <c r="R33" s="85" t="str">
        <f t="shared" si="6"/>
        <v/>
      </c>
      <c r="S33" s="83" t="str">
        <f t="shared" si="6"/>
        <v/>
      </c>
      <c r="T33" s="88">
        <f>SUMPRODUCT(($B$33="se")*($Z$33))</f>
        <v>0</v>
      </c>
      <c r="U33" s="103">
        <f>SUMPRODUCT(($B$33="se")*($AA$33))</f>
        <v>0</v>
      </c>
      <c r="V33" s="86">
        <f>(WEEKDAY($C33)=1)*($Z33)</f>
        <v>0</v>
      </c>
      <c r="W33" s="87">
        <f>(WEEKDAY($C33)=1)*($AA33)</f>
        <v>0</v>
      </c>
      <c r="X33" s="106">
        <f>SUMPRODUCT(($B$33="férié")*($Z$33))</f>
        <v>0</v>
      </c>
      <c r="Y33" s="103">
        <f>SUMPRODUCT(($B$33="férié")*($AA$33))</f>
        <v>0</v>
      </c>
      <c r="Z33" s="112">
        <f>SUM(I33,O33,R33)</f>
        <v>0</v>
      </c>
      <c r="AA33" s="113">
        <f>SUM(J33,N33,P33,Q33,S33)</f>
        <v>0</v>
      </c>
      <c r="AB33" s="119"/>
      <c r="AC33" s="128"/>
      <c r="AD33" s="246" t="s">
        <v>102</v>
      </c>
      <c r="AE33" s="254">
        <f>SUM(J10:J42)</f>
        <v>0</v>
      </c>
      <c r="AF33" s="10"/>
      <c r="AG33" s="10"/>
      <c r="AH33" s="10"/>
      <c r="AI33" s="10"/>
      <c r="AJ33" s="10"/>
      <c r="AK33" s="10"/>
      <c r="AL33" s="10"/>
      <c r="AM33" s="10"/>
      <c r="AN33" s="10"/>
      <c r="AO33" s="10"/>
    </row>
    <row r="34" spans="1:41" ht="16" x14ac:dyDescent="0.2">
      <c r="A34" s="25">
        <v>25</v>
      </c>
      <c r="B34" s="78" t="str">
        <f t="shared" si="1"/>
        <v/>
      </c>
      <c r="C34" s="68"/>
      <c r="D34" s="79"/>
      <c r="E34" s="79"/>
      <c r="F34" s="80"/>
      <c r="G34" s="80"/>
      <c r="H34" s="81" t="str">
        <f t="shared" si="2"/>
        <v/>
      </c>
      <c r="I34" s="212"/>
      <c r="J34" s="213"/>
      <c r="K34" s="214" t="str">
        <f>IF(M34*24&gt;=6,"1","")</f>
        <v/>
      </c>
      <c r="L34" s="215" t="str">
        <f>IF(D34="Maitre chien",H34+I34+J34,"")</f>
        <v/>
      </c>
      <c r="M34" s="193">
        <f>SUM(H34,I34,J34)</f>
        <v>0</v>
      </c>
      <c r="N34" s="82" t="str">
        <f>IF(OR($C34="",H34="",N$9=""),"",IF($F34&gt;$G34,MAX(,MIN(N$9,$G34+24/24)-MAX(N$8,$F34)),MAX(,MIN(N$9,$H34)-MAX(N$8,$F34))))</f>
        <v/>
      </c>
      <c r="O34" s="73" t="str">
        <f t="shared" si="7"/>
        <v/>
      </c>
      <c r="P34" s="83" t="str">
        <f t="shared" si="7"/>
        <v/>
      </c>
      <c r="Q34" s="84" t="str">
        <f t="shared" si="4"/>
        <v/>
      </c>
      <c r="R34" s="85" t="str">
        <f t="shared" si="6"/>
        <v/>
      </c>
      <c r="S34" s="83" t="str">
        <f t="shared" si="6"/>
        <v/>
      </c>
      <c r="T34" s="88">
        <f>SUMPRODUCT(($B$34="se")*($Z$34))</f>
        <v>0</v>
      </c>
      <c r="U34" s="103">
        <f>SUMPRODUCT(($B$34="se")*($AA$34))</f>
        <v>0</v>
      </c>
      <c r="V34" s="86">
        <f>(WEEKDAY($C34)=1)*($Z34)</f>
        <v>0</v>
      </c>
      <c r="W34" s="87">
        <f>(WEEKDAY($C34)=1)*($AA34)</f>
        <v>0</v>
      </c>
      <c r="X34" s="106">
        <f>SUMPRODUCT(($B$34="férié")*($Z$34))</f>
        <v>0</v>
      </c>
      <c r="Y34" s="103">
        <f>SUMPRODUCT(($B$34="férié")*($AA$34))</f>
        <v>0</v>
      </c>
      <c r="Z34" s="112">
        <f>SUM(I34,O34,R34)</f>
        <v>0</v>
      </c>
      <c r="AA34" s="113">
        <f>SUM(J34,N34,P34,Q34,S34)</f>
        <v>0</v>
      </c>
      <c r="AB34" s="119"/>
      <c r="AC34" s="128"/>
      <c r="AD34" s="259"/>
      <c r="AE34" s="260"/>
      <c r="AF34" s="10"/>
      <c r="AG34" s="10"/>
      <c r="AH34" s="10"/>
      <c r="AI34" s="10"/>
      <c r="AJ34" s="10"/>
      <c r="AK34" s="10"/>
      <c r="AL34" s="10"/>
      <c r="AM34" s="10"/>
      <c r="AN34" s="10"/>
      <c r="AO34" s="10"/>
    </row>
    <row r="35" spans="1:41" ht="16" x14ac:dyDescent="0.2">
      <c r="A35" s="25">
        <v>26</v>
      </c>
      <c r="B35" s="78" t="str">
        <f t="shared" si="1"/>
        <v/>
      </c>
      <c r="C35" s="68"/>
      <c r="D35" s="79"/>
      <c r="E35" s="79"/>
      <c r="F35" s="80"/>
      <c r="G35" s="80"/>
      <c r="H35" s="81" t="str">
        <f t="shared" si="2"/>
        <v/>
      </c>
      <c r="I35" s="212"/>
      <c r="J35" s="213"/>
      <c r="K35" s="214" t="str">
        <f>IF(M35*24&gt;=6,"1","")</f>
        <v/>
      </c>
      <c r="L35" s="215" t="str">
        <f>IF(D35="Maitre chien",H35+I35+J35,"")</f>
        <v/>
      </c>
      <c r="M35" s="193">
        <f>SUM(H35,I35,J35)</f>
        <v>0</v>
      </c>
      <c r="N35" s="82" t="str">
        <f>IF(OR($C35="",H35="",N$9=""),"",IF($F35&gt;$G35,MAX(,MIN(N$9,$G35+24/24)-MAX(N$8,$F35)),MAX(,MIN(N$9,$H35)-MAX(N$8,$F35))))</f>
        <v/>
      </c>
      <c r="O35" s="73" t="str">
        <f t="shared" si="7"/>
        <v/>
      </c>
      <c r="P35" s="83" t="str">
        <f t="shared" si="7"/>
        <v/>
      </c>
      <c r="Q35" s="84" t="str">
        <f t="shared" si="4"/>
        <v/>
      </c>
      <c r="R35" s="85" t="str">
        <f t="shared" si="6"/>
        <v/>
      </c>
      <c r="S35" s="83" t="str">
        <f t="shared" si="6"/>
        <v/>
      </c>
      <c r="T35" s="88">
        <f>SUMPRODUCT(($B$35="se")*($Z$35))</f>
        <v>0</v>
      </c>
      <c r="U35" s="103">
        <f>SUMPRODUCT(($B$35="se")*($AA$35))</f>
        <v>0</v>
      </c>
      <c r="V35" s="86">
        <f>(WEEKDAY($C35)=1)*($Z35)</f>
        <v>0</v>
      </c>
      <c r="W35" s="87">
        <f>(WEEKDAY($C35)=1)*($AA35)</f>
        <v>0</v>
      </c>
      <c r="X35" s="106">
        <f>SUMPRODUCT(($B$35="férié")*($Z$35))</f>
        <v>0</v>
      </c>
      <c r="Y35" s="103">
        <f>SUMPRODUCT(($B$35="férié")*($AA$35))</f>
        <v>0</v>
      </c>
      <c r="Z35" s="112">
        <f>SUM(I35,O35,R35)</f>
        <v>0</v>
      </c>
      <c r="AA35" s="113">
        <f>SUM(J35,N35,P35,Q35,S35)</f>
        <v>0</v>
      </c>
      <c r="AB35" s="119"/>
      <c r="AC35" s="128"/>
      <c r="AD35" s="246" t="s">
        <v>103</v>
      </c>
      <c r="AE35" s="252">
        <f>COUNTA(F10:F42)</f>
        <v>3</v>
      </c>
      <c r="AF35" s="10"/>
      <c r="AG35" s="10"/>
      <c r="AH35" s="10"/>
      <c r="AI35" s="10"/>
      <c r="AJ35" s="10"/>
      <c r="AK35" s="10"/>
      <c r="AL35" s="10"/>
      <c r="AM35" s="10"/>
      <c r="AN35" s="10"/>
      <c r="AO35" s="10"/>
    </row>
    <row r="36" spans="1:41" ht="16" x14ac:dyDescent="0.2">
      <c r="A36" s="25">
        <v>27</v>
      </c>
      <c r="B36" s="78" t="str">
        <f t="shared" si="1"/>
        <v/>
      </c>
      <c r="C36" s="68"/>
      <c r="D36" s="79"/>
      <c r="E36" s="79"/>
      <c r="F36" s="80"/>
      <c r="G36" s="80"/>
      <c r="H36" s="81" t="str">
        <f t="shared" si="2"/>
        <v/>
      </c>
      <c r="I36" s="212"/>
      <c r="J36" s="213"/>
      <c r="K36" s="214" t="str">
        <f>IF(M36*24&gt;=6,"1","")</f>
        <v/>
      </c>
      <c r="L36" s="215" t="str">
        <f>IF(D36="Maitre chien",H36+I36+J36,"")</f>
        <v/>
      </c>
      <c r="M36" s="193">
        <f>SUM(H36,I36,J36)</f>
        <v>0</v>
      </c>
      <c r="N36" s="82" t="str">
        <f>IF(OR($C36="",H36="",N$9=""),"",IF($F36&gt;$G36,MAX(,MIN(N$9,$G36+24/24)-MAX(N$8,$F36)),MAX(,MIN(N$9,$H36)-MAX(N$8,$F36))))</f>
        <v/>
      </c>
      <c r="O36" s="73" t="str">
        <f t="shared" si="7"/>
        <v/>
      </c>
      <c r="P36" s="83" t="str">
        <f t="shared" si="7"/>
        <v/>
      </c>
      <c r="Q36" s="84" t="str">
        <f t="shared" si="4"/>
        <v/>
      </c>
      <c r="R36" s="85" t="str">
        <f t="shared" si="6"/>
        <v/>
      </c>
      <c r="S36" s="83" t="str">
        <f t="shared" si="6"/>
        <v/>
      </c>
      <c r="T36" s="88">
        <f>SUMPRODUCT(($B$36="se")*($Z$36))</f>
        <v>0</v>
      </c>
      <c r="U36" s="103">
        <f>SUMPRODUCT(($B$36="se")*($AA$36))</f>
        <v>0</v>
      </c>
      <c r="V36" s="86">
        <f>(WEEKDAY($C36)=1)*($Z36)</f>
        <v>0</v>
      </c>
      <c r="W36" s="87">
        <f>(WEEKDAY($C36)=1)*($AA36)</f>
        <v>0</v>
      </c>
      <c r="X36" s="106">
        <f>SUMPRODUCT(($B$36="férié")*($Z$36))</f>
        <v>0</v>
      </c>
      <c r="Y36" s="103">
        <f>SUMPRODUCT(($B$36="férié")*($AA$36))</f>
        <v>0</v>
      </c>
      <c r="Z36" s="112">
        <f>SUM(I36,O36,R36)</f>
        <v>0</v>
      </c>
      <c r="AA36" s="113">
        <f>SUM(J36,N36,P36,Q36,S36)</f>
        <v>0</v>
      </c>
      <c r="AB36" s="119"/>
      <c r="AC36" s="128"/>
      <c r="AD36" s="259"/>
      <c r="AE36" s="260"/>
      <c r="AF36" s="10"/>
      <c r="AG36" s="141"/>
      <c r="AH36" s="141"/>
      <c r="AI36" s="10"/>
      <c r="AJ36" s="10"/>
      <c r="AK36" s="10"/>
      <c r="AL36" s="10"/>
      <c r="AM36" s="10"/>
      <c r="AN36" s="10"/>
      <c r="AO36" s="10"/>
    </row>
    <row r="37" spans="1:41" ht="16" x14ac:dyDescent="0.2">
      <c r="A37" s="25">
        <v>28</v>
      </c>
      <c r="B37" s="78" t="str">
        <f t="shared" si="1"/>
        <v/>
      </c>
      <c r="C37" s="68"/>
      <c r="D37" s="79"/>
      <c r="E37" s="79"/>
      <c r="F37" s="80"/>
      <c r="G37" s="80"/>
      <c r="H37" s="81" t="str">
        <f t="shared" si="2"/>
        <v/>
      </c>
      <c r="I37" s="212"/>
      <c r="J37" s="213"/>
      <c r="K37" s="214" t="str">
        <f>IF(M37*24&gt;=6,"1","")</f>
        <v/>
      </c>
      <c r="L37" s="215" t="str">
        <f>IF(D37="Maitre chien",H37+I37+J37,"")</f>
        <v/>
      </c>
      <c r="M37" s="193">
        <f>SUM(H37,I37,J37)</f>
        <v>0</v>
      </c>
      <c r="N37" s="82" t="str">
        <f>IF(OR($C37="",H37="",N$9=""),"",IF($F37&gt;$G37,MAX(,MIN(N$9,$G37+24/24)-MAX(N$8,$F37)),MAX(,MIN(N$9,$H37)-MAX(N$8,$F37))))</f>
        <v/>
      </c>
      <c r="O37" s="73" t="str">
        <f t="shared" si="7"/>
        <v/>
      </c>
      <c r="P37" s="83" t="str">
        <f t="shared" si="7"/>
        <v/>
      </c>
      <c r="Q37" s="84" t="str">
        <f t="shared" si="4"/>
        <v/>
      </c>
      <c r="R37" s="85" t="str">
        <f t="shared" si="6"/>
        <v/>
      </c>
      <c r="S37" s="83" t="str">
        <f t="shared" si="6"/>
        <v/>
      </c>
      <c r="T37" s="88">
        <f>SUMPRODUCT(($B$37="se")*($Z$37))</f>
        <v>0</v>
      </c>
      <c r="U37" s="103">
        <f>SUMPRODUCT(($B$37="se")*($AA$37))</f>
        <v>0</v>
      </c>
      <c r="V37" s="86">
        <f>(WEEKDAY($C37)=1)*($Z37)</f>
        <v>0</v>
      </c>
      <c r="W37" s="87">
        <f>(WEEKDAY($C37)=1)*($AA37)</f>
        <v>0</v>
      </c>
      <c r="X37" s="106">
        <f>SUMPRODUCT(($B$37="férié")*($Z$37))</f>
        <v>0</v>
      </c>
      <c r="Y37" s="103">
        <f>SUMPRODUCT(($B$37="férié")*($AA$37))</f>
        <v>0</v>
      </c>
      <c r="Z37" s="112">
        <f>SUM(I37,O37,R37)</f>
        <v>0</v>
      </c>
      <c r="AA37" s="113">
        <f>SUM(J37,N37,P37,Q37,S37)</f>
        <v>0</v>
      </c>
      <c r="AB37" s="119"/>
      <c r="AC37" s="128"/>
      <c r="AD37" s="252" t="s">
        <v>104</v>
      </c>
      <c r="AE37" s="254">
        <f>SUM(L10:L42)</f>
        <v>0</v>
      </c>
      <c r="AF37" s="10"/>
      <c r="AG37" s="129"/>
      <c r="AH37" s="129"/>
      <c r="AI37" s="10"/>
      <c r="AJ37" s="10"/>
      <c r="AK37" s="10"/>
      <c r="AL37" s="10"/>
      <c r="AM37" s="10"/>
      <c r="AN37" s="10"/>
      <c r="AO37" s="10"/>
    </row>
    <row r="38" spans="1:41" ht="16" x14ac:dyDescent="0.2">
      <c r="A38" s="25">
        <v>29</v>
      </c>
      <c r="B38" s="78" t="str">
        <f t="shared" si="1"/>
        <v/>
      </c>
      <c r="C38" s="68"/>
      <c r="D38" s="79"/>
      <c r="E38" s="79"/>
      <c r="F38" s="80"/>
      <c r="G38" s="80"/>
      <c r="H38" s="81" t="str">
        <f t="shared" si="2"/>
        <v/>
      </c>
      <c r="I38" s="212"/>
      <c r="J38" s="213"/>
      <c r="K38" s="214" t="str">
        <f>IF(M38*24&gt;=6,"1","")</f>
        <v/>
      </c>
      <c r="L38" s="215" t="str">
        <f>IF(D38="Maitre chien",H38+I38+J38,"")</f>
        <v/>
      </c>
      <c r="M38" s="193">
        <f>SUM(H38,I38,J38)</f>
        <v>0</v>
      </c>
      <c r="N38" s="82" t="str">
        <f>IF(OR($C38="",H38="",N$9=""),"",IF($F38&gt;$G38,MAX(,MIN(N$9,$G38+24/24)-MAX(N$8,$F38)),MAX(,MIN(N$9,$H38)-MAX(N$8,$F38))))</f>
        <v/>
      </c>
      <c r="O38" s="73" t="str">
        <f t="shared" si="7"/>
        <v/>
      </c>
      <c r="P38" s="83" t="str">
        <f t="shared" si="7"/>
        <v/>
      </c>
      <c r="Q38" s="84" t="str">
        <f t="shared" si="4"/>
        <v/>
      </c>
      <c r="R38" s="85" t="str">
        <f t="shared" si="6"/>
        <v/>
      </c>
      <c r="S38" s="83" t="str">
        <f t="shared" si="6"/>
        <v/>
      </c>
      <c r="T38" s="88">
        <f>SUMPRODUCT(($B$38="se")*($Z$38))</f>
        <v>0</v>
      </c>
      <c r="U38" s="103">
        <f>SUMPRODUCT(($B$38="se")*($AA$38))</f>
        <v>0</v>
      </c>
      <c r="V38" s="86">
        <f>(WEEKDAY($C38)=1)*($Z38)</f>
        <v>0</v>
      </c>
      <c r="W38" s="87">
        <f>(WEEKDAY($C38)=1)*($AA38)</f>
        <v>0</v>
      </c>
      <c r="X38" s="106">
        <f>SUMPRODUCT(($B$38="férié")*($Z$38))</f>
        <v>0</v>
      </c>
      <c r="Y38" s="103">
        <f>SUMPRODUCT(($B$38="férié")*($AA$38))</f>
        <v>0</v>
      </c>
      <c r="Z38" s="112">
        <f>SUM(I38,O38,R38)</f>
        <v>0</v>
      </c>
      <c r="AA38" s="113">
        <f>SUM(J38,N38,P38,Q38,S38)</f>
        <v>0</v>
      </c>
      <c r="AB38" s="119"/>
      <c r="AC38" s="128"/>
      <c r="AD38" s="263"/>
      <c r="AE38" s="264"/>
      <c r="AF38" s="10"/>
      <c r="AG38" s="120"/>
      <c r="AH38" s="121"/>
      <c r="AI38" s="10"/>
      <c r="AJ38" s="10"/>
      <c r="AK38" s="10"/>
      <c r="AL38" s="10"/>
      <c r="AM38" s="10"/>
      <c r="AN38" s="10"/>
      <c r="AO38" s="10"/>
    </row>
    <row r="39" spans="1:41" ht="16" x14ac:dyDescent="0.2">
      <c r="A39" s="25">
        <v>30</v>
      </c>
      <c r="B39" s="78" t="str">
        <f t="shared" si="1"/>
        <v/>
      </c>
      <c r="C39" s="68"/>
      <c r="D39" s="79"/>
      <c r="E39" s="79"/>
      <c r="F39" s="80"/>
      <c r="G39" s="80"/>
      <c r="H39" s="81" t="str">
        <f t="shared" si="2"/>
        <v/>
      </c>
      <c r="I39" s="212"/>
      <c r="J39" s="213"/>
      <c r="K39" s="214" t="str">
        <f>IF(M39*24&gt;=6,"1","")</f>
        <v/>
      </c>
      <c r="L39" s="215" t="str">
        <f>IF(D39="Maitre chien",H39+I39+J39,"")</f>
        <v/>
      </c>
      <c r="M39" s="193">
        <f>SUM(H39,I39,J39)</f>
        <v>0</v>
      </c>
      <c r="N39" s="82" t="str">
        <f>IF(OR($C39="",H39="",N$9=""),"",IF($F39&gt;$G39,MAX(,MIN(N$9,$G39+24/24)-MAX(N$8,$F39)),MAX(,MIN(N$9,$H39)-MAX(N$8,$F39))))</f>
        <v/>
      </c>
      <c r="O39" s="73" t="str">
        <f t="shared" si="7"/>
        <v/>
      </c>
      <c r="P39" s="83" t="str">
        <f t="shared" si="7"/>
        <v/>
      </c>
      <c r="Q39" s="84" t="str">
        <f t="shared" si="4"/>
        <v/>
      </c>
      <c r="R39" s="85" t="str">
        <f t="shared" si="6"/>
        <v/>
      </c>
      <c r="S39" s="83" t="str">
        <f t="shared" si="6"/>
        <v/>
      </c>
      <c r="T39" s="88">
        <f>SUMPRODUCT(($B$39="se")*($Z$39))</f>
        <v>0</v>
      </c>
      <c r="U39" s="103">
        <f>SUMPRODUCT(($B$39="se")*($AA$39))</f>
        <v>0</v>
      </c>
      <c r="V39" s="86">
        <f>(WEEKDAY($C39)=1)*($Z39)</f>
        <v>0</v>
      </c>
      <c r="W39" s="87">
        <f>(WEEKDAY($C39)=1)*($AA39)</f>
        <v>0</v>
      </c>
      <c r="X39" s="106">
        <f>SUMPRODUCT(($B$39="férié")*($Z$39))</f>
        <v>0</v>
      </c>
      <c r="Y39" s="103">
        <f>SUMPRODUCT(($B$39="férié")*($AA$39))</f>
        <v>0</v>
      </c>
      <c r="Z39" s="112">
        <f>SUM(I39,O39,R39)</f>
        <v>0</v>
      </c>
      <c r="AA39" s="113">
        <f>SUM(J39,N39,P39,Q39,S39)</f>
        <v>0</v>
      </c>
      <c r="AB39" s="119"/>
      <c r="AC39" s="128"/>
      <c r="AD39" s="10"/>
      <c r="AE39" s="10"/>
      <c r="AF39" s="10"/>
      <c r="AG39" s="120"/>
      <c r="AH39" s="121"/>
      <c r="AI39" s="10"/>
      <c r="AJ39" s="10"/>
      <c r="AK39" s="10"/>
      <c r="AL39" s="10"/>
      <c r="AM39" s="10"/>
      <c r="AN39" s="10"/>
      <c r="AO39" s="10"/>
    </row>
    <row r="40" spans="1:41" ht="16" x14ac:dyDescent="0.2">
      <c r="A40" s="25">
        <v>31</v>
      </c>
      <c r="B40" s="78" t="str">
        <f t="shared" si="1"/>
        <v/>
      </c>
      <c r="C40" s="68"/>
      <c r="D40" s="79"/>
      <c r="E40" s="79"/>
      <c r="F40" s="80"/>
      <c r="G40" s="80"/>
      <c r="H40" s="81" t="str">
        <f t="shared" si="2"/>
        <v/>
      </c>
      <c r="I40" s="212"/>
      <c r="J40" s="213"/>
      <c r="K40" s="214" t="str">
        <f>IF(M40*24&gt;=6,"1","")</f>
        <v/>
      </c>
      <c r="L40" s="215" t="str">
        <f>IF(D40="Maitre chien",H40+I40+J40,"")</f>
        <v/>
      </c>
      <c r="M40" s="193">
        <f>SUM(H40,I40,J40)</f>
        <v>0</v>
      </c>
      <c r="N40" s="82" t="str">
        <f>IF(OR($C40="",H40="",N$9=""),"",IF($F40&gt;$G40,MAX(,MIN(N$9,$G40+24/24)-MAX(N$8,$F40)),MAX(,MIN(N$9,$H40)-MAX(N$8,$F40))))</f>
        <v/>
      </c>
      <c r="O40" s="73" t="str">
        <f t="shared" si="7"/>
        <v/>
      </c>
      <c r="P40" s="83" t="str">
        <f t="shared" si="7"/>
        <v/>
      </c>
      <c r="Q40" s="84" t="str">
        <f t="shared" si="4"/>
        <v/>
      </c>
      <c r="R40" s="85" t="str">
        <f t="shared" si="6"/>
        <v/>
      </c>
      <c r="S40" s="83" t="str">
        <f t="shared" si="6"/>
        <v/>
      </c>
      <c r="T40" s="88">
        <f>SUMPRODUCT(($B$40="se")*($Z$40))</f>
        <v>0</v>
      </c>
      <c r="U40" s="103">
        <f>SUMPRODUCT(($B$40="se")*($AA$40))</f>
        <v>0</v>
      </c>
      <c r="V40" s="86">
        <f>(WEEKDAY($C40)=1)*($Z40)</f>
        <v>0</v>
      </c>
      <c r="W40" s="87">
        <f>(WEEKDAY($C40)=1)*($AA40)</f>
        <v>0</v>
      </c>
      <c r="X40" s="106">
        <f>SUMPRODUCT(($B$40="férié")*($Z$40))</f>
        <v>0</v>
      </c>
      <c r="Y40" s="103">
        <f>SUMPRODUCT(($B$40="férié")*($AA$40))</f>
        <v>0</v>
      </c>
      <c r="Z40" s="112">
        <f>SUM(I40,O40,R40)</f>
        <v>0</v>
      </c>
      <c r="AA40" s="113">
        <f>SUM(J40,N40,P40,Q40,S40)</f>
        <v>0</v>
      </c>
      <c r="AB40" s="119"/>
      <c r="AC40" s="128"/>
      <c r="AD40" s="10"/>
      <c r="AE40" s="10"/>
      <c r="AF40" s="10"/>
      <c r="AG40" s="120"/>
      <c r="AH40" s="121"/>
      <c r="AI40" s="10"/>
      <c r="AJ40" s="10"/>
      <c r="AK40" s="10"/>
      <c r="AL40" s="10"/>
      <c r="AM40" s="10"/>
      <c r="AN40" s="10"/>
      <c r="AO40" s="10"/>
    </row>
    <row r="41" spans="1:41" ht="16" x14ac:dyDescent="0.2">
      <c r="A41" s="25">
        <v>32</v>
      </c>
      <c r="B41" s="78" t="str">
        <f>IF(C42="","",IF(COUNTIF(Fer,C42)&gt;0,"Férié",IF(WEEKDAY(C42,2)&lt;=6,"Se","Dim")))</f>
        <v/>
      </c>
      <c r="C41" s="68"/>
      <c r="D41" s="79"/>
      <c r="E41" s="79"/>
      <c r="F41" s="80"/>
      <c r="G41" s="80"/>
      <c r="H41" s="81" t="str">
        <f t="shared" si="2"/>
        <v/>
      </c>
      <c r="I41" s="212"/>
      <c r="J41" s="213"/>
      <c r="K41" s="214" t="str">
        <f>IF(M41*24&gt;=6,"1","")</f>
        <v/>
      </c>
      <c r="L41" s="215" t="str">
        <f>IF(D41="Maitre chien",H41+I41+J41,"")</f>
        <v/>
      </c>
      <c r="M41" s="193">
        <f>SUM(H41,I41,J41)</f>
        <v>0</v>
      </c>
      <c r="N41" s="82" t="str">
        <f>IF(OR($C41="",H41="",N$9=""),"",IF($F41&gt;$G41,MAX(,MIN(N$9,$G41+24/24)-MAX(N$8,$F41)),MAX(,MIN(N$9,$H41)-MAX(N$8,$F41))))</f>
        <v/>
      </c>
      <c r="O41" s="73" t="str">
        <f t="shared" si="7"/>
        <v/>
      </c>
      <c r="P41" s="83" t="str">
        <f t="shared" si="7"/>
        <v/>
      </c>
      <c r="Q41" s="84" t="str">
        <f t="shared" si="4"/>
        <v/>
      </c>
      <c r="R41" s="85" t="str">
        <f t="shared" si="6"/>
        <v/>
      </c>
      <c r="S41" s="83" t="str">
        <f t="shared" si="6"/>
        <v/>
      </c>
      <c r="T41" s="88">
        <f>SUMPRODUCT(($B$41="se")*($Z$41))</f>
        <v>0</v>
      </c>
      <c r="U41" s="103">
        <f>SUMPRODUCT(($B$41="se")*($AA$41))</f>
        <v>0</v>
      </c>
      <c r="V41" s="86">
        <f>(WEEKDAY($C41)=1)*($Z41)</f>
        <v>0</v>
      </c>
      <c r="W41" s="87">
        <f>(WEEKDAY($C41)=1)*($AA41)</f>
        <v>0</v>
      </c>
      <c r="X41" s="106">
        <f>SUMPRODUCT(($B$41="férié")*($Z$41))</f>
        <v>0</v>
      </c>
      <c r="Y41" s="103">
        <f>SUMPRODUCT(($B$41="férié")*($AA$41))</f>
        <v>0</v>
      </c>
      <c r="Z41" s="112">
        <f>SUM(I41,O41,R41)</f>
        <v>0</v>
      </c>
      <c r="AA41" s="113">
        <f>SUM(J41,N41,P41,Q41,S41)</f>
        <v>0</v>
      </c>
      <c r="AB41" s="119"/>
      <c r="AC41" s="128"/>
      <c r="AD41" s="10"/>
      <c r="AE41" s="10"/>
      <c r="AF41" s="10"/>
      <c r="AG41" s="120"/>
      <c r="AH41" s="121"/>
      <c r="AI41" s="10"/>
      <c r="AJ41" s="10"/>
      <c r="AK41" s="10"/>
      <c r="AL41" s="10"/>
      <c r="AM41" s="10"/>
      <c r="AN41" s="10"/>
      <c r="AO41" s="10"/>
    </row>
    <row r="42" spans="1:41" ht="17" thickBot="1" x14ac:dyDescent="0.25">
      <c r="A42" s="89">
        <v>33</v>
      </c>
      <c r="B42" s="90" t="str">
        <f>IF(C43="","",IF(COUNTIF(Fer,C43)&gt;0,"Férié",IF(WEEKDAY(C43,2)&lt;=6,"Se","Dim")))</f>
        <v/>
      </c>
      <c r="C42" s="68"/>
      <c r="D42" s="117"/>
      <c r="E42" s="117"/>
      <c r="F42" s="91"/>
      <c r="G42" s="91"/>
      <c r="H42" s="92" t="str">
        <f t="shared" si="2"/>
        <v/>
      </c>
      <c r="I42" s="216"/>
      <c r="J42" s="217"/>
      <c r="K42" s="218" t="str">
        <f>IF(M42*24&gt;=6,"1","")</f>
        <v/>
      </c>
      <c r="L42" s="219" t="str">
        <f>IF(D42="Maitre chien",H42+I42+J42,"")</f>
        <v/>
      </c>
      <c r="M42" s="194">
        <f>SUM(H42,I42,J42)</f>
        <v>0</v>
      </c>
      <c r="N42" s="93" t="str">
        <f>IF(OR($C42="",H42="",N$9=""),"",IF($F42&gt;$G42,MAX(,MIN(N$9,$G42+24/24)-MAX(N$8,$F42)),MAX(,MIN(N$9,$H42)-MAX(N$8,$F42))))</f>
        <v/>
      </c>
      <c r="O42" s="73" t="str">
        <f t="shared" si="7"/>
        <v/>
      </c>
      <c r="P42" s="94" t="str">
        <f t="shared" si="7"/>
        <v/>
      </c>
      <c r="Q42" s="95" t="str">
        <f t="shared" si="4"/>
        <v/>
      </c>
      <c r="R42" s="85" t="str">
        <f t="shared" si="6"/>
        <v/>
      </c>
      <c r="S42" s="94" t="str">
        <f t="shared" si="6"/>
        <v/>
      </c>
      <c r="T42" s="98">
        <f>SUMPRODUCT(($B$42="se")*($Z$42))</f>
        <v>0</v>
      </c>
      <c r="U42" s="104">
        <f>SUMPRODUCT(($B$42="se")*($AA$42))</f>
        <v>0</v>
      </c>
      <c r="V42" s="96">
        <f>(WEEKDAY($C42)=1)*($Z42)</f>
        <v>0</v>
      </c>
      <c r="W42" s="97">
        <f>(WEEKDAY($C42)=1)*($AA42)</f>
        <v>0</v>
      </c>
      <c r="X42" s="107">
        <f>SUMPRODUCT(($B$42="férié")*($Z$42))</f>
        <v>0</v>
      </c>
      <c r="Y42" s="104">
        <f>SUMPRODUCT(($B$42="férié")*($AA$42))</f>
        <v>0</v>
      </c>
      <c r="Z42" s="114">
        <f>SUM(I42,O42,R42)</f>
        <v>0</v>
      </c>
      <c r="AA42" s="115">
        <f>SUM(J42,N42,P42,Q42,S42)</f>
        <v>0</v>
      </c>
      <c r="AB42" s="187"/>
      <c r="AC42" s="128"/>
      <c r="AD42" s="10"/>
      <c r="AE42" s="10"/>
      <c r="AF42" s="10"/>
      <c r="AG42" s="120"/>
      <c r="AH42" s="121"/>
      <c r="AI42" s="10"/>
      <c r="AJ42" s="10"/>
      <c r="AK42" s="10"/>
      <c r="AL42" s="10"/>
      <c r="AM42" s="10"/>
      <c r="AN42" s="10"/>
      <c r="AO42" s="10"/>
    </row>
    <row r="43" spans="1:41" s="66" customFormat="1" ht="14" x14ac:dyDescent="0.2">
      <c r="A43" s="131" t="s">
        <v>96</v>
      </c>
      <c r="B43" s="132"/>
      <c r="C43" s="132"/>
      <c r="D43" s="132"/>
      <c r="E43" s="132"/>
      <c r="F43" s="132">
        <f>COUNTA(F10:F42)</f>
        <v>3</v>
      </c>
      <c r="G43" s="132">
        <f>COUNTA(G10:G42)</f>
        <v>3</v>
      </c>
      <c r="H43" s="137">
        <f>SUM(H10:H42)</f>
        <v>1.4999999999999998</v>
      </c>
      <c r="I43" s="134">
        <f t="shared" ref="I43:S43" si="8">SUM(I10:I42)</f>
        <v>0</v>
      </c>
      <c r="J43" s="134">
        <f t="shared" si="8"/>
        <v>0</v>
      </c>
      <c r="K43" s="132">
        <f>COUNTA(F10:F42)</f>
        <v>3</v>
      </c>
      <c r="L43" s="134">
        <f>SUM(L10:L42)</f>
        <v>0</v>
      </c>
      <c r="M43" s="134">
        <f>SUM(M10:M42)</f>
        <v>1.4999999999999998</v>
      </c>
      <c r="N43" s="133">
        <f t="shared" si="8"/>
        <v>0</v>
      </c>
      <c r="O43" s="133">
        <f t="shared" si="8"/>
        <v>1.4999999999999998</v>
      </c>
      <c r="P43" s="133">
        <f t="shared" si="8"/>
        <v>0</v>
      </c>
      <c r="Q43" s="137">
        <f t="shared" si="8"/>
        <v>0</v>
      </c>
      <c r="R43" s="133">
        <f>SUM(R10:R42)</f>
        <v>0</v>
      </c>
      <c r="S43" s="133">
        <f t="shared" si="8"/>
        <v>0</v>
      </c>
      <c r="T43" s="134">
        <f>SUMIF(C10:C42,"&gt;0",T10:T42)</f>
        <v>0</v>
      </c>
      <c r="U43" s="134">
        <f>SUMIF(C10:C42,"&gt;0",U10:U42)</f>
        <v>0</v>
      </c>
      <c r="V43" s="134">
        <f>SUMPRODUCT((WEEKDAY($C$10:$C$42)=1)*($Z$10:$Z$42))</f>
        <v>0.99999999999999989</v>
      </c>
      <c r="W43" s="134">
        <f>SUMPRODUCT((WEEKDAY($C$10:$C$42)=1)*($AA$10:$AA$42))</f>
        <v>0</v>
      </c>
      <c r="X43" s="134">
        <f>SUMPRODUCT(($B$10:$B$42="férié")*($X$10:$X$42))</f>
        <v>0.99999999999999989</v>
      </c>
      <c r="Y43" s="134">
        <f>SUMPRODUCT(($B$10:$B$42="férié")*($Y$10:$Y$42))</f>
        <v>0</v>
      </c>
      <c r="Z43" s="134">
        <f>SUMIF(C10:C42,"&gt;0",Z10:Z42)</f>
        <v>1.4999999999999998</v>
      </c>
      <c r="AA43" s="134">
        <f>SUMIF(C10:C42,"&gt;0",AA10:AA42)</f>
        <v>0</v>
      </c>
      <c r="AB43" s="132"/>
      <c r="AC43" s="130"/>
      <c r="AD43" s="99"/>
      <c r="AE43" s="99"/>
      <c r="AF43" s="99"/>
      <c r="AG43" s="130"/>
      <c r="AH43" s="130"/>
      <c r="AI43" s="99"/>
      <c r="AJ43" s="99"/>
      <c r="AK43" s="99"/>
      <c r="AL43" s="99"/>
      <c r="AM43" s="99"/>
      <c r="AN43" s="99"/>
      <c r="AO43" s="99"/>
    </row>
    <row r="44" spans="1:41" x14ac:dyDescent="0.2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</row>
    <row r="45" spans="1:41" x14ac:dyDescent="0.2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</row>
    <row r="46" spans="1:41" s="10" customFormat="1" x14ac:dyDescent="0.2"/>
    <row r="47" spans="1:41" s="10" customFormat="1" x14ac:dyDescent="0.2"/>
    <row r="48" spans="1:41" s="10" customFormat="1" x14ac:dyDescent="0.2"/>
    <row r="49" s="10" customFormat="1" x14ac:dyDescent="0.2"/>
    <row r="50" s="10" customFormat="1" x14ac:dyDescent="0.2"/>
  </sheetData>
  <mergeCells count="48">
    <mergeCell ref="AD32:AE32"/>
    <mergeCell ref="AD34:AE34"/>
    <mergeCell ref="AD36:AE36"/>
    <mergeCell ref="AD38:AE38"/>
    <mergeCell ref="AD20:AE20"/>
    <mergeCell ref="AD22:AE22"/>
    <mergeCell ref="AD24:AE24"/>
    <mergeCell ref="AD28:AE28"/>
    <mergeCell ref="AD30:AE30"/>
    <mergeCell ref="AD26:AE26"/>
    <mergeCell ref="AG2:AJ2"/>
    <mergeCell ref="AD2:AE2"/>
    <mergeCell ref="AG14:AJ14"/>
    <mergeCell ref="AD6:AE6"/>
    <mergeCell ref="AD4:AE4"/>
    <mergeCell ref="AD8:AE8"/>
    <mergeCell ref="AD10:AE10"/>
    <mergeCell ref="AD12:AE12"/>
    <mergeCell ref="AD14:AE14"/>
    <mergeCell ref="K7:L7"/>
    <mergeCell ref="N5:P5"/>
    <mergeCell ref="E2:H2"/>
    <mergeCell ref="AG23:AJ23"/>
    <mergeCell ref="V3:W3"/>
    <mergeCell ref="Z3:AA3"/>
    <mergeCell ref="Q5:S5"/>
    <mergeCell ref="T3:U3"/>
    <mergeCell ref="X3:Y3"/>
    <mergeCell ref="V4:W4"/>
    <mergeCell ref="Z4:AA4"/>
    <mergeCell ref="T4:U4"/>
    <mergeCell ref="X4:Y4"/>
    <mergeCell ref="AG36:AH36"/>
    <mergeCell ref="X5:Y5"/>
    <mergeCell ref="V8:W8"/>
    <mergeCell ref="Z8:AA8"/>
    <mergeCell ref="T8:U8"/>
    <mergeCell ref="X8:Y8"/>
    <mergeCell ref="AB8:AB9"/>
    <mergeCell ref="V9:W9"/>
    <mergeCell ref="Z9:AA9"/>
    <mergeCell ref="T9:U9"/>
    <mergeCell ref="X9:Y9"/>
    <mergeCell ref="V5:W5"/>
    <mergeCell ref="Z5:AA5"/>
    <mergeCell ref="T5:U5"/>
    <mergeCell ref="AD16:AE16"/>
    <mergeCell ref="AD18:AE18"/>
  </mergeCells>
  <conditionalFormatting sqref="B10:C11 C11:C42">
    <cfRule type="expression" dxfId="47" priority="3" stopIfTrue="1">
      <formula>WEEKDAY($C10,2)=7</formula>
    </cfRule>
    <cfRule type="expression" dxfId="46" priority="4" stopIfTrue="1">
      <formula>COUNTIF(Fer,$C42)&gt;0</formula>
    </cfRule>
  </conditionalFormatting>
  <conditionalFormatting sqref="D18:E42">
    <cfRule type="expression" dxfId="45" priority="10" stopIfTrue="1">
      <formula>#REF!&lt;&gt;""</formula>
    </cfRule>
  </conditionalFormatting>
  <conditionalFormatting sqref="D15:E15">
    <cfRule type="expression" dxfId="44" priority="13" stopIfTrue="1">
      <formula>#REF!&lt;&gt;""</formula>
    </cfRule>
    <cfRule type="expression" dxfId="43" priority="14" stopIfTrue="1">
      <formula>COUNTIF(Fer,#REF!)&gt;0</formula>
    </cfRule>
    <cfRule type="expression" dxfId="42" priority="15" stopIfTrue="1">
      <formula>COUNTIF(Fer,$C15)&gt;0</formula>
    </cfRule>
  </conditionalFormatting>
  <conditionalFormatting sqref="D15:E15">
    <cfRule type="expression" dxfId="41" priority="16" stopIfTrue="1">
      <formula>WEEKDAY($C15,2)=7</formula>
    </cfRule>
    <cfRule type="expression" dxfId="40" priority="17" stopIfTrue="1">
      <formula>COUNTIF(Fer,#REF!)&gt;0</formula>
    </cfRule>
  </conditionalFormatting>
  <conditionalFormatting sqref="B41:B42">
    <cfRule type="expression" dxfId="39" priority="11" stopIfTrue="1">
      <formula>WEEKDAY($C41,2)=7</formula>
    </cfRule>
  </conditionalFormatting>
  <conditionalFormatting sqref="C10:C42">
    <cfRule type="expression" dxfId="38" priority="5" stopIfTrue="1">
      <formula>WEEKDAY($C42,2)=7</formula>
    </cfRule>
    <cfRule type="expression" dxfId="37" priority="6" stopIfTrue="1">
      <formula>#REF!&lt;&gt;""</formula>
    </cfRule>
    <cfRule type="expression" dxfId="36" priority="7" stopIfTrue="1">
      <formula>COUNTIF(Fer,#REF!)&gt;0</formula>
    </cfRule>
    <cfRule type="expression" dxfId="35" priority="8" stopIfTrue="1">
      <formula>WEEKDAY(#REF!,2)=7</formula>
    </cfRule>
    <cfRule type="expression" dxfId="34" priority="9" stopIfTrue="1">
      <formula>COUNTIF(Fer,$C10)&gt;0</formula>
    </cfRule>
  </conditionalFormatting>
  <conditionalFormatting sqref="B41:B42 D18:E42">
    <cfRule type="expression" dxfId="33" priority="18" stopIfTrue="1">
      <formula>COUNTIF(Fer,#REF!)&gt;0</formula>
    </cfRule>
  </conditionalFormatting>
  <conditionalFormatting sqref="B10:C42">
    <cfRule type="expression" dxfId="32" priority="1" stopIfTrue="1">
      <formula>COUNTIF(Fer,$C10)&gt;0</formula>
    </cfRule>
  </conditionalFormatting>
  <conditionalFormatting sqref="C15">
    <cfRule type="expression" dxfId="31" priority="12" stopIfTrue="1">
      <formula>WEEKDAY(#REF!,2)=7</formula>
    </cfRule>
  </conditionalFormatting>
  <conditionalFormatting sqref="B12:C42">
    <cfRule type="expression" dxfId="30" priority="55" stopIfTrue="1">
      <formula>WEEKDAY($C12,2)=7</formula>
    </cfRule>
    <cfRule type="expression" dxfId="29" priority="56" stopIfTrue="1">
      <formula>COUNTIF(Fer,#REF!)&gt;0</formula>
    </cfRule>
  </conditionalFormatting>
  <conditionalFormatting sqref="C12:C42">
    <cfRule type="expression" dxfId="28" priority="62" stopIfTrue="1">
      <formula>WEEKDAY(#REF!,2)=7</formula>
    </cfRule>
    <cfRule type="expression" dxfId="27" priority="63" stopIfTrue="1">
      <formula>#REF!&lt;&gt;""</formula>
    </cfRule>
    <cfRule type="expression" dxfId="26" priority="64" stopIfTrue="1">
      <formula>COUNTIF(Fer,#REF!)&gt;0</formula>
    </cfRule>
    <cfRule type="expression" dxfId="25" priority="65" stopIfTrue="1">
      <formula>WEEKDAY(#REF!,2)=7</formula>
    </cfRule>
    <cfRule type="expression" dxfId="24" priority="66" stopIfTrue="1">
      <formula>COUNTIF(Fer,$C12)&gt;0</formula>
    </cfRule>
  </conditionalFormatting>
  <pageMargins left="0.7" right="0.7" top="0.75" bottom="0.75" header="0.3" footer="0.3"/>
  <pageSetup paperSize="9" orientation="portrait" horizontalDpi="0" verticalDpi="0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ErrorMessage="1" prompt="Choisissez votre heure de début de journée">
          <x14:formula1>
            <xm:f>Data!$D$2:$D$49</xm:f>
          </x14:formula1>
          <xm:sqref>F10:F42</xm:sqref>
        </x14:dataValidation>
        <x14:dataValidation type="list" allowBlank="1" showErrorMessage="1" prompt="Choisissez votre heure de fin de journée.">
          <x14:formula1>
            <xm:f>Data!$D$2:$D$49</xm:f>
          </x14:formula1>
          <xm:sqref>G10:G42</xm:sqref>
        </x14:dataValidation>
        <x14:dataValidation type="list" allowBlank="1" showInputMessage="1" showErrorMessage="1">
          <x14:formula1>
            <xm:f>Data!$K$4:$K$8</xm:f>
          </x14:formula1>
          <xm:sqref>D10:D42</xm:sqref>
        </x14:dataValidation>
        <x14:dataValidation type="list" allowBlank="1" showInputMessage="1" showErrorMessage="1">
          <x14:formula1>
            <xm:f>Data!$H$2:$H$15</xm:f>
          </x14:formula1>
          <xm:sqref>E10:E42</xm:sqref>
        </x14:dataValidation>
        <x14:dataValidation type="list" allowBlank="1" showInputMessage="1" showErrorMessage="1">
          <x14:formula1>
            <xm:f>Data!$M$3:$M$22</xm:f>
          </x14:formula1>
          <xm:sqref>I10:J42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O50"/>
  <sheetViews>
    <sheetView tabSelected="1" zoomScale="90" zoomScaleNormal="90" zoomScalePageLayoutView="90" workbookViewId="0">
      <selection activeCell="T41" sqref="T41"/>
    </sheetView>
  </sheetViews>
  <sheetFormatPr baseColWidth="10" defaultRowHeight="15" x14ac:dyDescent="0.2"/>
  <cols>
    <col min="1" max="1" width="6.83203125" customWidth="1"/>
    <col min="2" max="2" width="10.33203125" hidden="1" customWidth="1"/>
    <col min="3" max="3" width="26.5" customWidth="1"/>
    <col min="4" max="4" width="11.33203125" customWidth="1"/>
    <col min="5" max="5" width="9.83203125" customWidth="1"/>
    <col min="6" max="8" width="7.33203125" customWidth="1"/>
    <col min="9" max="10" width="7.83203125" customWidth="1"/>
    <col min="11" max="11" width="8.33203125" customWidth="1"/>
    <col min="12" max="12" width="6.83203125" customWidth="1"/>
    <col min="13" max="13" width="10.33203125" customWidth="1"/>
    <col min="14" max="19" width="11.83203125" customWidth="1"/>
    <col min="20" max="27" width="8.83203125" customWidth="1"/>
    <col min="28" max="28" width="49.33203125" customWidth="1"/>
    <col min="29" max="29" width="2.83203125" customWidth="1"/>
    <col min="30" max="30" width="23.83203125" customWidth="1"/>
    <col min="31" max="31" width="10.33203125" customWidth="1"/>
    <col min="32" max="32" width="2.6640625" customWidth="1"/>
    <col min="33" max="33" width="22.6640625" customWidth="1"/>
    <col min="34" max="34" width="9.83203125" customWidth="1"/>
    <col min="35" max="35" width="9.6640625" customWidth="1"/>
    <col min="36" max="36" width="9.83203125" customWidth="1"/>
    <col min="37" max="37" width="17.83203125" customWidth="1"/>
    <col min="38" max="38" width="15.5" customWidth="1"/>
    <col min="39" max="39" width="18.5" customWidth="1"/>
    <col min="41" max="41" width="4.6640625" customWidth="1"/>
  </cols>
  <sheetData>
    <row r="1" spans="1:41" ht="24" thickBot="1" x14ac:dyDescent="0.25">
      <c r="A1" s="39"/>
      <c r="B1" s="39"/>
      <c r="C1" s="39"/>
      <c r="D1" s="39"/>
      <c r="E1" s="39"/>
      <c r="F1" s="38"/>
      <c r="G1" s="26"/>
      <c r="H1" s="26"/>
      <c r="I1" s="39"/>
      <c r="J1" s="26"/>
      <c r="K1" s="39"/>
      <c r="L1" s="39"/>
      <c r="M1" s="39"/>
      <c r="N1" s="39"/>
      <c r="O1" s="39"/>
      <c r="P1" s="10"/>
      <c r="Q1" s="10"/>
      <c r="R1" s="26"/>
      <c r="S1" s="26"/>
      <c r="T1" s="26"/>
      <c r="U1" s="26"/>
      <c r="V1" s="26"/>
      <c r="W1" s="26"/>
      <c r="X1" s="26"/>
      <c r="Y1" s="26"/>
      <c r="Z1" s="108"/>
      <c r="AA1" s="109"/>
      <c r="AB1" s="109"/>
      <c r="AC1" s="109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</row>
    <row r="2" spans="1:41" ht="26" thickBot="1" x14ac:dyDescent="0.3">
      <c r="A2" s="40"/>
      <c r="B2" s="40"/>
      <c r="C2" s="40"/>
      <c r="D2" s="40"/>
      <c r="E2" s="160"/>
      <c r="F2" s="161"/>
      <c r="G2" s="161"/>
      <c r="H2" s="162"/>
      <c r="I2" s="37"/>
      <c r="J2" s="10"/>
      <c r="K2" s="40"/>
      <c r="L2" s="40"/>
      <c r="M2" s="40"/>
      <c r="N2" s="40"/>
      <c r="O2" s="40"/>
      <c r="P2" s="10"/>
      <c r="Q2" s="135"/>
      <c r="R2" s="30"/>
      <c r="S2" s="9"/>
      <c r="T2" s="10"/>
      <c r="U2" s="10"/>
      <c r="V2" s="10"/>
      <c r="W2" s="9"/>
      <c r="X2" s="10"/>
      <c r="Y2" s="10"/>
      <c r="Z2" s="10"/>
      <c r="AA2" s="10"/>
      <c r="AB2" s="14"/>
      <c r="AC2" s="9"/>
      <c r="AD2" s="220" t="s">
        <v>99</v>
      </c>
      <c r="AE2" s="220"/>
      <c r="AF2" s="10"/>
      <c r="AG2" s="225" t="s">
        <v>40</v>
      </c>
      <c r="AH2" s="226"/>
      <c r="AI2" s="226"/>
      <c r="AJ2" s="227"/>
      <c r="AK2" s="10"/>
      <c r="AL2" s="10"/>
      <c r="AM2" s="10"/>
      <c r="AN2" s="10"/>
      <c r="AO2" s="10"/>
    </row>
    <row r="3" spans="1:41" ht="25" x14ac:dyDescent="0.2">
      <c r="A3" s="9"/>
      <c r="B3" s="9"/>
      <c r="C3" s="10"/>
      <c r="D3" s="10"/>
      <c r="E3" s="46" t="s">
        <v>68</v>
      </c>
      <c r="F3" s="50">
        <v>0.875</v>
      </c>
      <c r="G3" s="55" t="s">
        <v>62</v>
      </c>
      <c r="H3" s="100" t="s">
        <v>60</v>
      </c>
      <c r="I3" s="10"/>
      <c r="J3" s="136"/>
      <c r="K3" s="136"/>
      <c r="L3" s="136"/>
      <c r="M3" s="136"/>
      <c r="N3" s="10"/>
      <c r="O3" s="138"/>
      <c r="P3" s="139"/>
      <c r="Q3" s="138"/>
      <c r="R3" s="9"/>
      <c r="S3" s="9"/>
      <c r="T3" s="165" t="s">
        <v>87</v>
      </c>
      <c r="U3" s="166"/>
      <c r="V3" s="163" t="s">
        <v>85</v>
      </c>
      <c r="W3" s="164"/>
      <c r="X3" s="165" t="s">
        <v>86</v>
      </c>
      <c r="Y3" s="166"/>
      <c r="Z3" s="165" t="s">
        <v>88</v>
      </c>
      <c r="AA3" s="166"/>
      <c r="AB3" s="14"/>
      <c r="AC3" s="9"/>
      <c r="AD3" s="246" t="s">
        <v>2</v>
      </c>
      <c r="AE3" s="246">
        <f>COUNTA(F10:F42)</f>
        <v>11</v>
      </c>
      <c r="AF3" s="10"/>
      <c r="AG3" s="221"/>
      <c r="AH3" s="199" t="s">
        <v>7</v>
      </c>
      <c r="AI3" s="199" t="s">
        <v>46</v>
      </c>
      <c r="AJ3" s="222" t="s">
        <v>29</v>
      </c>
      <c r="AK3" s="10"/>
      <c r="AL3" s="10"/>
      <c r="AM3" s="10"/>
      <c r="AN3" s="10"/>
      <c r="AO3" s="10"/>
    </row>
    <row r="4" spans="1:41" ht="22" thickBot="1" x14ac:dyDescent="0.25">
      <c r="A4" s="10"/>
      <c r="B4" s="10"/>
      <c r="C4" s="10"/>
      <c r="D4" s="10"/>
      <c r="E4" s="47" t="s">
        <v>69</v>
      </c>
      <c r="F4" s="51">
        <v>0.25</v>
      </c>
      <c r="G4" s="56" t="s">
        <v>63</v>
      </c>
      <c r="H4" s="52" t="s">
        <v>61</v>
      </c>
      <c r="I4" s="10"/>
      <c r="J4" s="136"/>
      <c r="K4" s="136"/>
      <c r="L4" s="136"/>
      <c r="M4" s="136"/>
      <c r="N4" s="10"/>
      <c r="O4" s="10"/>
      <c r="P4" s="10"/>
      <c r="Q4" s="10"/>
      <c r="R4" s="10"/>
      <c r="S4" s="10"/>
      <c r="T4" s="147" t="s">
        <v>73</v>
      </c>
      <c r="U4" s="148"/>
      <c r="V4" s="169" t="s">
        <v>84</v>
      </c>
      <c r="W4" s="170"/>
      <c r="X4" s="147" t="s">
        <v>74</v>
      </c>
      <c r="Y4" s="148"/>
      <c r="Z4" s="147" t="s">
        <v>70</v>
      </c>
      <c r="AA4" s="148"/>
      <c r="AB4" s="15"/>
      <c r="AC4" s="10"/>
      <c r="AD4" s="255"/>
      <c r="AE4" s="256"/>
      <c r="AF4" s="10"/>
      <c r="AG4" s="228" t="s">
        <v>1</v>
      </c>
      <c r="AH4" s="266">
        <f>SUM(T7+X7)*24</f>
        <v>44.000000000000043</v>
      </c>
      <c r="AI4" s="205">
        <v>9.93</v>
      </c>
      <c r="AJ4" s="265">
        <f>AH4*AI4</f>
        <v>436.92000000000041</v>
      </c>
      <c r="AK4" s="10"/>
      <c r="AL4" s="10"/>
      <c r="AM4" s="10"/>
      <c r="AN4" s="10"/>
      <c r="AO4" s="10"/>
    </row>
    <row r="5" spans="1:41" ht="22" thickBot="1" x14ac:dyDescent="0.25">
      <c r="A5" s="10"/>
      <c r="B5" s="10"/>
      <c r="C5" s="44"/>
      <c r="D5" s="44"/>
      <c r="E5" s="48" t="s">
        <v>28</v>
      </c>
      <c r="F5" s="49"/>
      <c r="G5" s="57" t="s">
        <v>64</v>
      </c>
      <c r="H5" s="53"/>
      <c r="I5" s="10"/>
      <c r="J5" s="136"/>
      <c r="K5" s="136"/>
      <c r="L5" s="136"/>
      <c r="M5" s="136"/>
      <c r="N5" s="157" t="s">
        <v>56</v>
      </c>
      <c r="O5" s="158"/>
      <c r="P5" s="159"/>
      <c r="Q5" s="167" t="s">
        <v>57</v>
      </c>
      <c r="R5" s="158"/>
      <c r="S5" s="168"/>
      <c r="T5" s="142">
        <f>SUM(T7+U7)</f>
        <v>3.3958333333333348</v>
      </c>
      <c r="U5" s="143"/>
      <c r="V5" s="152">
        <f>SUM(V7+W7)</f>
        <v>1.2083333333333339</v>
      </c>
      <c r="W5" s="153"/>
      <c r="X5" s="142">
        <f>SUM(X7+Y7)</f>
        <v>0</v>
      </c>
      <c r="Y5" s="143"/>
      <c r="Z5" s="154">
        <f>SUMPRODUCT((MONTH($C$10:$C$42=$D$8)*($B$10:$B$42&lt;&gt;"")*($Z$10:$AA$42)))</f>
        <v>4.1041666666666687</v>
      </c>
      <c r="AA5" s="154"/>
      <c r="AB5" s="15"/>
      <c r="AC5" s="10"/>
      <c r="AD5" s="246" t="s">
        <v>97</v>
      </c>
      <c r="AE5" s="246">
        <f>SUMPRODUCT((($B$10:$B$42="férié")*(WEEKDAY($C$10:$C$42)&lt;&gt;1)+($B$10:$B$42="se"))*($M$10:$M$42&gt;0))</f>
        <v>11</v>
      </c>
      <c r="AF5" s="10"/>
      <c r="AG5" s="228" t="s">
        <v>41</v>
      </c>
      <c r="AH5" s="266">
        <f>SUM(U7+Y7)*24</f>
        <v>37.5</v>
      </c>
      <c r="AI5" s="206">
        <v>0.99299999999999999</v>
      </c>
      <c r="AJ5" s="265">
        <f t="shared" ref="AJ5:AJ10" si="0">AH5*AI5</f>
        <v>37.237499999999997</v>
      </c>
      <c r="AK5" s="10"/>
      <c r="AL5" s="10"/>
      <c r="AM5" s="10"/>
      <c r="AN5" s="10"/>
      <c r="AO5" s="10"/>
    </row>
    <row r="6" spans="1:41" ht="20" thickBot="1" x14ac:dyDescent="0.25">
      <c r="A6" s="11"/>
      <c r="B6" s="12"/>
      <c r="C6" s="45"/>
      <c r="D6" s="45"/>
      <c r="E6" s="10"/>
      <c r="F6" s="10"/>
      <c r="G6" s="10"/>
      <c r="H6" s="10"/>
      <c r="I6" s="54"/>
      <c r="J6" s="10"/>
      <c r="K6" s="10"/>
      <c r="L6" s="10"/>
      <c r="M6" s="10"/>
      <c r="N6" s="123" t="s">
        <v>54</v>
      </c>
      <c r="O6" s="124" t="s">
        <v>52</v>
      </c>
      <c r="P6" s="124" t="s">
        <v>53</v>
      </c>
      <c r="Q6" s="124" t="s">
        <v>54</v>
      </c>
      <c r="R6" s="124" t="s">
        <v>52</v>
      </c>
      <c r="S6" s="125" t="s">
        <v>53</v>
      </c>
      <c r="T6" s="140" t="s">
        <v>71</v>
      </c>
      <c r="U6" s="140" t="s">
        <v>72</v>
      </c>
      <c r="V6" s="58" t="s">
        <v>82</v>
      </c>
      <c r="W6" s="58" t="s">
        <v>83</v>
      </c>
      <c r="X6" s="140" t="s">
        <v>75</v>
      </c>
      <c r="Y6" s="140" t="s">
        <v>76</v>
      </c>
      <c r="Z6" s="140" t="s">
        <v>1</v>
      </c>
      <c r="AA6" s="140" t="s">
        <v>41</v>
      </c>
      <c r="AB6" s="16"/>
      <c r="AC6" s="10"/>
      <c r="AD6" s="255"/>
      <c r="AE6" s="256"/>
      <c r="AF6" s="10"/>
      <c r="AG6" s="228" t="s">
        <v>43</v>
      </c>
      <c r="AH6" s="266">
        <f>V7*24</f>
        <v>17.000000000000014</v>
      </c>
      <c r="AI6" s="206">
        <v>0.99299999999999999</v>
      </c>
      <c r="AJ6" s="265">
        <f t="shared" si="0"/>
        <v>16.881000000000014</v>
      </c>
      <c r="AK6" s="10"/>
      <c r="AL6" s="10"/>
      <c r="AM6" s="10"/>
      <c r="AN6" s="10"/>
      <c r="AO6" s="10"/>
    </row>
    <row r="7" spans="1:41" ht="20" x14ac:dyDescent="0.2">
      <c r="A7" s="11"/>
      <c r="B7" s="12"/>
      <c r="C7" s="41" t="s">
        <v>118</v>
      </c>
      <c r="D7" s="43">
        <v>10</v>
      </c>
      <c r="E7" s="10"/>
      <c r="F7" s="10"/>
      <c r="G7" s="22"/>
      <c r="H7" s="22"/>
      <c r="I7" s="10"/>
      <c r="J7" s="10"/>
      <c r="K7" s="155" t="s">
        <v>89</v>
      </c>
      <c r="L7" s="156"/>
      <c r="M7" s="184" t="s">
        <v>65</v>
      </c>
      <c r="N7" s="61" t="str">
        <f>TEXT(N8,"[hh]:mm")&amp;"h"&amp;" à "&amp;TEXT(N9,"[hh]:mm")&amp;"h"</f>
        <v>00:00h à 06:00h</v>
      </c>
      <c r="O7" s="62" t="str">
        <f>TEXT(O8,"[hh]:mm")&amp;"h"&amp;" à "&amp;TEXT(O9,"[hh]:mm")&amp;"h"</f>
        <v>06:00h à 21:00h</v>
      </c>
      <c r="P7" s="62" t="str">
        <f>TEXT(P8,"[hh]:mm")&amp;"h"&amp;" à "&amp;TEXT(P9,"[hh]:mm")&amp;"h"</f>
        <v>21:00h à 24:00h</v>
      </c>
      <c r="Q7" s="63" t="str">
        <f>TEXT(Q8,"[hh]:mm")&amp;"h"&amp;" à "&amp;TEXT(Q9,"hh:mm")&amp;"h"</f>
        <v>24:00h à 06:00h</v>
      </c>
      <c r="R7" s="62" t="str">
        <f>TEXT(R8,"hh:mm")&amp;"h"&amp;" à "&amp;TEXT(R9,"hh:mm")&amp;"h"</f>
        <v>06:00h à 21:00h</v>
      </c>
      <c r="S7" s="64" t="str">
        <f>TEXT(S8,"hh:mm")&amp;"h"&amp;" à "&amp;TEXT(S9-24/24,"[hh]:mm")&amp;"h"</f>
        <v>21:00h à 24:00h</v>
      </c>
      <c r="T7" s="60">
        <f>SUMIF(C10:C42,"&gt;0",T10:T42)</f>
        <v>1.833333333333335</v>
      </c>
      <c r="U7" s="60">
        <f>SUMIF(C10:C42,"&gt;0",U10:U42)</f>
        <v>1.5625</v>
      </c>
      <c r="V7" s="101">
        <f>SUMPRODUCT((WEEKDAY($C$10:$C$42)=1)*($Z$10:$Z$42))</f>
        <v>0.70833333333333393</v>
      </c>
      <c r="W7" s="101">
        <f>SUMPRODUCT((WEEKDAY($C$10:$C$42)=1)*($AA$10:$AA$42))</f>
        <v>0.5</v>
      </c>
      <c r="X7" s="60">
        <f>SUMPRODUCT(($B$10:$B$42="férié")*($X$10:$X$42))</f>
        <v>0</v>
      </c>
      <c r="Y7" s="60">
        <f>SUMPRODUCT(($B$10:$B$42="férié")*($Y$10:$Y$42))</f>
        <v>0</v>
      </c>
      <c r="Z7" s="60">
        <f>SUMIF(C10:C42,"&gt;0",Z10:Z42)</f>
        <v>2.0416666666666687</v>
      </c>
      <c r="AA7" s="60">
        <f>SUMIF(C10:C42,"&gt;0",AA10:AA42)</f>
        <v>2.0625</v>
      </c>
      <c r="AB7" s="21"/>
      <c r="AC7" s="10"/>
      <c r="AD7" s="246" t="s">
        <v>105</v>
      </c>
      <c r="AE7" s="247">
        <f>SUM(M10:M42)</f>
        <v>4.1041666666666687</v>
      </c>
      <c r="AF7" s="10"/>
      <c r="AG7" s="228" t="s">
        <v>42</v>
      </c>
      <c r="AH7" s="266">
        <f>W7*24</f>
        <v>12</v>
      </c>
      <c r="AI7" s="206">
        <v>1.88</v>
      </c>
      <c r="AJ7" s="265">
        <f t="shared" si="0"/>
        <v>22.56</v>
      </c>
      <c r="AK7" s="10"/>
      <c r="AL7" s="10"/>
      <c r="AM7" s="10"/>
      <c r="AN7" s="10"/>
      <c r="AO7" s="10"/>
    </row>
    <row r="8" spans="1:41" ht="20" x14ac:dyDescent="0.2">
      <c r="A8" s="10"/>
      <c r="B8" s="10"/>
      <c r="C8" s="42" t="s">
        <v>117</v>
      </c>
      <c r="D8" s="42">
        <v>2015</v>
      </c>
      <c r="E8" s="27"/>
      <c r="F8" s="31" t="s">
        <v>65</v>
      </c>
      <c r="G8" s="31" t="s">
        <v>65</v>
      </c>
      <c r="H8" s="31" t="s">
        <v>65</v>
      </c>
      <c r="I8" s="31" t="s">
        <v>65</v>
      </c>
      <c r="J8" s="31" t="s">
        <v>65</v>
      </c>
      <c r="K8" s="65" t="s">
        <v>80</v>
      </c>
      <c r="L8" s="65" t="s">
        <v>81</v>
      </c>
      <c r="M8" s="182" t="s">
        <v>59</v>
      </c>
      <c r="N8" s="126">
        <v>0</v>
      </c>
      <c r="O8" s="126">
        <f>IF(ISBLANK(F4),0/24,N9)</f>
        <v>0.25</v>
      </c>
      <c r="P8" s="126">
        <f>O9</f>
        <v>0.875</v>
      </c>
      <c r="Q8" s="127">
        <f>P9</f>
        <v>1</v>
      </c>
      <c r="R8" s="127">
        <f>Q9</f>
        <v>1.25</v>
      </c>
      <c r="S8" s="127">
        <f>R9</f>
        <v>1.875</v>
      </c>
      <c r="T8" s="147" t="s">
        <v>77</v>
      </c>
      <c r="U8" s="148"/>
      <c r="V8" s="144" t="s">
        <v>4</v>
      </c>
      <c r="W8" s="145"/>
      <c r="X8" s="147" t="s">
        <v>3</v>
      </c>
      <c r="Y8" s="148"/>
      <c r="Z8" s="146" t="s">
        <v>2</v>
      </c>
      <c r="AA8" s="146"/>
      <c r="AB8" s="197" t="s">
        <v>0</v>
      </c>
      <c r="AC8" s="13"/>
      <c r="AD8" s="255"/>
      <c r="AE8" s="256"/>
      <c r="AF8" s="10"/>
      <c r="AG8" s="228" t="s">
        <v>44</v>
      </c>
      <c r="AH8" s="266">
        <f>X5*24</f>
        <v>0</v>
      </c>
      <c r="AI8" s="206">
        <v>9.93</v>
      </c>
      <c r="AJ8" s="265">
        <f t="shared" si="0"/>
        <v>0</v>
      </c>
      <c r="AK8" s="10"/>
      <c r="AL8" s="10"/>
      <c r="AM8" s="10"/>
      <c r="AN8" s="10"/>
      <c r="AO8" s="10"/>
    </row>
    <row r="9" spans="1:41" ht="16" x14ac:dyDescent="0.2">
      <c r="A9" s="28" t="s">
        <v>5</v>
      </c>
      <c r="B9" s="116" t="s">
        <v>48</v>
      </c>
      <c r="C9" s="29" t="s">
        <v>30</v>
      </c>
      <c r="D9" s="29" t="s">
        <v>22</v>
      </c>
      <c r="E9" s="29" t="s">
        <v>32</v>
      </c>
      <c r="F9" s="32" t="s">
        <v>66</v>
      </c>
      <c r="G9" s="32" t="s">
        <v>67</v>
      </c>
      <c r="H9" s="122" t="s">
        <v>29</v>
      </c>
      <c r="I9" s="32" t="s">
        <v>78</v>
      </c>
      <c r="J9" s="32" t="s">
        <v>79</v>
      </c>
      <c r="K9" s="34">
        <f>COUNTA(F10:F42)</f>
        <v>11</v>
      </c>
      <c r="L9" s="33">
        <f>SUM(L10:L42)</f>
        <v>0</v>
      </c>
      <c r="M9" s="183" t="s">
        <v>98</v>
      </c>
      <c r="N9" s="35">
        <f>IF(ISBLANK(F4),"",F4)</f>
        <v>0.25</v>
      </c>
      <c r="O9" s="35">
        <f>F3</f>
        <v>0.875</v>
      </c>
      <c r="P9" s="36">
        <f>24/24</f>
        <v>1</v>
      </c>
      <c r="Q9" s="36">
        <f>IF(ISBLANK(F4),O9+24/24,IF(N9=0/24,O9+24/24,N9+24/24))</f>
        <v>1.25</v>
      </c>
      <c r="R9" s="36">
        <f>O9+24/24</f>
        <v>1.875</v>
      </c>
      <c r="S9" s="36">
        <f>P9+24/24</f>
        <v>2</v>
      </c>
      <c r="T9" s="150">
        <f>SUMPRODUCT((($B$10:$B$42="férié")*(WEEKDAY($C$10:$C$42)&lt;&gt;1)+($B$10:$B$42="se"))*($M$10:$M$42&gt;0))</f>
        <v>11</v>
      </c>
      <c r="U9" s="151"/>
      <c r="V9" s="185">
        <f>SUMPRODUCT((WEEKDAY($C$10:$C$42)=1)*($M$10:$M$42&gt;0))</f>
        <v>1</v>
      </c>
      <c r="W9" s="186"/>
      <c r="X9" s="150">
        <f>SUMPRODUCT(($B$10:$B$42="férié")*($M$10:$M$42&gt;0))</f>
        <v>0</v>
      </c>
      <c r="Y9" s="151"/>
      <c r="Z9" s="149">
        <f>COUNTA(F10:F42)</f>
        <v>11</v>
      </c>
      <c r="AA9" s="149"/>
      <c r="AB9" s="198"/>
      <c r="AC9" s="13"/>
      <c r="AD9" s="246" t="s">
        <v>109</v>
      </c>
      <c r="AE9" s="248">
        <f>SUMIF(C10:C42,"&gt;0",Z10:Z42)</f>
        <v>2.0416666666666687</v>
      </c>
      <c r="AF9" s="10"/>
      <c r="AG9" s="230" t="s">
        <v>45</v>
      </c>
      <c r="AH9" s="266">
        <f>SUM(AH4:AH7)</f>
        <v>110.50000000000006</v>
      </c>
      <c r="AI9" s="206">
        <v>0.13100000000000001</v>
      </c>
      <c r="AJ9" s="265">
        <f>AH9*AI9</f>
        <v>14.475500000000007</v>
      </c>
      <c r="AK9" s="10"/>
      <c r="AL9" s="10"/>
      <c r="AM9" s="10"/>
      <c r="AN9" s="10"/>
      <c r="AO9" s="10"/>
    </row>
    <row r="10" spans="1:41" ht="16" x14ac:dyDescent="0.2">
      <c r="A10" s="67">
        <v>1</v>
      </c>
      <c r="B10" s="68" t="str">
        <f t="shared" ref="B10:B40" si="1">IF(C10="","",IF(COUNTIF(Fer,C10)&gt;0,"Férié",IF(WEEKDAY(C10,2)&lt;=6,"Se","Dim")))</f>
        <v>Se</v>
      </c>
      <c r="C10" s="68">
        <v>42217</v>
      </c>
      <c r="D10" s="69" t="s">
        <v>23</v>
      </c>
      <c r="E10" s="69" t="s">
        <v>91</v>
      </c>
      <c r="F10" s="70">
        <v>6.25E-2</v>
      </c>
      <c r="G10" s="70">
        <v>0.35416666666666702</v>
      </c>
      <c r="H10" s="71">
        <f t="shared" ref="H10:H42" si="2">IF(OR(C10="",F10="",G10=""),"",IF(COUNT(F$3:F$4)=1,"",IF(G10&gt;F10,G10-F10,MOD(G10+24/24-F10,1))))</f>
        <v>0.29166666666666702</v>
      </c>
      <c r="I10" s="208"/>
      <c r="J10" s="209"/>
      <c r="K10" s="210" t="str">
        <f>IF(M10*24&gt;=6,"1","")</f>
        <v>1</v>
      </c>
      <c r="L10" s="211" t="str">
        <f>IF(D10="Maitre chien",H10+I10+J10,"")</f>
        <v/>
      </c>
      <c r="M10" s="192">
        <f>SUM(H10,I10,J10)</f>
        <v>0.29166666666666702</v>
      </c>
      <c r="N10" s="72">
        <f>IF(OR($C10="",H10="",N$9=""),"",IF($F10&gt;$G10,MAX(,MIN(N$9,$G10+24/24)-MAX(N$8,$F10)),MAX(,MIN(N$9,$H10)-MAX(N$8,$F10))))</f>
        <v>0.1875</v>
      </c>
      <c r="O10" s="73">
        <f>IF(OR($C10="",N10="",O$9=""),"",IF($F10&gt;$G10,MAX(,MIN(O$9,$G10+24/24)-MAX(O$8,$F10)),MAX(,MIN(O$9,$G10)-MAX(O$8,$F10))))</f>
        <v>0.10416666666666702</v>
      </c>
      <c r="P10" s="74">
        <f t="shared" ref="O10:P29" si="3">IF(OR($C10="",O10="",P$9=""),"",IF($F10&gt;$G10,MAX(,MIN(P$9,$G10+24/24)-MAX(P$8,$F10)),MAX(,MIN(P$9,$G10)-MAX(P$8,$F10))))</f>
        <v>0</v>
      </c>
      <c r="Q10" s="72"/>
      <c r="R10" s="73"/>
      <c r="S10" s="74"/>
      <c r="T10" s="77">
        <f>SUMPRODUCT(($B$10="se")*($Z$10))</f>
        <v>0.10416666666666702</v>
      </c>
      <c r="U10" s="102">
        <f>SUMPRODUCT(($B$10="se")*($AA$10))</f>
        <v>0.1875</v>
      </c>
      <c r="V10" s="75">
        <f>(WEEKDAY($C10)=1)*($Z10)</f>
        <v>0</v>
      </c>
      <c r="W10" s="76">
        <f>(WEEKDAY($C10)=1)*($AA10)</f>
        <v>0</v>
      </c>
      <c r="X10" s="105">
        <f>SUMPRODUCT(($B$10="férié")*($Z$10))</f>
        <v>0</v>
      </c>
      <c r="Y10" s="102">
        <f>SUMPRODUCT(($B$10="férié")*($AA$10))</f>
        <v>0</v>
      </c>
      <c r="Z10" s="110">
        <f>SUM(I10,O10,R10)</f>
        <v>0.10416666666666702</v>
      </c>
      <c r="AA10" s="111">
        <f>SUM(J10,N10,P10,Q10,S10)</f>
        <v>0.1875</v>
      </c>
      <c r="AB10" s="118"/>
      <c r="AC10" s="13"/>
      <c r="AD10" s="257"/>
      <c r="AE10" s="258"/>
      <c r="AF10" s="10"/>
      <c r="AG10" s="231" t="s">
        <v>47</v>
      </c>
      <c r="AH10" s="232"/>
      <c r="AI10" s="233"/>
      <c r="AJ10" s="234">
        <f t="shared" si="0"/>
        <v>0</v>
      </c>
      <c r="AK10" s="10"/>
      <c r="AL10" s="10"/>
      <c r="AM10" s="10"/>
      <c r="AN10" s="10"/>
      <c r="AO10" s="10"/>
    </row>
    <row r="11" spans="1:41" ht="16" x14ac:dyDescent="0.2">
      <c r="A11" s="25">
        <v>2</v>
      </c>
      <c r="B11" s="78" t="str">
        <f t="shared" si="1"/>
        <v>Se</v>
      </c>
      <c r="C11" s="68">
        <v>42217</v>
      </c>
      <c r="D11" s="79" t="s">
        <v>23</v>
      </c>
      <c r="E11" s="79" t="s">
        <v>91</v>
      </c>
      <c r="F11" s="80">
        <v>0.85416666666666696</v>
      </c>
      <c r="G11" s="80">
        <v>0.35416666666666702</v>
      </c>
      <c r="H11" s="81">
        <f t="shared" si="2"/>
        <v>0.5</v>
      </c>
      <c r="I11" s="212"/>
      <c r="J11" s="213"/>
      <c r="K11" s="214" t="str">
        <f>IF(M11*24&gt;=6,"1","")</f>
        <v>1</v>
      </c>
      <c r="L11" s="215" t="str">
        <f>IF(D11="Maitre chien",H11+I11+J11,"")</f>
        <v/>
      </c>
      <c r="M11" s="193">
        <f>SUM(H11,I11,J11)</f>
        <v>0.5</v>
      </c>
      <c r="N11" s="82">
        <f>IF(OR($C11="",H11="",N$9=""),"",IF($F11&gt;$G11,MAX(,MIN(N$9,$G11+24/24)-MAX(N$8,$F11)),MAX(,MIN(N$9,$H11)-MAX(N$8,$F11))))</f>
        <v>0</v>
      </c>
      <c r="O11" s="73">
        <f t="shared" si="3"/>
        <v>2.0833333333333037E-2</v>
      </c>
      <c r="P11" s="83">
        <f t="shared" si="3"/>
        <v>0.125</v>
      </c>
      <c r="Q11" s="84">
        <f>IF(OR(P10="",Q$9=""),"",IF($F10&gt;$G10,MAX(,MIN(Q$9,$G10+24/24)-MAX(Q$8,$F10)),MAX(,MIN(Q$9,$G10)-MAX(Q$8,$F10))))</f>
        <v>0</v>
      </c>
      <c r="R11" s="85">
        <f>IF(OR(Q11="",R$9=""),"",IF($F10&gt;$G10,MAX(,MIN(R$9,$G10+24/24)-MAX(R$8,$F10)),MAX(,MIN(R$9,$G10)-MAX(R$8,$F10))))</f>
        <v>0</v>
      </c>
      <c r="S11" s="83">
        <f>IF(OR(R11="",S$9=""),"",IF($F10&gt;$G10,MAX(,MIN(S$9,$G10+24/24)-MAX(S$8,$F10)),MAX(,MIN(S$9,$G10)-MAX(S$8,$F10))))</f>
        <v>0</v>
      </c>
      <c r="T11" s="88">
        <f>SUMPRODUCT(($B$11="se")*($Z$11))</f>
        <v>2.0833333333333037E-2</v>
      </c>
      <c r="U11" s="103">
        <f>SUMPRODUCT(($B$11="se")*($AA$11))</f>
        <v>0.125</v>
      </c>
      <c r="V11" s="86">
        <f>(WEEKDAY($C11)=1)*($Z11)</f>
        <v>0</v>
      </c>
      <c r="W11" s="87">
        <f>(WEEKDAY($C11)=1)*($AA11)</f>
        <v>0</v>
      </c>
      <c r="X11" s="106">
        <f>SUMPRODUCT(($B$11="férié")*($Z$11))</f>
        <v>0</v>
      </c>
      <c r="Y11" s="103">
        <f>SUMPRODUCT(($B$11="férié")*($AA$11))</f>
        <v>0</v>
      </c>
      <c r="Z11" s="112">
        <f>SUM(I11,O11,R11)</f>
        <v>2.0833333333333037E-2</v>
      </c>
      <c r="AA11" s="113">
        <f>SUM(J11,N11,P11,Q11,S11)</f>
        <v>0.125</v>
      </c>
      <c r="AB11" s="119"/>
      <c r="AC11" s="13"/>
      <c r="AD11" s="246" t="s">
        <v>110</v>
      </c>
      <c r="AE11" s="248">
        <f>SUMIF(C10:C42,"&gt;0",AA10:AA42)</f>
        <v>2.0625</v>
      </c>
      <c r="AF11" s="10"/>
      <c r="AG11" s="10"/>
      <c r="AH11" s="22"/>
      <c r="AI11" s="223" t="s">
        <v>114</v>
      </c>
      <c r="AJ11" s="224">
        <f>SUM(AJ4:AJ10)</f>
        <v>528.07400000000041</v>
      </c>
      <c r="AK11" s="10"/>
      <c r="AL11" s="10"/>
      <c r="AM11" s="10"/>
      <c r="AN11" s="10"/>
      <c r="AO11" s="10"/>
    </row>
    <row r="12" spans="1:41" ht="16" x14ac:dyDescent="0.2">
      <c r="A12" s="25">
        <v>3</v>
      </c>
      <c r="B12" s="78" t="str">
        <f t="shared" si="1"/>
        <v>Dim</v>
      </c>
      <c r="C12" s="68">
        <v>42218</v>
      </c>
      <c r="D12" s="79"/>
      <c r="E12" s="79"/>
      <c r="F12" s="80"/>
      <c r="G12" s="80"/>
      <c r="H12" s="81" t="str">
        <f t="shared" si="2"/>
        <v/>
      </c>
      <c r="I12" s="212"/>
      <c r="J12" s="213"/>
      <c r="K12" s="214" t="str">
        <f>IF(M12*24&gt;=6,"1","")</f>
        <v/>
      </c>
      <c r="L12" s="215" t="str">
        <f>IF(D12="Maitre chien",H12+I12+J12,"")</f>
        <v/>
      </c>
      <c r="M12" s="193">
        <f>SUM(H12,I12,J12)</f>
        <v>0</v>
      </c>
      <c r="N12" s="82" t="str">
        <f>IF(OR($C12="",H12="",N$9=""),"",IF($F12&gt;$G12,MAX(,MIN(N$9,$G12+24/24)-MAX(N$8,$F12)),MAX(,MIN(N$9,$H12)-MAX(N$8,$F12))))</f>
        <v/>
      </c>
      <c r="O12" s="73" t="str">
        <f t="shared" si="3"/>
        <v/>
      </c>
      <c r="P12" s="83" t="str">
        <f t="shared" si="3"/>
        <v/>
      </c>
      <c r="Q12" s="84">
        <f t="shared" ref="Q12:Q42" si="4">IF(OR(P11="",Q$9=""),"",IF($F11&gt;$G11,MAX(,MIN(Q$9,$G11+24/24)-MAX(Q$8,$F11)),MAX(,MIN(Q$9,$G11)-MAX(Q$8,$F11))))</f>
        <v>0.25</v>
      </c>
      <c r="R12" s="85">
        <f t="shared" ref="R12:S27" si="5">IF(OR(Q12="",R$9=""),"",IF($F11&gt;$G11,MAX(,MIN(R$9,$G11+24/24)-MAX(R$8,$F11)),MAX(,MIN(R$9,$G11)-MAX(R$8,$F11))))</f>
        <v>0.10416666666666696</v>
      </c>
      <c r="S12" s="83">
        <f t="shared" si="5"/>
        <v>0</v>
      </c>
      <c r="T12" s="88">
        <f>SUMPRODUCT(($B$12="se")*($Z$12))</f>
        <v>0</v>
      </c>
      <c r="U12" s="103">
        <f>SUMPRODUCT(($B$12="se")*($AA$12))</f>
        <v>0</v>
      </c>
      <c r="V12" s="86">
        <f>(WEEKDAY($C12)=1)*($Z12)</f>
        <v>0.10416666666666696</v>
      </c>
      <c r="W12" s="87">
        <f>(WEEKDAY($C12)=1)*($AA12)</f>
        <v>0.25</v>
      </c>
      <c r="X12" s="106">
        <f>SUMPRODUCT(($B$12="férié")*($Z$12))</f>
        <v>0</v>
      </c>
      <c r="Y12" s="103">
        <f>SUMPRODUCT(($B$12="férié")*($AA$12))</f>
        <v>0</v>
      </c>
      <c r="Z12" s="112">
        <f>SUM(I12,O12,R12)</f>
        <v>0.10416666666666696</v>
      </c>
      <c r="AA12" s="113">
        <f>SUM(J12,N12,P12,Q12,S12)</f>
        <v>0.25</v>
      </c>
      <c r="AB12" s="119"/>
      <c r="AC12" s="13"/>
      <c r="AD12" s="259"/>
      <c r="AE12" s="260"/>
      <c r="AF12" s="10"/>
      <c r="AG12" s="10"/>
      <c r="AH12" s="10"/>
      <c r="AI12" s="10"/>
      <c r="AJ12" s="10"/>
      <c r="AK12" s="10"/>
      <c r="AL12" s="10"/>
      <c r="AM12" s="10"/>
      <c r="AN12" s="10"/>
      <c r="AO12" s="10"/>
    </row>
    <row r="13" spans="1:41" ht="16" x14ac:dyDescent="0.2">
      <c r="A13" s="25">
        <v>4</v>
      </c>
      <c r="B13" s="78" t="str">
        <f t="shared" si="1"/>
        <v>Se</v>
      </c>
      <c r="C13" s="68">
        <v>42219</v>
      </c>
      <c r="D13" s="79"/>
      <c r="E13" s="79" t="s">
        <v>120</v>
      </c>
      <c r="F13" s="80"/>
      <c r="G13" s="80"/>
      <c r="H13" s="81" t="str">
        <f t="shared" si="2"/>
        <v/>
      </c>
      <c r="I13" s="212"/>
      <c r="J13" s="213"/>
      <c r="K13" s="214" t="str">
        <f>IF(M13*24&gt;=6,"1","")</f>
        <v/>
      </c>
      <c r="L13" s="215" t="str">
        <f>IF(D13="Maitre chien",H13+I13+J13,"")</f>
        <v/>
      </c>
      <c r="M13" s="193">
        <f>SUM(H13,I13,J13)</f>
        <v>0</v>
      </c>
      <c r="N13" s="82" t="str">
        <f>IF(OR($C13="",H13="",N$9=""),"",IF($F13&gt;$G13,MAX(,MIN(N$9,$G13+24/24)-MAX(N$8,$F13)),MAX(,MIN(N$9,$H13)-MAX(N$8,$F13))))</f>
        <v/>
      </c>
      <c r="O13" s="73" t="str">
        <f t="shared" si="3"/>
        <v/>
      </c>
      <c r="P13" s="83" t="str">
        <f t="shared" si="3"/>
        <v/>
      </c>
      <c r="Q13" s="84" t="str">
        <f t="shared" si="4"/>
        <v/>
      </c>
      <c r="R13" s="85" t="str">
        <f t="shared" si="5"/>
        <v/>
      </c>
      <c r="S13" s="83" t="str">
        <f t="shared" si="5"/>
        <v/>
      </c>
      <c r="T13" s="88">
        <f>SUMPRODUCT(($B$13="se")*($Z$13))</f>
        <v>0</v>
      </c>
      <c r="U13" s="103">
        <f>SUMPRODUCT(($B$13="se")*($AA$13))</f>
        <v>0</v>
      </c>
      <c r="V13" s="86">
        <f>(WEEKDAY($C13)=1)*($Z13)</f>
        <v>0</v>
      </c>
      <c r="W13" s="87">
        <f>(WEEKDAY($C13)=1)*($AA13)</f>
        <v>0</v>
      </c>
      <c r="X13" s="106">
        <f>SUMPRODUCT(($B$13="férié")*($Z$13))</f>
        <v>0</v>
      </c>
      <c r="Y13" s="103">
        <f>SUMPRODUCT(($B$13="férié")*($AA$13))</f>
        <v>0</v>
      </c>
      <c r="Z13" s="112">
        <f>SUM(I13,O13,R13)</f>
        <v>0</v>
      </c>
      <c r="AA13" s="113">
        <f>SUM(J13,N13,P13,Q13,S13)</f>
        <v>0</v>
      </c>
      <c r="AB13" s="119"/>
      <c r="AC13" s="13"/>
      <c r="AD13" s="249" t="s">
        <v>122</v>
      </c>
      <c r="AE13" s="250">
        <f>SUMPRODUCT((WEEKDAY($C$10:$C$42)=1)*($M$10:$M$42&gt;0))</f>
        <v>1</v>
      </c>
      <c r="AF13" s="10"/>
      <c r="AG13" s="10"/>
      <c r="AH13" s="10"/>
      <c r="AI13" s="10"/>
      <c r="AJ13" s="10"/>
      <c r="AK13" s="10"/>
      <c r="AL13" s="10"/>
      <c r="AM13" s="10"/>
      <c r="AN13" s="10"/>
      <c r="AO13" s="10"/>
    </row>
    <row r="14" spans="1:41" ht="16" x14ac:dyDescent="0.2">
      <c r="A14" s="25">
        <v>5</v>
      </c>
      <c r="B14" s="78" t="str">
        <f t="shared" si="1"/>
        <v>Se</v>
      </c>
      <c r="C14" s="68">
        <v>42220</v>
      </c>
      <c r="D14" s="79"/>
      <c r="E14" s="79" t="s">
        <v>120</v>
      </c>
      <c r="F14" s="80"/>
      <c r="G14" s="80"/>
      <c r="H14" s="81" t="str">
        <f t="shared" si="2"/>
        <v/>
      </c>
      <c r="I14" s="212"/>
      <c r="J14" s="213"/>
      <c r="K14" s="214" t="str">
        <f>IF(M14*24&gt;=6,"1","")</f>
        <v/>
      </c>
      <c r="L14" s="215" t="str">
        <f>IF(D14="Maitre chien",H14+I14+J14,"")</f>
        <v/>
      </c>
      <c r="M14" s="193">
        <f>SUM(H14,I14,J14)</f>
        <v>0</v>
      </c>
      <c r="N14" s="82" t="str">
        <f>IF(OR($C14="",H14="",N$9=""),"",IF($F14&gt;$G14,MAX(,MIN(N$9,$G14+24/24)-MAX(N$8,$F14)),MAX(,MIN(N$9,$H14)-MAX(N$8,$F14))))</f>
        <v/>
      </c>
      <c r="O14" s="73" t="str">
        <f t="shared" si="3"/>
        <v/>
      </c>
      <c r="P14" s="83" t="str">
        <f t="shared" si="3"/>
        <v/>
      </c>
      <c r="Q14" s="84" t="str">
        <f t="shared" si="4"/>
        <v/>
      </c>
      <c r="R14" s="85" t="str">
        <f t="shared" si="5"/>
        <v/>
      </c>
      <c r="S14" s="83" t="str">
        <f t="shared" si="5"/>
        <v/>
      </c>
      <c r="T14" s="88">
        <f>SUMPRODUCT(($B$14="se")*($Z$14))</f>
        <v>0</v>
      </c>
      <c r="U14" s="103">
        <f>SUMPRODUCT(($B$14="se")*($AA$14))</f>
        <v>0</v>
      </c>
      <c r="V14" s="86">
        <f>(WEEKDAY($C14)=1)*($Z14)</f>
        <v>0</v>
      </c>
      <c r="W14" s="87">
        <f>(WEEKDAY($C14)=1)*($AA14)</f>
        <v>0</v>
      </c>
      <c r="X14" s="106">
        <f>SUMPRODUCT(($B$14="férié")*($Z$14))</f>
        <v>0</v>
      </c>
      <c r="Y14" s="103">
        <f>SUMPRODUCT(($B$14="férié")*($AA$14))</f>
        <v>0</v>
      </c>
      <c r="Z14" s="112">
        <f>SUM(I14,O14,R14)</f>
        <v>0</v>
      </c>
      <c r="AA14" s="113">
        <f>SUM(J14,N14,P14,Q14,S14)</f>
        <v>0</v>
      </c>
      <c r="AB14" s="119"/>
      <c r="AC14" s="13"/>
      <c r="AD14" s="255"/>
      <c r="AE14" s="256"/>
      <c r="AF14" s="10"/>
      <c r="AG14" s="243" t="s">
        <v>39</v>
      </c>
      <c r="AH14" s="244"/>
      <c r="AI14" s="244"/>
      <c r="AJ14" s="245"/>
      <c r="AK14" s="10"/>
      <c r="AL14" s="10"/>
      <c r="AM14" s="10"/>
      <c r="AN14" s="10"/>
      <c r="AO14" s="10"/>
    </row>
    <row r="15" spans="1:41" ht="16" x14ac:dyDescent="0.2">
      <c r="A15" s="25">
        <v>6</v>
      </c>
      <c r="B15" s="78" t="str">
        <f t="shared" si="1"/>
        <v>Se</v>
      </c>
      <c r="C15" s="68">
        <v>42221</v>
      </c>
      <c r="D15" s="79"/>
      <c r="E15" s="79" t="s">
        <v>120</v>
      </c>
      <c r="F15" s="80"/>
      <c r="G15" s="80"/>
      <c r="H15" s="81" t="str">
        <f t="shared" si="2"/>
        <v/>
      </c>
      <c r="I15" s="212"/>
      <c r="J15" s="213"/>
      <c r="K15" s="214" t="str">
        <f>IF(M15*24&gt;=6,"1","")</f>
        <v/>
      </c>
      <c r="L15" s="215" t="str">
        <f>IF(D15="Maitre chien",H15+I15+J15,"")</f>
        <v/>
      </c>
      <c r="M15" s="193">
        <f>SUM(H15,I15,J15)</f>
        <v>0</v>
      </c>
      <c r="N15" s="82" t="str">
        <f>IF(OR($C15="",H15="",N$9=""),"",IF($F15&gt;$G15,MAX(,MIN(N$9,$G15+24/24)-MAX(N$8,$F15)),MAX(,MIN(N$9,$H15)-MAX(N$8,$F15))))</f>
        <v/>
      </c>
      <c r="O15" s="73" t="str">
        <f t="shared" si="3"/>
        <v/>
      </c>
      <c r="P15" s="83" t="str">
        <f t="shared" si="3"/>
        <v/>
      </c>
      <c r="Q15" s="84" t="str">
        <f t="shared" si="4"/>
        <v/>
      </c>
      <c r="R15" s="85" t="str">
        <f t="shared" si="5"/>
        <v/>
      </c>
      <c r="S15" s="83" t="str">
        <f t="shared" si="5"/>
        <v/>
      </c>
      <c r="T15" s="88">
        <f>SUMPRODUCT(($B$15="se")*($Z$15))</f>
        <v>0</v>
      </c>
      <c r="U15" s="103">
        <f>SUMPRODUCT(($B$15="se")*($AA$15))</f>
        <v>0</v>
      </c>
      <c r="V15" s="86">
        <f>(WEEKDAY($C15)=1)*($Z15)</f>
        <v>0</v>
      </c>
      <c r="W15" s="87">
        <f>(WEEKDAY($C15)=1)*($AA15)</f>
        <v>0</v>
      </c>
      <c r="X15" s="106">
        <f>SUMPRODUCT(($B$15="férié")*($Z$15))</f>
        <v>0</v>
      </c>
      <c r="Y15" s="103">
        <f>SUMPRODUCT(($B$15="férié")*($AA$15))</f>
        <v>0</v>
      </c>
      <c r="Z15" s="112">
        <f>SUM(I15,O15,R15)</f>
        <v>0</v>
      </c>
      <c r="AA15" s="113">
        <f>SUM(J15,N15,P15,Q15,S15)</f>
        <v>0</v>
      </c>
      <c r="AB15" s="119"/>
      <c r="AC15" s="13"/>
      <c r="AD15" s="249" t="s">
        <v>113</v>
      </c>
      <c r="AE15" s="251">
        <f>SUM(V7+W7)</f>
        <v>1.2083333333333339</v>
      </c>
      <c r="AF15" s="10"/>
      <c r="AG15" s="236"/>
      <c r="AH15" s="203" t="s">
        <v>29</v>
      </c>
      <c r="AI15" s="203" t="s">
        <v>46</v>
      </c>
      <c r="AJ15" s="237" t="s">
        <v>29</v>
      </c>
      <c r="AK15" s="10"/>
      <c r="AL15" s="10"/>
      <c r="AM15" s="10"/>
      <c r="AN15" s="10"/>
      <c r="AO15" s="10"/>
    </row>
    <row r="16" spans="1:41" ht="16" x14ac:dyDescent="0.2">
      <c r="A16" s="25">
        <v>7</v>
      </c>
      <c r="B16" s="78" t="str">
        <f t="shared" si="1"/>
        <v>Se</v>
      </c>
      <c r="C16" s="68">
        <v>42222</v>
      </c>
      <c r="D16" s="79"/>
      <c r="E16" s="79" t="s">
        <v>120</v>
      </c>
      <c r="F16" s="80"/>
      <c r="G16" s="80"/>
      <c r="H16" s="81" t="str">
        <f t="shared" si="2"/>
        <v/>
      </c>
      <c r="I16" s="212"/>
      <c r="J16" s="213"/>
      <c r="K16" s="214" t="str">
        <f>IF(M16*24&gt;=6,"1","")</f>
        <v/>
      </c>
      <c r="L16" s="215" t="str">
        <f>IF(D16="Maitre chien",H16+I16+J16,"")</f>
        <v/>
      </c>
      <c r="M16" s="193">
        <f>SUM(H16,I16,J16)</f>
        <v>0</v>
      </c>
      <c r="N16" s="82" t="str">
        <f>IF(OR($C16="",H16="",N$9=""),"",IF($F16&gt;$G16,MAX(,MIN(N$9,$G16+24/24)-MAX(N$8,$F16)),MAX(,MIN(N$9,$H16)-MAX(N$8,$F16))))</f>
        <v/>
      </c>
      <c r="O16" s="73" t="str">
        <f t="shared" si="3"/>
        <v/>
      </c>
      <c r="P16" s="83" t="str">
        <f t="shared" si="3"/>
        <v/>
      </c>
      <c r="Q16" s="84" t="str">
        <f t="shared" si="4"/>
        <v/>
      </c>
      <c r="R16" s="85" t="str">
        <f t="shared" si="5"/>
        <v/>
      </c>
      <c r="S16" s="83" t="str">
        <f t="shared" si="5"/>
        <v/>
      </c>
      <c r="T16" s="88">
        <f>SUMPRODUCT(($B$16="se")*($Z$16))</f>
        <v>0</v>
      </c>
      <c r="U16" s="103">
        <f>SUMPRODUCT(($B$16="se")*($AA$16))</f>
        <v>0</v>
      </c>
      <c r="V16" s="86">
        <f>(WEEKDAY($C16)=1)*($Z16)</f>
        <v>0</v>
      </c>
      <c r="W16" s="87">
        <f>(WEEKDAY($C16)=1)*($AA16)</f>
        <v>0</v>
      </c>
      <c r="X16" s="106">
        <f>SUMPRODUCT(($B$16="férié")*($Z$16))</f>
        <v>0</v>
      </c>
      <c r="Y16" s="103">
        <f>SUMPRODUCT(($B$16="férié")*($AA$16))</f>
        <v>0</v>
      </c>
      <c r="Z16" s="112">
        <f>SUM(I16,O16,R16)</f>
        <v>0</v>
      </c>
      <c r="AA16" s="113">
        <f>SUM(J16,N16,P16,Q16,S16)</f>
        <v>0</v>
      </c>
      <c r="AB16" s="119"/>
      <c r="AC16" s="13"/>
      <c r="AD16" s="255"/>
      <c r="AE16" s="256"/>
      <c r="AF16" s="10"/>
      <c r="AG16" s="238" t="s">
        <v>116</v>
      </c>
      <c r="AH16" s="204">
        <f>COUNTA(F10:F42)</f>
        <v>11</v>
      </c>
      <c r="AI16" s="207">
        <v>3.43</v>
      </c>
      <c r="AJ16" s="239">
        <f>AH16*AI16</f>
        <v>37.730000000000004</v>
      </c>
      <c r="AK16" s="10"/>
      <c r="AL16" s="10"/>
      <c r="AM16" s="10"/>
      <c r="AN16" s="10"/>
      <c r="AO16" s="10"/>
    </row>
    <row r="17" spans="1:41" ht="16" x14ac:dyDescent="0.2">
      <c r="A17" s="25">
        <v>8</v>
      </c>
      <c r="B17" s="78" t="str">
        <f t="shared" si="1"/>
        <v>Se</v>
      </c>
      <c r="C17" s="68">
        <v>42223</v>
      </c>
      <c r="D17" s="79"/>
      <c r="E17" s="79" t="s">
        <v>120</v>
      </c>
      <c r="F17" s="80"/>
      <c r="G17" s="80"/>
      <c r="H17" s="81" t="str">
        <f t="shared" si="2"/>
        <v/>
      </c>
      <c r="I17" s="212"/>
      <c r="J17" s="213"/>
      <c r="K17" s="214" t="str">
        <f>IF(M17*24&gt;=6,"1","")</f>
        <v/>
      </c>
      <c r="L17" s="215" t="str">
        <f>IF(D17="Maitre chien",H17+I17+J17,"")</f>
        <v/>
      </c>
      <c r="M17" s="193">
        <f>SUM(H17,I17,J17)</f>
        <v>0</v>
      </c>
      <c r="N17" s="82" t="str">
        <f>IF(OR($C17="",H17="",N$9=""),"",IF($F17&gt;$G17,MAX(,MIN(N$9,$G17+24/24)-MAX(N$8,$F17)),MAX(,MIN(N$9,$H17)-MAX(N$8,$F17))))</f>
        <v/>
      </c>
      <c r="O17" s="73" t="str">
        <f t="shared" si="3"/>
        <v/>
      </c>
      <c r="P17" s="83" t="str">
        <f t="shared" si="3"/>
        <v/>
      </c>
      <c r="Q17" s="84" t="str">
        <f t="shared" si="4"/>
        <v/>
      </c>
      <c r="R17" s="85" t="str">
        <f t="shared" si="5"/>
        <v/>
      </c>
      <c r="S17" s="83" t="str">
        <f t="shared" si="5"/>
        <v/>
      </c>
      <c r="T17" s="88">
        <f>SUMPRODUCT(($B$17="se")*($Z$17))</f>
        <v>0</v>
      </c>
      <c r="U17" s="103">
        <f>SUMPRODUCT(($B$17="se")*($AA$17))</f>
        <v>0</v>
      </c>
      <c r="V17" s="86">
        <f>(WEEKDAY($C17)=1)*($Z17)</f>
        <v>0</v>
      </c>
      <c r="W17" s="87">
        <f>(WEEKDAY($C17)=1)*($AA17)</f>
        <v>0</v>
      </c>
      <c r="X17" s="106">
        <f>SUMPRODUCT(($B$17="férié")*($Z$17))</f>
        <v>0</v>
      </c>
      <c r="Y17" s="103">
        <f>SUMPRODUCT(($B$17="férié")*($AA$17))</f>
        <v>0</v>
      </c>
      <c r="Z17" s="112">
        <f>SUM(I17,O17,R17)</f>
        <v>0</v>
      </c>
      <c r="AA17" s="113">
        <f>SUM(J17,N17,P17,Q17,S17)</f>
        <v>0</v>
      </c>
      <c r="AB17" s="119"/>
      <c r="AC17" s="13"/>
      <c r="AD17" s="246" t="s">
        <v>111</v>
      </c>
      <c r="AE17" s="248">
        <f>SUMPRODUCT(($B$10:$B$42="dim")*($Z$10:$Z$42))</f>
        <v>0.20833333333333393</v>
      </c>
      <c r="AF17" s="10"/>
      <c r="AG17" s="240" t="s">
        <v>115</v>
      </c>
      <c r="AH17" s="241"/>
      <c r="AI17" s="233">
        <v>0.81</v>
      </c>
      <c r="AJ17" s="242">
        <f>AH17*AI17</f>
        <v>0</v>
      </c>
      <c r="AK17" s="10"/>
      <c r="AL17" s="10"/>
      <c r="AM17" s="10"/>
      <c r="AN17" s="10"/>
      <c r="AO17" s="10"/>
    </row>
    <row r="18" spans="1:41" ht="16" x14ac:dyDescent="0.2">
      <c r="A18" s="25">
        <v>9</v>
      </c>
      <c r="B18" s="78" t="str">
        <f t="shared" si="1"/>
        <v>Se</v>
      </c>
      <c r="C18" s="68">
        <v>42224</v>
      </c>
      <c r="D18" s="79"/>
      <c r="E18" s="79" t="s">
        <v>120</v>
      </c>
      <c r="F18" s="80"/>
      <c r="G18" s="80"/>
      <c r="H18" s="81" t="str">
        <f t="shared" si="2"/>
        <v/>
      </c>
      <c r="I18" s="212"/>
      <c r="J18" s="213"/>
      <c r="K18" s="214" t="str">
        <f>IF(M18*24&gt;=6,"1","")</f>
        <v/>
      </c>
      <c r="L18" s="215" t="str">
        <f>IF(D18="Maitre chien",H18+I18+J18,"")</f>
        <v/>
      </c>
      <c r="M18" s="193">
        <f>SUM(H18,I18,J18)</f>
        <v>0</v>
      </c>
      <c r="N18" s="82" t="str">
        <f>IF(OR($C18="",H18="",N$9=""),"",IF($F18&gt;$G18,MAX(,MIN(N$9,$G18+24/24)-MAX(N$8,$F18)),MAX(,MIN(N$9,$H18)-MAX(N$8,$F18))))</f>
        <v/>
      </c>
      <c r="O18" s="73" t="str">
        <f t="shared" si="3"/>
        <v/>
      </c>
      <c r="P18" s="83" t="str">
        <f t="shared" si="3"/>
        <v/>
      </c>
      <c r="Q18" s="84" t="str">
        <f t="shared" si="4"/>
        <v/>
      </c>
      <c r="R18" s="85" t="str">
        <f t="shared" si="5"/>
        <v/>
      </c>
      <c r="S18" s="83" t="str">
        <f t="shared" si="5"/>
        <v/>
      </c>
      <c r="T18" s="88">
        <f>SUMPRODUCT(($B$18="se")*($Z$18))</f>
        <v>0</v>
      </c>
      <c r="U18" s="103">
        <f>SUMPRODUCT(($B$18="se")*($AA$18))</f>
        <v>0</v>
      </c>
      <c r="V18" s="86">
        <f>(WEEKDAY($C18)=1)*($Z18)</f>
        <v>0</v>
      </c>
      <c r="W18" s="87">
        <f>(WEEKDAY($C18)=1)*($AA18)</f>
        <v>0</v>
      </c>
      <c r="X18" s="106">
        <f>SUMPRODUCT(($B$18="férié")*($Z$18))</f>
        <v>0</v>
      </c>
      <c r="Y18" s="103">
        <f>SUMPRODUCT(($B$18="férié")*($AA$18))</f>
        <v>0</v>
      </c>
      <c r="Z18" s="112">
        <f>SUM(I18,O18,R18)</f>
        <v>0</v>
      </c>
      <c r="AA18" s="113">
        <f>SUM(J18,N18,P18,Q18,S18)</f>
        <v>0</v>
      </c>
      <c r="AB18" s="119"/>
      <c r="AC18" s="13"/>
      <c r="AD18" s="259"/>
      <c r="AE18" s="260"/>
      <c r="AF18" s="10"/>
      <c r="AG18" s="195"/>
      <c r="AH18" s="196"/>
      <c r="AI18" s="223" t="s">
        <v>114</v>
      </c>
      <c r="AJ18" s="235">
        <f>SUM(AJ16:AJ17)</f>
        <v>37.730000000000004</v>
      </c>
      <c r="AK18" s="10"/>
      <c r="AL18" s="10"/>
      <c r="AM18" s="10"/>
      <c r="AN18" s="10"/>
      <c r="AO18" s="10"/>
    </row>
    <row r="19" spans="1:41" ht="16" x14ac:dyDescent="0.2">
      <c r="A19" s="25">
        <v>10</v>
      </c>
      <c r="B19" s="78" t="str">
        <f t="shared" si="1"/>
        <v>Dim</v>
      </c>
      <c r="C19" s="68">
        <v>42225</v>
      </c>
      <c r="D19" s="79"/>
      <c r="E19" s="79"/>
      <c r="F19" s="80"/>
      <c r="G19" s="80"/>
      <c r="H19" s="81" t="str">
        <f t="shared" si="2"/>
        <v/>
      </c>
      <c r="I19" s="212"/>
      <c r="J19" s="213"/>
      <c r="K19" s="214" t="str">
        <f>IF(M19*24&gt;=6,"1","")</f>
        <v/>
      </c>
      <c r="L19" s="215" t="str">
        <f>IF(D19="Maitre chien",H19+I19+J19,"")</f>
        <v/>
      </c>
      <c r="M19" s="193">
        <f>SUM(H19,I19,J19)</f>
        <v>0</v>
      </c>
      <c r="N19" s="82" t="str">
        <f>IF(OR($C19="",H19="",N$9=""),"",IF($F19&gt;$G19,MAX(,MIN(N$9,$G19+24/24)-MAX(N$8,$F19)),MAX(,MIN(N$9,$H19)-MAX(N$8,$F19))))</f>
        <v/>
      </c>
      <c r="O19" s="73" t="str">
        <f t="shared" si="3"/>
        <v/>
      </c>
      <c r="P19" s="83" t="str">
        <f t="shared" si="3"/>
        <v/>
      </c>
      <c r="Q19" s="84" t="str">
        <f t="shared" si="4"/>
        <v/>
      </c>
      <c r="R19" s="85" t="str">
        <f t="shared" si="5"/>
        <v/>
      </c>
      <c r="S19" s="83" t="str">
        <f t="shared" si="5"/>
        <v/>
      </c>
      <c r="T19" s="88">
        <f>SUMPRODUCT(($B$19="se")*($Z$19))</f>
        <v>0</v>
      </c>
      <c r="U19" s="103">
        <f>SUMPRODUCT(($B$19="se")*($AA$19))</f>
        <v>0</v>
      </c>
      <c r="V19" s="86">
        <f>(WEEKDAY($C19)=1)*($Z19)</f>
        <v>0</v>
      </c>
      <c r="W19" s="87">
        <f>(WEEKDAY($C19)=1)*($AA19)</f>
        <v>0</v>
      </c>
      <c r="X19" s="106">
        <f>SUMPRODUCT(($B$19="férié")*($Z$19))</f>
        <v>0</v>
      </c>
      <c r="Y19" s="103">
        <f>SUMPRODUCT(($B$19="férié")*($AA$19))</f>
        <v>0</v>
      </c>
      <c r="Z19" s="112">
        <f>SUM(I19,O19,R19)</f>
        <v>0</v>
      </c>
      <c r="AA19" s="113">
        <f>SUM(J19,N19,P19,Q19,S19)</f>
        <v>0</v>
      </c>
      <c r="AB19" s="119"/>
      <c r="AC19" s="13"/>
      <c r="AD19" s="246" t="s">
        <v>112</v>
      </c>
      <c r="AE19" s="248">
        <f>SUMPRODUCT(($B$10:$B$42="dim")*($AA$10:$AA$42))</f>
        <v>0.5</v>
      </c>
      <c r="AF19" s="10"/>
      <c r="AG19" s="10"/>
      <c r="AH19" s="10"/>
      <c r="AI19" s="10"/>
      <c r="AJ19" s="10"/>
      <c r="AK19" s="10"/>
      <c r="AL19" s="10"/>
      <c r="AM19" s="10"/>
      <c r="AN19" s="10"/>
      <c r="AO19" s="10"/>
    </row>
    <row r="20" spans="1:41" ht="16" x14ac:dyDescent="0.2">
      <c r="A20" s="25">
        <v>11</v>
      </c>
      <c r="B20" s="78" t="str">
        <f t="shared" si="1"/>
        <v>Se</v>
      </c>
      <c r="C20" s="68">
        <v>42226</v>
      </c>
      <c r="D20" s="79"/>
      <c r="E20" s="79" t="s">
        <v>120</v>
      </c>
      <c r="F20" s="80"/>
      <c r="G20" s="80"/>
      <c r="H20" s="81" t="str">
        <f t="shared" si="2"/>
        <v/>
      </c>
      <c r="I20" s="212"/>
      <c r="J20" s="213"/>
      <c r="K20" s="214" t="str">
        <f>IF(M20*24&gt;=6,"1","")</f>
        <v/>
      </c>
      <c r="L20" s="215" t="str">
        <f>IF(D20="Maitre chien",H20+I20+J20,"")</f>
        <v/>
      </c>
      <c r="M20" s="193">
        <f>SUM(H20,I20,J20)</f>
        <v>0</v>
      </c>
      <c r="N20" s="82" t="str">
        <f>IF(OR($C20="",H20="",N$9=""),"",IF($F20&gt;$G20,MAX(,MIN(N$9,$G20+24/24)-MAX(N$8,$F20)),MAX(,MIN(N$9,$H20)-MAX(N$8,$F20))))</f>
        <v/>
      </c>
      <c r="O20" s="73" t="str">
        <f t="shared" si="3"/>
        <v/>
      </c>
      <c r="P20" s="83" t="str">
        <f t="shared" si="3"/>
        <v/>
      </c>
      <c r="Q20" s="84" t="str">
        <f t="shared" si="4"/>
        <v/>
      </c>
      <c r="R20" s="85" t="str">
        <f t="shared" si="5"/>
        <v/>
      </c>
      <c r="S20" s="83" t="str">
        <f t="shared" si="5"/>
        <v/>
      </c>
      <c r="T20" s="88">
        <f>SUMPRODUCT(($B$20="se")*($Z$20))</f>
        <v>0</v>
      </c>
      <c r="U20" s="103">
        <f>SUMPRODUCT(($B$20="se")*($AA$20))</f>
        <v>0</v>
      </c>
      <c r="V20" s="86">
        <f>(WEEKDAY($C20)=1)*($Z20)</f>
        <v>0</v>
      </c>
      <c r="W20" s="87">
        <f>(WEEKDAY($C20)=1)*($AA20)</f>
        <v>0</v>
      </c>
      <c r="X20" s="106">
        <f>SUMPRODUCT(($B$20="férié")*($Z$20))</f>
        <v>0</v>
      </c>
      <c r="Y20" s="103">
        <f>SUMPRODUCT(($B$20="férié")*($AA$20))</f>
        <v>0</v>
      </c>
      <c r="Z20" s="112">
        <f>SUM(I20,O20,R20)</f>
        <v>0</v>
      </c>
      <c r="AA20" s="113">
        <f>SUM(J20,N20,P20,Q20,S20)</f>
        <v>0</v>
      </c>
      <c r="AB20" s="119"/>
      <c r="AC20" s="13"/>
      <c r="AD20" s="259"/>
      <c r="AE20" s="260"/>
      <c r="AF20" s="10"/>
      <c r="AG20" s="10"/>
      <c r="AH20" s="10"/>
      <c r="AI20" s="10"/>
      <c r="AJ20" s="10"/>
      <c r="AK20" s="10"/>
      <c r="AL20" s="10"/>
      <c r="AM20" s="10"/>
      <c r="AN20" s="10"/>
      <c r="AO20" s="10"/>
    </row>
    <row r="21" spans="1:41" ht="16" x14ac:dyDescent="0.2">
      <c r="A21" s="25">
        <v>12</v>
      </c>
      <c r="B21" s="78" t="str">
        <f t="shared" si="1"/>
        <v>Se</v>
      </c>
      <c r="C21" s="68">
        <v>42227</v>
      </c>
      <c r="D21" s="79"/>
      <c r="E21" s="79" t="s">
        <v>120</v>
      </c>
      <c r="F21" s="80"/>
      <c r="G21" s="80"/>
      <c r="H21" s="81" t="str">
        <f t="shared" si="2"/>
        <v/>
      </c>
      <c r="I21" s="212"/>
      <c r="J21" s="213"/>
      <c r="K21" s="214" t="str">
        <f>IF(M21*24&gt;=6,"1","")</f>
        <v/>
      </c>
      <c r="L21" s="215" t="str">
        <f>IF(D21="Maitre chien",H21+I21+J21,"")</f>
        <v/>
      </c>
      <c r="M21" s="193">
        <f>SUM(H21,I21,J21)</f>
        <v>0</v>
      </c>
      <c r="N21" s="82" t="str">
        <f>IF(OR($C21="",H21="",N$9=""),"",IF($F21&gt;$G21,MAX(,MIN(N$9,$G21+24/24)-MAX(N$8,$F21)),MAX(,MIN(N$9,$H21)-MAX(N$8,$F21))))</f>
        <v/>
      </c>
      <c r="O21" s="73" t="str">
        <f t="shared" si="3"/>
        <v/>
      </c>
      <c r="P21" s="83" t="str">
        <f t="shared" si="3"/>
        <v/>
      </c>
      <c r="Q21" s="84" t="str">
        <f t="shared" si="4"/>
        <v/>
      </c>
      <c r="R21" s="85" t="str">
        <f t="shared" si="5"/>
        <v/>
      </c>
      <c r="S21" s="83" t="str">
        <f t="shared" si="5"/>
        <v/>
      </c>
      <c r="T21" s="88">
        <f>SUMPRODUCT(($B$21="se")*($Z$21))</f>
        <v>0</v>
      </c>
      <c r="U21" s="103">
        <f>SUMPRODUCT(($B$21="se")*($AA$21))</f>
        <v>0</v>
      </c>
      <c r="V21" s="86">
        <f>(WEEKDAY($C21)=1)*($Z21)</f>
        <v>0</v>
      </c>
      <c r="W21" s="87">
        <f>(WEEKDAY($C21)=1)*($AA21)</f>
        <v>0</v>
      </c>
      <c r="X21" s="106">
        <f>SUMPRODUCT(($B$21="férié")*($Z$21))</f>
        <v>0</v>
      </c>
      <c r="Y21" s="103">
        <f>SUMPRODUCT(($B$21="férié")*($AA$21))</f>
        <v>0</v>
      </c>
      <c r="Z21" s="112">
        <f>SUM(I21,O21,R21)</f>
        <v>0</v>
      </c>
      <c r="AA21" s="113">
        <f>SUM(J21,N21,P21,Q21,S21)</f>
        <v>0</v>
      </c>
      <c r="AB21" s="119"/>
      <c r="AC21" s="13"/>
      <c r="AD21" s="246" t="s">
        <v>121</v>
      </c>
      <c r="AE21" s="252">
        <f>SUMPRODUCT(($B$10:$B$42="férié")*($M$10:$M$42&gt;0))</f>
        <v>0</v>
      </c>
      <c r="AF21" s="10"/>
      <c r="AG21" s="10"/>
      <c r="AH21" s="10"/>
      <c r="AI21" s="10"/>
      <c r="AJ21" s="10"/>
      <c r="AK21" s="10"/>
      <c r="AL21" s="10"/>
      <c r="AM21" s="10"/>
      <c r="AN21" s="10"/>
      <c r="AO21" s="10"/>
    </row>
    <row r="22" spans="1:41" ht="16" x14ac:dyDescent="0.2">
      <c r="A22" s="25">
        <v>13</v>
      </c>
      <c r="B22" s="78" t="str">
        <f t="shared" si="1"/>
        <v>Se</v>
      </c>
      <c r="C22" s="68">
        <v>42228</v>
      </c>
      <c r="D22" s="79"/>
      <c r="E22" s="79" t="s">
        <v>120</v>
      </c>
      <c r="F22" s="80"/>
      <c r="G22" s="80"/>
      <c r="H22" s="81" t="str">
        <f t="shared" si="2"/>
        <v/>
      </c>
      <c r="I22" s="212"/>
      <c r="J22" s="213"/>
      <c r="K22" s="214" t="str">
        <f>IF(M22*24&gt;=6,"1","")</f>
        <v/>
      </c>
      <c r="L22" s="215" t="str">
        <f>IF(D22="Maitre chien",H22+I22+J22,"")</f>
        <v/>
      </c>
      <c r="M22" s="193">
        <f>SUM(H22,I22,J22)</f>
        <v>0</v>
      </c>
      <c r="N22" s="82" t="str">
        <f>IF(OR($C22="",H22="",N$9=""),"",IF($F22&gt;$G22,MAX(,MIN(N$9,$G22+24/24)-MAX(N$8,$F22)),MAX(,MIN(N$9,$H22)-MAX(N$8,$F22))))</f>
        <v/>
      </c>
      <c r="O22" s="73" t="str">
        <f t="shared" si="3"/>
        <v/>
      </c>
      <c r="P22" s="83" t="str">
        <f t="shared" si="3"/>
        <v/>
      </c>
      <c r="Q22" s="84" t="str">
        <f t="shared" si="4"/>
        <v/>
      </c>
      <c r="R22" s="85" t="str">
        <f t="shared" si="5"/>
        <v/>
      </c>
      <c r="S22" s="83" t="str">
        <f t="shared" si="5"/>
        <v/>
      </c>
      <c r="T22" s="88">
        <f>SUMPRODUCT(($B$22="se")*($Z$22))</f>
        <v>0</v>
      </c>
      <c r="U22" s="103">
        <f>SUMPRODUCT(($B$22="se")*($AA$22))</f>
        <v>0</v>
      </c>
      <c r="V22" s="86">
        <f>(WEEKDAY($C22)=1)*($Z22)</f>
        <v>0</v>
      </c>
      <c r="W22" s="87">
        <f>(WEEKDAY($C22)=1)*($AA22)</f>
        <v>0</v>
      </c>
      <c r="X22" s="106">
        <f>SUMPRODUCT(($B$22="férié")*($Z$22))</f>
        <v>0</v>
      </c>
      <c r="Y22" s="103">
        <f>SUMPRODUCT(($B$22="férié")*($AA$22))</f>
        <v>0</v>
      </c>
      <c r="Z22" s="112">
        <f>SUM(I22,O22,R22)</f>
        <v>0</v>
      </c>
      <c r="AA22" s="113">
        <f>SUM(J22,N22,P22,Q22,S22)</f>
        <v>0</v>
      </c>
      <c r="AB22" s="119"/>
      <c r="AC22" s="13"/>
      <c r="AD22" s="261"/>
      <c r="AE22" s="262"/>
      <c r="AF22" s="10"/>
      <c r="AG22" s="10"/>
      <c r="AH22" s="10"/>
      <c r="AI22" s="10"/>
      <c r="AJ22" s="10"/>
      <c r="AK22" s="10"/>
      <c r="AL22" s="10"/>
      <c r="AM22" s="10"/>
      <c r="AN22" s="10"/>
      <c r="AO22" s="10"/>
    </row>
    <row r="23" spans="1:41" ht="16" x14ac:dyDescent="0.2">
      <c r="A23" s="25">
        <v>14</v>
      </c>
      <c r="B23" s="78" t="str">
        <f t="shared" si="1"/>
        <v>Se</v>
      </c>
      <c r="C23" s="68">
        <v>42229</v>
      </c>
      <c r="D23" s="79"/>
      <c r="E23" s="79" t="s">
        <v>120</v>
      </c>
      <c r="F23" s="80"/>
      <c r="G23" s="80"/>
      <c r="H23" s="81" t="str">
        <f t="shared" si="2"/>
        <v/>
      </c>
      <c r="I23" s="212"/>
      <c r="J23" s="213"/>
      <c r="K23" s="214" t="str">
        <f>IF(M23*24&gt;=6,"1","")</f>
        <v/>
      </c>
      <c r="L23" s="215" t="str">
        <f>IF(D23="Maitre chien",H23+I23+J23,"")</f>
        <v/>
      </c>
      <c r="M23" s="193">
        <f>SUM(H23,I23,J23)</f>
        <v>0</v>
      </c>
      <c r="N23" s="82" t="str">
        <f>IF(OR($C23="",H23="",N$9=""),"",IF($F23&gt;$G23,MAX(,MIN(N$9,$G23+24/24)-MAX(N$8,$F23)),MAX(,MIN(N$9,$H23)-MAX(N$8,$F23))))</f>
        <v/>
      </c>
      <c r="O23" s="73" t="str">
        <f t="shared" si="3"/>
        <v/>
      </c>
      <c r="P23" s="83" t="str">
        <f t="shared" si="3"/>
        <v/>
      </c>
      <c r="Q23" s="84" t="str">
        <f t="shared" si="4"/>
        <v/>
      </c>
      <c r="R23" s="85" t="str">
        <f t="shared" si="5"/>
        <v/>
      </c>
      <c r="S23" s="83" t="str">
        <f t="shared" si="5"/>
        <v/>
      </c>
      <c r="T23" s="88">
        <f>SUMPRODUCT(($B$23="se")*($Z$23))</f>
        <v>0</v>
      </c>
      <c r="U23" s="103">
        <f>SUMPRODUCT(($B$23="se")*($AA$23))</f>
        <v>0</v>
      </c>
      <c r="V23" s="86">
        <f>(WEEKDAY($C23)=1)*($Z23)</f>
        <v>0</v>
      </c>
      <c r="W23" s="87">
        <f>(WEEKDAY($C23)=1)*($AA23)</f>
        <v>0</v>
      </c>
      <c r="X23" s="106">
        <f>SUMPRODUCT(($B$23="férié")*($Z$23))</f>
        <v>0</v>
      </c>
      <c r="Y23" s="103">
        <f>SUMPRODUCT(($B$23="férié")*($AA$23))</f>
        <v>0</v>
      </c>
      <c r="Z23" s="112">
        <f>SUM(I23,O23,R23)</f>
        <v>0</v>
      </c>
      <c r="AA23" s="113">
        <f>SUM(J23,N23,P23,Q23,S23)</f>
        <v>0</v>
      </c>
      <c r="AB23" s="119"/>
      <c r="AC23" s="13"/>
      <c r="AD23" s="246" t="s">
        <v>106</v>
      </c>
      <c r="AE23" s="248">
        <f>SUM(X7+Y7)</f>
        <v>0</v>
      </c>
      <c r="AF23" s="10"/>
      <c r="AG23" s="141"/>
      <c r="AH23" s="141"/>
      <c r="AI23" s="141"/>
      <c r="AJ23" s="141"/>
      <c r="AK23" s="10"/>
      <c r="AL23" s="10"/>
      <c r="AM23" s="10"/>
      <c r="AN23" s="10"/>
      <c r="AO23" s="10"/>
    </row>
    <row r="24" spans="1:41" ht="16" x14ac:dyDescent="0.2">
      <c r="A24" s="25">
        <v>15</v>
      </c>
      <c r="B24" s="78" t="str">
        <f t="shared" si="1"/>
        <v>Se</v>
      </c>
      <c r="C24" s="68">
        <v>42230</v>
      </c>
      <c r="D24" s="79"/>
      <c r="E24" s="79" t="s">
        <v>120</v>
      </c>
      <c r="F24" s="80"/>
      <c r="G24" s="80"/>
      <c r="H24" s="81" t="str">
        <f t="shared" si="2"/>
        <v/>
      </c>
      <c r="I24" s="212"/>
      <c r="J24" s="213"/>
      <c r="K24" s="214" t="str">
        <f>IF(M24*24&gt;=6,"1","")</f>
        <v/>
      </c>
      <c r="L24" s="215" t="str">
        <f>IF(D24="Maitre chien",H24+I24+J24,"")</f>
        <v/>
      </c>
      <c r="M24" s="193">
        <f>SUM(H24,I24,J24)</f>
        <v>0</v>
      </c>
      <c r="N24" s="82" t="str">
        <f>IF(OR($C24="",H24="",N$9=""),"",IF($F24&gt;$G24,MAX(,MIN(N$9,$G24+24/24)-MAX(N$8,$F24)),MAX(,MIN(N$9,$H24)-MAX(N$8,$F24))))</f>
        <v/>
      </c>
      <c r="O24" s="73" t="str">
        <f t="shared" si="3"/>
        <v/>
      </c>
      <c r="P24" s="83" t="str">
        <f t="shared" si="3"/>
        <v/>
      </c>
      <c r="Q24" s="84" t="str">
        <f t="shared" si="4"/>
        <v/>
      </c>
      <c r="R24" s="85" t="str">
        <f t="shared" si="5"/>
        <v/>
      </c>
      <c r="S24" s="83" t="str">
        <f t="shared" si="5"/>
        <v/>
      </c>
      <c r="T24" s="88">
        <f>SUMPRODUCT(($B$24="se")*($Z$24))</f>
        <v>0</v>
      </c>
      <c r="U24" s="103">
        <f>SUMPRODUCT(($B$24="se")*($AA$24))</f>
        <v>0</v>
      </c>
      <c r="V24" s="86">
        <f>(WEEKDAY($C24)=1)*($Z24)</f>
        <v>0</v>
      </c>
      <c r="W24" s="87">
        <f>(WEEKDAY($C24)=1)*($AA24)</f>
        <v>0</v>
      </c>
      <c r="X24" s="106">
        <f>SUMPRODUCT(($B$24="férié")*($Z$24))</f>
        <v>0</v>
      </c>
      <c r="Y24" s="103">
        <f>SUMPRODUCT(($B$24="férié")*($AA$24))</f>
        <v>0</v>
      </c>
      <c r="Z24" s="112">
        <f>SUM(I24,O24,R24)</f>
        <v>0</v>
      </c>
      <c r="AA24" s="113">
        <f>SUM(J24,N24,P24,Q24,S24)</f>
        <v>0</v>
      </c>
      <c r="AB24" s="119"/>
      <c r="AC24" s="13"/>
      <c r="AD24" s="259"/>
      <c r="AE24" s="260"/>
      <c r="AF24" s="10"/>
      <c r="AG24" s="13"/>
      <c r="AH24" s="129"/>
      <c r="AI24" s="129"/>
      <c r="AJ24" s="129"/>
      <c r="AK24" s="10"/>
      <c r="AL24" s="10"/>
      <c r="AM24" s="10"/>
      <c r="AN24" s="10"/>
      <c r="AO24" s="10"/>
    </row>
    <row r="25" spans="1:41" ht="16" x14ac:dyDescent="0.2">
      <c r="A25" s="25">
        <v>16</v>
      </c>
      <c r="B25" s="78" t="str">
        <f t="shared" si="1"/>
        <v>Férié</v>
      </c>
      <c r="C25" s="68">
        <v>42231</v>
      </c>
      <c r="D25" s="79"/>
      <c r="E25" s="79" t="s">
        <v>120</v>
      </c>
      <c r="F25" s="80"/>
      <c r="G25" s="80"/>
      <c r="H25" s="81" t="str">
        <f t="shared" si="2"/>
        <v/>
      </c>
      <c r="I25" s="212"/>
      <c r="J25" s="213"/>
      <c r="K25" s="214" t="str">
        <f>IF(M25*24&gt;=6,"1","")</f>
        <v/>
      </c>
      <c r="L25" s="215" t="str">
        <f>IF(D25="Maitre chien",H25+I25+J25,"")</f>
        <v/>
      </c>
      <c r="M25" s="193">
        <f>SUM(H25,I25,J25)</f>
        <v>0</v>
      </c>
      <c r="N25" s="82" t="str">
        <f>IF(OR($C25="",H25="",N$9=""),"",IF($F25&gt;$G25,MAX(,MIN(N$9,$G25+24/24)-MAX(N$8,$F25)),MAX(,MIN(N$9,$H25)-MAX(N$8,$F25))))</f>
        <v/>
      </c>
      <c r="O25" s="73" t="str">
        <f t="shared" si="3"/>
        <v/>
      </c>
      <c r="P25" s="83" t="str">
        <f t="shared" si="3"/>
        <v/>
      </c>
      <c r="Q25" s="84" t="str">
        <f t="shared" si="4"/>
        <v/>
      </c>
      <c r="R25" s="85" t="str">
        <f t="shared" si="5"/>
        <v/>
      </c>
      <c r="S25" s="83" t="str">
        <f t="shared" si="5"/>
        <v/>
      </c>
      <c r="T25" s="88">
        <f>SUMPRODUCT(($B$25="se")*($Z$25))</f>
        <v>0</v>
      </c>
      <c r="U25" s="103">
        <f>SUMPRODUCT(($B$25="se")*($AA$25))</f>
        <v>0</v>
      </c>
      <c r="V25" s="86">
        <f>(WEEKDAY($C25)=1)*($Z25)</f>
        <v>0</v>
      </c>
      <c r="W25" s="87">
        <f>(WEEKDAY($C25)=1)*($AA25)</f>
        <v>0</v>
      </c>
      <c r="X25" s="106">
        <f>SUMPRODUCT(($B$25="férié")*($Z$25))</f>
        <v>0</v>
      </c>
      <c r="Y25" s="103">
        <f>SUMPRODUCT(($B$25="férié")*($AA$25))</f>
        <v>0</v>
      </c>
      <c r="Z25" s="112">
        <f>SUM(I25,O25,R25)</f>
        <v>0</v>
      </c>
      <c r="AA25" s="113">
        <f>SUM(J25,N25,P25,Q25,S25)</f>
        <v>0</v>
      </c>
      <c r="AB25" s="119"/>
      <c r="AC25" s="13"/>
      <c r="AD25" s="246" t="s">
        <v>107</v>
      </c>
      <c r="AE25" s="248">
        <f>SUM(X9+Y9)</f>
        <v>0</v>
      </c>
      <c r="AF25" s="10"/>
      <c r="AG25" s="188"/>
      <c r="AH25" s="189"/>
      <c r="AI25" s="121"/>
      <c r="AJ25" s="121"/>
      <c r="AK25" s="10"/>
      <c r="AL25" s="10"/>
      <c r="AM25" s="10"/>
      <c r="AN25" s="10"/>
      <c r="AO25" s="10"/>
    </row>
    <row r="26" spans="1:41" ht="16" x14ac:dyDescent="0.2">
      <c r="A26" s="25">
        <v>17</v>
      </c>
      <c r="B26" s="78" t="str">
        <f t="shared" si="1"/>
        <v>Dim</v>
      </c>
      <c r="C26" s="68">
        <v>42232</v>
      </c>
      <c r="D26" s="79"/>
      <c r="E26" s="79"/>
      <c r="F26" s="80"/>
      <c r="G26" s="80"/>
      <c r="H26" s="81" t="str">
        <f t="shared" si="2"/>
        <v/>
      </c>
      <c r="I26" s="212"/>
      <c r="J26" s="213"/>
      <c r="K26" s="214" t="str">
        <f>IF(M26*24&gt;=6,"1","")</f>
        <v/>
      </c>
      <c r="L26" s="215" t="str">
        <f>IF(D26="Maitre chien",H26+I26+J26,"")</f>
        <v/>
      </c>
      <c r="M26" s="193">
        <f>SUM(H26,I26,J26)</f>
        <v>0</v>
      </c>
      <c r="N26" s="82" t="str">
        <f>IF(OR($C26="",H26="",N$9=""),"",IF($F26&gt;$G26,MAX(,MIN(N$9,$G26+24/24)-MAX(N$8,$F26)),MAX(,MIN(N$9,$H26)-MAX(N$8,$F26))))</f>
        <v/>
      </c>
      <c r="O26" s="73" t="str">
        <f t="shared" si="3"/>
        <v/>
      </c>
      <c r="P26" s="83" t="str">
        <f t="shared" si="3"/>
        <v/>
      </c>
      <c r="Q26" s="84" t="str">
        <f t="shared" si="4"/>
        <v/>
      </c>
      <c r="R26" s="85" t="str">
        <f t="shared" si="5"/>
        <v/>
      </c>
      <c r="S26" s="83" t="str">
        <f t="shared" si="5"/>
        <v/>
      </c>
      <c r="T26" s="88">
        <f>SUMPRODUCT(($B$26="se")*($Z$26))</f>
        <v>0</v>
      </c>
      <c r="U26" s="103">
        <f>SUMPRODUCT(($B$26="se")*($AA$26))</f>
        <v>0</v>
      </c>
      <c r="V26" s="86">
        <f>(WEEKDAY($C26)=1)*($Z26)</f>
        <v>0</v>
      </c>
      <c r="W26" s="87">
        <f>(WEEKDAY($C26)=1)*($AA26)</f>
        <v>0</v>
      </c>
      <c r="X26" s="106">
        <f>SUMPRODUCT(($B$26="férié")*($Z$26))</f>
        <v>0</v>
      </c>
      <c r="Y26" s="103">
        <f>SUMPRODUCT(($B$26="férié")*($AA$26))</f>
        <v>0</v>
      </c>
      <c r="Z26" s="112">
        <f>SUM(I26,O26,R26)</f>
        <v>0</v>
      </c>
      <c r="AA26" s="113">
        <f>SUM(J26,N26,P26,Q26,S26)</f>
        <v>0</v>
      </c>
      <c r="AB26" s="119"/>
      <c r="AC26" s="13"/>
      <c r="AD26" s="259"/>
      <c r="AE26" s="260"/>
      <c r="AF26" s="10"/>
      <c r="AG26" s="188"/>
      <c r="AH26" s="189"/>
      <c r="AI26" s="121"/>
      <c r="AJ26" s="121"/>
      <c r="AK26" s="10"/>
      <c r="AL26" s="10"/>
      <c r="AM26" s="10"/>
      <c r="AN26" s="10"/>
      <c r="AO26" s="10"/>
    </row>
    <row r="27" spans="1:41" ht="16" x14ac:dyDescent="0.2">
      <c r="A27" s="25">
        <v>18</v>
      </c>
      <c r="B27" s="78" t="str">
        <f t="shared" si="1"/>
        <v>Se</v>
      </c>
      <c r="C27" s="68">
        <v>42233</v>
      </c>
      <c r="D27" s="79" t="s">
        <v>23</v>
      </c>
      <c r="E27" s="79" t="s">
        <v>91</v>
      </c>
      <c r="F27" s="80">
        <v>0.70833333333333304</v>
      </c>
      <c r="G27" s="80">
        <v>6.25E-2</v>
      </c>
      <c r="H27" s="81">
        <f t="shared" si="2"/>
        <v>0.35416666666666696</v>
      </c>
      <c r="I27" s="212"/>
      <c r="J27" s="213"/>
      <c r="K27" s="214" t="str">
        <f>IF(M27*24&gt;=6,"1","")</f>
        <v>1</v>
      </c>
      <c r="L27" s="215" t="str">
        <f>IF(D27="Maitre chien",H27+I27+J27,"")</f>
        <v/>
      </c>
      <c r="M27" s="193">
        <f>SUM(H27,I27,J27)</f>
        <v>0.35416666666666696</v>
      </c>
      <c r="N27" s="82">
        <f>IF(OR($C27="",H27="",N$9=""),"",IF($F27&gt;$G27,MAX(,MIN(N$9,$G27+24/24)-MAX(N$8,$F27)),MAX(,MIN(N$9,$H27)-MAX(N$8,$F27))))</f>
        <v>0</v>
      </c>
      <c r="O27" s="73">
        <f t="shared" si="3"/>
        <v>0.16666666666666696</v>
      </c>
      <c r="P27" s="83">
        <f t="shared" si="3"/>
        <v>0.125</v>
      </c>
      <c r="Q27" s="84" t="str">
        <f t="shared" si="4"/>
        <v/>
      </c>
      <c r="R27" s="85" t="str">
        <f t="shared" si="5"/>
        <v/>
      </c>
      <c r="S27" s="83" t="str">
        <f t="shared" si="5"/>
        <v/>
      </c>
      <c r="T27" s="88">
        <f>SUMPRODUCT(($B$27="se")*($Z$27))</f>
        <v>0.16666666666666696</v>
      </c>
      <c r="U27" s="103">
        <f>SUMPRODUCT(($B$27="se")*($AA$27))</f>
        <v>0.125</v>
      </c>
      <c r="V27" s="86">
        <f>(WEEKDAY($C27)=1)*($Z27)</f>
        <v>0</v>
      </c>
      <c r="W27" s="87">
        <f>(WEEKDAY($C27)=1)*($AA27)</f>
        <v>0</v>
      </c>
      <c r="X27" s="106">
        <f>SUMPRODUCT(($B$27="férié")*($Z$27))</f>
        <v>0</v>
      </c>
      <c r="Y27" s="103">
        <f>SUMPRODUCT(($B$27="férié")*($AA$27))</f>
        <v>0</v>
      </c>
      <c r="Z27" s="112">
        <f>SUM(I27,O27,R27)</f>
        <v>0.16666666666666696</v>
      </c>
      <c r="AA27" s="113">
        <f>SUM(J27,N27,P27,Q27,S27)</f>
        <v>0.125</v>
      </c>
      <c r="AB27" s="119"/>
      <c r="AC27" s="13"/>
      <c r="AD27" s="246" t="s">
        <v>108</v>
      </c>
      <c r="AE27" s="248">
        <f>SUM(X11+Y11)</f>
        <v>0</v>
      </c>
      <c r="AF27" s="10"/>
      <c r="AG27" s="188"/>
      <c r="AH27" s="189"/>
      <c r="AI27" s="121"/>
      <c r="AJ27" s="121"/>
      <c r="AK27" s="10"/>
      <c r="AL27" s="10"/>
      <c r="AM27" s="10"/>
      <c r="AN27" s="10"/>
      <c r="AO27" s="10"/>
    </row>
    <row r="28" spans="1:41" ht="16" x14ac:dyDescent="0.2">
      <c r="A28" s="25">
        <v>19</v>
      </c>
      <c r="B28" s="78" t="str">
        <f t="shared" si="1"/>
        <v>Se</v>
      </c>
      <c r="C28" s="68">
        <v>42234</v>
      </c>
      <c r="D28" s="79"/>
      <c r="E28" s="79"/>
      <c r="F28" s="80"/>
      <c r="G28" s="80"/>
      <c r="H28" s="81" t="str">
        <f t="shared" si="2"/>
        <v/>
      </c>
      <c r="I28" s="212"/>
      <c r="J28" s="213"/>
      <c r="K28" s="214" t="str">
        <f>IF(M28*24&gt;=6,"1","")</f>
        <v/>
      </c>
      <c r="L28" s="215" t="str">
        <f>IF(D28="Maitre chien",H28+I28+J28,"")</f>
        <v/>
      </c>
      <c r="M28" s="193">
        <f>SUM(H28,I28,J28)</f>
        <v>0</v>
      </c>
      <c r="N28" s="82" t="str">
        <f>IF(OR($C28="",H28="",N$9=""),"",IF($F28&gt;$G28,MAX(,MIN(N$9,$G28+24/24)-MAX(N$8,$F28)),MAX(,MIN(N$9,$H28)-MAX(N$8,$F28))))</f>
        <v/>
      </c>
      <c r="O28" s="73" t="str">
        <f t="shared" si="3"/>
        <v/>
      </c>
      <c r="P28" s="83" t="str">
        <f t="shared" si="3"/>
        <v/>
      </c>
      <c r="Q28" s="84">
        <f t="shared" si="4"/>
        <v>6.25E-2</v>
      </c>
      <c r="R28" s="85">
        <f t="shared" ref="R28:S42" si="6">IF(OR(Q28="",R$9=""),"",IF($F27&gt;$G27,MAX(,MIN(R$9,$G27+24/24)-MAX(R$8,$F27)),MAX(,MIN(R$9,$G27)-MAX(R$8,$F27))))</f>
        <v>0</v>
      </c>
      <c r="S28" s="83">
        <f t="shared" si="6"/>
        <v>0</v>
      </c>
      <c r="T28" s="88">
        <f>SUMPRODUCT(($B$28="se")*($Z$28))</f>
        <v>0</v>
      </c>
      <c r="U28" s="103">
        <f>SUMPRODUCT(($B$28="se")*($AA$28))</f>
        <v>6.25E-2</v>
      </c>
      <c r="V28" s="86">
        <f>(WEEKDAY($C28)=1)*($Z28)</f>
        <v>0</v>
      </c>
      <c r="W28" s="87">
        <f>(WEEKDAY($C28)=1)*($AA28)</f>
        <v>0</v>
      </c>
      <c r="X28" s="106">
        <f>SUMPRODUCT(($B$28="férié")*($Z$28))</f>
        <v>0</v>
      </c>
      <c r="Y28" s="103">
        <f>SUMPRODUCT(($B$28="férié")*($AA$28))</f>
        <v>0</v>
      </c>
      <c r="Z28" s="112">
        <f>SUM(I28,O28,R28)</f>
        <v>0</v>
      </c>
      <c r="AA28" s="113">
        <f>SUM(J28,N28,P28,Q28,S28)</f>
        <v>6.25E-2</v>
      </c>
      <c r="AB28" s="119"/>
      <c r="AC28" s="13"/>
      <c r="AD28" s="259"/>
      <c r="AE28" s="260"/>
      <c r="AF28" s="10"/>
      <c r="AG28" s="188"/>
      <c r="AH28" s="190"/>
      <c r="AI28" s="121"/>
      <c r="AJ28" s="121"/>
      <c r="AK28" s="10"/>
      <c r="AL28" s="10"/>
      <c r="AM28" s="10"/>
      <c r="AN28" s="10"/>
      <c r="AO28" s="10"/>
    </row>
    <row r="29" spans="1:41" ht="16" x14ac:dyDescent="0.2">
      <c r="A29" s="25">
        <v>20</v>
      </c>
      <c r="B29" s="78" t="str">
        <f t="shared" si="1"/>
        <v>Se</v>
      </c>
      <c r="C29" s="68">
        <v>42235</v>
      </c>
      <c r="D29" s="79" t="s">
        <v>23</v>
      </c>
      <c r="E29" s="79" t="s">
        <v>91</v>
      </c>
      <c r="F29" s="80">
        <v>6.25E-2</v>
      </c>
      <c r="G29" s="80">
        <v>0.35416666666666702</v>
      </c>
      <c r="H29" s="81">
        <f t="shared" si="2"/>
        <v>0.29166666666666702</v>
      </c>
      <c r="I29" s="212"/>
      <c r="J29" s="213"/>
      <c r="K29" s="214" t="str">
        <f>IF(M29*24&gt;=6,"1","")</f>
        <v>1</v>
      </c>
      <c r="L29" s="215" t="str">
        <f>IF(D29="Maitre chien",H29+I29+J29,"")</f>
        <v/>
      </c>
      <c r="M29" s="193">
        <f>SUM(H29,I29,J29)</f>
        <v>0.29166666666666702</v>
      </c>
      <c r="N29" s="82">
        <f>IF(OR($C29="",H29="",N$9=""),"",IF($F29&gt;$G29,MAX(,MIN(N$9,$G29+24/24)-MAX(N$8,$F29)),MAX(,MIN(N$9,$H29)-MAX(N$8,$F29))))</f>
        <v>0.1875</v>
      </c>
      <c r="O29" s="73">
        <f t="shared" si="3"/>
        <v>0.10416666666666702</v>
      </c>
      <c r="P29" s="83">
        <f t="shared" si="3"/>
        <v>0</v>
      </c>
      <c r="Q29" s="84" t="str">
        <f t="shared" si="4"/>
        <v/>
      </c>
      <c r="R29" s="85" t="str">
        <f t="shared" si="6"/>
        <v/>
      </c>
      <c r="S29" s="83" t="str">
        <f t="shared" si="6"/>
        <v/>
      </c>
      <c r="T29" s="88">
        <f>SUMPRODUCT(($B$29="se")*($Z$29))</f>
        <v>0.10416666666666702</v>
      </c>
      <c r="U29" s="103">
        <f>SUMPRODUCT(($B$29="se")*($AA$29))</f>
        <v>0.1875</v>
      </c>
      <c r="V29" s="86">
        <f>(WEEKDAY($C29)=1)*($Z29)</f>
        <v>0</v>
      </c>
      <c r="W29" s="87">
        <f>(WEEKDAY($C29)=1)*($AA29)</f>
        <v>0</v>
      </c>
      <c r="X29" s="106">
        <f>SUMPRODUCT(($B$29="férié")*($Z$29))</f>
        <v>0</v>
      </c>
      <c r="Y29" s="103">
        <f>SUMPRODUCT(($B$29="férié")*($AA$29))</f>
        <v>0</v>
      </c>
      <c r="Z29" s="112">
        <f>SUM(I29,O29,R29)</f>
        <v>0.10416666666666702</v>
      </c>
      <c r="AA29" s="113">
        <f>SUM(J29,N29,P29,Q29,S29)</f>
        <v>0.1875</v>
      </c>
      <c r="AB29" s="119"/>
      <c r="AC29" s="13"/>
      <c r="AD29" s="249" t="s">
        <v>100</v>
      </c>
      <c r="AE29" s="253">
        <f>SUM(I10:I42,J10:J42)</f>
        <v>0</v>
      </c>
      <c r="AF29" s="10"/>
      <c r="AG29" s="188"/>
      <c r="AH29" s="189"/>
      <c r="AI29" s="121"/>
      <c r="AJ29" s="121"/>
      <c r="AK29" s="10"/>
      <c r="AL29" s="10"/>
      <c r="AM29" s="10"/>
      <c r="AN29" s="10"/>
      <c r="AO29" s="10"/>
    </row>
    <row r="30" spans="1:41" ht="16" x14ac:dyDescent="0.2">
      <c r="A30" s="25">
        <v>21</v>
      </c>
      <c r="B30" s="78" t="str">
        <f t="shared" si="1"/>
        <v>Se</v>
      </c>
      <c r="C30" s="68">
        <v>42236</v>
      </c>
      <c r="D30" s="79" t="s">
        <v>23</v>
      </c>
      <c r="E30" s="79" t="s">
        <v>91</v>
      </c>
      <c r="F30" s="80">
        <v>6.25E-2</v>
      </c>
      <c r="G30" s="80">
        <v>0.35416666666666702</v>
      </c>
      <c r="H30" s="81">
        <f t="shared" si="2"/>
        <v>0.29166666666666702</v>
      </c>
      <c r="I30" s="212"/>
      <c r="J30" s="213"/>
      <c r="K30" s="214" t="str">
        <f>IF(M30*24&gt;=6,"1","")</f>
        <v>1</v>
      </c>
      <c r="L30" s="215" t="str">
        <f>IF(D30="Maitre chien",H30+I30+J30,"")</f>
        <v/>
      </c>
      <c r="M30" s="193">
        <f>SUM(H30,I30,J30)</f>
        <v>0.29166666666666702</v>
      </c>
      <c r="N30" s="82">
        <f>IF(OR($C30="",H30="",N$9=""),"",IF($F30&gt;$G30,MAX(,MIN(N$9,$G30+24/24)-MAX(N$8,$F30)),MAX(,MIN(N$9,$H30)-MAX(N$8,$F30))))</f>
        <v>0.1875</v>
      </c>
      <c r="O30" s="73">
        <f t="shared" ref="O30:P42" si="7">IF(OR($C30="",N30="",O$9=""),"",IF($F30&gt;$G30,MAX(,MIN(O$9,$G30+24/24)-MAX(O$8,$F30)),MAX(,MIN(O$9,$G30)-MAX(O$8,$F30))))</f>
        <v>0.10416666666666702</v>
      </c>
      <c r="P30" s="83">
        <f t="shared" si="7"/>
        <v>0</v>
      </c>
      <c r="Q30" s="84">
        <f t="shared" si="4"/>
        <v>0</v>
      </c>
      <c r="R30" s="85">
        <f t="shared" si="6"/>
        <v>0</v>
      </c>
      <c r="S30" s="83">
        <f t="shared" si="6"/>
        <v>0</v>
      </c>
      <c r="T30" s="88">
        <f>SUMPRODUCT(($B$30="se")*($Z$30))</f>
        <v>0.10416666666666702</v>
      </c>
      <c r="U30" s="103">
        <f>SUMPRODUCT(($B$30="se")*($AA$30))</f>
        <v>0.1875</v>
      </c>
      <c r="V30" s="86">
        <f>(WEEKDAY($C30)=1)*($Z30)</f>
        <v>0</v>
      </c>
      <c r="W30" s="87">
        <f>(WEEKDAY($C30)=1)*($AA30)</f>
        <v>0</v>
      </c>
      <c r="X30" s="106">
        <f>SUMPRODUCT(($B$30="férié")*($Z$30))</f>
        <v>0</v>
      </c>
      <c r="Y30" s="103">
        <f>SUMPRODUCT(($B$30="férié")*($AA$30))</f>
        <v>0</v>
      </c>
      <c r="Z30" s="112">
        <f>SUM(I30,O30,R30)</f>
        <v>0.10416666666666702</v>
      </c>
      <c r="AA30" s="113">
        <f>SUM(J30,N30,P30,Q30,S30)</f>
        <v>0.1875</v>
      </c>
      <c r="AB30" s="119"/>
      <c r="AC30" s="128"/>
      <c r="AD30" s="263"/>
      <c r="AE30" s="264"/>
      <c r="AF30" s="10"/>
      <c r="AG30" s="191"/>
      <c r="AH30" s="121"/>
      <c r="AI30" s="121"/>
      <c r="AJ30" s="121"/>
      <c r="AK30" s="10"/>
      <c r="AL30" s="10"/>
      <c r="AM30" s="10"/>
      <c r="AN30" s="10"/>
      <c r="AO30" s="10"/>
    </row>
    <row r="31" spans="1:41" ht="16" x14ac:dyDescent="0.2">
      <c r="A31" s="25">
        <v>22</v>
      </c>
      <c r="B31" s="78" t="str">
        <f t="shared" si="1"/>
        <v>Se</v>
      </c>
      <c r="C31" s="68">
        <v>42237</v>
      </c>
      <c r="D31" s="79"/>
      <c r="E31" s="79"/>
      <c r="F31" s="80"/>
      <c r="G31" s="80"/>
      <c r="H31" s="81" t="str">
        <f t="shared" si="2"/>
        <v/>
      </c>
      <c r="I31" s="212"/>
      <c r="J31" s="213"/>
      <c r="K31" s="214" t="str">
        <f>IF(M31*24&gt;=6,"1","")</f>
        <v/>
      </c>
      <c r="L31" s="215" t="str">
        <f>IF(D31="Maitre chien",H31+I31+J31,"")</f>
        <v/>
      </c>
      <c r="M31" s="193">
        <f>SUM(H31,I31,J31)</f>
        <v>0</v>
      </c>
      <c r="N31" s="82" t="str">
        <f>IF(OR($C31="",H31="",N$9=""),"",IF($F31&gt;$G31,MAX(,MIN(N$9,$G31+24/24)-MAX(N$8,$F31)),MAX(,MIN(N$9,$H31)-MAX(N$8,$F31))))</f>
        <v/>
      </c>
      <c r="O31" s="73" t="str">
        <f t="shared" si="7"/>
        <v/>
      </c>
      <c r="P31" s="83" t="str">
        <f t="shared" si="7"/>
        <v/>
      </c>
      <c r="Q31" s="84">
        <f t="shared" si="4"/>
        <v>0</v>
      </c>
      <c r="R31" s="85">
        <f t="shared" si="6"/>
        <v>0</v>
      </c>
      <c r="S31" s="83">
        <f t="shared" si="6"/>
        <v>0</v>
      </c>
      <c r="T31" s="88">
        <f>SUMPRODUCT(($B$31="se")*($Z$31))</f>
        <v>0</v>
      </c>
      <c r="U31" s="103">
        <f>SUMPRODUCT(($B$31="se")*($AA$31))</f>
        <v>0</v>
      </c>
      <c r="V31" s="86">
        <f>(WEEKDAY($C31)=1)*($Z31)</f>
        <v>0</v>
      </c>
      <c r="W31" s="87">
        <f>(WEEKDAY($C31)=1)*($AA31)</f>
        <v>0</v>
      </c>
      <c r="X31" s="106">
        <f>SUMPRODUCT(($B$31="férié")*($Z$31))</f>
        <v>0</v>
      </c>
      <c r="Y31" s="103">
        <f>SUMPRODUCT(($B$31="férié")*($AA$31))</f>
        <v>0</v>
      </c>
      <c r="Z31" s="112">
        <f>SUM(I31,O31,R31)</f>
        <v>0</v>
      </c>
      <c r="AA31" s="113">
        <f>SUM(J31,N31,P31,Q31,S31)</f>
        <v>0</v>
      </c>
      <c r="AB31" s="119"/>
      <c r="AC31" s="13"/>
      <c r="AD31" s="249" t="s">
        <v>101</v>
      </c>
      <c r="AE31" s="253">
        <f>SUM(I10:I42)</f>
        <v>0</v>
      </c>
      <c r="AF31" s="10"/>
      <c r="AG31" s="191"/>
      <c r="AH31" s="121"/>
      <c r="AI31" s="121"/>
      <c r="AJ31" s="121"/>
      <c r="AK31" s="10"/>
      <c r="AL31" s="10"/>
      <c r="AM31" s="10"/>
      <c r="AN31" s="10"/>
      <c r="AO31" s="10"/>
    </row>
    <row r="32" spans="1:41" ht="16" x14ac:dyDescent="0.2">
      <c r="A32" s="25">
        <v>23</v>
      </c>
      <c r="B32" s="78" t="str">
        <f t="shared" si="1"/>
        <v>Se</v>
      </c>
      <c r="C32" s="68">
        <v>42238</v>
      </c>
      <c r="D32" s="79" t="s">
        <v>23</v>
      </c>
      <c r="E32" s="79" t="s">
        <v>91</v>
      </c>
      <c r="F32" s="80">
        <v>6.25E-2</v>
      </c>
      <c r="G32" s="80">
        <v>0.35416666666666702</v>
      </c>
      <c r="H32" s="81">
        <f t="shared" si="2"/>
        <v>0.29166666666666702</v>
      </c>
      <c r="I32" s="212"/>
      <c r="J32" s="213"/>
      <c r="K32" s="214" t="str">
        <f>IF(M32*24&gt;=6,"1","")</f>
        <v>1</v>
      </c>
      <c r="L32" s="215" t="str">
        <f>IF(D32="Maitre chien",H32+I32+J32,"")</f>
        <v/>
      </c>
      <c r="M32" s="193">
        <f>SUM(H32,I32,J32)</f>
        <v>0.29166666666666702</v>
      </c>
      <c r="N32" s="82">
        <f>IF(OR($C32="",H32="",N$9=""),"",IF($F32&gt;$G32,MAX(,MIN(N$9,$G32+24/24)-MAX(N$8,$F32)),MAX(,MIN(N$9,$H32)-MAX(N$8,$F32))))</f>
        <v>0.1875</v>
      </c>
      <c r="O32" s="73">
        <f t="shared" si="7"/>
        <v>0.10416666666666702</v>
      </c>
      <c r="P32" s="83">
        <f t="shared" si="7"/>
        <v>0</v>
      </c>
      <c r="Q32" s="84" t="str">
        <f t="shared" si="4"/>
        <v/>
      </c>
      <c r="R32" s="85" t="str">
        <f t="shared" si="6"/>
        <v/>
      </c>
      <c r="S32" s="83" t="str">
        <f t="shared" si="6"/>
        <v/>
      </c>
      <c r="T32" s="88">
        <f>SUMPRODUCT(($B$32="se")*($Z$32))</f>
        <v>0.10416666666666702</v>
      </c>
      <c r="U32" s="103">
        <f>SUMPRODUCT(($B$32="se")*($AA$32))</f>
        <v>0.1875</v>
      </c>
      <c r="V32" s="86">
        <f>(WEEKDAY($C32)=1)*($Z32)</f>
        <v>0</v>
      </c>
      <c r="W32" s="87">
        <f>(WEEKDAY($C32)=1)*($AA32)</f>
        <v>0</v>
      </c>
      <c r="X32" s="106">
        <f>SUMPRODUCT(($B$32="férié")*($Z$32))</f>
        <v>0</v>
      </c>
      <c r="Y32" s="103">
        <f>SUMPRODUCT(($B$32="férié")*($AA$32))</f>
        <v>0</v>
      </c>
      <c r="Z32" s="112">
        <f>SUM(I32,O32,R32)</f>
        <v>0.10416666666666702</v>
      </c>
      <c r="AA32" s="113">
        <f>SUM(J32,N32,P32,Q32,S32)</f>
        <v>0.1875</v>
      </c>
      <c r="AB32" s="119"/>
      <c r="AC32" s="128"/>
      <c r="AD32" s="263"/>
      <c r="AE32" s="264"/>
      <c r="AF32" s="10"/>
      <c r="AG32" s="10"/>
      <c r="AH32" s="10"/>
      <c r="AI32" s="10"/>
      <c r="AJ32" s="10"/>
      <c r="AK32" s="10"/>
      <c r="AL32" s="10"/>
      <c r="AM32" s="10"/>
      <c r="AN32" s="10"/>
      <c r="AO32" s="10"/>
    </row>
    <row r="33" spans="1:41" ht="16" x14ac:dyDescent="0.2">
      <c r="A33" s="25">
        <v>24</v>
      </c>
      <c r="B33" s="78" t="str">
        <f t="shared" si="1"/>
        <v>Se</v>
      </c>
      <c r="C33" s="68">
        <v>42238</v>
      </c>
      <c r="D33" s="79" t="s">
        <v>23</v>
      </c>
      <c r="E33" s="79" t="s">
        <v>91</v>
      </c>
      <c r="F33" s="80">
        <v>0.85416666666666696</v>
      </c>
      <c r="G33" s="80">
        <v>0.35416666666666702</v>
      </c>
      <c r="H33" s="81">
        <f t="shared" si="2"/>
        <v>0.5</v>
      </c>
      <c r="I33" s="212"/>
      <c r="J33" s="213"/>
      <c r="K33" s="214" t="str">
        <f>IF(M33*24&gt;=6,"1","")</f>
        <v>1</v>
      </c>
      <c r="L33" s="215" t="str">
        <f>IF(D33="Maitre chien",H33+I33+J33,"")</f>
        <v/>
      </c>
      <c r="M33" s="193">
        <f>SUM(H33,I33,J33)</f>
        <v>0.5</v>
      </c>
      <c r="N33" s="82">
        <f>IF(OR($C33="",H33="",N$9=""),"",IF($F33&gt;$G33,MAX(,MIN(N$9,$G33+24/24)-MAX(N$8,$F33)),MAX(,MIN(N$9,$H33)-MAX(N$8,$F33))))</f>
        <v>0</v>
      </c>
      <c r="O33" s="73">
        <f t="shared" si="7"/>
        <v>2.0833333333333037E-2</v>
      </c>
      <c r="P33" s="83">
        <f t="shared" si="7"/>
        <v>0.125</v>
      </c>
      <c r="Q33" s="84">
        <f t="shared" si="4"/>
        <v>0</v>
      </c>
      <c r="R33" s="85">
        <f t="shared" si="6"/>
        <v>0</v>
      </c>
      <c r="S33" s="83">
        <f t="shared" si="6"/>
        <v>0</v>
      </c>
      <c r="T33" s="88">
        <f>SUMPRODUCT(($B$33="se")*($Z$33))</f>
        <v>2.0833333333333037E-2</v>
      </c>
      <c r="U33" s="103">
        <f>SUMPRODUCT(($B$33="se")*($AA$33))</f>
        <v>0.125</v>
      </c>
      <c r="V33" s="86">
        <f>(WEEKDAY($C33)=1)*($Z33)</f>
        <v>0</v>
      </c>
      <c r="W33" s="87">
        <f>(WEEKDAY($C33)=1)*($AA33)</f>
        <v>0</v>
      </c>
      <c r="X33" s="106">
        <f>SUMPRODUCT(($B$33="férié")*($Z$33))</f>
        <v>0</v>
      </c>
      <c r="Y33" s="103">
        <f>SUMPRODUCT(($B$33="férié")*($AA$33))</f>
        <v>0</v>
      </c>
      <c r="Z33" s="112">
        <f>SUM(I33,O33,R33)</f>
        <v>2.0833333333333037E-2</v>
      </c>
      <c r="AA33" s="113">
        <f>SUM(J33,N33,P33,Q33,S33)</f>
        <v>0.125</v>
      </c>
      <c r="AB33" s="119"/>
      <c r="AC33" s="128"/>
      <c r="AD33" s="246" t="s">
        <v>102</v>
      </c>
      <c r="AE33" s="254">
        <f>SUM(J10:J42)</f>
        <v>0</v>
      </c>
      <c r="AF33" s="10"/>
      <c r="AG33" s="10"/>
      <c r="AH33" s="10"/>
      <c r="AI33" s="10"/>
      <c r="AJ33" s="10"/>
      <c r="AK33" s="10"/>
      <c r="AL33" s="10"/>
      <c r="AM33" s="10"/>
      <c r="AN33" s="10"/>
      <c r="AO33" s="10"/>
    </row>
    <row r="34" spans="1:41" ht="16" x14ac:dyDescent="0.2">
      <c r="A34" s="25">
        <v>25</v>
      </c>
      <c r="B34" s="78" t="str">
        <f t="shared" si="1"/>
        <v>Dim</v>
      </c>
      <c r="C34" s="68">
        <v>42239</v>
      </c>
      <c r="D34" s="79"/>
      <c r="E34" s="79"/>
      <c r="F34" s="80"/>
      <c r="G34" s="80"/>
      <c r="H34" s="81" t="str">
        <f t="shared" si="2"/>
        <v/>
      </c>
      <c r="I34" s="212"/>
      <c r="J34" s="213"/>
      <c r="K34" s="214" t="str">
        <f>IF(M34*24&gt;=6,"1","")</f>
        <v/>
      </c>
      <c r="L34" s="215" t="str">
        <f>IF(D34="Maitre chien",H34+I34+J34,"")</f>
        <v/>
      </c>
      <c r="M34" s="193">
        <f>SUM(H34,I34,J34)</f>
        <v>0</v>
      </c>
      <c r="N34" s="82" t="str">
        <f>IF(OR($C34="",H34="",N$9=""),"",IF($F34&gt;$G34,MAX(,MIN(N$9,$G34+24/24)-MAX(N$8,$F34)),MAX(,MIN(N$9,$H34)-MAX(N$8,$F34))))</f>
        <v/>
      </c>
      <c r="O34" s="73" t="str">
        <f t="shared" si="7"/>
        <v/>
      </c>
      <c r="P34" s="83" t="str">
        <f t="shared" si="7"/>
        <v/>
      </c>
      <c r="Q34" s="84">
        <f t="shared" si="4"/>
        <v>0.25</v>
      </c>
      <c r="R34" s="85">
        <f t="shared" si="6"/>
        <v>0.10416666666666696</v>
      </c>
      <c r="S34" s="83">
        <f t="shared" si="6"/>
        <v>0</v>
      </c>
      <c r="T34" s="88">
        <f>SUMPRODUCT(($B$34="se")*($Z$34))</f>
        <v>0</v>
      </c>
      <c r="U34" s="103">
        <f>SUMPRODUCT(($B$34="se")*($AA$34))</f>
        <v>0</v>
      </c>
      <c r="V34" s="86">
        <f>(WEEKDAY($C34)=1)*($Z34)</f>
        <v>0.10416666666666696</v>
      </c>
      <c r="W34" s="87">
        <f>(WEEKDAY($C34)=1)*($AA34)</f>
        <v>0.25</v>
      </c>
      <c r="X34" s="106">
        <f>SUMPRODUCT(($B$34="férié")*($Z$34))</f>
        <v>0</v>
      </c>
      <c r="Y34" s="103">
        <f>SUMPRODUCT(($B$34="férié")*($AA$34))</f>
        <v>0</v>
      </c>
      <c r="Z34" s="112">
        <f>SUM(I34,O34,R34)</f>
        <v>0.10416666666666696</v>
      </c>
      <c r="AA34" s="113">
        <f>SUM(J34,N34,P34,Q34,S34)</f>
        <v>0.25</v>
      </c>
      <c r="AB34" s="119"/>
      <c r="AC34" s="128"/>
      <c r="AD34" s="259"/>
      <c r="AE34" s="260"/>
      <c r="AF34" s="10"/>
      <c r="AG34" s="10"/>
      <c r="AH34" s="10"/>
      <c r="AI34" s="10"/>
      <c r="AJ34" s="10"/>
      <c r="AK34" s="10"/>
      <c r="AL34" s="10"/>
      <c r="AM34" s="10"/>
      <c r="AN34" s="10"/>
      <c r="AO34" s="10"/>
    </row>
    <row r="35" spans="1:41" ht="16" x14ac:dyDescent="0.2">
      <c r="A35" s="25">
        <v>26</v>
      </c>
      <c r="B35" s="78" t="str">
        <f t="shared" si="1"/>
        <v>Se</v>
      </c>
      <c r="C35" s="68">
        <v>42240</v>
      </c>
      <c r="D35" s="79"/>
      <c r="E35" s="79"/>
      <c r="F35" s="80"/>
      <c r="G35" s="80"/>
      <c r="H35" s="81" t="str">
        <f t="shared" si="2"/>
        <v/>
      </c>
      <c r="I35" s="212"/>
      <c r="J35" s="213"/>
      <c r="K35" s="214" t="str">
        <f>IF(M35*24&gt;=6,"1","")</f>
        <v/>
      </c>
      <c r="L35" s="215" t="str">
        <f>IF(D35="Maitre chien",H35+I35+J35,"")</f>
        <v/>
      </c>
      <c r="M35" s="193">
        <f>SUM(H35,I35,J35)</f>
        <v>0</v>
      </c>
      <c r="N35" s="82" t="str">
        <f>IF(OR($C35="",H35="",N$9=""),"",IF($F35&gt;$G35,MAX(,MIN(N$9,$G35+24/24)-MAX(N$8,$F35)),MAX(,MIN(N$9,$H35)-MAX(N$8,$F35))))</f>
        <v/>
      </c>
      <c r="O35" s="73" t="str">
        <f t="shared" si="7"/>
        <v/>
      </c>
      <c r="P35" s="83" t="str">
        <f t="shared" si="7"/>
        <v/>
      </c>
      <c r="Q35" s="84" t="str">
        <f t="shared" si="4"/>
        <v/>
      </c>
      <c r="R35" s="85" t="str">
        <f t="shared" si="6"/>
        <v/>
      </c>
      <c r="S35" s="83" t="str">
        <f t="shared" si="6"/>
        <v/>
      </c>
      <c r="T35" s="88">
        <f>SUMPRODUCT(($B$35="se")*($Z$35))</f>
        <v>0</v>
      </c>
      <c r="U35" s="103">
        <f>SUMPRODUCT(($B$35="se")*($AA$35))</f>
        <v>0</v>
      </c>
      <c r="V35" s="86">
        <f>(WEEKDAY($C35)=1)*($Z35)</f>
        <v>0</v>
      </c>
      <c r="W35" s="87">
        <f>(WEEKDAY($C35)=1)*($AA35)</f>
        <v>0</v>
      </c>
      <c r="X35" s="106">
        <f>SUMPRODUCT(($B$35="férié")*($Z$35))</f>
        <v>0</v>
      </c>
      <c r="Y35" s="103">
        <f>SUMPRODUCT(($B$35="férié")*($AA$35))</f>
        <v>0</v>
      </c>
      <c r="Z35" s="112">
        <f>SUM(I35,O35,R35)</f>
        <v>0</v>
      </c>
      <c r="AA35" s="113">
        <f>SUM(J35,N35,P35,Q35,S35)</f>
        <v>0</v>
      </c>
      <c r="AB35" s="119"/>
      <c r="AC35" s="128"/>
      <c r="AD35" s="246" t="s">
        <v>103</v>
      </c>
      <c r="AE35" s="252">
        <f>COUNTA(F10:F42)</f>
        <v>11</v>
      </c>
      <c r="AF35" s="10"/>
      <c r="AG35" s="10"/>
      <c r="AH35" s="10"/>
      <c r="AI35" s="10"/>
      <c r="AJ35" s="10"/>
      <c r="AK35" s="10"/>
      <c r="AL35" s="10"/>
      <c r="AM35" s="10"/>
      <c r="AN35" s="10"/>
      <c r="AO35" s="10"/>
    </row>
    <row r="36" spans="1:41" ht="16" x14ac:dyDescent="0.2">
      <c r="A36" s="25">
        <v>27</v>
      </c>
      <c r="B36" s="78" t="str">
        <f t="shared" si="1"/>
        <v>Se</v>
      </c>
      <c r="C36" s="68">
        <v>42241</v>
      </c>
      <c r="D36" s="79" t="s">
        <v>23</v>
      </c>
      <c r="E36" s="79" t="s">
        <v>91</v>
      </c>
      <c r="F36" s="80">
        <v>6.25E-2</v>
      </c>
      <c r="G36" s="80">
        <v>0.35416666666666702</v>
      </c>
      <c r="H36" s="81">
        <f t="shared" si="2"/>
        <v>0.29166666666666702</v>
      </c>
      <c r="I36" s="212"/>
      <c r="J36" s="213"/>
      <c r="K36" s="214" t="str">
        <f>IF(M36*24&gt;=6,"1","")</f>
        <v>1</v>
      </c>
      <c r="L36" s="215" t="str">
        <f>IF(D36="Maitre chien",H36+I36+J36,"")</f>
        <v/>
      </c>
      <c r="M36" s="193">
        <f>SUM(H36,I36,J36)</f>
        <v>0.29166666666666702</v>
      </c>
      <c r="N36" s="82">
        <f>IF(OR($C36="",H36="",N$9=""),"",IF($F36&gt;$G36,MAX(,MIN(N$9,$G36+24/24)-MAX(N$8,$F36)),MAX(,MIN(N$9,$H36)-MAX(N$8,$F36))))</f>
        <v>0.1875</v>
      </c>
      <c r="O36" s="73">
        <f t="shared" si="7"/>
        <v>0.10416666666666702</v>
      </c>
      <c r="P36" s="83">
        <f t="shared" si="7"/>
        <v>0</v>
      </c>
      <c r="Q36" s="84" t="str">
        <f t="shared" si="4"/>
        <v/>
      </c>
      <c r="R36" s="85" t="str">
        <f t="shared" si="6"/>
        <v/>
      </c>
      <c r="S36" s="83" t="str">
        <f t="shared" si="6"/>
        <v/>
      </c>
      <c r="T36" s="88">
        <f>SUMPRODUCT(($B$36="se")*($Z$36))</f>
        <v>0.10416666666666702</v>
      </c>
      <c r="U36" s="103">
        <f>SUMPRODUCT(($B$36="se")*($AA$36))</f>
        <v>0.1875</v>
      </c>
      <c r="V36" s="86">
        <f>(WEEKDAY($C36)=1)*($Z36)</f>
        <v>0</v>
      </c>
      <c r="W36" s="87">
        <f>(WEEKDAY($C36)=1)*($AA36)</f>
        <v>0</v>
      </c>
      <c r="X36" s="106">
        <f>SUMPRODUCT(($B$36="férié")*($Z$36))</f>
        <v>0</v>
      </c>
      <c r="Y36" s="103">
        <f>SUMPRODUCT(($B$36="férié")*($AA$36))</f>
        <v>0</v>
      </c>
      <c r="Z36" s="112">
        <f>SUM(I36,O36,R36)</f>
        <v>0.10416666666666702</v>
      </c>
      <c r="AA36" s="113">
        <f>SUM(J36,N36,P36,Q36,S36)</f>
        <v>0.1875</v>
      </c>
      <c r="AB36" s="119"/>
      <c r="AC36" s="128"/>
      <c r="AD36" s="259"/>
      <c r="AE36" s="260"/>
      <c r="AF36" s="10"/>
      <c r="AG36" s="141"/>
      <c r="AH36" s="141"/>
      <c r="AI36" s="10"/>
      <c r="AJ36" s="10"/>
      <c r="AK36" s="10"/>
      <c r="AL36" s="10"/>
      <c r="AM36" s="10"/>
      <c r="AN36" s="10"/>
      <c r="AO36" s="10"/>
    </row>
    <row r="37" spans="1:41" ht="16" x14ac:dyDescent="0.2">
      <c r="A37" s="25">
        <v>28</v>
      </c>
      <c r="B37" s="78" t="str">
        <f t="shared" si="1"/>
        <v>Se</v>
      </c>
      <c r="C37" s="68">
        <v>42242</v>
      </c>
      <c r="D37" s="79"/>
      <c r="E37" s="79"/>
      <c r="F37" s="80"/>
      <c r="G37" s="80"/>
      <c r="H37" s="81" t="str">
        <f t="shared" si="2"/>
        <v/>
      </c>
      <c r="I37" s="212"/>
      <c r="J37" s="213"/>
      <c r="K37" s="214" t="str">
        <f>IF(M37*24&gt;=6,"1","")</f>
        <v/>
      </c>
      <c r="L37" s="215" t="str">
        <f>IF(D37="Maitre chien",H37+I37+J37,"")</f>
        <v/>
      </c>
      <c r="M37" s="193">
        <f>SUM(H37,I37,J37)</f>
        <v>0</v>
      </c>
      <c r="N37" s="82" t="str">
        <f>IF(OR($C37="",H37="",N$9=""),"",IF($F37&gt;$G37,MAX(,MIN(N$9,$G37+24/24)-MAX(N$8,$F37)),MAX(,MIN(N$9,$H37)-MAX(N$8,$F37))))</f>
        <v/>
      </c>
      <c r="O37" s="73" t="str">
        <f t="shared" si="7"/>
        <v/>
      </c>
      <c r="P37" s="83" t="str">
        <f t="shared" si="7"/>
        <v/>
      </c>
      <c r="Q37" s="84">
        <f t="shared" si="4"/>
        <v>0</v>
      </c>
      <c r="R37" s="85">
        <f t="shared" si="6"/>
        <v>0</v>
      </c>
      <c r="S37" s="83">
        <f t="shared" si="6"/>
        <v>0</v>
      </c>
      <c r="T37" s="88">
        <f>SUMPRODUCT(($B$37="se")*($Z$37))</f>
        <v>0</v>
      </c>
      <c r="U37" s="103">
        <f>SUMPRODUCT(($B$37="se")*($AA$37))</f>
        <v>0</v>
      </c>
      <c r="V37" s="86">
        <f>(WEEKDAY($C37)=1)*($Z37)</f>
        <v>0</v>
      </c>
      <c r="W37" s="87">
        <f>(WEEKDAY($C37)=1)*($AA37)</f>
        <v>0</v>
      </c>
      <c r="X37" s="106">
        <f>SUMPRODUCT(($B$37="férié")*($Z$37))</f>
        <v>0</v>
      </c>
      <c r="Y37" s="103">
        <f>SUMPRODUCT(($B$37="férié")*($AA$37))</f>
        <v>0</v>
      </c>
      <c r="Z37" s="112">
        <f>SUM(I37,O37,R37)</f>
        <v>0</v>
      </c>
      <c r="AA37" s="113">
        <f>SUM(J37,N37,P37,Q37,S37)</f>
        <v>0</v>
      </c>
      <c r="AB37" s="119"/>
      <c r="AC37" s="128"/>
      <c r="AD37" s="252" t="s">
        <v>104</v>
      </c>
      <c r="AE37" s="254">
        <f>SUM(L10:L42)</f>
        <v>0</v>
      </c>
      <c r="AF37" s="10"/>
      <c r="AG37" s="129"/>
      <c r="AH37" s="129"/>
      <c r="AI37" s="10"/>
      <c r="AJ37" s="10"/>
      <c r="AK37" s="10"/>
      <c r="AL37" s="10"/>
      <c r="AM37" s="10"/>
      <c r="AN37" s="10"/>
      <c r="AO37" s="10"/>
    </row>
    <row r="38" spans="1:41" ht="16" x14ac:dyDescent="0.2">
      <c r="A38" s="25">
        <v>29</v>
      </c>
      <c r="B38" s="78" t="str">
        <f t="shared" si="1"/>
        <v>Se</v>
      </c>
      <c r="C38" s="68">
        <v>42243</v>
      </c>
      <c r="D38" s="79"/>
      <c r="E38" s="79"/>
      <c r="F38" s="80"/>
      <c r="G38" s="80"/>
      <c r="H38" s="81" t="str">
        <f t="shared" si="2"/>
        <v/>
      </c>
      <c r="I38" s="212"/>
      <c r="J38" s="213"/>
      <c r="K38" s="214" t="str">
        <f>IF(M38*24&gt;=6,"1","")</f>
        <v/>
      </c>
      <c r="L38" s="215" t="str">
        <f>IF(D38="Maitre chien",H38+I38+J38,"")</f>
        <v/>
      </c>
      <c r="M38" s="193">
        <f>SUM(H38,I38,J38)</f>
        <v>0</v>
      </c>
      <c r="N38" s="82" t="str">
        <f>IF(OR($C38="",H38="",N$9=""),"",IF($F38&gt;$G38,MAX(,MIN(N$9,$G38+24/24)-MAX(N$8,$F38)),MAX(,MIN(N$9,$H38)-MAX(N$8,$F38))))</f>
        <v/>
      </c>
      <c r="O38" s="73" t="str">
        <f t="shared" si="7"/>
        <v/>
      </c>
      <c r="P38" s="83" t="str">
        <f t="shared" si="7"/>
        <v/>
      </c>
      <c r="Q38" s="84" t="str">
        <f t="shared" si="4"/>
        <v/>
      </c>
      <c r="R38" s="85" t="str">
        <f t="shared" si="6"/>
        <v/>
      </c>
      <c r="S38" s="83" t="str">
        <f t="shared" si="6"/>
        <v/>
      </c>
      <c r="T38" s="88">
        <f>SUMPRODUCT(($B$38="se")*($Z$38))</f>
        <v>0</v>
      </c>
      <c r="U38" s="103">
        <f>SUMPRODUCT(($B$38="se")*($AA$38))</f>
        <v>0</v>
      </c>
      <c r="V38" s="86">
        <f>(WEEKDAY($C38)=1)*($Z38)</f>
        <v>0</v>
      </c>
      <c r="W38" s="87">
        <f>(WEEKDAY($C38)=1)*($AA38)</f>
        <v>0</v>
      </c>
      <c r="X38" s="106">
        <f>SUMPRODUCT(($B$38="férié")*($Z$38))</f>
        <v>0</v>
      </c>
      <c r="Y38" s="103">
        <f>SUMPRODUCT(($B$38="férié")*($AA$38))</f>
        <v>0</v>
      </c>
      <c r="Z38" s="112">
        <f>SUM(I38,O38,R38)</f>
        <v>0</v>
      </c>
      <c r="AA38" s="113">
        <f>SUM(J38,N38,P38,Q38,S38)</f>
        <v>0</v>
      </c>
      <c r="AB38" s="119"/>
      <c r="AC38" s="128"/>
      <c r="AD38" s="263"/>
      <c r="AE38" s="264"/>
      <c r="AF38" s="10"/>
      <c r="AG38" s="120"/>
      <c r="AH38" s="121"/>
      <c r="AI38" s="10"/>
      <c r="AJ38" s="10"/>
      <c r="AK38" s="10"/>
      <c r="AL38" s="10"/>
      <c r="AM38" s="10"/>
      <c r="AN38" s="10"/>
      <c r="AO38" s="10"/>
    </row>
    <row r="39" spans="1:41" ht="16" x14ac:dyDescent="0.2">
      <c r="A39" s="25">
        <v>30</v>
      </c>
      <c r="B39" s="78" t="str">
        <f t="shared" si="1"/>
        <v>Se</v>
      </c>
      <c r="C39" s="68">
        <v>42244</v>
      </c>
      <c r="D39" s="79" t="s">
        <v>23</v>
      </c>
      <c r="E39" s="79" t="s">
        <v>91</v>
      </c>
      <c r="F39" s="80">
        <v>6.25E-2</v>
      </c>
      <c r="G39" s="80">
        <v>0.35416666666666702</v>
      </c>
      <c r="H39" s="81">
        <f t="shared" si="2"/>
        <v>0.29166666666666702</v>
      </c>
      <c r="I39" s="212"/>
      <c r="J39" s="213"/>
      <c r="K39" s="214" t="str">
        <f>IF(M39*24&gt;=6,"1","")</f>
        <v>1</v>
      </c>
      <c r="L39" s="215" t="str">
        <f>IF(D39="Maitre chien",H39+I39+J39,"")</f>
        <v/>
      </c>
      <c r="M39" s="193">
        <f>SUM(H39,I39,J39)</f>
        <v>0.29166666666666702</v>
      </c>
      <c r="N39" s="82">
        <f>IF(OR($C39="",H39="",N$9=""),"",IF($F39&gt;$G39,MAX(,MIN(N$9,$G39+24/24)-MAX(N$8,$F39)),MAX(,MIN(N$9,$H39)-MAX(N$8,$F39))))</f>
        <v>0.1875</v>
      </c>
      <c r="O39" s="73">
        <f t="shared" si="7"/>
        <v>0.10416666666666702</v>
      </c>
      <c r="P39" s="83">
        <f t="shared" si="7"/>
        <v>0</v>
      </c>
      <c r="Q39" s="84" t="str">
        <f t="shared" si="4"/>
        <v/>
      </c>
      <c r="R39" s="85" t="str">
        <f t="shared" si="6"/>
        <v/>
      </c>
      <c r="S39" s="83" t="str">
        <f t="shared" si="6"/>
        <v/>
      </c>
      <c r="T39" s="88">
        <f>SUMPRODUCT(($B$39="se")*($Z$39))</f>
        <v>0.10416666666666702</v>
      </c>
      <c r="U39" s="103">
        <f>SUMPRODUCT(($B$39="se")*($AA$39))</f>
        <v>0.1875</v>
      </c>
      <c r="V39" s="86">
        <f>(WEEKDAY($C39)=1)*($Z39)</f>
        <v>0</v>
      </c>
      <c r="W39" s="87">
        <f>(WEEKDAY($C39)=1)*($AA39)</f>
        <v>0</v>
      </c>
      <c r="X39" s="106">
        <f>SUMPRODUCT(($B$39="férié")*($Z$39))</f>
        <v>0</v>
      </c>
      <c r="Y39" s="103">
        <f>SUMPRODUCT(($B$39="férié")*($AA$39))</f>
        <v>0</v>
      </c>
      <c r="Z39" s="112">
        <f>SUM(I39,O39,R39)</f>
        <v>0.10416666666666702</v>
      </c>
      <c r="AA39" s="113">
        <f>SUM(J39,N39,P39,Q39,S39)</f>
        <v>0.1875</v>
      </c>
      <c r="AB39" s="119"/>
      <c r="AC39" s="128"/>
      <c r="AD39" s="10"/>
      <c r="AE39" s="10"/>
      <c r="AF39" s="10"/>
      <c r="AG39" s="120"/>
      <c r="AH39" s="121"/>
      <c r="AI39" s="10"/>
      <c r="AJ39" s="10"/>
      <c r="AK39" s="10"/>
      <c r="AL39" s="10"/>
      <c r="AM39" s="10"/>
      <c r="AN39" s="10"/>
      <c r="AO39" s="10"/>
    </row>
    <row r="40" spans="1:41" ht="16" x14ac:dyDescent="0.2">
      <c r="A40" s="25">
        <v>31</v>
      </c>
      <c r="B40" s="78" t="str">
        <f t="shared" si="1"/>
        <v>Se</v>
      </c>
      <c r="C40" s="68">
        <v>42245</v>
      </c>
      <c r="D40" s="79" t="s">
        <v>23</v>
      </c>
      <c r="E40" s="79" t="s">
        <v>91</v>
      </c>
      <c r="F40" s="80">
        <v>0.35416666666666702</v>
      </c>
      <c r="G40" s="80">
        <v>0.85416666666666696</v>
      </c>
      <c r="H40" s="81">
        <f t="shared" si="2"/>
        <v>0.49999999999999994</v>
      </c>
      <c r="I40" s="212"/>
      <c r="J40" s="213"/>
      <c r="K40" s="214" t="str">
        <f>IF(M40*24&gt;=6,"1","")</f>
        <v>1</v>
      </c>
      <c r="L40" s="215" t="str">
        <f>IF(D40="Maitre chien",H40+I40+J40,"")</f>
        <v/>
      </c>
      <c r="M40" s="193">
        <f>SUM(H40,I40,J40)</f>
        <v>0.49999999999999994</v>
      </c>
      <c r="N40" s="82">
        <f>IF(OR($C40="",H40="",N$9=""),"",IF($F40&gt;$G40,MAX(,MIN(N$9,$G40+24/24)-MAX(N$8,$F40)),MAX(,MIN(N$9,$H40)-MAX(N$8,$F40))))</f>
        <v>0</v>
      </c>
      <c r="O40" s="73">
        <f t="shared" si="7"/>
        <v>0.49999999999999994</v>
      </c>
      <c r="P40" s="83">
        <f t="shared" si="7"/>
        <v>0</v>
      </c>
      <c r="Q40" s="84">
        <f t="shared" si="4"/>
        <v>0</v>
      </c>
      <c r="R40" s="85">
        <f t="shared" si="6"/>
        <v>0</v>
      </c>
      <c r="S40" s="83">
        <f t="shared" si="6"/>
        <v>0</v>
      </c>
      <c r="T40" s="88">
        <f>SUMPRODUCT(($B$40="se")*($Z$40))</f>
        <v>0.49999999999999994</v>
      </c>
      <c r="U40" s="103">
        <f>SUMPRODUCT(($B$40="se")*($AA$40))</f>
        <v>0</v>
      </c>
      <c r="V40" s="86">
        <f>(WEEKDAY($C40)=1)*($Z40)</f>
        <v>0</v>
      </c>
      <c r="W40" s="87">
        <f>(WEEKDAY($C40)=1)*($AA40)</f>
        <v>0</v>
      </c>
      <c r="X40" s="106">
        <f>SUMPRODUCT(($B$40="férié")*($Z$40))</f>
        <v>0</v>
      </c>
      <c r="Y40" s="103">
        <f>SUMPRODUCT(($B$40="férié")*($AA$40))</f>
        <v>0</v>
      </c>
      <c r="Z40" s="112">
        <f>SUM(I40,O40,R40)</f>
        <v>0.49999999999999994</v>
      </c>
      <c r="AA40" s="113">
        <f>SUM(J40,N40,P40,Q40,S40)</f>
        <v>0</v>
      </c>
      <c r="AB40" s="119"/>
      <c r="AC40" s="128"/>
      <c r="AD40" s="10"/>
      <c r="AE40" s="10"/>
      <c r="AF40" s="10"/>
      <c r="AG40" s="120"/>
      <c r="AH40" s="121"/>
      <c r="AI40" s="10"/>
      <c r="AJ40" s="10"/>
      <c r="AK40" s="10"/>
      <c r="AL40" s="10"/>
      <c r="AM40" s="10"/>
      <c r="AN40" s="10"/>
      <c r="AO40" s="10"/>
    </row>
    <row r="41" spans="1:41" ht="16" x14ac:dyDescent="0.2">
      <c r="A41" s="25">
        <v>32</v>
      </c>
      <c r="B41" s="78" t="str">
        <f>IF(C42="","",IF(COUNTIF(Fer,C42)&gt;0,"Férié",IF(WEEKDAY(C42,2)&lt;=6,"Se","Dim")))</f>
        <v>Se</v>
      </c>
      <c r="C41" s="68">
        <v>42246</v>
      </c>
      <c r="D41" s="79" t="s">
        <v>23</v>
      </c>
      <c r="E41" s="79" t="s">
        <v>91</v>
      </c>
      <c r="F41" s="80">
        <v>0.35416666666666702</v>
      </c>
      <c r="G41" s="80">
        <v>0.85416666666666696</v>
      </c>
      <c r="H41" s="81">
        <f t="shared" si="2"/>
        <v>0.49999999999999994</v>
      </c>
      <c r="I41" s="212"/>
      <c r="J41" s="213"/>
      <c r="K41" s="214" t="str">
        <f>IF(M41*24&gt;=6,"1","")</f>
        <v>1</v>
      </c>
      <c r="L41" s="215" t="str">
        <f>IF(D41="Maitre chien",H41+I41+J41,"")</f>
        <v/>
      </c>
      <c r="M41" s="193">
        <f>SUM(H41,I41,J41)</f>
        <v>0.49999999999999994</v>
      </c>
      <c r="N41" s="82">
        <f>IF(OR($C41="",H41="",N$9=""),"",IF($F41&gt;$G41,MAX(,MIN(N$9,$G41+24/24)-MAX(N$8,$F41)),MAX(,MIN(N$9,$H41)-MAX(N$8,$F41))))</f>
        <v>0</v>
      </c>
      <c r="O41" s="73">
        <f t="shared" si="7"/>
        <v>0.49999999999999994</v>
      </c>
      <c r="P41" s="83">
        <f t="shared" si="7"/>
        <v>0</v>
      </c>
      <c r="Q41" s="84">
        <f t="shared" si="4"/>
        <v>0</v>
      </c>
      <c r="R41" s="85">
        <f t="shared" si="6"/>
        <v>0</v>
      </c>
      <c r="S41" s="83">
        <f t="shared" si="6"/>
        <v>0</v>
      </c>
      <c r="T41" s="88">
        <f>SUMPRODUCT(($B$41="se")*($Z$41))</f>
        <v>0.49999999999999994</v>
      </c>
      <c r="U41" s="103">
        <f>SUMPRODUCT(($B$41="se")*($AA$41))</f>
        <v>0</v>
      </c>
      <c r="V41" s="86">
        <f>(WEEKDAY($C41)=1)*($Z41)</f>
        <v>0.49999999999999994</v>
      </c>
      <c r="W41" s="87">
        <f>(WEEKDAY($C41)=1)*($AA41)</f>
        <v>0</v>
      </c>
      <c r="X41" s="106">
        <f>SUMPRODUCT(($B$41="férié")*($Z$41))</f>
        <v>0</v>
      </c>
      <c r="Y41" s="103">
        <f>SUMPRODUCT(($B$41="férié")*($AA$41))</f>
        <v>0</v>
      </c>
      <c r="Z41" s="112">
        <f>SUM(I41,O41,R41)</f>
        <v>0.49999999999999994</v>
      </c>
      <c r="AA41" s="113">
        <f>SUM(J41,N41,P41,Q41,S41)</f>
        <v>0</v>
      </c>
      <c r="AB41" s="119"/>
      <c r="AC41" s="128"/>
      <c r="AD41" s="10"/>
      <c r="AE41" s="10"/>
      <c r="AF41" s="10"/>
      <c r="AG41" s="120"/>
      <c r="AH41" s="121"/>
      <c r="AI41" s="10"/>
      <c r="AJ41" s="10"/>
      <c r="AK41" s="10"/>
      <c r="AL41" s="10"/>
      <c r="AM41" s="10"/>
      <c r="AN41" s="10"/>
      <c r="AO41" s="10"/>
    </row>
    <row r="42" spans="1:41" ht="17" thickBot="1" x14ac:dyDescent="0.25">
      <c r="A42" s="89">
        <v>33</v>
      </c>
      <c r="B42" s="90" t="str">
        <f>IF(C43="","",IF(COUNTIF(Fer,C43)&gt;0,"Férié",IF(WEEKDAY(C43,2)&lt;=6,"Se","Dim")))</f>
        <v/>
      </c>
      <c r="C42" s="68">
        <v>42247</v>
      </c>
      <c r="D42" s="117"/>
      <c r="E42" s="117"/>
      <c r="F42" s="91"/>
      <c r="G42" s="91"/>
      <c r="H42" s="92" t="str">
        <f t="shared" si="2"/>
        <v/>
      </c>
      <c r="I42" s="216"/>
      <c r="J42" s="217"/>
      <c r="K42" s="218" t="str">
        <f>IF(M42*24&gt;=6,"1","")</f>
        <v/>
      </c>
      <c r="L42" s="219" t="str">
        <f>IF(D42="Maitre chien",H42+I42+J42,"")</f>
        <v/>
      </c>
      <c r="M42" s="194">
        <f>SUM(H42,I42,J42)</f>
        <v>0</v>
      </c>
      <c r="N42" s="93" t="str">
        <f>IF(OR($C42="",H42="",N$9=""),"",IF($F42&gt;$G42,MAX(,MIN(N$9,$G42+24/24)-MAX(N$8,$F42)),MAX(,MIN(N$9,$H42)-MAX(N$8,$F42))))</f>
        <v/>
      </c>
      <c r="O42" s="73" t="str">
        <f t="shared" si="7"/>
        <v/>
      </c>
      <c r="P42" s="94" t="str">
        <f t="shared" si="7"/>
        <v/>
      </c>
      <c r="Q42" s="95">
        <f t="shared" si="4"/>
        <v>0</v>
      </c>
      <c r="R42" s="85">
        <f t="shared" si="6"/>
        <v>0</v>
      </c>
      <c r="S42" s="94">
        <f t="shared" si="6"/>
        <v>0</v>
      </c>
      <c r="T42" s="98">
        <f>SUMPRODUCT(($B$42="se")*($Z$42))</f>
        <v>0</v>
      </c>
      <c r="U42" s="104">
        <f>SUMPRODUCT(($B$42="se")*($AA$42))</f>
        <v>0</v>
      </c>
      <c r="V42" s="96">
        <f>(WEEKDAY($C42)=1)*($Z42)</f>
        <v>0</v>
      </c>
      <c r="W42" s="97">
        <f>(WEEKDAY($C42)=1)*($AA42)</f>
        <v>0</v>
      </c>
      <c r="X42" s="107">
        <f>SUMPRODUCT(($B$42="férié")*($Z$42))</f>
        <v>0</v>
      </c>
      <c r="Y42" s="104">
        <f>SUMPRODUCT(($B$42="férié")*($AA$42))</f>
        <v>0</v>
      </c>
      <c r="Z42" s="114">
        <f>SUM(I42,O42,R42)</f>
        <v>0</v>
      </c>
      <c r="AA42" s="115">
        <f>SUM(J42,N42,P42,Q42,S42)</f>
        <v>0</v>
      </c>
      <c r="AB42" s="187"/>
      <c r="AC42" s="128"/>
      <c r="AD42" s="10"/>
      <c r="AE42" s="10"/>
      <c r="AF42" s="10"/>
      <c r="AG42" s="120"/>
      <c r="AH42" s="121"/>
      <c r="AI42" s="10"/>
      <c r="AJ42" s="10"/>
      <c r="AK42" s="10"/>
      <c r="AL42" s="10"/>
      <c r="AM42" s="10"/>
      <c r="AN42" s="10"/>
      <c r="AO42" s="10"/>
    </row>
    <row r="43" spans="1:41" s="66" customFormat="1" ht="14" x14ac:dyDescent="0.2">
      <c r="A43" s="131" t="s">
        <v>96</v>
      </c>
      <c r="B43" s="132"/>
      <c r="C43" s="132"/>
      <c r="D43" s="132"/>
      <c r="E43" s="132"/>
      <c r="F43" s="132">
        <f>COUNTA(F10:F42)</f>
        <v>11</v>
      </c>
      <c r="G43" s="132">
        <f>COUNTA(G10:G42)</f>
        <v>11</v>
      </c>
      <c r="H43" s="137">
        <f>SUM(H10:H42)</f>
        <v>4.1041666666666687</v>
      </c>
      <c r="I43" s="134">
        <f t="shared" ref="I43:S43" si="8">SUM(I10:I42)</f>
        <v>0</v>
      </c>
      <c r="J43" s="134">
        <f t="shared" si="8"/>
        <v>0</v>
      </c>
      <c r="K43" s="132">
        <f>COUNTA(F10:F42)</f>
        <v>11</v>
      </c>
      <c r="L43" s="134">
        <f>SUM(L10:L42)</f>
        <v>0</v>
      </c>
      <c r="M43" s="134">
        <f>SUM(M10:M42)</f>
        <v>4.1041666666666687</v>
      </c>
      <c r="N43" s="133">
        <f t="shared" si="8"/>
        <v>1.125</v>
      </c>
      <c r="O43" s="133">
        <f t="shared" si="8"/>
        <v>1.833333333333335</v>
      </c>
      <c r="P43" s="133">
        <f t="shared" si="8"/>
        <v>0.375</v>
      </c>
      <c r="Q43" s="137">
        <f t="shared" si="8"/>
        <v>0.5625</v>
      </c>
      <c r="R43" s="133">
        <f>SUM(R10:R42)</f>
        <v>0.20833333333333393</v>
      </c>
      <c r="S43" s="133">
        <f t="shared" si="8"/>
        <v>0</v>
      </c>
      <c r="T43" s="134">
        <f>SUMIF(C10:C42,"&gt;0",T10:T42)</f>
        <v>1.833333333333335</v>
      </c>
      <c r="U43" s="134">
        <f>SUMIF(C10:C42,"&gt;0",U10:U42)</f>
        <v>1.5625</v>
      </c>
      <c r="V43" s="134">
        <f>SUMPRODUCT((WEEKDAY($C$10:$C$42)=1)*($Z$10:$Z$42))</f>
        <v>0.70833333333333393</v>
      </c>
      <c r="W43" s="134">
        <f>SUMPRODUCT(($B$10:$B$42="dim")*($AA$10:$AA$42))</f>
        <v>0.5</v>
      </c>
      <c r="X43" s="134">
        <f>SUMPRODUCT(($B$10:$B$42="férié")*($X$10:$X$42))</f>
        <v>0</v>
      </c>
      <c r="Y43" s="134">
        <f>SUMPRODUCT(($B$10:$B$42="férié")*($Y$10:$Y$42))</f>
        <v>0</v>
      </c>
      <c r="Z43" s="134">
        <f>SUMIF(C10:C42,"&gt;0",Z10:Z42)</f>
        <v>2.0416666666666687</v>
      </c>
      <c r="AA43" s="134">
        <f>SUMIF(C10:C42,"&gt;0",AA10:AA42)</f>
        <v>2.0625</v>
      </c>
      <c r="AB43" s="132"/>
      <c r="AC43" s="130"/>
      <c r="AD43" s="99"/>
      <c r="AE43" s="99"/>
      <c r="AF43" s="99"/>
      <c r="AG43" s="130"/>
      <c r="AH43" s="130"/>
      <c r="AI43" s="99"/>
      <c r="AJ43" s="99"/>
      <c r="AK43" s="99"/>
      <c r="AL43" s="99"/>
      <c r="AM43" s="99"/>
      <c r="AN43" s="99"/>
      <c r="AO43" s="99"/>
    </row>
    <row r="44" spans="1:41" x14ac:dyDescent="0.2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</row>
    <row r="45" spans="1:41" x14ac:dyDescent="0.2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</row>
    <row r="46" spans="1:41" s="10" customFormat="1" x14ac:dyDescent="0.2"/>
    <row r="47" spans="1:41" s="10" customFormat="1" x14ac:dyDescent="0.2"/>
    <row r="48" spans="1:41" s="10" customFormat="1" x14ac:dyDescent="0.2"/>
    <row r="49" s="10" customFormat="1" x14ac:dyDescent="0.2"/>
    <row r="50" s="10" customFormat="1" x14ac:dyDescent="0.2"/>
  </sheetData>
  <mergeCells count="48">
    <mergeCell ref="AD36:AE36"/>
    <mergeCell ref="AG36:AH36"/>
    <mergeCell ref="AD38:AE38"/>
    <mergeCell ref="AD24:AE24"/>
    <mergeCell ref="AD26:AE26"/>
    <mergeCell ref="AD28:AE28"/>
    <mergeCell ref="AD30:AE30"/>
    <mergeCell ref="AD32:AE32"/>
    <mergeCell ref="AD34:AE34"/>
    <mergeCell ref="AG14:AJ14"/>
    <mergeCell ref="AD16:AE16"/>
    <mergeCell ref="AD18:AE18"/>
    <mergeCell ref="AD20:AE20"/>
    <mergeCell ref="AD22:AE22"/>
    <mergeCell ref="AG23:AJ23"/>
    <mergeCell ref="V9:W9"/>
    <mergeCell ref="X9:Y9"/>
    <mergeCell ref="Z9:AA9"/>
    <mergeCell ref="AD10:AE10"/>
    <mergeCell ref="AD12:AE12"/>
    <mergeCell ref="AD14:AE14"/>
    <mergeCell ref="Z5:AA5"/>
    <mergeCell ref="AD6:AE6"/>
    <mergeCell ref="K7:L7"/>
    <mergeCell ref="T8:U8"/>
    <mergeCell ref="V8:W8"/>
    <mergeCell ref="X8:Y8"/>
    <mergeCell ref="Z8:AA8"/>
    <mergeCell ref="AB8:AB9"/>
    <mergeCell ref="AD8:AE8"/>
    <mergeCell ref="T9:U9"/>
    <mergeCell ref="T4:U4"/>
    <mergeCell ref="V4:W4"/>
    <mergeCell ref="X4:Y4"/>
    <mergeCell ref="Z4:AA4"/>
    <mergeCell ref="AD4:AE4"/>
    <mergeCell ref="N5:P5"/>
    <mergeCell ref="Q5:S5"/>
    <mergeCell ref="T5:U5"/>
    <mergeCell ref="V5:W5"/>
    <mergeCell ref="X5:Y5"/>
    <mergeCell ref="E2:H2"/>
    <mergeCell ref="AD2:AE2"/>
    <mergeCell ref="AG2:AJ2"/>
    <mergeCell ref="T3:U3"/>
    <mergeCell ref="V3:W3"/>
    <mergeCell ref="X3:Y3"/>
    <mergeCell ref="Z3:AA3"/>
  </mergeCells>
  <conditionalFormatting sqref="B10:C11 C12:C42">
    <cfRule type="expression" dxfId="23" priority="2" stopIfTrue="1">
      <formula>WEEKDAY($C10,2)=7</formula>
    </cfRule>
    <cfRule type="expression" dxfId="22" priority="3" stopIfTrue="1">
      <formula>COUNTIF(Fer,$C42)&gt;0</formula>
    </cfRule>
  </conditionalFormatting>
  <conditionalFormatting sqref="D18:E42">
    <cfRule type="expression" dxfId="21" priority="9" stopIfTrue="1">
      <formula>#REF!&lt;&gt;""</formula>
    </cfRule>
  </conditionalFormatting>
  <conditionalFormatting sqref="D15:E15">
    <cfRule type="expression" dxfId="20" priority="12" stopIfTrue="1">
      <formula>#REF!&lt;&gt;""</formula>
    </cfRule>
    <cfRule type="expression" dxfId="19" priority="13" stopIfTrue="1">
      <formula>COUNTIF(Fer,#REF!)&gt;0</formula>
    </cfRule>
    <cfRule type="expression" dxfId="18" priority="14" stopIfTrue="1">
      <formula>COUNTIF(Fer,$C15)&gt;0</formula>
    </cfRule>
  </conditionalFormatting>
  <conditionalFormatting sqref="D15:E15">
    <cfRule type="expression" dxfId="17" priority="15" stopIfTrue="1">
      <formula>WEEKDAY($C15,2)=7</formula>
    </cfRule>
    <cfRule type="expression" dxfId="16" priority="16" stopIfTrue="1">
      <formula>COUNTIF(Fer,#REF!)&gt;0</formula>
    </cfRule>
  </conditionalFormatting>
  <conditionalFormatting sqref="B41:B42">
    <cfRule type="expression" dxfId="15" priority="10" stopIfTrue="1">
      <formula>WEEKDAY($C41,2)=7</formula>
    </cfRule>
  </conditionalFormatting>
  <conditionalFormatting sqref="C10:C42">
    <cfRule type="expression" dxfId="14" priority="4" stopIfTrue="1">
      <formula>WEEKDAY($C42,2)=7</formula>
    </cfRule>
    <cfRule type="expression" dxfId="13" priority="5" stopIfTrue="1">
      <formula>#REF!&lt;&gt;""</formula>
    </cfRule>
    <cfRule type="expression" dxfId="12" priority="6" stopIfTrue="1">
      <formula>COUNTIF(Fer,#REF!)&gt;0</formula>
    </cfRule>
    <cfRule type="expression" dxfId="11" priority="7" stopIfTrue="1">
      <formula>WEEKDAY(#REF!,2)=7</formula>
    </cfRule>
    <cfRule type="expression" dxfId="10" priority="8" stopIfTrue="1">
      <formula>COUNTIF(Fer,$C10)&gt;0</formula>
    </cfRule>
  </conditionalFormatting>
  <conditionalFormatting sqref="B41:B42 D18:E42">
    <cfRule type="expression" dxfId="9" priority="17" stopIfTrue="1">
      <formula>COUNTIF(Fer,#REF!)&gt;0</formula>
    </cfRule>
  </conditionalFormatting>
  <conditionalFormatting sqref="B10:C42">
    <cfRule type="expression" dxfId="8" priority="1" stopIfTrue="1">
      <formula>COUNTIF(Fer,$C10)&gt;0</formula>
    </cfRule>
  </conditionalFormatting>
  <conditionalFormatting sqref="C15 C27">
    <cfRule type="expression" dxfId="7" priority="11" stopIfTrue="1">
      <formula>WEEKDAY(#REF!,2)=7</formula>
    </cfRule>
  </conditionalFormatting>
  <conditionalFormatting sqref="B12:C42">
    <cfRule type="expression" dxfId="6" priority="18" stopIfTrue="1">
      <formula>WEEKDAY($C12,2)=7</formula>
    </cfRule>
    <cfRule type="expression" dxfId="5" priority="19" stopIfTrue="1">
      <formula>COUNTIF(Fer,#REF!)&gt;0</formula>
    </cfRule>
  </conditionalFormatting>
  <conditionalFormatting sqref="C12:C42">
    <cfRule type="expression" dxfId="4" priority="20" stopIfTrue="1">
      <formula>WEEKDAY(#REF!,2)=7</formula>
    </cfRule>
    <cfRule type="expression" dxfId="3" priority="21" stopIfTrue="1">
      <formula>#REF!&lt;&gt;""</formula>
    </cfRule>
    <cfRule type="expression" dxfId="2" priority="22" stopIfTrue="1">
      <formula>COUNTIF(Fer,#REF!)&gt;0</formula>
    </cfRule>
    <cfRule type="expression" dxfId="1" priority="23" stopIfTrue="1">
      <formula>WEEKDAY(#REF!,2)=7</formula>
    </cfRule>
    <cfRule type="expression" dxfId="0" priority="24" stopIfTrue="1">
      <formula>COUNTIF(Fer,$C12)&gt;0</formula>
    </cfRule>
  </conditionalFormatting>
  <pageMargins left="0.7" right="0.7" top="0.75" bottom="0.75" header="0.3" footer="0.3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Data!$M$3:$M$22</xm:f>
          </x14:formula1>
          <xm:sqref>I10:J42</xm:sqref>
        </x14:dataValidation>
        <x14:dataValidation type="list" allowBlank="1" showInputMessage="1" showErrorMessage="1">
          <x14:formula1>
            <xm:f>Data!$H$2:$H$15</xm:f>
          </x14:formula1>
          <xm:sqref>E10:E42</xm:sqref>
        </x14:dataValidation>
        <x14:dataValidation type="list" allowBlank="1" showInputMessage="1" showErrorMessage="1">
          <x14:formula1>
            <xm:f>Data!$K$4:$K$8</xm:f>
          </x14:formula1>
          <xm:sqref>D10:D42</xm:sqref>
        </x14:dataValidation>
        <x14:dataValidation type="list" allowBlank="1" showErrorMessage="1" prompt="Choisissez votre heure de fin de journée.">
          <x14:formula1>
            <xm:f>Data!$D$2:$D$49</xm:f>
          </x14:formula1>
          <xm:sqref>G10:G42</xm:sqref>
        </x14:dataValidation>
        <x14:dataValidation type="list" allowBlank="1" showErrorMessage="1" prompt="Choisissez votre heure de début de journée">
          <x14:formula1>
            <xm:f>Data!$D$2:$D$49</xm:f>
          </x14:formula1>
          <xm:sqref>F10:F42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" enableFormatConditionsCalculation="0"/>
  <dimension ref="A1:M51"/>
  <sheetViews>
    <sheetView workbookViewId="0">
      <selection activeCell="G18" sqref="G18"/>
    </sheetView>
  </sheetViews>
  <sheetFormatPr baseColWidth="10" defaultRowHeight="15" x14ac:dyDescent="0.2"/>
  <cols>
    <col min="6" max="6" width="10.83203125" style="6"/>
    <col min="7" max="7" width="20.33203125" customWidth="1"/>
    <col min="10" max="10" width="17.6640625" customWidth="1"/>
  </cols>
  <sheetData>
    <row r="1" spans="1:13" x14ac:dyDescent="0.2">
      <c r="A1" s="2" t="s">
        <v>6</v>
      </c>
      <c r="B1" s="2"/>
      <c r="C1" s="3" t="s">
        <v>21</v>
      </c>
      <c r="D1" s="2" t="s">
        <v>7</v>
      </c>
      <c r="E1" s="2"/>
      <c r="F1" s="5" t="s">
        <v>22</v>
      </c>
      <c r="G1" s="2" t="s">
        <v>38</v>
      </c>
      <c r="H1" s="23" t="s">
        <v>32</v>
      </c>
      <c r="K1" s="8"/>
      <c r="M1" t="s">
        <v>58</v>
      </c>
    </row>
    <row r="2" spans="1:13" x14ac:dyDescent="0.2">
      <c r="A2" t="s">
        <v>8</v>
      </c>
      <c r="B2">
        <v>1</v>
      </c>
      <c r="C2">
        <v>2015</v>
      </c>
      <c r="D2" s="4">
        <v>0</v>
      </c>
      <c r="F2" s="6" t="s">
        <v>23</v>
      </c>
      <c r="G2" s="1">
        <v>42005</v>
      </c>
      <c r="H2" s="24" t="s">
        <v>91</v>
      </c>
      <c r="I2" s="7" t="s">
        <v>55</v>
      </c>
      <c r="J2" s="7"/>
      <c r="K2" s="8"/>
    </row>
    <row r="3" spans="1:13" x14ac:dyDescent="0.2">
      <c r="A3" t="s">
        <v>9</v>
      </c>
      <c r="B3">
        <v>2</v>
      </c>
      <c r="C3">
        <v>2016</v>
      </c>
      <c r="D3" s="4">
        <v>2.0833333333333332E-2</v>
      </c>
      <c r="F3" s="6" t="s">
        <v>24</v>
      </c>
      <c r="G3" s="1">
        <v>42100</v>
      </c>
      <c r="H3" s="24" t="s">
        <v>92</v>
      </c>
      <c r="K3" s="17" t="s">
        <v>49</v>
      </c>
      <c r="M3" s="4">
        <v>1.0416666666666666E-2</v>
      </c>
    </row>
    <row r="4" spans="1:13" x14ac:dyDescent="0.2">
      <c r="A4" t="s">
        <v>10</v>
      </c>
      <c r="B4">
        <v>3</v>
      </c>
      <c r="C4">
        <v>2017</v>
      </c>
      <c r="D4" s="4">
        <v>4.1666666666666664E-2</v>
      </c>
      <c r="F4" s="6" t="s">
        <v>25</v>
      </c>
      <c r="G4" s="1">
        <v>42125</v>
      </c>
      <c r="H4" s="24" t="s">
        <v>93</v>
      </c>
      <c r="I4" s="7" t="s">
        <v>34</v>
      </c>
      <c r="J4" s="7" t="s">
        <v>35</v>
      </c>
      <c r="K4" s="18" t="s">
        <v>23</v>
      </c>
      <c r="M4" s="4">
        <v>2.0833333333333332E-2</v>
      </c>
    </row>
    <row r="5" spans="1:13" x14ac:dyDescent="0.2">
      <c r="A5" t="s">
        <v>11</v>
      </c>
      <c r="B5">
        <v>4</v>
      </c>
      <c r="C5">
        <v>2018</v>
      </c>
      <c r="D5" s="4">
        <v>6.25E-2</v>
      </c>
      <c r="F5" s="6" t="s">
        <v>26</v>
      </c>
      <c r="G5" s="1">
        <v>42132</v>
      </c>
      <c r="H5" s="24" t="s">
        <v>94</v>
      </c>
      <c r="I5" s="7" t="s">
        <v>36</v>
      </c>
      <c r="J5" s="7" t="s">
        <v>37</v>
      </c>
      <c r="K5" s="18" t="s">
        <v>51</v>
      </c>
      <c r="M5" s="4">
        <v>3.125E-2</v>
      </c>
    </row>
    <row r="6" spans="1:13" x14ac:dyDescent="0.2">
      <c r="A6" t="s">
        <v>12</v>
      </c>
      <c r="B6">
        <v>5</v>
      </c>
      <c r="C6">
        <v>2019</v>
      </c>
      <c r="D6" s="4">
        <v>8.3333333333333301E-2</v>
      </c>
      <c r="F6" s="6" t="s">
        <v>27</v>
      </c>
      <c r="G6" s="1">
        <v>42138</v>
      </c>
      <c r="H6" s="24" t="s">
        <v>120</v>
      </c>
      <c r="K6" s="18" t="s">
        <v>24</v>
      </c>
      <c r="M6" s="4">
        <v>4.1666666666666664E-2</v>
      </c>
    </row>
    <row r="7" spans="1:13" x14ac:dyDescent="0.2">
      <c r="A7" t="s">
        <v>13</v>
      </c>
      <c r="B7">
        <v>6</v>
      </c>
      <c r="C7">
        <v>2020</v>
      </c>
      <c r="D7" s="4">
        <v>0.104166666666667</v>
      </c>
      <c r="F7" s="6" t="s">
        <v>31</v>
      </c>
      <c r="G7" s="1">
        <v>42149</v>
      </c>
      <c r="H7" s="24" t="s">
        <v>19</v>
      </c>
      <c r="K7" s="18" t="s">
        <v>25</v>
      </c>
      <c r="M7" s="4">
        <v>5.2083333333333336E-2</v>
      </c>
    </row>
    <row r="8" spans="1:13" x14ac:dyDescent="0.2">
      <c r="A8" t="s">
        <v>14</v>
      </c>
      <c r="B8">
        <v>7</v>
      </c>
      <c r="D8" s="4">
        <v>0.125</v>
      </c>
      <c r="G8" s="1">
        <v>42565</v>
      </c>
      <c r="H8" s="24" t="s">
        <v>33</v>
      </c>
      <c r="K8" s="18" t="s">
        <v>50</v>
      </c>
      <c r="M8" s="4">
        <v>6.25E-2</v>
      </c>
    </row>
    <row r="9" spans="1:13" x14ac:dyDescent="0.2">
      <c r="A9" t="s">
        <v>15</v>
      </c>
      <c r="B9">
        <v>8</v>
      </c>
      <c r="D9" s="4">
        <v>0.14583333333333301</v>
      </c>
      <c r="G9" s="1">
        <v>42231</v>
      </c>
      <c r="H9" s="24"/>
      <c r="K9" s="18"/>
      <c r="M9" s="4">
        <v>7.2916666666666671E-2</v>
      </c>
    </row>
    <row r="10" spans="1:13" x14ac:dyDescent="0.2">
      <c r="A10" t="s">
        <v>16</v>
      </c>
      <c r="B10">
        <v>9</v>
      </c>
      <c r="D10" s="4">
        <v>0.16666666666666699</v>
      </c>
      <c r="G10" s="1">
        <v>42309</v>
      </c>
      <c r="H10" s="24"/>
      <c r="K10" s="18"/>
      <c r="M10" s="4">
        <v>8.3333333333333329E-2</v>
      </c>
    </row>
    <row r="11" spans="1:13" x14ac:dyDescent="0.2">
      <c r="A11" t="s">
        <v>17</v>
      </c>
      <c r="B11">
        <v>10</v>
      </c>
      <c r="D11" s="4">
        <v>0.1875</v>
      </c>
      <c r="G11" s="1">
        <v>42319</v>
      </c>
      <c r="H11" s="24"/>
      <c r="K11" s="18"/>
      <c r="M11" s="4">
        <v>9.375E-2</v>
      </c>
    </row>
    <row r="12" spans="1:13" x14ac:dyDescent="0.2">
      <c r="A12" t="s">
        <v>18</v>
      </c>
      <c r="B12">
        <v>11</v>
      </c>
      <c r="D12" s="4">
        <v>0.20833333333333301</v>
      </c>
      <c r="G12" s="1">
        <v>42363</v>
      </c>
      <c r="H12" s="24"/>
      <c r="K12" s="18"/>
      <c r="M12" s="4">
        <v>0.10416666666666667</v>
      </c>
    </row>
    <row r="13" spans="1:13" x14ac:dyDescent="0.2">
      <c r="A13" t="s">
        <v>20</v>
      </c>
      <c r="B13">
        <v>12</v>
      </c>
      <c r="D13" s="4">
        <v>0.22916666666666699</v>
      </c>
      <c r="G13" s="1">
        <v>42370</v>
      </c>
      <c r="H13" s="24"/>
      <c r="K13" s="18"/>
      <c r="M13" s="4">
        <v>0.11458333333333333</v>
      </c>
    </row>
    <row r="14" spans="1:13" x14ac:dyDescent="0.2">
      <c r="D14" s="4">
        <v>0.25</v>
      </c>
      <c r="H14" s="24"/>
      <c r="K14" s="18"/>
      <c r="M14" s="4">
        <v>0.125</v>
      </c>
    </row>
    <row r="15" spans="1:13" x14ac:dyDescent="0.2">
      <c r="A15" s="7"/>
      <c r="B15" s="7"/>
      <c r="D15" s="4">
        <v>0.27083333333333298</v>
      </c>
      <c r="H15" s="20"/>
      <c r="K15" s="19"/>
      <c r="M15" s="4">
        <v>0.13541666666666666</v>
      </c>
    </row>
    <row r="16" spans="1:13" x14ac:dyDescent="0.2">
      <c r="A16" s="7"/>
      <c r="B16" s="7"/>
      <c r="D16" s="4">
        <v>0.29166666666666702</v>
      </c>
      <c r="M16" s="4">
        <v>0.14583333333333334</v>
      </c>
    </row>
    <row r="17" spans="4:13" x14ac:dyDescent="0.2">
      <c r="D17" s="4">
        <v>0.3125</v>
      </c>
      <c r="M17" s="4">
        <v>0.15625</v>
      </c>
    </row>
    <row r="18" spans="4:13" x14ac:dyDescent="0.2">
      <c r="D18" s="4">
        <v>0.33333333333333298</v>
      </c>
      <c r="M18" s="4">
        <v>0.16666666666666666</v>
      </c>
    </row>
    <row r="19" spans="4:13" x14ac:dyDescent="0.2">
      <c r="D19" s="4">
        <v>0.35416666666666702</v>
      </c>
      <c r="M19" s="4">
        <v>0.17708333333333334</v>
      </c>
    </row>
    <row r="20" spans="4:13" x14ac:dyDescent="0.2">
      <c r="D20" s="4">
        <v>0.375</v>
      </c>
      <c r="M20" s="4">
        <v>0.1875</v>
      </c>
    </row>
    <row r="21" spans="4:13" x14ac:dyDescent="0.2">
      <c r="D21" s="4">
        <v>0.39583333333333298</v>
      </c>
      <c r="M21" s="4">
        <v>0.19791666666666666</v>
      </c>
    </row>
    <row r="22" spans="4:13" x14ac:dyDescent="0.2">
      <c r="D22" s="4">
        <v>0.41666666666666702</v>
      </c>
      <c r="M22" s="4">
        <v>0.20833333333333334</v>
      </c>
    </row>
    <row r="23" spans="4:13" x14ac:dyDescent="0.2">
      <c r="D23" s="4">
        <v>0.4375</v>
      </c>
    </row>
    <row r="24" spans="4:13" x14ac:dyDescent="0.2">
      <c r="D24" s="4">
        <v>0.45833333333333298</v>
      </c>
    </row>
    <row r="25" spans="4:13" x14ac:dyDescent="0.2">
      <c r="D25" s="4">
        <v>0.47916666666666702</v>
      </c>
      <c r="K25" s="4"/>
    </row>
    <row r="26" spans="4:13" x14ac:dyDescent="0.2">
      <c r="D26" s="4">
        <v>0.5</v>
      </c>
    </row>
    <row r="27" spans="4:13" x14ac:dyDescent="0.2">
      <c r="D27" s="4">
        <v>0.52083333333333304</v>
      </c>
    </row>
    <row r="28" spans="4:13" x14ac:dyDescent="0.2">
      <c r="D28" s="4">
        <v>0.54166666666666696</v>
      </c>
    </row>
    <row r="29" spans="4:13" ht="16" thickBot="1" x14ac:dyDescent="0.25">
      <c r="D29" s="4">
        <v>0.5625</v>
      </c>
    </row>
    <row r="30" spans="4:13" ht="16" thickTop="1" x14ac:dyDescent="0.2">
      <c r="D30" s="4">
        <v>0.58333333333333304</v>
      </c>
      <c r="H30" s="171" t="s">
        <v>90</v>
      </c>
      <c r="I30" s="172"/>
      <c r="J30" s="173"/>
    </row>
    <row r="31" spans="4:13" x14ac:dyDescent="0.2">
      <c r="D31" s="4">
        <v>0.60416666666666696</v>
      </c>
      <c r="H31" s="174"/>
      <c r="I31" s="175"/>
      <c r="J31" s="176"/>
    </row>
    <row r="32" spans="4:13" ht="16" thickBot="1" x14ac:dyDescent="0.25">
      <c r="D32" s="4">
        <v>0.625</v>
      </c>
      <c r="H32" s="177"/>
      <c r="I32" s="178"/>
      <c r="J32" s="179"/>
    </row>
    <row r="33" spans="4:10" ht="16" thickTop="1" x14ac:dyDescent="0.2">
      <c r="D33" s="4">
        <v>0.64583333333333304</v>
      </c>
      <c r="H33" s="180" t="s">
        <v>95</v>
      </c>
      <c r="I33" s="180"/>
      <c r="J33" s="180"/>
    </row>
    <row r="34" spans="4:10" x14ac:dyDescent="0.2">
      <c r="D34" s="4">
        <v>0.66666666666666696</v>
      </c>
      <c r="H34" s="181"/>
      <c r="I34" s="181"/>
      <c r="J34" s="181"/>
    </row>
    <row r="35" spans="4:10" x14ac:dyDescent="0.2">
      <c r="D35" s="4">
        <v>0.6875</v>
      </c>
    </row>
    <row r="36" spans="4:10" x14ac:dyDescent="0.2">
      <c r="D36" s="4">
        <v>0.70833333333333304</v>
      </c>
    </row>
    <row r="37" spans="4:10" x14ac:dyDescent="0.2">
      <c r="D37" s="4">
        <v>0.72916666666666696</v>
      </c>
    </row>
    <row r="38" spans="4:10" x14ac:dyDescent="0.2">
      <c r="D38" s="4">
        <v>0.75</v>
      </c>
    </row>
    <row r="39" spans="4:10" x14ac:dyDescent="0.2">
      <c r="D39" s="4">
        <v>0.77083333333333304</v>
      </c>
    </row>
    <row r="40" spans="4:10" x14ac:dyDescent="0.2">
      <c r="D40" s="4">
        <v>0.79166666666666696</v>
      </c>
    </row>
    <row r="41" spans="4:10" x14ac:dyDescent="0.2">
      <c r="D41" s="4">
        <v>0.8125</v>
      </c>
    </row>
    <row r="42" spans="4:10" x14ac:dyDescent="0.2">
      <c r="D42" s="4">
        <v>0.83333333333333304</v>
      </c>
    </row>
    <row r="43" spans="4:10" x14ac:dyDescent="0.2">
      <c r="D43" s="4">
        <v>0.85416666666666696</v>
      </c>
    </row>
    <row r="44" spans="4:10" x14ac:dyDescent="0.2">
      <c r="D44" s="4">
        <v>0.875</v>
      </c>
    </row>
    <row r="45" spans="4:10" x14ac:dyDescent="0.2">
      <c r="D45" s="4">
        <v>0.89583333333333304</v>
      </c>
    </row>
    <row r="46" spans="4:10" x14ac:dyDescent="0.2">
      <c r="D46" s="4">
        <v>0.91666666666666696</v>
      </c>
    </row>
    <row r="47" spans="4:10" x14ac:dyDescent="0.2">
      <c r="D47" s="4">
        <v>0.9375</v>
      </c>
    </row>
    <row r="48" spans="4:10" x14ac:dyDescent="0.2">
      <c r="D48" s="4">
        <v>0.95833333333333304</v>
      </c>
    </row>
    <row r="49" spans="4:4" x14ac:dyDescent="0.2">
      <c r="D49" s="4">
        <v>0.97916666666666696</v>
      </c>
    </row>
    <row r="50" spans="4:4" x14ac:dyDescent="0.2">
      <c r="D50" s="4"/>
    </row>
    <row r="51" spans="4:4" x14ac:dyDescent="0.2">
      <c r="D51" s="4"/>
    </row>
  </sheetData>
  <mergeCells count="2">
    <mergeCell ref="H30:J32"/>
    <mergeCell ref="H33:J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 2</vt:lpstr>
      <vt:lpstr>Aout 2015</vt:lpstr>
      <vt:lpstr>Data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Yann</dc:creator>
  <cp:keywords/>
  <dc:description/>
  <cp:lastModifiedBy>Utilisateur de Microsoft Office</cp:lastModifiedBy>
  <dcterms:created xsi:type="dcterms:W3CDTF">2015-10-25T17:19:21Z</dcterms:created>
  <dcterms:modified xsi:type="dcterms:W3CDTF">2015-11-04T20:26:50Z</dcterms:modified>
  <cp:category/>
</cp:coreProperties>
</file>