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 codeName="{B7FE6334-C1A2-E50D-BD3D-5F4D41BBC2E3}"/>
  <workbookPr codeName="ThisWorkbook" autoCompressPictures="0"/>
  <bookViews>
    <workbookView xWindow="0" yWindow="0" windowWidth="28800" windowHeight="17460" tabRatio="773" activeTab="1"/>
  </bookViews>
  <sheets>
    <sheet name="Janvier" sheetId="40" r:id="rId1"/>
    <sheet name="Février" sheetId="66" r:id="rId2"/>
    <sheet name="Stats année" sheetId="54" r:id="rId3"/>
    <sheet name="Réglages" sheetId="13" r:id="rId4"/>
    <sheet name="Aide et remerciements" sheetId="53" r:id="rId5"/>
  </sheets>
  <definedNames>
    <definedName name="An">Réglages!$J$23</definedName>
    <definedName name="Fériés">Réglages!$N$2:$N$14</definedName>
    <definedName name="Paques">Réglages!$N$3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2" i="66" l="1"/>
  <c r="D13" i="66"/>
  <c r="D14" i="66"/>
  <c r="D15" i="66"/>
  <c r="D16" i="66"/>
  <c r="D17" i="66"/>
  <c r="D18" i="66"/>
  <c r="D19" i="66"/>
  <c r="D20" i="66"/>
  <c r="D21" i="66"/>
  <c r="D22" i="66"/>
  <c r="D23" i="66"/>
  <c r="D24" i="66"/>
  <c r="D25" i="66"/>
  <c r="D26" i="66"/>
  <c r="D27" i="66"/>
  <c r="D28" i="66"/>
  <c r="D29" i="66"/>
  <c r="D30" i="66"/>
  <c r="D31" i="66"/>
  <c r="D32" i="66"/>
  <c r="D33" i="66"/>
  <c r="D34" i="66"/>
  <c r="D35" i="66"/>
  <c r="D36" i="66"/>
  <c r="D37" i="66"/>
  <c r="D38" i="66"/>
  <c r="D39" i="66"/>
  <c r="D40" i="66"/>
  <c r="D11" i="66"/>
  <c r="D12" i="40"/>
  <c r="D13" i="40"/>
  <c r="D14" i="40"/>
  <c r="D15" i="40"/>
  <c r="D16" i="40"/>
  <c r="D17" i="40"/>
  <c r="D18" i="40"/>
  <c r="D19" i="40"/>
  <c r="D20" i="40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39" i="40"/>
  <c r="D40" i="40"/>
  <c r="D11" i="40"/>
  <c r="D10" i="66"/>
  <c r="I10" i="66"/>
  <c r="P10" i="66"/>
  <c r="Q9" i="66"/>
  <c r="Q10" i="66"/>
  <c r="R9" i="66"/>
  <c r="R10" i="66"/>
  <c r="AC10" i="66"/>
  <c r="I11" i="66"/>
  <c r="P11" i="66"/>
  <c r="Q11" i="66"/>
  <c r="R11" i="66"/>
  <c r="S9" i="66"/>
  <c r="S11" i="66"/>
  <c r="T9" i="66"/>
  <c r="T11" i="66"/>
  <c r="U11" i="66"/>
  <c r="AC11" i="66"/>
  <c r="I12" i="66"/>
  <c r="P12" i="66"/>
  <c r="Q12" i="66"/>
  <c r="R12" i="66"/>
  <c r="S12" i="66"/>
  <c r="T12" i="66"/>
  <c r="U12" i="66"/>
  <c r="AC12" i="66"/>
  <c r="I13" i="66"/>
  <c r="P13" i="66"/>
  <c r="Q13" i="66"/>
  <c r="R13" i="66"/>
  <c r="S13" i="66"/>
  <c r="T13" i="66"/>
  <c r="U13" i="66"/>
  <c r="AC13" i="66"/>
  <c r="I14" i="66"/>
  <c r="P14" i="66"/>
  <c r="Q14" i="66"/>
  <c r="R14" i="66"/>
  <c r="S14" i="66"/>
  <c r="T14" i="66"/>
  <c r="U14" i="66"/>
  <c r="AC14" i="66"/>
  <c r="I15" i="66"/>
  <c r="P15" i="66"/>
  <c r="Q15" i="66"/>
  <c r="R15" i="66"/>
  <c r="S15" i="66"/>
  <c r="T15" i="66"/>
  <c r="U15" i="66"/>
  <c r="AC15" i="66"/>
  <c r="I16" i="66"/>
  <c r="P16" i="66"/>
  <c r="Q16" i="66"/>
  <c r="R16" i="66"/>
  <c r="S16" i="66"/>
  <c r="T16" i="66"/>
  <c r="U16" i="66"/>
  <c r="AC16" i="66"/>
  <c r="I17" i="66"/>
  <c r="P17" i="66"/>
  <c r="Q17" i="66"/>
  <c r="R17" i="66"/>
  <c r="S17" i="66"/>
  <c r="T17" i="66"/>
  <c r="U17" i="66"/>
  <c r="AC17" i="66"/>
  <c r="I18" i="66"/>
  <c r="P18" i="66"/>
  <c r="Q18" i="66"/>
  <c r="R18" i="66"/>
  <c r="S18" i="66"/>
  <c r="T18" i="66"/>
  <c r="U18" i="66"/>
  <c r="AC18" i="66"/>
  <c r="I19" i="66"/>
  <c r="P19" i="66"/>
  <c r="Q19" i="66"/>
  <c r="R19" i="66"/>
  <c r="S19" i="66"/>
  <c r="T19" i="66"/>
  <c r="U19" i="66"/>
  <c r="AC19" i="66"/>
  <c r="I20" i="66"/>
  <c r="P20" i="66"/>
  <c r="Q20" i="66"/>
  <c r="R20" i="66"/>
  <c r="S20" i="66"/>
  <c r="T20" i="66"/>
  <c r="U20" i="66"/>
  <c r="AC20" i="66"/>
  <c r="I21" i="66"/>
  <c r="P21" i="66"/>
  <c r="Q21" i="66"/>
  <c r="R21" i="66"/>
  <c r="S21" i="66"/>
  <c r="T21" i="66"/>
  <c r="U21" i="66"/>
  <c r="AC21" i="66"/>
  <c r="I22" i="66"/>
  <c r="P22" i="66"/>
  <c r="Q22" i="66"/>
  <c r="R22" i="66"/>
  <c r="S22" i="66"/>
  <c r="T22" i="66"/>
  <c r="U22" i="66"/>
  <c r="AC22" i="66"/>
  <c r="I23" i="66"/>
  <c r="P23" i="66"/>
  <c r="Q23" i="66"/>
  <c r="R23" i="66"/>
  <c r="S23" i="66"/>
  <c r="T23" i="66"/>
  <c r="U23" i="66"/>
  <c r="AC23" i="66"/>
  <c r="I24" i="66"/>
  <c r="P24" i="66"/>
  <c r="Q24" i="66"/>
  <c r="R24" i="66"/>
  <c r="S24" i="66"/>
  <c r="T24" i="66"/>
  <c r="U24" i="66"/>
  <c r="AC24" i="66"/>
  <c r="I25" i="66"/>
  <c r="P25" i="66"/>
  <c r="Q25" i="66"/>
  <c r="R25" i="66"/>
  <c r="S25" i="66"/>
  <c r="T25" i="66"/>
  <c r="U25" i="66"/>
  <c r="AC25" i="66"/>
  <c r="I26" i="66"/>
  <c r="P26" i="66"/>
  <c r="Q26" i="66"/>
  <c r="R26" i="66"/>
  <c r="S26" i="66"/>
  <c r="T26" i="66"/>
  <c r="U26" i="66"/>
  <c r="AC26" i="66"/>
  <c r="I27" i="66"/>
  <c r="P27" i="66"/>
  <c r="Q27" i="66"/>
  <c r="R27" i="66"/>
  <c r="S27" i="66"/>
  <c r="T27" i="66"/>
  <c r="U27" i="66"/>
  <c r="AC27" i="66"/>
  <c r="I28" i="66"/>
  <c r="P28" i="66"/>
  <c r="Q28" i="66"/>
  <c r="R28" i="66"/>
  <c r="S28" i="66"/>
  <c r="T28" i="66"/>
  <c r="U28" i="66"/>
  <c r="AC28" i="66"/>
  <c r="I29" i="66"/>
  <c r="P29" i="66"/>
  <c r="Q29" i="66"/>
  <c r="R29" i="66"/>
  <c r="S29" i="66"/>
  <c r="T29" i="66"/>
  <c r="U29" i="66"/>
  <c r="AC29" i="66"/>
  <c r="I30" i="66"/>
  <c r="P30" i="66"/>
  <c r="Q30" i="66"/>
  <c r="R30" i="66"/>
  <c r="S30" i="66"/>
  <c r="T30" i="66"/>
  <c r="U30" i="66"/>
  <c r="AC30" i="66"/>
  <c r="I31" i="66"/>
  <c r="P31" i="66"/>
  <c r="Q31" i="66"/>
  <c r="R31" i="66"/>
  <c r="S31" i="66"/>
  <c r="T31" i="66"/>
  <c r="U31" i="66"/>
  <c r="AC31" i="66"/>
  <c r="I32" i="66"/>
  <c r="P32" i="66"/>
  <c r="Q32" i="66"/>
  <c r="R32" i="66"/>
  <c r="S32" i="66"/>
  <c r="T32" i="66"/>
  <c r="U32" i="66"/>
  <c r="AC32" i="66"/>
  <c r="I33" i="66"/>
  <c r="P33" i="66"/>
  <c r="Q33" i="66"/>
  <c r="R33" i="66"/>
  <c r="S33" i="66"/>
  <c r="T33" i="66"/>
  <c r="U33" i="66"/>
  <c r="AC33" i="66"/>
  <c r="I34" i="66"/>
  <c r="P34" i="66"/>
  <c r="Q34" i="66"/>
  <c r="R34" i="66"/>
  <c r="S34" i="66"/>
  <c r="T34" i="66"/>
  <c r="U34" i="66"/>
  <c r="AC34" i="66"/>
  <c r="I35" i="66"/>
  <c r="P35" i="66"/>
  <c r="Q35" i="66"/>
  <c r="R35" i="66"/>
  <c r="S35" i="66"/>
  <c r="T35" i="66"/>
  <c r="U35" i="66"/>
  <c r="AC35" i="66"/>
  <c r="I36" i="66"/>
  <c r="P36" i="66"/>
  <c r="Q36" i="66"/>
  <c r="R36" i="66"/>
  <c r="S36" i="66"/>
  <c r="T36" i="66"/>
  <c r="U36" i="66"/>
  <c r="AC36" i="66"/>
  <c r="I37" i="66"/>
  <c r="P37" i="66"/>
  <c r="Q37" i="66"/>
  <c r="R37" i="66"/>
  <c r="S37" i="66"/>
  <c r="T37" i="66"/>
  <c r="U37" i="66"/>
  <c r="AC37" i="66"/>
  <c r="I38" i="66"/>
  <c r="P38" i="66"/>
  <c r="Q38" i="66"/>
  <c r="R38" i="66"/>
  <c r="S38" i="66"/>
  <c r="T38" i="66"/>
  <c r="U38" i="66"/>
  <c r="AC38" i="66"/>
  <c r="I39" i="66"/>
  <c r="P39" i="66"/>
  <c r="Q39" i="66"/>
  <c r="R39" i="66"/>
  <c r="S39" i="66"/>
  <c r="T39" i="66"/>
  <c r="U39" i="66"/>
  <c r="AC39" i="66"/>
  <c r="I40" i="66"/>
  <c r="P40" i="66"/>
  <c r="Q40" i="66"/>
  <c r="R40" i="66"/>
  <c r="S40" i="66"/>
  <c r="T40" i="66"/>
  <c r="U40" i="66"/>
  <c r="AC40" i="66"/>
  <c r="AC41" i="66"/>
  <c r="AB10" i="66"/>
  <c r="AB11" i="66"/>
  <c r="AB12" i="66"/>
  <c r="AB13" i="66"/>
  <c r="AB14" i="66"/>
  <c r="AB15" i="66"/>
  <c r="AB16" i="66"/>
  <c r="AB17" i="66"/>
  <c r="AB18" i="66"/>
  <c r="AB19" i="66"/>
  <c r="AB20" i="66"/>
  <c r="AB21" i="66"/>
  <c r="AB22" i="66"/>
  <c r="AB23" i="66"/>
  <c r="AB24" i="66"/>
  <c r="AB25" i="66"/>
  <c r="AB26" i="66"/>
  <c r="AB27" i="66"/>
  <c r="AB28" i="66"/>
  <c r="AB29" i="66"/>
  <c r="AB30" i="66"/>
  <c r="AB31" i="66"/>
  <c r="AB32" i="66"/>
  <c r="AB33" i="66"/>
  <c r="AB34" i="66"/>
  <c r="AB35" i="66"/>
  <c r="AB36" i="66"/>
  <c r="AB37" i="66"/>
  <c r="AB38" i="66"/>
  <c r="AB39" i="66"/>
  <c r="AB40" i="66"/>
  <c r="AB41" i="66"/>
  <c r="X41" i="66"/>
  <c r="N2" i="13"/>
  <c r="N3" i="13"/>
  <c r="N4" i="13"/>
  <c r="N5" i="13"/>
  <c r="N6" i="13"/>
  <c r="N7" i="13"/>
  <c r="N8" i="13"/>
  <c r="N9" i="13"/>
  <c r="N10" i="13"/>
  <c r="N11" i="13"/>
  <c r="N12" i="13"/>
  <c r="N13" i="13"/>
  <c r="N14" i="13"/>
  <c r="C10" i="66"/>
  <c r="W10" i="66"/>
  <c r="C11" i="66"/>
  <c r="W11" i="66"/>
  <c r="C12" i="66"/>
  <c r="W12" i="66"/>
  <c r="C13" i="66"/>
  <c r="W13" i="66"/>
  <c r="C14" i="66"/>
  <c r="W14" i="66"/>
  <c r="C15" i="66"/>
  <c r="W15" i="66"/>
  <c r="C16" i="66"/>
  <c r="W16" i="66"/>
  <c r="C17" i="66"/>
  <c r="W17" i="66"/>
  <c r="C18" i="66"/>
  <c r="W18" i="66"/>
  <c r="C19" i="66"/>
  <c r="W19" i="66"/>
  <c r="C20" i="66"/>
  <c r="W20" i="66"/>
  <c r="C21" i="66"/>
  <c r="W21" i="66"/>
  <c r="C22" i="66"/>
  <c r="W22" i="66"/>
  <c r="C23" i="66"/>
  <c r="W23" i="66"/>
  <c r="C24" i="66"/>
  <c r="W24" i="66"/>
  <c r="C25" i="66"/>
  <c r="W25" i="66"/>
  <c r="C26" i="66"/>
  <c r="W26" i="66"/>
  <c r="C27" i="66"/>
  <c r="W27" i="66"/>
  <c r="C28" i="66"/>
  <c r="W28" i="66"/>
  <c r="C29" i="66"/>
  <c r="W29" i="66"/>
  <c r="C30" i="66"/>
  <c r="W30" i="66"/>
  <c r="C31" i="66"/>
  <c r="W31" i="66"/>
  <c r="C32" i="66"/>
  <c r="W32" i="66"/>
  <c r="C33" i="66"/>
  <c r="W33" i="66"/>
  <c r="C34" i="66"/>
  <c r="W34" i="66"/>
  <c r="C35" i="66"/>
  <c r="W35" i="66"/>
  <c r="C36" i="66"/>
  <c r="W36" i="66"/>
  <c r="C37" i="66"/>
  <c r="W37" i="66"/>
  <c r="C38" i="66"/>
  <c r="W38" i="66"/>
  <c r="C39" i="66"/>
  <c r="W39" i="66"/>
  <c r="C40" i="66"/>
  <c r="W40" i="66"/>
  <c r="W41" i="66"/>
  <c r="V10" i="66"/>
  <c r="V11" i="66"/>
  <c r="V12" i="66"/>
  <c r="V13" i="66"/>
  <c r="V14" i="66"/>
  <c r="V15" i="66"/>
  <c r="V16" i="66"/>
  <c r="V17" i="66"/>
  <c r="V18" i="66"/>
  <c r="V19" i="66"/>
  <c r="V20" i="66"/>
  <c r="V21" i="66"/>
  <c r="V22" i="66"/>
  <c r="V23" i="66"/>
  <c r="V24" i="66"/>
  <c r="V25" i="66"/>
  <c r="V26" i="66"/>
  <c r="V27" i="66"/>
  <c r="V28" i="66"/>
  <c r="V29" i="66"/>
  <c r="V30" i="66"/>
  <c r="V31" i="66"/>
  <c r="V32" i="66"/>
  <c r="V33" i="66"/>
  <c r="V34" i="66"/>
  <c r="V35" i="66"/>
  <c r="V36" i="66"/>
  <c r="V37" i="66"/>
  <c r="V38" i="66"/>
  <c r="V39" i="66"/>
  <c r="V40" i="66"/>
  <c r="V41" i="66"/>
  <c r="U41" i="66"/>
  <c r="T41" i="66"/>
  <c r="S41" i="66"/>
  <c r="R41" i="66"/>
  <c r="Q41" i="66"/>
  <c r="P41" i="66"/>
  <c r="N10" i="66"/>
  <c r="N11" i="66"/>
  <c r="N12" i="66"/>
  <c r="N13" i="66"/>
  <c r="N14" i="66"/>
  <c r="N15" i="66"/>
  <c r="N16" i="66"/>
  <c r="N17" i="66"/>
  <c r="N18" i="66"/>
  <c r="N19" i="66"/>
  <c r="N20" i="66"/>
  <c r="N21" i="66"/>
  <c r="N22" i="66"/>
  <c r="N23" i="66"/>
  <c r="N24" i="66"/>
  <c r="N25" i="66"/>
  <c r="N26" i="66"/>
  <c r="N27" i="66"/>
  <c r="N28" i="66"/>
  <c r="N29" i="66"/>
  <c r="N30" i="66"/>
  <c r="N31" i="66"/>
  <c r="N32" i="66"/>
  <c r="N33" i="66"/>
  <c r="N34" i="66"/>
  <c r="N35" i="66"/>
  <c r="N36" i="66"/>
  <c r="N37" i="66"/>
  <c r="N38" i="66"/>
  <c r="N39" i="66"/>
  <c r="N40" i="66"/>
  <c r="N41" i="66"/>
  <c r="M10" i="66"/>
  <c r="M11" i="66"/>
  <c r="M12" i="66"/>
  <c r="M13" i="66"/>
  <c r="M14" i="66"/>
  <c r="M15" i="66"/>
  <c r="M16" i="66"/>
  <c r="M17" i="66"/>
  <c r="M18" i="66"/>
  <c r="M19" i="66"/>
  <c r="M20" i="66"/>
  <c r="M21" i="66"/>
  <c r="M22" i="66"/>
  <c r="M23" i="66"/>
  <c r="M24" i="66"/>
  <c r="M25" i="66"/>
  <c r="M26" i="66"/>
  <c r="M27" i="66"/>
  <c r="M28" i="66"/>
  <c r="M29" i="66"/>
  <c r="M30" i="66"/>
  <c r="M31" i="66"/>
  <c r="M32" i="66"/>
  <c r="M33" i="66"/>
  <c r="M34" i="66"/>
  <c r="M35" i="66"/>
  <c r="M36" i="66"/>
  <c r="M37" i="66"/>
  <c r="M38" i="66"/>
  <c r="M39" i="66"/>
  <c r="M40" i="66"/>
  <c r="M41" i="66"/>
  <c r="L10" i="66"/>
  <c r="L11" i="66"/>
  <c r="L12" i="66"/>
  <c r="L13" i="66"/>
  <c r="L14" i="66"/>
  <c r="L15" i="66"/>
  <c r="L16" i="66"/>
  <c r="L17" i="66"/>
  <c r="L18" i="66"/>
  <c r="L19" i="66"/>
  <c r="L20" i="66"/>
  <c r="L21" i="66"/>
  <c r="L22" i="66"/>
  <c r="L23" i="66"/>
  <c r="L24" i="66"/>
  <c r="L25" i="66"/>
  <c r="L26" i="66"/>
  <c r="L27" i="66"/>
  <c r="L28" i="66"/>
  <c r="L29" i="66"/>
  <c r="L30" i="66"/>
  <c r="L31" i="66"/>
  <c r="L32" i="66"/>
  <c r="L33" i="66"/>
  <c r="L34" i="66"/>
  <c r="L35" i="66"/>
  <c r="L36" i="66"/>
  <c r="L37" i="66"/>
  <c r="L38" i="66"/>
  <c r="L39" i="66"/>
  <c r="L40" i="66"/>
  <c r="L41" i="66"/>
  <c r="K41" i="66"/>
  <c r="J41" i="66"/>
  <c r="I41" i="66"/>
  <c r="H41" i="66"/>
  <c r="G41" i="66"/>
  <c r="F41" i="66"/>
  <c r="E41" i="66"/>
  <c r="D41" i="66"/>
  <c r="AA40" i="66"/>
  <c r="Z40" i="66"/>
  <c r="Y40" i="66"/>
  <c r="X40" i="66"/>
  <c r="AA39" i="66"/>
  <c r="Z39" i="66"/>
  <c r="Y39" i="66"/>
  <c r="X39" i="66"/>
  <c r="AF38" i="66"/>
  <c r="AA38" i="66"/>
  <c r="Z38" i="66"/>
  <c r="Y38" i="66"/>
  <c r="X38" i="66"/>
  <c r="AA37" i="66"/>
  <c r="Z37" i="66"/>
  <c r="Y37" i="66"/>
  <c r="X37" i="66"/>
  <c r="AF36" i="66"/>
  <c r="AA36" i="66"/>
  <c r="Z36" i="66"/>
  <c r="Y36" i="66"/>
  <c r="X36" i="66"/>
  <c r="AA35" i="66"/>
  <c r="Z35" i="66"/>
  <c r="Y35" i="66"/>
  <c r="X35" i="66"/>
  <c r="AF34" i="66"/>
  <c r="AA34" i="66"/>
  <c r="Z34" i="66"/>
  <c r="Y34" i="66"/>
  <c r="X34" i="66"/>
  <c r="AA33" i="66"/>
  <c r="Z33" i="66"/>
  <c r="Y33" i="66"/>
  <c r="X33" i="66"/>
  <c r="AF32" i="66"/>
  <c r="AA32" i="66"/>
  <c r="Z32" i="66"/>
  <c r="Y32" i="66"/>
  <c r="X32" i="66"/>
  <c r="AA31" i="66"/>
  <c r="Z31" i="66"/>
  <c r="Y31" i="66"/>
  <c r="X31" i="66"/>
  <c r="AF30" i="66"/>
  <c r="AA30" i="66"/>
  <c r="Z30" i="66"/>
  <c r="Y30" i="66"/>
  <c r="X30" i="66"/>
  <c r="AA29" i="66"/>
  <c r="Z29" i="66"/>
  <c r="Y29" i="66"/>
  <c r="X29" i="66"/>
  <c r="AA10" i="66"/>
  <c r="AA11" i="66"/>
  <c r="AA12" i="66"/>
  <c r="AA13" i="66"/>
  <c r="AA14" i="66"/>
  <c r="AA15" i="66"/>
  <c r="AA16" i="66"/>
  <c r="AA17" i="66"/>
  <c r="AA18" i="66"/>
  <c r="AA19" i="66"/>
  <c r="AA20" i="66"/>
  <c r="AA21" i="66"/>
  <c r="AA22" i="66"/>
  <c r="AA23" i="66"/>
  <c r="AA24" i="66"/>
  <c r="AA25" i="66"/>
  <c r="AA26" i="66"/>
  <c r="AA27" i="66"/>
  <c r="AA28" i="66"/>
  <c r="AA7" i="66"/>
  <c r="AF28" i="66"/>
  <c r="Z28" i="66"/>
  <c r="Y28" i="66"/>
  <c r="X28" i="66"/>
  <c r="Z27" i="66"/>
  <c r="Y27" i="66"/>
  <c r="X27" i="66"/>
  <c r="Z10" i="66"/>
  <c r="Z11" i="66"/>
  <c r="Z12" i="66"/>
  <c r="Z13" i="66"/>
  <c r="Z14" i="66"/>
  <c r="Z15" i="66"/>
  <c r="Z16" i="66"/>
  <c r="Z17" i="66"/>
  <c r="Z18" i="66"/>
  <c r="Z19" i="66"/>
  <c r="Z20" i="66"/>
  <c r="Z21" i="66"/>
  <c r="Z22" i="66"/>
  <c r="Z23" i="66"/>
  <c r="Z24" i="66"/>
  <c r="Z25" i="66"/>
  <c r="Z26" i="66"/>
  <c r="Z7" i="66"/>
  <c r="AF26" i="66"/>
  <c r="Y26" i="66"/>
  <c r="X26" i="66"/>
  <c r="Y25" i="66"/>
  <c r="X25" i="66"/>
  <c r="AJ24" i="66"/>
  <c r="AH24" i="66"/>
  <c r="AF24" i="66"/>
  <c r="Y24" i="66"/>
  <c r="X24" i="66"/>
  <c r="AJ23" i="66"/>
  <c r="AH23" i="66"/>
  <c r="Y23" i="66"/>
  <c r="X23" i="66"/>
  <c r="AJ22" i="66"/>
  <c r="AH22" i="66"/>
  <c r="AF22" i="66"/>
  <c r="Y22" i="66"/>
  <c r="X22" i="66"/>
  <c r="AJ21" i="66"/>
  <c r="AH21" i="66"/>
  <c r="Y21" i="66"/>
  <c r="X21" i="66"/>
  <c r="AF20" i="66"/>
  <c r="Y20" i="66"/>
  <c r="X20" i="66"/>
  <c r="Y19" i="66"/>
  <c r="X19" i="66"/>
  <c r="AI16" i="66"/>
  <c r="AK16" i="66"/>
  <c r="AI17" i="66"/>
  <c r="AK17" i="66"/>
  <c r="AK18" i="66"/>
  <c r="AF18" i="66"/>
  <c r="Y18" i="66"/>
  <c r="X18" i="66"/>
  <c r="Y17" i="66"/>
  <c r="X17" i="66"/>
  <c r="X7" i="66"/>
  <c r="Y7" i="66"/>
  <c r="AF16" i="66"/>
  <c r="Y16" i="66"/>
  <c r="X16" i="66"/>
  <c r="Y15" i="66"/>
  <c r="X15" i="66"/>
  <c r="AF14" i="66"/>
  <c r="Y14" i="66"/>
  <c r="X14" i="66"/>
  <c r="Y13" i="66"/>
  <c r="X13" i="66"/>
  <c r="V7" i="66"/>
  <c r="AI5" i="66"/>
  <c r="AK5" i="66"/>
  <c r="W7" i="66"/>
  <c r="AI6" i="66"/>
  <c r="AK6" i="66"/>
  <c r="AI7" i="66"/>
  <c r="AK7" i="66"/>
  <c r="AI8" i="66"/>
  <c r="AK8" i="66"/>
  <c r="Z5" i="66"/>
  <c r="AI9" i="66"/>
  <c r="AK9" i="66"/>
  <c r="AI10" i="66"/>
  <c r="AK10" i="66"/>
  <c r="AK12" i="66"/>
  <c r="AF12" i="66"/>
  <c r="Y12" i="66"/>
  <c r="X12" i="66"/>
  <c r="AI11" i="66"/>
  <c r="Y11" i="66"/>
  <c r="X11" i="66"/>
  <c r="AF10" i="66"/>
  <c r="Y10" i="66"/>
  <c r="X10" i="66"/>
  <c r="AB9" i="66"/>
  <c r="Z9" i="66"/>
  <c r="X9" i="66"/>
  <c r="V9" i="66"/>
  <c r="M9" i="66"/>
  <c r="L9" i="66"/>
  <c r="AF8" i="66"/>
  <c r="U8" i="66"/>
  <c r="T8" i="66"/>
  <c r="S8" i="66"/>
  <c r="R8" i="66"/>
  <c r="Q8" i="66"/>
  <c r="AC7" i="66"/>
  <c r="AB7" i="66"/>
  <c r="U7" i="66"/>
  <c r="T7" i="66"/>
  <c r="S7" i="66"/>
  <c r="R7" i="66"/>
  <c r="Q7" i="66"/>
  <c r="P7" i="66"/>
  <c r="AF6" i="66"/>
  <c r="D6" i="66"/>
  <c r="AB5" i="66"/>
  <c r="X5" i="66"/>
  <c r="V5" i="66"/>
  <c r="AF4" i="66"/>
  <c r="E3" i="66"/>
  <c r="D10" i="40"/>
  <c r="D41" i="40"/>
  <c r="M10" i="40"/>
  <c r="M11" i="40"/>
  <c r="M12" i="40"/>
  <c r="M13" i="40"/>
  <c r="M14" i="40"/>
  <c r="M15" i="40"/>
  <c r="M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39" i="40"/>
  <c r="M40" i="40"/>
  <c r="AF38" i="40"/>
  <c r="J21" i="54"/>
  <c r="AF36" i="40"/>
  <c r="J20" i="54"/>
  <c r="I10" i="40"/>
  <c r="P10" i="40"/>
  <c r="Q10" i="40"/>
  <c r="AB10" i="40"/>
  <c r="C10" i="40"/>
  <c r="Z10" i="40"/>
  <c r="R10" i="40"/>
  <c r="S11" i="40"/>
  <c r="T11" i="40"/>
  <c r="I11" i="40"/>
  <c r="P11" i="40"/>
  <c r="Q11" i="40"/>
  <c r="AB11" i="40"/>
  <c r="C11" i="40"/>
  <c r="Z11" i="40"/>
  <c r="I12" i="40"/>
  <c r="P12" i="40"/>
  <c r="Q12" i="40"/>
  <c r="R11" i="40"/>
  <c r="S12" i="40"/>
  <c r="T12" i="40"/>
  <c r="AB12" i="40"/>
  <c r="C12" i="40"/>
  <c r="Z12" i="40"/>
  <c r="I13" i="40"/>
  <c r="P13" i="40"/>
  <c r="Q13" i="40"/>
  <c r="R12" i="40"/>
  <c r="S13" i="40"/>
  <c r="T13" i="40"/>
  <c r="AB13" i="40"/>
  <c r="C13" i="40"/>
  <c r="Z13" i="40"/>
  <c r="I14" i="40"/>
  <c r="P14" i="40"/>
  <c r="Q14" i="40"/>
  <c r="R13" i="40"/>
  <c r="S14" i="40"/>
  <c r="T14" i="40"/>
  <c r="AB14" i="40"/>
  <c r="C14" i="40"/>
  <c r="Z14" i="40"/>
  <c r="I15" i="40"/>
  <c r="P15" i="40"/>
  <c r="Q15" i="40"/>
  <c r="R14" i="40"/>
  <c r="S15" i="40"/>
  <c r="T15" i="40"/>
  <c r="AB15" i="40"/>
  <c r="C15" i="40"/>
  <c r="Z15" i="40"/>
  <c r="I16" i="40"/>
  <c r="P16" i="40"/>
  <c r="Q16" i="40"/>
  <c r="R15" i="40"/>
  <c r="S16" i="40"/>
  <c r="T16" i="40"/>
  <c r="AB16" i="40"/>
  <c r="C16" i="40"/>
  <c r="Z16" i="40"/>
  <c r="I17" i="40"/>
  <c r="P17" i="40"/>
  <c r="Q17" i="40"/>
  <c r="R16" i="40"/>
  <c r="S17" i="40"/>
  <c r="T17" i="40"/>
  <c r="AB17" i="40"/>
  <c r="C17" i="40"/>
  <c r="Z17" i="40"/>
  <c r="I18" i="40"/>
  <c r="P18" i="40"/>
  <c r="Q18" i="40"/>
  <c r="R17" i="40"/>
  <c r="S18" i="40"/>
  <c r="T18" i="40"/>
  <c r="AB18" i="40"/>
  <c r="C18" i="40"/>
  <c r="Z18" i="40"/>
  <c r="I19" i="40"/>
  <c r="P19" i="40"/>
  <c r="Q19" i="40"/>
  <c r="R18" i="40"/>
  <c r="S19" i="40"/>
  <c r="T19" i="40"/>
  <c r="AB19" i="40"/>
  <c r="C19" i="40"/>
  <c r="Z19" i="40"/>
  <c r="I20" i="40"/>
  <c r="P20" i="40"/>
  <c r="Q20" i="40"/>
  <c r="R19" i="40"/>
  <c r="S20" i="40"/>
  <c r="T20" i="40"/>
  <c r="AB20" i="40"/>
  <c r="C20" i="40"/>
  <c r="Z20" i="40"/>
  <c r="I21" i="40"/>
  <c r="P21" i="40"/>
  <c r="Q21" i="40"/>
  <c r="R20" i="40"/>
  <c r="S21" i="40"/>
  <c r="T21" i="40"/>
  <c r="AB21" i="40"/>
  <c r="C21" i="40"/>
  <c r="Z21" i="40"/>
  <c r="I22" i="40"/>
  <c r="P22" i="40"/>
  <c r="Q22" i="40"/>
  <c r="R21" i="40"/>
  <c r="S22" i="40"/>
  <c r="T22" i="40"/>
  <c r="AB22" i="40"/>
  <c r="C22" i="40"/>
  <c r="Z22" i="40"/>
  <c r="I23" i="40"/>
  <c r="P23" i="40"/>
  <c r="Q23" i="40"/>
  <c r="R22" i="40"/>
  <c r="S23" i="40"/>
  <c r="T23" i="40"/>
  <c r="AB23" i="40"/>
  <c r="C23" i="40"/>
  <c r="Z23" i="40"/>
  <c r="I24" i="40"/>
  <c r="P24" i="40"/>
  <c r="Q24" i="40"/>
  <c r="R23" i="40"/>
  <c r="S24" i="40"/>
  <c r="T24" i="40"/>
  <c r="AB24" i="40"/>
  <c r="C24" i="40"/>
  <c r="Z24" i="40"/>
  <c r="I25" i="40"/>
  <c r="P25" i="40"/>
  <c r="Q25" i="40"/>
  <c r="R24" i="40"/>
  <c r="S25" i="40"/>
  <c r="T25" i="40"/>
  <c r="AB25" i="40"/>
  <c r="C25" i="40"/>
  <c r="Z25" i="40"/>
  <c r="I26" i="40"/>
  <c r="P26" i="40"/>
  <c r="Q26" i="40"/>
  <c r="R25" i="40"/>
  <c r="S26" i="40"/>
  <c r="T26" i="40"/>
  <c r="AB26" i="40"/>
  <c r="C26" i="40"/>
  <c r="Z26" i="40"/>
  <c r="I27" i="40"/>
  <c r="P27" i="40"/>
  <c r="Q27" i="40"/>
  <c r="R26" i="40"/>
  <c r="S27" i="40"/>
  <c r="T27" i="40"/>
  <c r="AB27" i="40"/>
  <c r="C27" i="40"/>
  <c r="Z27" i="40"/>
  <c r="I28" i="40"/>
  <c r="P28" i="40"/>
  <c r="Q28" i="40"/>
  <c r="R27" i="40"/>
  <c r="S28" i="40"/>
  <c r="T28" i="40"/>
  <c r="AB28" i="40"/>
  <c r="C28" i="40"/>
  <c r="Z28" i="40"/>
  <c r="I29" i="40"/>
  <c r="P29" i="40"/>
  <c r="Q29" i="40"/>
  <c r="R28" i="40"/>
  <c r="S29" i="40"/>
  <c r="T29" i="40"/>
  <c r="AB29" i="40"/>
  <c r="C29" i="40"/>
  <c r="Z29" i="40"/>
  <c r="I30" i="40"/>
  <c r="P30" i="40"/>
  <c r="Q30" i="40"/>
  <c r="R29" i="40"/>
  <c r="S30" i="40"/>
  <c r="T30" i="40"/>
  <c r="AB30" i="40"/>
  <c r="C30" i="40"/>
  <c r="Z30" i="40"/>
  <c r="I31" i="40"/>
  <c r="P31" i="40"/>
  <c r="Q31" i="40"/>
  <c r="R30" i="40"/>
  <c r="S31" i="40"/>
  <c r="T31" i="40"/>
  <c r="AB31" i="40"/>
  <c r="C31" i="40"/>
  <c r="Z31" i="40"/>
  <c r="I32" i="40"/>
  <c r="P32" i="40"/>
  <c r="Q32" i="40"/>
  <c r="R31" i="40"/>
  <c r="S32" i="40"/>
  <c r="T32" i="40"/>
  <c r="AB32" i="40"/>
  <c r="C32" i="40"/>
  <c r="Z32" i="40"/>
  <c r="I33" i="40"/>
  <c r="P33" i="40"/>
  <c r="Q33" i="40"/>
  <c r="R32" i="40"/>
  <c r="S33" i="40"/>
  <c r="T33" i="40"/>
  <c r="AB33" i="40"/>
  <c r="C33" i="40"/>
  <c r="Z33" i="40"/>
  <c r="I34" i="40"/>
  <c r="P34" i="40"/>
  <c r="Q34" i="40"/>
  <c r="R33" i="40"/>
  <c r="S34" i="40"/>
  <c r="T34" i="40"/>
  <c r="AB34" i="40"/>
  <c r="C34" i="40"/>
  <c r="Z34" i="40"/>
  <c r="I35" i="40"/>
  <c r="P35" i="40"/>
  <c r="Q35" i="40"/>
  <c r="R34" i="40"/>
  <c r="S35" i="40"/>
  <c r="T35" i="40"/>
  <c r="AB35" i="40"/>
  <c r="C35" i="40"/>
  <c r="Z35" i="40"/>
  <c r="I36" i="40"/>
  <c r="P36" i="40"/>
  <c r="Q36" i="40"/>
  <c r="R35" i="40"/>
  <c r="S36" i="40"/>
  <c r="T36" i="40"/>
  <c r="AB36" i="40"/>
  <c r="C36" i="40"/>
  <c r="Z36" i="40"/>
  <c r="I37" i="40"/>
  <c r="P37" i="40"/>
  <c r="Q37" i="40"/>
  <c r="R36" i="40"/>
  <c r="S37" i="40"/>
  <c r="T37" i="40"/>
  <c r="AB37" i="40"/>
  <c r="C37" i="40"/>
  <c r="Z37" i="40"/>
  <c r="I38" i="40"/>
  <c r="P38" i="40"/>
  <c r="Q38" i="40"/>
  <c r="R37" i="40"/>
  <c r="S38" i="40"/>
  <c r="T38" i="40"/>
  <c r="AB38" i="40"/>
  <c r="C38" i="40"/>
  <c r="Z38" i="40"/>
  <c r="I39" i="40"/>
  <c r="P39" i="40"/>
  <c r="Q39" i="40"/>
  <c r="R38" i="40"/>
  <c r="S39" i="40"/>
  <c r="T39" i="40"/>
  <c r="AB39" i="40"/>
  <c r="C39" i="40"/>
  <c r="Z39" i="40"/>
  <c r="I40" i="40"/>
  <c r="P40" i="40"/>
  <c r="Q40" i="40"/>
  <c r="R39" i="40"/>
  <c r="S40" i="40"/>
  <c r="T40" i="40"/>
  <c r="AB40" i="40"/>
  <c r="C40" i="40"/>
  <c r="Z40" i="40"/>
  <c r="Z7" i="40"/>
  <c r="AC10" i="40"/>
  <c r="AA10" i="40"/>
  <c r="U11" i="40"/>
  <c r="AC11" i="40"/>
  <c r="AA11" i="40"/>
  <c r="U12" i="40"/>
  <c r="AC12" i="40"/>
  <c r="AA12" i="40"/>
  <c r="U13" i="40"/>
  <c r="AC13" i="40"/>
  <c r="AA13" i="40"/>
  <c r="U14" i="40"/>
  <c r="AC14" i="40"/>
  <c r="AA14" i="40"/>
  <c r="U15" i="40"/>
  <c r="AC15" i="40"/>
  <c r="AA15" i="40"/>
  <c r="U16" i="40"/>
  <c r="AC16" i="40"/>
  <c r="AA16" i="40"/>
  <c r="U17" i="40"/>
  <c r="AC17" i="40"/>
  <c r="AA17" i="40"/>
  <c r="U18" i="40"/>
  <c r="AC18" i="40"/>
  <c r="AA18" i="40"/>
  <c r="U19" i="40"/>
  <c r="AC19" i="40"/>
  <c r="AA19" i="40"/>
  <c r="U20" i="40"/>
  <c r="AC20" i="40"/>
  <c r="AA20" i="40"/>
  <c r="U21" i="40"/>
  <c r="AC21" i="40"/>
  <c r="AA21" i="40"/>
  <c r="U22" i="40"/>
  <c r="AC22" i="40"/>
  <c r="AA22" i="40"/>
  <c r="U23" i="40"/>
  <c r="AC23" i="40"/>
  <c r="AA23" i="40"/>
  <c r="U24" i="40"/>
  <c r="AC24" i="40"/>
  <c r="AA24" i="40"/>
  <c r="U25" i="40"/>
  <c r="AC25" i="40"/>
  <c r="AA25" i="40"/>
  <c r="U26" i="40"/>
  <c r="AC26" i="40"/>
  <c r="AA26" i="40"/>
  <c r="U27" i="40"/>
  <c r="AC27" i="40"/>
  <c r="AA27" i="40"/>
  <c r="U28" i="40"/>
  <c r="AC28" i="40"/>
  <c r="AA28" i="40"/>
  <c r="U29" i="40"/>
  <c r="AC29" i="40"/>
  <c r="AA29" i="40"/>
  <c r="U30" i="40"/>
  <c r="AC30" i="40"/>
  <c r="AA30" i="40"/>
  <c r="U31" i="40"/>
  <c r="AC31" i="40"/>
  <c r="AA31" i="40"/>
  <c r="U32" i="40"/>
  <c r="AC32" i="40"/>
  <c r="AA32" i="40"/>
  <c r="U33" i="40"/>
  <c r="AC33" i="40"/>
  <c r="AA33" i="40"/>
  <c r="U34" i="40"/>
  <c r="AC34" i="40"/>
  <c r="AA34" i="40"/>
  <c r="U35" i="40"/>
  <c r="AC35" i="40"/>
  <c r="AA35" i="40"/>
  <c r="U36" i="40"/>
  <c r="AC36" i="40"/>
  <c r="AA36" i="40"/>
  <c r="U37" i="40"/>
  <c r="AC37" i="40"/>
  <c r="AA37" i="40"/>
  <c r="U38" i="40"/>
  <c r="AC38" i="40"/>
  <c r="AA38" i="40"/>
  <c r="U39" i="40"/>
  <c r="AC39" i="40"/>
  <c r="AA39" i="40"/>
  <c r="R40" i="40"/>
  <c r="U40" i="40"/>
  <c r="AC40" i="40"/>
  <c r="AA40" i="40"/>
  <c r="AA7" i="40"/>
  <c r="AF24" i="40"/>
  <c r="AF20" i="40"/>
  <c r="AF18" i="40"/>
  <c r="AF12" i="40"/>
  <c r="AF10" i="40"/>
  <c r="G42" i="54"/>
  <c r="G40" i="54"/>
  <c r="AF34" i="40"/>
  <c r="G38" i="54"/>
  <c r="AF32" i="40"/>
  <c r="G36" i="54"/>
  <c r="AF30" i="40"/>
  <c r="G34" i="54"/>
  <c r="AF28" i="40"/>
  <c r="AF26" i="40"/>
  <c r="N10" i="40"/>
  <c r="N11" i="40"/>
  <c r="N12" i="40"/>
  <c r="N13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40" i="40"/>
  <c r="AF22" i="40"/>
  <c r="X7" i="40"/>
  <c r="Y7" i="40"/>
  <c r="AF16" i="40"/>
  <c r="AF14" i="40"/>
  <c r="AF8" i="40"/>
  <c r="AF6" i="40"/>
  <c r="G10" i="54"/>
  <c r="AF4" i="40"/>
  <c r="G8" i="54"/>
  <c r="Q9" i="40"/>
  <c r="R9" i="40"/>
  <c r="S9" i="40"/>
  <c r="T9" i="40"/>
  <c r="Q8" i="40"/>
  <c r="R8" i="40"/>
  <c r="S8" i="40"/>
  <c r="T8" i="40"/>
  <c r="U8" i="40"/>
  <c r="S41" i="40"/>
  <c r="V27" i="40"/>
  <c r="V28" i="40"/>
  <c r="V29" i="40"/>
  <c r="V30" i="40"/>
  <c r="V32" i="40"/>
  <c r="V33" i="40"/>
  <c r="V34" i="40"/>
  <c r="V35" i="40"/>
  <c r="V17" i="40"/>
  <c r="V10" i="40"/>
  <c r="V11" i="40"/>
  <c r="V13" i="40"/>
  <c r="V14" i="40"/>
  <c r="V12" i="40"/>
  <c r="V15" i="40"/>
  <c r="V16" i="40"/>
  <c r="V18" i="40"/>
  <c r="V19" i="40"/>
  <c r="V20" i="40"/>
  <c r="V21" i="40"/>
  <c r="V22" i="40"/>
  <c r="V23" i="40"/>
  <c r="V24" i="40"/>
  <c r="V25" i="40"/>
  <c r="V26" i="40"/>
  <c r="V31" i="40"/>
  <c r="V36" i="40"/>
  <c r="V37" i="40"/>
  <c r="V38" i="40"/>
  <c r="V39" i="40"/>
  <c r="V40" i="40"/>
  <c r="V7" i="40"/>
  <c r="AI5" i="40"/>
  <c r="W27" i="40"/>
  <c r="W28" i="40"/>
  <c r="W29" i="40"/>
  <c r="W30" i="40"/>
  <c r="W32" i="40"/>
  <c r="W33" i="40"/>
  <c r="W34" i="40"/>
  <c r="W35" i="40"/>
  <c r="W17" i="40"/>
  <c r="W10" i="40"/>
  <c r="W11" i="40"/>
  <c r="W13" i="40"/>
  <c r="W14" i="40"/>
  <c r="W12" i="40"/>
  <c r="W15" i="40"/>
  <c r="W16" i="40"/>
  <c r="W18" i="40"/>
  <c r="W19" i="40"/>
  <c r="W20" i="40"/>
  <c r="W21" i="40"/>
  <c r="W22" i="40"/>
  <c r="W23" i="40"/>
  <c r="W24" i="40"/>
  <c r="W25" i="40"/>
  <c r="W26" i="40"/>
  <c r="W31" i="40"/>
  <c r="W36" i="40"/>
  <c r="W37" i="40"/>
  <c r="W38" i="40"/>
  <c r="W39" i="40"/>
  <c r="W40" i="40"/>
  <c r="W7" i="40"/>
  <c r="AI6" i="40"/>
  <c r="AI7" i="40"/>
  <c r="AI8" i="40"/>
  <c r="Z5" i="40"/>
  <c r="AI9" i="40"/>
  <c r="AI10" i="40"/>
  <c r="N41" i="40"/>
  <c r="I41" i="40"/>
  <c r="L16" i="40"/>
  <c r="L17" i="40"/>
  <c r="L18" i="40"/>
  <c r="L19" i="40"/>
  <c r="L20" i="40"/>
  <c r="L21" i="40"/>
  <c r="L10" i="40"/>
  <c r="L11" i="40"/>
  <c r="L12" i="40"/>
  <c r="L13" i="40"/>
  <c r="L14" i="40"/>
  <c r="L15" i="40"/>
  <c r="L22" i="40"/>
  <c r="L23" i="40"/>
  <c r="L24" i="40"/>
  <c r="L25" i="40"/>
  <c r="L26" i="40"/>
  <c r="L27" i="40"/>
  <c r="L28" i="40"/>
  <c r="L29" i="40"/>
  <c r="L30" i="40"/>
  <c r="L31" i="40"/>
  <c r="L32" i="40"/>
  <c r="L33" i="40"/>
  <c r="L34" i="40"/>
  <c r="L35" i="40"/>
  <c r="L36" i="40"/>
  <c r="L37" i="40"/>
  <c r="L38" i="40"/>
  <c r="L39" i="40"/>
  <c r="L40" i="40"/>
  <c r="L41" i="40"/>
  <c r="AI16" i="40"/>
  <c r="L9" i="40"/>
  <c r="AJ22" i="40"/>
  <c r="AJ23" i="40"/>
  <c r="AJ24" i="40"/>
  <c r="S15" i="13"/>
  <c r="V23" i="13"/>
  <c r="V22" i="13"/>
  <c r="V21" i="13"/>
  <c r="V20" i="13"/>
  <c r="E3" i="40"/>
  <c r="AH24" i="40"/>
  <c r="AH23" i="40"/>
  <c r="AH22" i="40"/>
  <c r="AH21" i="40"/>
  <c r="L21" i="54"/>
  <c r="L20" i="54"/>
  <c r="L22" i="54"/>
  <c r="AI17" i="40"/>
  <c r="AC41" i="40"/>
  <c r="AB41" i="40"/>
  <c r="X41" i="40"/>
  <c r="W41" i="40"/>
  <c r="V41" i="40"/>
  <c r="U41" i="40"/>
  <c r="T41" i="40"/>
  <c r="R41" i="40"/>
  <c r="Q41" i="40"/>
  <c r="P41" i="40"/>
  <c r="M41" i="40"/>
  <c r="K41" i="40"/>
  <c r="J41" i="40"/>
  <c r="H41" i="40"/>
  <c r="G41" i="40"/>
  <c r="F41" i="40"/>
  <c r="E41" i="40"/>
  <c r="Y40" i="40"/>
  <c r="X40" i="40"/>
  <c r="Y39" i="40"/>
  <c r="X39" i="40"/>
  <c r="Y38" i="40"/>
  <c r="X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Z9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AK16" i="40"/>
  <c r="AK17" i="40"/>
  <c r="AK18" i="40"/>
  <c r="Y18" i="40"/>
  <c r="X18" i="40"/>
  <c r="Y17" i="40"/>
  <c r="X17" i="40"/>
  <c r="Y16" i="40"/>
  <c r="X16" i="40"/>
  <c r="Y15" i="40"/>
  <c r="X15" i="40"/>
  <c r="Y14" i="40"/>
  <c r="X14" i="40"/>
  <c r="Y13" i="40"/>
  <c r="X13" i="40"/>
  <c r="AK8" i="40"/>
  <c r="Y12" i="40"/>
  <c r="X12" i="40"/>
  <c r="Y11" i="40"/>
  <c r="X11" i="40"/>
  <c r="Y10" i="40"/>
  <c r="X10" i="40"/>
  <c r="AB9" i="40"/>
  <c r="X9" i="40"/>
  <c r="V9" i="40"/>
  <c r="M9" i="40"/>
  <c r="AC7" i="40"/>
  <c r="AB7" i="40"/>
  <c r="U7" i="40"/>
  <c r="T7" i="40"/>
  <c r="S7" i="40"/>
  <c r="R7" i="40"/>
  <c r="Q7" i="40"/>
  <c r="P7" i="40"/>
  <c r="D6" i="40"/>
  <c r="AB5" i="40"/>
  <c r="V5" i="40"/>
  <c r="M1" i="13"/>
  <c r="Y41" i="40"/>
  <c r="Z41" i="40"/>
  <c r="AA41" i="40"/>
  <c r="X5" i="40"/>
  <c r="AK6" i="40"/>
  <c r="AK7" i="40"/>
  <c r="AI11" i="40"/>
  <c r="AK5" i="40"/>
  <c r="AK9" i="40"/>
  <c r="AK10" i="40"/>
  <c r="AK12" i="40"/>
  <c r="AJ21" i="40"/>
  <c r="G18" i="54"/>
  <c r="G32" i="54"/>
  <c r="G30" i="54"/>
  <c r="G28" i="54"/>
  <c r="G26" i="54"/>
  <c r="G24" i="54"/>
  <c r="G22" i="54"/>
  <c r="G12" i="54"/>
  <c r="J9" i="54"/>
  <c r="L9" i="54"/>
  <c r="J10" i="54"/>
  <c r="L10" i="54"/>
  <c r="J11" i="54"/>
  <c r="L11" i="54"/>
  <c r="L16" i="54"/>
  <c r="J14" i="54"/>
  <c r="L14" i="54"/>
  <c r="J13" i="54"/>
  <c r="L13" i="54"/>
  <c r="J12" i="54"/>
  <c r="L12" i="54"/>
  <c r="J15" i="54"/>
  <c r="G14" i="54"/>
  <c r="G16" i="54"/>
  <c r="G20" i="54"/>
  <c r="Y41" i="66"/>
  <c r="Z41" i="66"/>
  <c r="AA41" i="66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comments2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<sst xmlns="http://schemas.openxmlformats.org/spreadsheetml/2006/main" count="305" uniqueCount="145">
  <si>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</si>
  <si>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</si>
  <si>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</si>
  <si>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</si>
  <si>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</si>
  <si>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</si>
  <si>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</si>
  <si>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</si>
  <si>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</si>
  <si>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</si>
  <si>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</si>
  <si>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</si>
  <si>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</si>
  <si>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</si>
  <si>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</si>
  <si>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</si>
  <si>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</si>
  <si>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</si>
  <si>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</si>
  <si>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</si>
  <si>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</si>
  <si>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</si>
  <si>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</si>
  <si>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</si>
  <si>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</si>
  <si>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</si>
  <si>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</si>
  <si>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</si>
  <si>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</si>
  <si>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</si>
  <si>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</si>
  <si>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</si>
  <si>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</si>
  <si>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</si>
  <si>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</si>
  <si>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</si>
  <si>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</si>
  <si>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</si>
  <si>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</si>
  <si>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</si>
  <si>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</si>
  <si>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</si>
  <si>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</si>
  <si>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</si>
  <si>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</si>
  <si>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</si>
  <si>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</si>
  <si>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</si>
  <si>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</si>
  <si>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</si>
  <si>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</si>
  <si>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</si>
  <si>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</si>
  <si>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</si>
  <si>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</si>
  <si>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</si>
  <si>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</si>
  <si>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</si>
  <si>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</si>
  <si>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</si>
  <si>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</si>
  <si>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</si>
  <si>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</si>
  <si>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</si>
  <si>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</si>
  <si>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</si>
  <si>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</si>
  <si>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</si>
  <si>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</si>
  <si>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</si>
  <si>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</si>
  <si>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</si>
  <si>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</si>
  <si>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</si>
  <si>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</si>
  <si>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</si>
  <si>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</si>
  <si>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</si>
  <si>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</si>
  <si>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</si>
  <si>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</si>
  <si>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</si>
  <si>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</si>
  <si>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</si>
  <si>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</si>
  <si>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</si>
  <si>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</si>
  <si>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</si>
  <si>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</si>
  <si>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</si>
  <si>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</si>
  <si>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</si>
  <si>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</si>
  <si>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</si>
  <si>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</si>
  <si>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</si>
  <si>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</si>
  <si>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</si>
  <si>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</si>
  <si>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</si>
  <si>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</si>
  <si>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</si>
  <si>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</si>
  <si>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</si>
  <si>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</si>
  <si>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</si>
  <si>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</si>
  <si>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</si>
  <si>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</si>
  <si>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</si>
  <si>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</si>
  <si>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</si>
  <si>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</si>
  <si>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</si>
  <si>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</si>
  <si>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</si>
  <si>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</si>
  <si>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</si>
  <si>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</si>
  <si>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</si>
  <si>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</si>
  <si>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</si>
  <si>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</si>
  <si>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</si>
  <si>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</si>
  <si>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</si>
  <si>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</si>
  <si>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</si>
  <si>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</si>
  <si>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</si>
  <si>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family val="2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</si>
  <si>
    <t>infoyann@gmail.com</t>
  </si>
  <si>
    <t>Pour obtenir de l'aide, écrivez moi à :</t>
  </si>
  <si>
    <t>lors d'une prochaine mise à jour du fichier…</t>
  </si>
  <si>
    <t>Plus de 6 mois restants</t>
  </si>
  <si>
    <t>:: Légende ::</t>
  </si>
  <si>
    <t>Moins de 6 mois restants</t>
  </si>
  <si>
    <t>Moins de 4 mois restants</t>
  </si>
  <si>
    <t>Pensez à vos recyclages</t>
  </si>
  <si>
    <t>:: Légende sur les couleurs des dates ci-dessus ::</t>
  </si>
  <si>
    <t>Pensez aux recyclages et/ou renouvellements…</t>
  </si>
  <si>
    <t>Moins de 6 mois restants avant de renouveler.</t>
  </si>
  <si>
    <t>Plus de 6 mois restants avant de renouveler.</t>
  </si>
  <si>
    <t>Moins de 4 mois restants avant de renouveler</t>
  </si>
  <si>
    <t>Quand le classeur est verrouillé, vous pouvez uniquement modifier le format des colonnes et lignes ainsi que remplir les cellules manuelles autorisées.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</si>
</sst>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  <numFmt numFmtId="175" formatCode="[h]:mm;;"/>
  </numFmts>
  <fonts count="9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Georgia"/>
      <family val="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8"/>
      <name val="Calibri"/>
      <family val="2"/>
      <scheme val="minor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rgb="FF92D050"/>
      <name val="Monaco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8000"/>
      <name val="Calibri (Corps)"/>
    </font>
    <font>
      <b/>
      <sz val="11"/>
      <color rgb="FF008000"/>
      <name val="Arial"/>
      <family val="2"/>
    </font>
    <font>
      <b/>
      <sz val="12"/>
      <color rgb="FF008000"/>
      <name val="Calibri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6"/>
      <color theme="6"/>
      <name val="Calibri"/>
      <scheme val="minor"/>
    </font>
    <font>
      <sz val="14"/>
      <color theme="0" tint="-0.249977111117893"/>
      <name val="Calibri"/>
      <scheme val="minor"/>
    </font>
    <font>
      <b/>
      <sz val="14"/>
      <color rgb="FFFF0000"/>
      <name val="Calibri"/>
      <scheme val="minor"/>
    </font>
    <font>
      <sz val="11"/>
      <color theme="0" tint="-0.499984740745262"/>
      <name val="Calibri"/>
      <scheme val="minor"/>
    </font>
    <font>
      <sz val="36"/>
      <color theme="0"/>
      <name val="Apple Chancery"/>
    </font>
    <font>
      <sz val="14"/>
      <color rgb="FFFFFF00"/>
      <name val="Calibri"/>
      <scheme val="minor"/>
    </font>
    <font>
      <b/>
      <sz val="12"/>
      <color rgb="FFFFFFFF"/>
      <name val="Calibri"/>
      <scheme val="minor"/>
    </font>
    <font>
      <sz val="13"/>
      <color rgb="FFFFFF00"/>
      <name val="Calibri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20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hair">
        <color rgb="FF3366FF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rgb="FF0087E8"/>
      </right>
      <top/>
      <bottom style="medium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medium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medium">
        <color theme="1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medium">
        <color theme="1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medium">
        <color theme="1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medium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medium">
        <color theme="1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 tint="0.24994659260841701"/>
      </right>
      <top style="hair">
        <color theme="1"/>
      </top>
      <bottom style="medium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medium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medium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medium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</borders>
  <cellStyleXfs count="69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1" fillId="31" borderId="0" applyNumberFormat="0" applyBorder="0" applyAlignment="0" applyProtection="0"/>
    <xf numFmtId="0" fontId="82" fillId="32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89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7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4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29" xfId="0" applyNumberFormat="1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3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8" fillId="15" borderId="3" xfId="0" applyFont="1" applyFill="1" applyBorder="1" applyAlignment="1">
      <alignment vertical="center"/>
    </xf>
    <xf numFmtId="0" fontId="45" fillId="15" borderId="0" xfId="0" applyFont="1" applyFill="1" applyBorder="1" applyAlignment="1">
      <alignment horizontal="center"/>
    </xf>
    <xf numFmtId="0" fontId="24" fillId="15" borderId="3" xfId="0" applyFont="1" applyFill="1" applyBorder="1" applyAlignment="1">
      <alignment vertical="center"/>
    </xf>
    <xf numFmtId="164" fontId="41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19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8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 vertical="center"/>
    </xf>
    <xf numFmtId="0" fontId="33" fillId="15" borderId="0" xfId="0" applyFont="1" applyFill="1"/>
    <xf numFmtId="0" fontId="25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0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29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0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7" fillId="15" borderId="0" xfId="0" applyFont="1" applyFill="1" applyBorder="1" applyAlignment="1">
      <alignment vertical="center"/>
    </xf>
    <xf numFmtId="167" fontId="40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7" fillId="16" borderId="0" xfId="0" applyFont="1" applyFill="1" applyBorder="1" applyAlignment="1">
      <alignment vertical="center"/>
    </xf>
    <xf numFmtId="0" fontId="9" fillId="15" borderId="0" xfId="0" applyFont="1" applyFill="1"/>
    <xf numFmtId="20" fontId="46" fillId="12" borderId="45" xfId="0" applyNumberFormat="1" applyFont="1" applyFill="1" applyBorder="1" applyAlignment="1">
      <alignment horizontal="center" vertical="center"/>
    </xf>
    <xf numFmtId="20" fontId="46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6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6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6" fillId="12" borderId="54" xfId="0" applyFont="1" applyFill="1" applyBorder="1" applyAlignment="1">
      <alignment horizontal="center" vertical="center"/>
    </xf>
    <xf numFmtId="0" fontId="46" fillId="12" borderId="44" xfId="0" applyFont="1" applyFill="1" applyBorder="1" applyAlignment="1">
      <alignment horizontal="center" vertical="center"/>
    </xf>
    <xf numFmtId="0" fontId="46" fillId="12" borderId="55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169" fontId="31" fillId="13" borderId="44" xfId="0" applyNumberFormat="1" applyFont="1" applyFill="1" applyBorder="1" applyAlignment="1">
      <alignment horizontal="center" vertical="center"/>
    </xf>
    <xf numFmtId="169" fontId="31" fillId="13" borderId="55" xfId="0" applyNumberFormat="1" applyFont="1" applyFill="1" applyBorder="1" applyAlignment="1">
      <alignment horizontal="center" vertical="center"/>
    </xf>
    <xf numFmtId="169" fontId="27" fillId="13" borderId="57" xfId="0" applyNumberFormat="1" applyFont="1" applyFill="1" applyBorder="1" applyAlignment="1">
      <alignment horizontal="center" vertical="center"/>
    </xf>
    <xf numFmtId="169" fontId="27" fillId="13" borderId="58" xfId="0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0" fontId="43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6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39" fillId="19" borderId="39" xfId="0" applyFont="1" applyFill="1" applyBorder="1" applyAlignment="1">
      <alignment horizontal="center" vertical="center"/>
    </xf>
    <xf numFmtId="0" fontId="38" fillId="19" borderId="40" xfId="0" applyFont="1" applyFill="1" applyBorder="1" applyAlignment="1">
      <alignment horizontal="center" vertical="center"/>
    </xf>
    <xf numFmtId="0" fontId="38" fillId="19" borderId="41" xfId="0" applyFont="1" applyFill="1" applyBorder="1" applyAlignment="1">
      <alignment horizontal="center" vertical="center"/>
    </xf>
    <xf numFmtId="2" fontId="37" fillId="0" borderId="22" xfId="0" applyNumberFormat="1" applyFont="1" applyBorder="1" applyAlignment="1">
      <alignment horizontal="center" vertical="center"/>
    </xf>
    <xf numFmtId="0" fontId="0" fillId="3" borderId="0" xfId="0" applyFill="1" applyBorder="1"/>
    <xf numFmtId="0" fontId="46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2" fillId="12" borderId="55" xfId="0" applyFont="1" applyFill="1" applyBorder="1" applyAlignment="1">
      <alignment horizontal="center" vertical="center"/>
    </xf>
    <xf numFmtId="169" fontId="52" fillId="12" borderId="55" xfId="0" applyNumberFormat="1" applyFont="1" applyFill="1" applyBorder="1" applyAlignment="1">
      <alignment horizontal="center" vertical="center"/>
    </xf>
    <xf numFmtId="0" fontId="38" fillId="14" borderId="54" xfId="0" applyFont="1" applyFill="1" applyBorder="1" applyAlignment="1">
      <alignment horizontal="center" vertical="center"/>
    </xf>
    <xf numFmtId="0" fontId="52" fillId="14" borderId="55" xfId="0" applyNumberFormat="1" applyFont="1" applyFill="1" applyBorder="1" applyAlignment="1">
      <alignment horizontal="center" vertical="center"/>
    </xf>
    <xf numFmtId="169" fontId="52" fillId="14" borderId="55" xfId="0" applyNumberFormat="1" applyFont="1" applyFill="1" applyBorder="1" applyAlignment="1">
      <alignment horizontal="center" vertical="center"/>
    </xf>
    <xf numFmtId="0" fontId="52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7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6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39" fillId="14" borderId="39" xfId="0" applyFont="1" applyFill="1" applyBorder="1" applyAlignment="1">
      <alignment horizontal="center" vertical="center"/>
    </xf>
    <xf numFmtId="0" fontId="38" fillId="14" borderId="40" xfId="0" applyFont="1" applyFill="1" applyBorder="1" applyAlignment="1">
      <alignment horizontal="center" vertical="center"/>
    </xf>
    <xf numFmtId="0" fontId="38" fillId="14" borderId="41" xfId="0" applyFont="1" applyFill="1" applyBorder="1" applyAlignment="1">
      <alignment horizontal="center" vertical="center"/>
    </xf>
    <xf numFmtId="0" fontId="42" fillId="0" borderId="7" xfId="0" applyNumberFormat="1" applyFont="1" applyBorder="1" applyAlignment="1" applyProtection="1">
      <alignment horizontal="center" vertical="center"/>
      <protection locked="0"/>
    </xf>
    <xf numFmtId="0" fontId="42" fillId="0" borderId="6" xfId="0" applyFont="1" applyBorder="1" applyAlignment="1" applyProtection="1">
      <alignment horizontal="center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42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73" xfId="0" applyNumberFormat="1" applyFont="1" applyFill="1" applyBorder="1" applyAlignment="1" applyProtection="1">
      <alignment horizontal="center" vertical="center"/>
      <protection locked="0"/>
    </xf>
    <xf numFmtId="169" fontId="1" fillId="0" borderId="73" xfId="0" applyNumberFormat="1" applyFont="1" applyBorder="1" applyAlignment="1" applyProtection="1">
      <alignment horizontal="center" vertical="center"/>
      <protection locked="0"/>
    </xf>
    <xf numFmtId="164" fontId="1" fillId="3" borderId="76" xfId="0" applyNumberFormat="1" applyFont="1" applyFill="1" applyBorder="1" applyAlignment="1" applyProtection="1">
      <alignment horizontal="center" vertical="center"/>
      <protection locked="0"/>
    </xf>
    <xf numFmtId="169" fontId="1" fillId="0" borderId="76" xfId="0" applyNumberFormat="1" applyFont="1" applyBorder="1" applyAlignment="1" applyProtection="1">
      <alignment horizontal="center" vertical="center"/>
      <protection locked="0"/>
    </xf>
    <xf numFmtId="171" fontId="64" fillId="6" borderId="74" xfId="0" applyNumberFormat="1" applyFont="1" applyFill="1" applyBorder="1" applyAlignment="1" applyProtection="1">
      <alignment horizontal="center" vertical="center"/>
      <protection locked="0"/>
    </xf>
    <xf numFmtId="169" fontId="64" fillId="6" borderId="65" xfId="0" applyNumberFormat="1" applyFont="1" applyFill="1" applyBorder="1" applyAlignment="1" applyProtection="1">
      <alignment horizontal="center" vertical="center"/>
      <protection locked="0"/>
    </xf>
    <xf numFmtId="171" fontId="64" fillId="6" borderId="77" xfId="0" applyNumberFormat="1" applyFont="1" applyFill="1" applyBorder="1" applyAlignment="1" applyProtection="1">
      <alignment horizontal="center" vertical="center"/>
      <protection locked="0"/>
    </xf>
    <xf numFmtId="169" fontId="64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80" xfId="0" applyFont="1" applyFill="1" applyBorder="1" applyAlignment="1" applyProtection="1">
      <alignment horizontal="center" vertical="center"/>
      <protection locked="0"/>
    </xf>
    <xf numFmtId="0" fontId="4" fillId="3" borderId="83" xfId="0" applyFont="1" applyFill="1" applyBorder="1" applyAlignment="1" applyProtection="1">
      <alignment horizontal="center" vertical="center"/>
      <protection locked="0"/>
    </xf>
    <xf numFmtId="0" fontId="39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8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1" fillId="24" borderId="0" xfId="0" applyFont="1" applyFill="1" applyBorder="1" applyAlignment="1">
      <alignment vertical="center"/>
    </xf>
    <xf numFmtId="0" fontId="71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39" fillId="16" borderId="0" xfId="0" applyFont="1" applyFill="1"/>
    <xf numFmtId="20" fontId="0" fillId="15" borderId="0" xfId="0" applyNumberFormat="1" applyFill="1"/>
    <xf numFmtId="0" fontId="18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68" fillId="15" borderId="0" xfId="0" applyFont="1" applyFill="1" applyBorder="1" applyAlignment="1">
      <alignment vertical="center"/>
    </xf>
    <xf numFmtId="0" fontId="69" fillId="15" borderId="0" xfId="0" applyFont="1" applyFill="1" applyBorder="1" applyAlignment="1" applyProtection="1">
      <alignment horizontal="center" vertical="center"/>
      <protection locked="0"/>
    </xf>
    <xf numFmtId="0" fontId="57" fillId="15" borderId="0" xfId="0" applyFont="1" applyFill="1" applyBorder="1" applyAlignment="1">
      <alignment vertical="center"/>
    </xf>
    <xf numFmtId="172" fontId="1" fillId="0" borderId="72" xfId="0" applyNumberFormat="1" applyFont="1" applyFill="1" applyBorder="1" applyAlignment="1">
      <alignment horizontal="center" vertical="center"/>
    </xf>
    <xf numFmtId="172" fontId="1" fillId="0" borderId="75" xfId="0" applyNumberFormat="1" applyFont="1" applyFill="1" applyBorder="1" applyAlignment="1">
      <alignment horizontal="center" vertical="center"/>
    </xf>
    <xf numFmtId="0" fontId="6" fillId="3" borderId="116" xfId="0" applyFont="1" applyFill="1" applyBorder="1" applyAlignment="1">
      <alignment horizontal="center" vertical="center"/>
    </xf>
    <xf numFmtId="0" fontId="67" fillId="29" borderId="121" xfId="0" applyFont="1" applyFill="1" applyBorder="1" applyAlignment="1">
      <alignment horizontal="center" vertical="center"/>
    </xf>
    <xf numFmtId="0" fontId="6" fillId="3" borderId="115" xfId="0" applyFont="1" applyFill="1" applyBorder="1" applyAlignment="1">
      <alignment horizontal="center" vertical="center"/>
    </xf>
    <xf numFmtId="0" fontId="67" fillId="29" borderId="122" xfId="0" applyFont="1" applyFill="1" applyBorder="1" applyAlignment="1">
      <alignment horizontal="center" vertical="center"/>
    </xf>
    <xf numFmtId="0" fontId="6" fillId="3" borderId="117" xfId="0" applyFont="1" applyFill="1" applyBorder="1" applyAlignment="1">
      <alignment horizontal="center" vertical="center"/>
    </xf>
    <xf numFmtId="0" fontId="67" fillId="29" borderId="123" xfId="0" applyFont="1" applyFill="1" applyBorder="1" applyAlignment="1">
      <alignment horizontal="center" vertical="center"/>
    </xf>
    <xf numFmtId="0" fontId="70" fillId="15" borderId="0" xfId="0" applyFont="1" applyFill="1" applyBorder="1" applyAlignment="1">
      <alignment vertical="center"/>
    </xf>
    <xf numFmtId="0" fontId="32" fillId="15" borderId="0" xfId="0" applyFont="1" applyFill="1" applyBorder="1" applyAlignment="1">
      <alignment vertical="center"/>
    </xf>
    <xf numFmtId="0" fontId="34" fillId="15" borderId="0" xfId="0" applyFont="1" applyFill="1" applyBorder="1" applyAlignment="1">
      <alignment vertical="center"/>
    </xf>
    <xf numFmtId="172" fontId="18" fillId="2" borderId="95" xfId="0" applyNumberFormat="1" applyFont="1" applyFill="1" applyBorder="1" applyAlignment="1">
      <alignment horizontal="center" vertical="center"/>
    </xf>
    <xf numFmtId="172" fontId="18" fillId="2" borderId="96" xfId="0" applyNumberFormat="1" applyFont="1" applyFill="1" applyBorder="1" applyAlignment="1">
      <alignment horizontal="center" vertical="center"/>
    </xf>
    <xf numFmtId="172" fontId="18" fillId="2" borderId="97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95" xfId="0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69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3" fillId="15" borderId="0" xfId="0" applyFont="1" applyFill="1" applyBorder="1" applyAlignment="1">
      <alignment vertical="center"/>
    </xf>
    <xf numFmtId="0" fontId="46" fillId="12" borderId="144" xfId="0" applyFont="1" applyFill="1" applyBorder="1" applyAlignment="1">
      <alignment horizontal="center" vertical="center"/>
    </xf>
    <xf numFmtId="0" fontId="12" fillId="12" borderId="146" xfId="0" applyFont="1" applyFill="1" applyBorder="1" applyAlignment="1">
      <alignment horizontal="center" vertical="center"/>
    </xf>
    <xf numFmtId="0" fontId="12" fillId="12" borderId="147" xfId="0" applyFont="1" applyFill="1" applyBorder="1" applyAlignment="1">
      <alignment horizontal="center" vertical="center"/>
    </xf>
    <xf numFmtId="0" fontId="49" fillId="12" borderId="59" xfId="0" applyFont="1" applyFill="1" applyBorder="1" applyAlignment="1">
      <alignment horizontal="center" vertical="center"/>
    </xf>
    <xf numFmtId="0" fontId="55" fillId="17" borderId="57" xfId="0" applyFont="1" applyFill="1" applyBorder="1" applyAlignment="1">
      <alignment horizontal="center" vertical="center"/>
    </xf>
    <xf numFmtId="0" fontId="50" fillId="12" borderId="148" xfId="0" applyFont="1" applyFill="1" applyBorder="1" applyAlignment="1">
      <alignment horizontal="center" vertical="center"/>
    </xf>
    <xf numFmtId="0" fontId="50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5" fillId="12" borderId="151" xfId="0" applyFont="1" applyFill="1" applyBorder="1" applyAlignment="1">
      <alignment horizontal="center" vertical="center"/>
    </xf>
    <xf numFmtId="168" fontId="55" fillId="17" borderId="145" xfId="0" applyNumberFormat="1" applyFont="1" applyFill="1" applyBorder="1" applyAlignment="1">
      <alignment horizontal="center" vertical="center"/>
    </xf>
    <xf numFmtId="168" fontId="52" fillId="12" borderId="55" xfId="0" applyNumberFormat="1" applyFont="1" applyFill="1" applyBorder="1" applyAlignment="1">
      <alignment horizontal="center" vertical="center"/>
    </xf>
    <xf numFmtId="168" fontId="52" fillId="14" borderId="55" xfId="0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74" fontId="1" fillId="6" borderId="142" xfId="0" applyNumberFormat="1" applyFont="1" applyFill="1" applyBorder="1" applyAlignment="1">
      <alignment horizontal="center" vertical="center"/>
    </xf>
    <xf numFmtId="174" fontId="1" fillId="6" borderId="143" xfId="0" applyNumberFormat="1" applyFont="1" applyFill="1" applyBorder="1" applyAlignment="1">
      <alignment horizontal="center" vertical="center"/>
    </xf>
    <xf numFmtId="44" fontId="37" fillId="0" borderId="24" xfId="0" applyNumberFormat="1" applyFont="1" applyBorder="1" applyAlignment="1">
      <alignment horizontal="center" vertical="center"/>
    </xf>
    <xf numFmtId="44" fontId="43" fillId="3" borderId="31" xfId="0" applyNumberFormat="1" applyFont="1" applyFill="1" applyBorder="1" applyAlignment="1">
      <alignment horizontal="center" vertical="center"/>
    </xf>
    <xf numFmtId="44" fontId="37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6" fillId="14" borderId="153" xfId="0" applyFont="1" applyFill="1" applyBorder="1" applyAlignment="1">
      <alignment horizontal="center" vertical="center"/>
    </xf>
    <xf numFmtId="165" fontId="59" fillId="12" borderId="152" xfId="0" applyNumberFormat="1" applyFont="1" applyFill="1" applyBorder="1" applyAlignment="1" applyProtection="1">
      <alignment horizontal="center" vertical="center"/>
      <protection locked="0"/>
    </xf>
    <xf numFmtId="167" fontId="24" fillId="15" borderId="3" xfId="0" applyNumberFormat="1" applyFont="1" applyFill="1" applyBorder="1" applyAlignment="1">
      <alignment vertical="center"/>
    </xf>
    <xf numFmtId="167" fontId="0" fillId="15" borderId="0" xfId="0" applyNumberFormat="1" applyFill="1"/>
    <xf numFmtId="167" fontId="0" fillId="15" borderId="0" xfId="0" applyNumberFormat="1" applyFill="1" applyBorder="1" applyAlignment="1">
      <alignment vertical="center"/>
    </xf>
    <xf numFmtId="167" fontId="0" fillId="15" borderId="0" xfId="0" applyNumberFormat="1" applyFill="1" applyBorder="1" applyAlignment="1"/>
    <xf numFmtId="167" fontId="26" fillId="14" borderId="60" xfId="0" applyNumberFormat="1" applyFont="1" applyFill="1" applyBorder="1" applyAlignment="1">
      <alignment horizontal="center" vertical="center"/>
    </xf>
    <xf numFmtId="167" fontId="5" fillId="12" borderId="61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79" fillId="5" borderId="154" xfId="0" applyNumberFormat="1" applyFont="1" applyFill="1" applyBorder="1" applyAlignment="1">
      <alignment horizontal="center" vertical="center"/>
    </xf>
    <xf numFmtId="167" fontId="79" fillId="5" borderId="155" xfId="0" applyNumberFormat="1" applyFont="1" applyFill="1" applyBorder="1" applyAlignment="1">
      <alignment horizontal="center" vertical="center"/>
    </xf>
    <xf numFmtId="169" fontId="51" fillId="17" borderId="54" xfId="0" applyNumberFormat="1" applyFont="1" applyFill="1" applyBorder="1" applyAlignment="1">
      <alignment horizontal="center" vertical="center"/>
    </xf>
    <xf numFmtId="169" fontId="51" fillId="17" borderId="44" xfId="0" applyNumberFormat="1" applyFont="1" applyFill="1" applyBorder="1" applyAlignment="1">
      <alignment horizontal="center" vertical="center"/>
    </xf>
    <xf numFmtId="169" fontId="51" fillId="17" borderId="55" xfId="0" applyNumberFormat="1" applyFont="1" applyFill="1" applyBorder="1" applyAlignment="1">
      <alignment horizontal="center" vertical="center"/>
    </xf>
    <xf numFmtId="169" fontId="31" fillId="13" borderId="54" xfId="0" applyNumberFormat="1" applyFont="1" applyFill="1" applyBorder="1" applyAlignment="1">
      <alignment horizontal="center" vertical="center"/>
    </xf>
    <xf numFmtId="169" fontId="27" fillId="13" borderId="56" xfId="0" applyNumberFormat="1" applyFont="1" applyFill="1" applyBorder="1" applyAlignment="1">
      <alignment horizontal="center" vertical="center"/>
    </xf>
    <xf numFmtId="168" fontId="58" fillId="18" borderId="156" xfId="0" applyNumberFormat="1" applyFont="1" applyFill="1" applyBorder="1" applyAlignment="1">
      <alignment horizontal="center" vertical="center"/>
    </xf>
    <xf numFmtId="168" fontId="58" fillId="18" borderId="157" xfId="0" applyNumberFormat="1" applyFont="1" applyFill="1" applyBorder="1" applyAlignment="1">
      <alignment horizontal="center" vertical="center"/>
    </xf>
    <xf numFmtId="168" fontId="58" fillId="18" borderId="158" xfId="0" applyNumberFormat="1" applyFont="1" applyFill="1" applyBorder="1" applyAlignment="1">
      <alignment horizontal="center" vertical="center"/>
    </xf>
    <xf numFmtId="168" fontId="58" fillId="18" borderId="48" xfId="0" applyNumberFormat="1" applyFont="1" applyFill="1" applyBorder="1" applyAlignment="1">
      <alignment horizontal="center" vertical="center"/>
    </xf>
    <xf numFmtId="168" fontId="58" fillId="18" borderId="159" xfId="0" applyNumberFormat="1" applyFont="1" applyFill="1" applyBorder="1" applyAlignment="1">
      <alignment horizontal="center" vertical="center"/>
    </xf>
    <xf numFmtId="168" fontId="58" fillId="18" borderId="160" xfId="0" applyNumberFormat="1" applyFont="1" applyFill="1" applyBorder="1" applyAlignment="1">
      <alignment horizontal="center" vertical="center"/>
    </xf>
    <xf numFmtId="168" fontId="58" fillId="18" borderId="161" xfId="0" applyNumberFormat="1" applyFont="1" applyFill="1" applyBorder="1" applyAlignment="1">
      <alignment horizontal="center" vertical="center"/>
    </xf>
    <xf numFmtId="168" fontId="80" fillId="11" borderId="79" xfId="4" applyNumberFormat="1" applyFont="1" applyFill="1" applyBorder="1" applyAlignment="1">
      <alignment horizontal="center" vertical="center"/>
    </xf>
    <xf numFmtId="168" fontId="80" fillId="11" borderId="82" xfId="4" applyNumberFormat="1" applyFont="1" applyFill="1" applyBorder="1" applyAlignment="1">
      <alignment horizontal="center" vertical="center"/>
    </xf>
    <xf numFmtId="168" fontId="1" fillId="6" borderId="81" xfId="0" applyNumberFormat="1" applyFont="1" applyFill="1" applyBorder="1" applyAlignment="1">
      <alignment horizontal="center" vertical="center"/>
    </xf>
    <xf numFmtId="168" fontId="1" fillId="6" borderId="78" xfId="0" applyNumberFormat="1" applyFont="1" applyFill="1" applyBorder="1" applyAlignment="1">
      <alignment horizontal="center" vertical="center"/>
    </xf>
    <xf numFmtId="168" fontId="58" fillId="18" borderId="47" xfId="0" applyNumberFormat="1" applyFont="1" applyFill="1" applyBorder="1" applyAlignment="1">
      <alignment horizontal="center" vertical="center"/>
    </xf>
    <xf numFmtId="168" fontId="58" fillId="18" borderId="166" xfId="0" applyNumberFormat="1" applyFont="1" applyFill="1" applyBorder="1" applyAlignment="1">
      <alignment horizontal="center" vertical="center"/>
    </xf>
    <xf numFmtId="168" fontId="58" fillId="18" borderId="167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168" fontId="15" fillId="13" borderId="156" xfId="4" applyNumberFormat="1" applyFont="1" applyFill="1" applyBorder="1" applyAlignment="1">
      <alignment horizontal="center" vertical="center"/>
    </xf>
    <xf numFmtId="168" fontId="15" fillId="13" borderId="158" xfId="4" applyNumberFormat="1" applyFont="1" applyFill="1" applyBorder="1" applyAlignment="1">
      <alignment horizontal="center" vertical="center"/>
    </xf>
    <xf numFmtId="168" fontId="3" fillId="13" borderId="156" xfId="0" applyNumberFormat="1" applyFont="1" applyFill="1" applyBorder="1" applyAlignment="1">
      <alignment horizontal="center" vertical="center"/>
    </xf>
    <xf numFmtId="168" fontId="3" fillId="13" borderId="158" xfId="0" applyNumberFormat="1" applyFont="1" applyFill="1" applyBorder="1" applyAlignment="1">
      <alignment horizontal="center" vertical="center"/>
    </xf>
    <xf numFmtId="168" fontId="76" fillId="17" borderId="156" xfId="4" applyNumberFormat="1" applyFont="1" applyFill="1" applyBorder="1" applyAlignment="1">
      <alignment horizontal="center" vertical="center"/>
    </xf>
    <xf numFmtId="168" fontId="76" fillId="17" borderId="158" xfId="4" applyNumberFormat="1" applyFont="1" applyFill="1" applyBorder="1" applyAlignment="1">
      <alignment horizontal="center" vertical="center"/>
    </xf>
    <xf numFmtId="168" fontId="53" fillId="12" borderId="162" xfId="4" applyNumberFormat="1" applyFont="1" applyFill="1" applyBorder="1" applyAlignment="1">
      <alignment horizontal="center" vertical="center"/>
    </xf>
    <xf numFmtId="168" fontId="53" fillId="12" borderId="163" xfId="4" applyNumberFormat="1" applyFont="1" applyFill="1" applyBorder="1" applyAlignment="1">
      <alignment horizontal="center" vertical="center"/>
    </xf>
    <xf numFmtId="168" fontId="15" fillId="13" borderId="159" xfId="4" applyNumberFormat="1" applyFont="1" applyFill="1" applyBorder="1" applyAlignment="1">
      <alignment horizontal="center" vertical="center"/>
    </xf>
    <xf numFmtId="168" fontId="15" fillId="13" borderId="161" xfId="4" applyNumberFormat="1" applyFont="1" applyFill="1" applyBorder="1" applyAlignment="1">
      <alignment horizontal="center" vertical="center"/>
    </xf>
    <xf numFmtId="168" fontId="3" fillId="13" borderId="159" xfId="0" applyNumberFormat="1" applyFont="1" applyFill="1" applyBorder="1" applyAlignment="1">
      <alignment horizontal="center" vertical="center"/>
    </xf>
    <xf numFmtId="168" fontId="3" fillId="13" borderId="161" xfId="0" applyNumberFormat="1" applyFont="1" applyFill="1" applyBorder="1" applyAlignment="1">
      <alignment horizontal="center" vertical="center"/>
    </xf>
    <xf numFmtId="168" fontId="76" fillId="17" borderId="159" xfId="4" applyNumberFormat="1" applyFont="1" applyFill="1" applyBorder="1" applyAlignment="1">
      <alignment horizontal="center" vertical="center"/>
    </xf>
    <xf numFmtId="168" fontId="76" fillId="17" borderId="161" xfId="4" applyNumberFormat="1" applyFont="1" applyFill="1" applyBorder="1" applyAlignment="1">
      <alignment horizontal="center" vertical="center"/>
    </xf>
    <xf numFmtId="168" fontId="53" fillId="12" borderId="164" xfId="4" applyNumberFormat="1" applyFont="1" applyFill="1" applyBorder="1" applyAlignment="1">
      <alignment horizontal="center" vertical="center"/>
    </xf>
    <xf numFmtId="168" fontId="53" fillId="12" borderId="165" xfId="4" applyNumberFormat="1" applyFont="1" applyFill="1" applyBorder="1" applyAlignment="1">
      <alignment horizontal="center" vertical="center"/>
    </xf>
    <xf numFmtId="14" fontId="0" fillId="15" borderId="11" xfId="0" applyNumberFormat="1" applyFill="1" applyBorder="1" applyAlignment="1" applyProtection="1">
      <alignment horizontal="center" vertical="center"/>
    </xf>
    <xf numFmtId="14" fontId="0" fillId="15" borderId="0" xfId="0" applyNumberFormat="1" applyFill="1" applyAlignment="1" applyProtection="1">
      <alignment horizontal="center" vertical="center"/>
    </xf>
    <xf numFmtId="0" fontId="0" fillId="15" borderId="0" xfId="0" applyFill="1" applyAlignment="1" applyProtection="1">
      <alignment horizontal="center" vertical="center"/>
    </xf>
    <xf numFmtId="172" fontId="70" fillId="15" borderId="0" xfId="0" applyNumberFormat="1" applyFont="1" applyFill="1" applyBorder="1" applyAlignment="1">
      <alignment vertical="center"/>
    </xf>
    <xf numFmtId="0" fontId="88" fillId="16" borderId="0" xfId="0" applyFont="1" applyFill="1" applyBorder="1" applyAlignment="1">
      <alignment vertical="center"/>
    </xf>
    <xf numFmtId="0" fontId="18" fillId="12" borderId="54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0" fontId="2" fillId="12" borderId="56" xfId="0" applyFont="1" applyFill="1" applyBorder="1" applyAlignment="1">
      <alignment horizontal="center" vertical="center"/>
    </xf>
    <xf numFmtId="164" fontId="1" fillId="0" borderId="184" xfId="0" applyNumberFormat="1" applyFont="1" applyBorder="1" applyAlignment="1">
      <alignment horizontal="center" vertical="center"/>
    </xf>
    <xf numFmtId="164" fontId="1" fillId="3" borderId="185" xfId="0" applyNumberFormat="1" applyFont="1" applyFill="1" applyBorder="1" applyAlignment="1" applyProtection="1">
      <alignment horizontal="center" vertical="center"/>
      <protection locked="0"/>
    </xf>
    <xf numFmtId="169" fontId="1" fillId="0" borderId="185" xfId="0" applyNumberFormat="1" applyFont="1" applyBorder="1" applyAlignment="1" applyProtection="1">
      <alignment horizontal="center" vertical="center"/>
      <protection locked="0"/>
    </xf>
    <xf numFmtId="167" fontId="79" fillId="5" borderId="186" xfId="0" applyNumberFormat="1" applyFont="1" applyFill="1" applyBorder="1" applyAlignment="1">
      <alignment horizontal="center" vertical="center"/>
    </xf>
    <xf numFmtId="171" fontId="64" fillId="6" borderId="187" xfId="0" applyNumberFormat="1" applyFont="1" applyFill="1" applyBorder="1" applyAlignment="1" applyProtection="1">
      <alignment horizontal="center" vertical="center"/>
      <protection locked="0"/>
    </xf>
    <xf numFmtId="169" fontId="64" fillId="6" borderId="188" xfId="0" applyNumberFormat="1" applyFont="1" applyFill="1" applyBorder="1" applyAlignment="1" applyProtection="1">
      <alignment horizontal="center" vertical="center"/>
      <protection locked="0"/>
    </xf>
    <xf numFmtId="174" fontId="1" fillId="6" borderId="189" xfId="0" applyNumberFormat="1" applyFont="1" applyFill="1" applyBorder="1" applyAlignment="1">
      <alignment horizontal="center" vertical="center"/>
    </xf>
    <xf numFmtId="168" fontId="1" fillId="6" borderId="190" xfId="0" applyNumberFormat="1" applyFont="1" applyFill="1" applyBorder="1" applyAlignment="1">
      <alignment horizontal="center" vertical="center"/>
    </xf>
    <xf numFmtId="168" fontId="80" fillId="11" borderId="191" xfId="4" applyNumberFormat="1" applyFont="1" applyFill="1" applyBorder="1" applyAlignment="1">
      <alignment horizontal="center" vertical="center"/>
    </xf>
    <xf numFmtId="0" fontId="4" fillId="3" borderId="192" xfId="0" applyFont="1" applyFill="1" applyBorder="1" applyAlignment="1" applyProtection="1">
      <alignment horizontal="center" vertical="center"/>
      <protection locked="0"/>
    </xf>
    <xf numFmtId="0" fontId="42" fillId="12" borderId="193" xfId="0" applyNumberFormat="1" applyFont="1" applyFill="1" applyBorder="1" applyAlignment="1">
      <alignment horizontal="center" vertical="center"/>
    </xf>
    <xf numFmtId="0" fontId="3" fillId="12" borderId="60" xfId="0" applyNumberFormat="1" applyFont="1" applyFill="1" applyBorder="1" applyAlignment="1">
      <alignment horizontal="center" vertical="center"/>
    </xf>
    <xf numFmtId="0" fontId="52" fillId="12" borderId="62" xfId="0" applyNumberFormat="1" applyFont="1" applyFill="1" applyBorder="1" applyAlignment="1">
      <alignment horizontal="center" vertical="center"/>
    </xf>
    <xf numFmtId="175" fontId="52" fillId="12" borderId="62" xfId="0" applyNumberFormat="1" applyFont="1" applyFill="1" applyBorder="1" applyAlignment="1">
      <alignment horizontal="center" vertical="center"/>
    </xf>
    <xf numFmtId="170" fontId="52" fillId="12" borderId="62" xfId="0" applyNumberFormat="1" applyFont="1" applyFill="1" applyBorder="1" applyAlignment="1">
      <alignment horizontal="center" vertical="center"/>
    </xf>
    <xf numFmtId="174" fontId="52" fillId="12" borderId="62" xfId="0" applyNumberFormat="1" applyFont="1" applyFill="1" applyBorder="1" applyAlignment="1">
      <alignment horizontal="center" vertical="center"/>
    </xf>
    <xf numFmtId="168" fontId="52" fillId="12" borderId="62" xfId="0" applyNumberFormat="1" applyFont="1" applyFill="1" applyBorder="1" applyAlignment="1">
      <alignment horizontal="center" vertical="center"/>
    </xf>
    <xf numFmtId="0" fontId="52" fillId="12" borderId="194" xfId="0" applyNumberFormat="1" applyFont="1" applyFill="1" applyBorder="1" applyAlignment="1">
      <alignment horizontal="center" vertical="center"/>
    </xf>
    <xf numFmtId="168" fontId="58" fillId="18" borderId="49" xfId="0" applyNumberFormat="1" applyFont="1" applyFill="1" applyBorder="1" applyAlignment="1">
      <alignment horizontal="center" vertical="center"/>
    </xf>
    <xf numFmtId="168" fontId="58" fillId="18" borderId="195" xfId="0" applyNumberFormat="1" applyFont="1" applyFill="1" applyBorder="1" applyAlignment="1">
      <alignment horizontal="center" vertical="center"/>
    </xf>
    <xf numFmtId="168" fontId="58" fillId="18" borderId="196" xfId="0" applyNumberFormat="1" applyFont="1" applyFill="1" applyBorder="1" applyAlignment="1">
      <alignment horizontal="center" vertical="center"/>
    </xf>
    <xf numFmtId="168" fontId="58" fillId="18" borderId="197" xfId="0" applyNumberFormat="1" applyFont="1" applyFill="1" applyBorder="1" applyAlignment="1">
      <alignment horizontal="center" vertical="center"/>
    </xf>
    <xf numFmtId="168" fontId="58" fillId="18" borderId="198" xfId="0" applyNumberFormat="1" applyFont="1" applyFill="1" applyBorder="1" applyAlignment="1">
      <alignment horizontal="center" vertical="center"/>
    </xf>
    <xf numFmtId="168" fontId="15" fillId="13" borderId="197" xfId="4" applyNumberFormat="1" applyFont="1" applyFill="1" applyBorder="1" applyAlignment="1">
      <alignment horizontal="center" vertical="center"/>
    </xf>
    <xf numFmtId="168" fontId="15" fillId="13" borderId="196" xfId="4" applyNumberFormat="1" applyFont="1" applyFill="1" applyBorder="1" applyAlignment="1">
      <alignment horizontal="center" vertical="center"/>
    </xf>
    <xf numFmtId="168" fontId="3" fillId="13" borderId="197" xfId="0" applyNumberFormat="1" applyFont="1" applyFill="1" applyBorder="1" applyAlignment="1">
      <alignment horizontal="center" vertical="center"/>
    </xf>
    <xf numFmtId="168" fontId="3" fillId="13" borderId="196" xfId="0" applyNumberFormat="1" applyFont="1" applyFill="1" applyBorder="1" applyAlignment="1">
      <alignment horizontal="center" vertical="center"/>
    </xf>
    <xf numFmtId="168" fontId="76" fillId="17" borderId="197" xfId="4" applyNumberFormat="1" applyFont="1" applyFill="1" applyBorder="1" applyAlignment="1">
      <alignment horizontal="center" vertical="center"/>
    </xf>
    <xf numFmtId="168" fontId="76" fillId="17" borderId="196" xfId="4" applyNumberFormat="1" applyFont="1" applyFill="1" applyBorder="1" applyAlignment="1">
      <alignment horizontal="center" vertical="center"/>
    </xf>
    <xf numFmtId="168" fontId="53" fillId="12" borderId="199" xfId="4" applyNumberFormat="1" applyFont="1" applyFill="1" applyBorder="1" applyAlignment="1">
      <alignment horizontal="center" vertical="center"/>
    </xf>
    <xf numFmtId="168" fontId="53" fillId="12" borderId="200" xfId="4" applyNumberFormat="1" applyFont="1" applyFill="1" applyBorder="1" applyAlignment="1">
      <alignment horizontal="center" vertical="center"/>
    </xf>
    <xf numFmtId="168" fontId="52" fillId="12" borderId="193" xfId="0" applyNumberFormat="1" applyFont="1" applyFill="1" applyBorder="1" applyAlignment="1">
      <alignment horizontal="center" vertical="center"/>
    </xf>
    <xf numFmtId="168" fontId="52" fillId="12" borderId="194" xfId="0" applyNumberFormat="1" applyFont="1" applyFill="1" applyBorder="1" applyAlignment="1">
      <alignment horizontal="center" vertical="center"/>
    </xf>
    <xf numFmtId="0" fontId="73" fillId="24" borderId="99" xfId="0" applyFont="1" applyFill="1" applyBorder="1" applyAlignment="1">
      <alignment horizontal="center" vertical="center"/>
    </xf>
    <xf numFmtId="0" fontId="73" fillId="24" borderId="100" xfId="0" applyFont="1" applyFill="1" applyBorder="1" applyAlignment="1">
      <alignment horizontal="center" vertical="center"/>
    </xf>
    <xf numFmtId="172" fontId="73" fillId="24" borderId="101" xfId="0" applyNumberFormat="1" applyFont="1" applyFill="1" applyBorder="1" applyAlignment="1">
      <alignment horizontal="center" vertical="center"/>
    </xf>
    <xf numFmtId="172" fontId="73" fillId="24" borderId="102" xfId="0" applyNumberFormat="1" applyFont="1" applyFill="1" applyBorder="1" applyAlignment="1">
      <alignment horizontal="center" vertical="center"/>
    </xf>
    <xf numFmtId="172" fontId="73" fillId="24" borderId="103" xfId="0" applyNumberFormat="1" applyFont="1" applyFill="1" applyBorder="1" applyAlignment="1">
      <alignment horizontal="center" vertical="center"/>
    </xf>
    <xf numFmtId="172" fontId="73" fillId="24" borderId="104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23" fillId="10" borderId="52" xfId="0" applyFont="1" applyFill="1" applyBorder="1" applyAlignment="1">
      <alignment horizontal="center" vertical="center"/>
    </xf>
    <xf numFmtId="0" fontId="41" fillId="10" borderId="51" xfId="0" applyFont="1" applyFill="1" applyBorder="1" applyAlignment="1">
      <alignment horizontal="center" vertical="center"/>
    </xf>
    <xf numFmtId="0" fontId="41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18" fillId="17" borderId="54" xfId="0" applyFont="1" applyFill="1" applyBorder="1" applyAlignment="1">
      <alignment horizontal="center" vertical="center"/>
    </xf>
    <xf numFmtId="0" fontId="18" fillId="17" borderId="55" xfId="0" applyFont="1" applyFill="1" applyBorder="1" applyAlignment="1">
      <alignment horizontal="center" vertical="center"/>
    </xf>
    <xf numFmtId="0" fontId="72" fillId="12" borderId="47" xfId="0" applyNumberFormat="1" applyFont="1" applyFill="1" applyBorder="1" applyAlignment="1">
      <alignment horizontal="center" vertical="center"/>
    </xf>
    <xf numFmtId="0" fontId="72" fillId="12" borderId="48" xfId="0" applyNumberFormat="1" applyFont="1" applyFill="1" applyBorder="1" applyAlignment="1">
      <alignment horizontal="center" vertical="center"/>
    </xf>
    <xf numFmtId="0" fontId="72" fillId="12" borderId="49" xfId="0" applyNumberFormat="1" applyFont="1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2" fillId="12" borderId="52" xfId="0" applyFont="1" applyFill="1" applyBorder="1" applyAlignment="1">
      <alignment horizontal="center" vertical="center"/>
    </xf>
    <xf numFmtId="0" fontId="5" fillId="12" borderId="111" xfId="0" applyFont="1" applyFill="1" applyBorder="1" applyAlignment="1">
      <alignment horizontal="center" vertical="center"/>
    </xf>
    <xf numFmtId="0" fontId="5" fillId="12" borderId="138" xfId="0" applyFont="1" applyFill="1" applyBorder="1" applyAlignment="1">
      <alignment horizontal="center" vertical="center"/>
    </xf>
    <xf numFmtId="0" fontId="5" fillId="12" borderId="114" xfId="0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53" fillId="17" borderId="56" xfId="3" applyFont="1" applyFill="1" applyBorder="1" applyAlignment="1">
      <alignment horizontal="center" vertical="center"/>
    </xf>
    <xf numFmtId="0" fontId="53" fillId="17" borderId="57" xfId="3" applyFont="1" applyFill="1" applyBorder="1" applyAlignment="1">
      <alignment horizontal="center" vertical="center"/>
    </xf>
    <xf numFmtId="0" fontId="18" fillId="10" borderId="51" xfId="0" applyFont="1" applyFill="1" applyBorder="1" applyAlignment="1">
      <alignment horizontal="center" vertical="center"/>
    </xf>
    <xf numFmtId="0" fontId="18" fillId="10" borderId="52" xfId="0" applyFont="1" applyFill="1" applyBorder="1" applyAlignment="1">
      <alignment horizontal="center" vertical="center"/>
    </xf>
    <xf numFmtId="0" fontId="18" fillId="10" borderId="53" xfId="0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6" fillId="3" borderId="128" xfId="0" applyFont="1" applyFill="1" applyBorder="1" applyAlignment="1">
      <alignment horizontal="center" vertical="center"/>
    </xf>
    <xf numFmtId="0" fontId="6" fillId="3" borderId="129" xfId="0" applyFont="1" applyFill="1" applyBorder="1" applyAlignment="1">
      <alignment horizontal="center" vertical="center"/>
    </xf>
    <xf numFmtId="173" fontId="4" fillId="3" borderId="134" xfId="0" applyNumberFormat="1" applyFont="1" applyFill="1" applyBorder="1" applyAlignment="1">
      <alignment horizontal="center" vertical="center"/>
    </xf>
    <xf numFmtId="173" fontId="4" fillId="3" borderId="135" xfId="0" applyNumberFormat="1" applyFont="1" applyFill="1" applyBorder="1" applyAlignment="1">
      <alignment horizontal="center" vertical="center"/>
    </xf>
    <xf numFmtId="0" fontId="38" fillId="14" borderId="25" xfId="0" applyFont="1" applyFill="1" applyBorder="1" applyAlignment="1">
      <alignment horizontal="center" vertical="center"/>
    </xf>
    <xf numFmtId="0" fontId="38" fillId="14" borderId="26" xfId="0" applyFont="1" applyFill="1" applyBorder="1" applyAlignment="1">
      <alignment horizontal="center" vertical="center"/>
    </xf>
    <xf numFmtId="0" fontId="38" fillId="14" borderId="27" xfId="0" applyFont="1" applyFill="1" applyBorder="1" applyAlignment="1">
      <alignment horizontal="center" vertical="center"/>
    </xf>
    <xf numFmtId="0" fontId="41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54" fillId="17" borderId="57" xfId="0" applyNumberFormat="1" applyFont="1" applyFill="1" applyBorder="1" applyAlignment="1">
      <alignment horizontal="center" vertical="center"/>
    </xf>
    <xf numFmtId="0" fontId="53" fillId="17" borderId="58" xfId="3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30" xfId="0" applyNumberFormat="1" applyFont="1" applyFill="1" applyBorder="1" applyAlignment="1">
      <alignment horizontal="center" vertical="center"/>
    </xf>
    <xf numFmtId="173" fontId="4" fillId="3" borderId="131" xfId="0" applyNumberFormat="1" applyFont="1" applyFill="1" applyBorder="1" applyAlignment="1">
      <alignment horizontal="center" vertical="center"/>
    </xf>
    <xf numFmtId="0" fontId="37" fillId="19" borderId="54" xfId="0" applyFont="1" applyFill="1" applyBorder="1" applyAlignment="1">
      <alignment horizontal="center" vertical="center"/>
    </xf>
    <xf numFmtId="0" fontId="37" fillId="19" borderId="55" xfId="0" applyFont="1" applyFill="1" applyBorder="1" applyAlignment="1">
      <alignment horizontal="center" vertical="center"/>
    </xf>
    <xf numFmtId="173" fontId="4" fillId="3" borderId="132" xfId="0" applyNumberFormat="1" applyFont="1" applyFill="1" applyBorder="1" applyAlignment="1">
      <alignment horizontal="center" vertical="center"/>
    </xf>
    <xf numFmtId="173" fontId="4" fillId="3" borderId="133" xfId="0" applyNumberFormat="1" applyFont="1" applyFill="1" applyBorder="1" applyAlignment="1">
      <alignment horizontal="center" vertical="center"/>
    </xf>
    <xf numFmtId="0" fontId="6" fillId="3" borderId="126" xfId="0" applyFont="1" applyFill="1" applyBorder="1" applyAlignment="1">
      <alignment horizontal="center" vertical="center"/>
    </xf>
    <xf numFmtId="0" fontId="6" fillId="3" borderId="127" xfId="0" applyFont="1" applyFill="1" applyBorder="1" applyAlignment="1">
      <alignment horizontal="center" vertical="center"/>
    </xf>
    <xf numFmtId="0" fontId="6" fillId="3" borderId="124" xfId="0" applyFont="1" applyFill="1" applyBorder="1" applyAlignment="1">
      <alignment horizontal="center" vertical="center"/>
    </xf>
    <xf numFmtId="0" fontId="6" fillId="3" borderId="12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81" fillId="34" borderId="181" xfId="0" applyFont="1" applyFill="1" applyBorder="1" applyAlignment="1">
      <alignment horizontal="center" vertical="center"/>
    </xf>
    <xf numFmtId="0" fontId="81" fillId="34" borderId="0" xfId="0" applyFont="1" applyFill="1" applyBorder="1" applyAlignment="1">
      <alignment horizontal="center" vertical="center"/>
    </xf>
    <xf numFmtId="0" fontId="81" fillId="34" borderId="182" xfId="0" applyFont="1" applyFill="1" applyBorder="1" applyAlignment="1">
      <alignment horizontal="center" vertical="center"/>
    </xf>
    <xf numFmtId="0" fontId="16" fillId="35" borderId="181" xfId="0" applyFont="1" applyFill="1" applyBorder="1" applyAlignment="1">
      <alignment horizontal="center" vertical="center"/>
    </xf>
    <xf numFmtId="0" fontId="16" fillId="35" borderId="0" xfId="0" applyFont="1" applyFill="1" applyBorder="1" applyAlignment="1">
      <alignment horizontal="center" vertical="center"/>
    </xf>
    <xf numFmtId="0" fontId="16" fillId="35" borderId="182" xfId="0" applyFont="1" applyFill="1" applyBorder="1" applyAlignment="1">
      <alignment horizontal="center" vertical="center"/>
    </xf>
    <xf numFmtId="0" fontId="82" fillId="33" borderId="181" xfId="0" applyFont="1" applyFill="1" applyBorder="1" applyAlignment="1">
      <alignment horizontal="center" vertical="center"/>
    </xf>
    <xf numFmtId="0" fontId="82" fillId="33" borderId="0" xfId="0" applyFont="1" applyFill="1" applyBorder="1" applyAlignment="1">
      <alignment horizontal="center" vertical="center"/>
    </xf>
    <xf numFmtId="0" fontId="82" fillId="33" borderId="182" xfId="0" applyFont="1" applyFill="1" applyBorder="1" applyAlignment="1">
      <alignment horizontal="center" vertical="center"/>
    </xf>
    <xf numFmtId="0" fontId="89" fillId="24" borderId="99" xfId="0" applyFont="1" applyFill="1" applyBorder="1" applyAlignment="1">
      <alignment horizontal="center" vertical="center"/>
    </xf>
    <xf numFmtId="0" fontId="89" fillId="24" borderId="101" xfId="0" applyFont="1" applyFill="1" applyBorder="1" applyAlignment="1">
      <alignment horizontal="center" vertical="center"/>
    </xf>
    <xf numFmtId="0" fontId="89" fillId="24" borderId="102" xfId="0" applyFont="1" applyFill="1" applyBorder="1" applyAlignment="1">
      <alignment horizontal="center" vertical="center"/>
    </xf>
    <xf numFmtId="0" fontId="90" fillId="24" borderId="100" xfId="0" applyFont="1" applyFill="1" applyBorder="1" applyAlignment="1">
      <alignment horizontal="center" vertical="center"/>
    </xf>
    <xf numFmtId="0" fontId="90" fillId="24" borderId="103" xfId="0" applyFont="1" applyFill="1" applyBorder="1" applyAlignment="1">
      <alignment horizontal="center" vertical="center"/>
    </xf>
    <xf numFmtId="0" fontId="90" fillId="24" borderId="104" xfId="0" applyFont="1" applyFill="1" applyBorder="1" applyAlignment="1">
      <alignment horizontal="center" vertical="center"/>
    </xf>
    <xf numFmtId="0" fontId="87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8" fillId="22" borderId="25" xfId="0" applyFont="1" applyFill="1" applyBorder="1" applyAlignment="1">
      <alignment horizontal="center" vertical="center"/>
    </xf>
    <xf numFmtId="0" fontId="38" fillId="22" borderId="26" xfId="0" applyFont="1" applyFill="1" applyBorder="1" applyAlignment="1">
      <alignment horizontal="center" vertical="center"/>
    </xf>
    <xf numFmtId="0" fontId="38" fillId="22" borderId="27" xfId="0" applyFont="1" applyFill="1" applyBorder="1" applyAlignment="1">
      <alignment horizontal="center" vertical="center"/>
    </xf>
    <xf numFmtId="0" fontId="18" fillId="14" borderId="119" xfId="0" applyFont="1" applyFill="1" applyBorder="1" applyAlignment="1">
      <alignment horizontal="center"/>
    </xf>
    <xf numFmtId="0" fontId="18" fillId="14" borderId="120" xfId="0" applyFont="1" applyFill="1" applyBorder="1" applyAlignment="1">
      <alignment horizontal="center"/>
    </xf>
    <xf numFmtId="0" fontId="18" fillId="12" borderId="136" xfId="0" applyFont="1" applyFill="1" applyBorder="1" applyAlignment="1" applyProtection="1">
      <alignment horizontal="center" vertical="center"/>
    </xf>
    <xf numFmtId="0" fontId="18" fillId="12" borderId="50" xfId="0" applyFont="1" applyFill="1" applyBorder="1" applyAlignment="1" applyProtection="1">
      <alignment horizontal="center" vertical="center"/>
    </xf>
    <xf numFmtId="0" fontId="56" fillId="7" borderId="0" xfId="0" applyFont="1" applyFill="1" applyAlignment="1">
      <alignment horizontal="center" vertical="center"/>
    </xf>
    <xf numFmtId="0" fontId="47" fillId="12" borderId="68" xfId="0" applyFont="1" applyFill="1" applyBorder="1" applyAlignment="1" applyProtection="1">
      <alignment horizontal="center" vertical="center"/>
      <protection locked="0"/>
    </xf>
    <xf numFmtId="0" fontId="47" fillId="12" borderId="71" xfId="0" applyFont="1" applyFill="1" applyBorder="1" applyAlignment="1" applyProtection="1">
      <alignment horizontal="center" vertical="center"/>
      <protection locked="0"/>
    </xf>
    <xf numFmtId="0" fontId="48" fillId="12" borderId="66" xfId="0" applyFont="1" applyFill="1" applyBorder="1" applyAlignment="1">
      <alignment horizontal="center" vertical="center"/>
    </xf>
    <xf numFmtId="0" fontId="48" fillId="12" borderId="67" xfId="0" applyFont="1" applyFill="1" applyBorder="1" applyAlignment="1">
      <alignment horizontal="center" vertical="center"/>
    </xf>
    <xf numFmtId="0" fontId="48" fillId="12" borderId="69" xfId="0" applyFont="1" applyFill="1" applyBorder="1" applyAlignment="1">
      <alignment horizontal="center" vertical="center"/>
    </xf>
    <xf numFmtId="0" fontId="48" fillId="12" borderId="70" xfId="0" applyFont="1" applyFill="1" applyBorder="1" applyAlignment="1">
      <alignment horizontal="center" vertical="center"/>
    </xf>
    <xf numFmtId="0" fontId="66" fillId="24" borderId="118" xfId="0" applyFont="1" applyFill="1" applyBorder="1" applyAlignment="1">
      <alignment horizontal="center" vertical="center"/>
    </xf>
    <xf numFmtId="0" fontId="66" fillId="24" borderId="119" xfId="0" applyFont="1" applyFill="1" applyBorder="1" applyAlignment="1">
      <alignment horizontal="center" vertical="center"/>
    </xf>
    <xf numFmtId="0" fontId="74" fillId="12" borderId="109" xfId="0" applyFont="1" applyFill="1" applyBorder="1" applyAlignment="1">
      <alignment horizontal="right" vertical="center"/>
    </xf>
    <xf numFmtId="0" fontId="74" fillId="12" borderId="110" xfId="0" applyFont="1" applyFill="1" applyBorder="1" applyAlignment="1">
      <alignment horizontal="right" vertical="center"/>
    </xf>
    <xf numFmtId="0" fontId="74" fillId="12" borderId="112" xfId="0" applyFont="1" applyFill="1" applyBorder="1" applyAlignment="1">
      <alignment horizontal="right" vertical="center"/>
    </xf>
    <xf numFmtId="0" fontId="74" fillId="12" borderId="113" xfId="0" applyFont="1" applyFill="1" applyBorder="1" applyAlignment="1">
      <alignment horizontal="right" vertical="center"/>
    </xf>
    <xf numFmtId="172" fontId="74" fillId="12" borderId="110" xfId="0" applyNumberFormat="1" applyFont="1" applyFill="1" applyBorder="1" applyAlignment="1">
      <alignment horizontal="center" vertical="center"/>
    </xf>
    <xf numFmtId="172" fontId="74" fillId="12" borderId="111" xfId="0" applyNumberFormat="1" applyFont="1" applyFill="1" applyBorder="1" applyAlignment="1">
      <alignment horizontal="center" vertical="center"/>
    </xf>
    <xf numFmtId="172" fontId="74" fillId="12" borderId="113" xfId="0" applyNumberFormat="1" applyFont="1" applyFill="1" applyBorder="1" applyAlignment="1">
      <alignment horizontal="center" vertical="center"/>
    </xf>
    <xf numFmtId="172" fontId="74" fillId="12" borderId="114" xfId="0" applyNumberFormat="1" applyFont="1" applyFill="1" applyBorder="1" applyAlignment="1">
      <alignment horizontal="center" vertical="center"/>
    </xf>
    <xf numFmtId="0" fontId="67" fillId="25" borderId="89" xfId="0" applyFont="1" applyFill="1" applyBorder="1" applyAlignment="1" applyProtection="1">
      <alignment horizontal="center" vertical="center"/>
      <protection locked="0"/>
    </xf>
    <xf numFmtId="0" fontId="67" fillId="25" borderId="90" xfId="0" applyFont="1" applyFill="1" applyBorder="1" applyAlignment="1" applyProtection="1">
      <alignment horizontal="center" vertical="center"/>
      <protection locked="0"/>
    </xf>
    <xf numFmtId="173" fontId="4" fillId="25" borderId="93" xfId="0" applyNumberFormat="1" applyFont="1" applyFill="1" applyBorder="1" applyAlignment="1" applyProtection="1">
      <alignment horizontal="center" vertical="center"/>
      <protection locked="0"/>
    </xf>
    <xf numFmtId="173" fontId="4" fillId="25" borderId="91" xfId="0" applyNumberFormat="1" applyFont="1" applyFill="1" applyBorder="1" applyAlignment="1" applyProtection="1">
      <alignment horizontal="center" vertical="center"/>
      <protection locked="0"/>
    </xf>
    <xf numFmtId="0" fontId="67" fillId="25" borderId="105" xfId="0" applyFont="1" applyFill="1" applyBorder="1" applyAlignment="1" applyProtection="1">
      <alignment horizontal="center" vertical="center"/>
      <protection locked="0"/>
    </xf>
    <xf numFmtId="0" fontId="67" fillId="25" borderId="106" xfId="0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0" fontId="67" fillId="25" borderId="87" xfId="0" applyFont="1" applyFill="1" applyBorder="1" applyAlignment="1" applyProtection="1">
      <alignment horizontal="center" vertical="center"/>
      <protection locked="0"/>
    </xf>
    <xf numFmtId="0" fontId="67" fillId="25" borderId="88" xfId="0" applyFont="1" applyFill="1" applyBorder="1" applyAlignment="1" applyProtection="1">
      <alignment horizontal="center" vertical="center"/>
      <protection locked="0"/>
    </xf>
    <xf numFmtId="173" fontId="4" fillId="25" borderId="92" xfId="0" applyNumberFormat="1" applyFont="1" applyFill="1" applyBorder="1" applyAlignment="1" applyProtection="1">
      <alignment horizontal="center" vertical="center"/>
      <protection locked="0"/>
    </xf>
    <xf numFmtId="173" fontId="4" fillId="25" borderId="86" xfId="0" applyNumberFormat="1" applyFont="1" applyFill="1" applyBorder="1" applyAlignment="1" applyProtection="1">
      <alignment horizontal="center" vertical="center"/>
      <protection locked="0"/>
    </xf>
    <xf numFmtId="0" fontId="91" fillId="15" borderId="98" xfId="0" applyFont="1" applyFill="1" applyBorder="1" applyAlignment="1">
      <alignment horizontal="center" vertical="center"/>
    </xf>
    <xf numFmtId="0" fontId="91" fillId="15" borderId="3" xfId="0" applyFont="1" applyFill="1" applyBorder="1" applyAlignment="1">
      <alignment horizontal="center" vertical="center"/>
    </xf>
    <xf numFmtId="0" fontId="91" fillId="15" borderId="10" xfId="0" applyFont="1" applyFill="1" applyBorder="1" applyAlignment="1">
      <alignment horizontal="center" vertical="center"/>
    </xf>
    <xf numFmtId="0" fontId="91" fillId="15" borderId="94" xfId="0" applyFont="1" applyFill="1" applyBorder="1" applyAlignment="1">
      <alignment horizontal="center" vertical="center"/>
    </xf>
    <xf numFmtId="0" fontId="91" fillId="15" borderId="183" xfId="0" applyFont="1" applyFill="1" applyBorder="1" applyAlignment="1">
      <alignment horizontal="center" vertical="center"/>
    </xf>
    <xf numFmtId="0" fontId="91" fillId="15" borderId="13" xfId="0" applyFont="1" applyFill="1" applyBorder="1" applyAlignment="1">
      <alignment horizontal="center" vertical="center"/>
    </xf>
    <xf numFmtId="0" fontId="81" fillId="31" borderId="168" xfId="48" applyBorder="1" applyAlignment="1">
      <alignment horizontal="center" vertical="center"/>
    </xf>
    <xf numFmtId="0" fontId="81" fillId="31" borderId="169" xfId="48" applyBorder="1" applyAlignment="1">
      <alignment horizontal="center" vertical="center"/>
    </xf>
    <xf numFmtId="0" fontId="81" fillId="31" borderId="170" xfId="48" applyBorder="1" applyAlignment="1">
      <alignment horizontal="center" vertical="center"/>
    </xf>
    <xf numFmtId="0" fontId="16" fillId="8" borderId="137" xfId="3" applyBorder="1" applyAlignment="1">
      <alignment horizontal="center" vertical="center"/>
    </xf>
    <xf numFmtId="0" fontId="16" fillId="8" borderId="0" xfId="3" applyBorder="1" applyAlignment="1">
      <alignment horizontal="center" vertical="center"/>
    </xf>
    <xf numFmtId="0" fontId="16" fillId="8" borderId="138" xfId="3" applyBorder="1" applyAlignment="1">
      <alignment horizontal="center" vertical="center"/>
    </xf>
    <xf numFmtId="0" fontId="82" fillId="32" borderId="171" xfId="49" applyBorder="1" applyAlignment="1">
      <alignment horizontal="center" vertical="center"/>
    </xf>
    <xf numFmtId="0" fontId="82" fillId="32" borderId="172" xfId="49" applyBorder="1" applyAlignment="1">
      <alignment horizontal="center" vertical="center"/>
    </xf>
    <xf numFmtId="0" fontId="82" fillId="32" borderId="173" xfId="49" applyBorder="1" applyAlignment="1">
      <alignment horizontal="center" vertical="center"/>
    </xf>
    <xf numFmtId="0" fontId="18" fillId="12" borderId="178" xfId="0" applyFont="1" applyFill="1" applyBorder="1" applyAlignment="1">
      <alignment horizontal="center" vertical="center"/>
    </xf>
    <xf numFmtId="0" fontId="18" fillId="12" borderId="179" xfId="0" applyFont="1" applyFill="1" applyBorder="1" applyAlignment="1">
      <alignment horizontal="center" vertical="center"/>
    </xf>
    <xf numFmtId="0" fontId="18" fillId="12" borderId="180" xfId="0" applyFont="1" applyFill="1" applyBorder="1" applyAlignment="1">
      <alignment horizontal="center" vertical="center"/>
    </xf>
    <xf numFmtId="0" fontId="88" fillId="12" borderId="174" xfId="0" applyFont="1" applyFill="1" applyBorder="1" applyAlignment="1">
      <alignment horizontal="center" vertical="center"/>
    </xf>
    <xf numFmtId="0" fontId="88" fillId="12" borderId="175" xfId="0" applyFont="1" applyFill="1" applyBorder="1" applyAlignment="1">
      <alignment horizontal="center" vertical="center"/>
    </xf>
    <xf numFmtId="0" fontId="88" fillId="12" borderId="176" xfId="0" applyFont="1" applyFill="1" applyBorder="1" applyAlignment="1">
      <alignment horizontal="center" vertical="center"/>
    </xf>
    <xf numFmtId="0" fontId="88" fillId="12" borderId="177" xfId="0" applyFont="1" applyFill="1" applyBorder="1" applyAlignment="1">
      <alignment horizontal="center" vertical="center"/>
    </xf>
    <xf numFmtId="0" fontId="88" fillId="12" borderId="149" xfId="0" applyFont="1" applyFill="1" applyBorder="1" applyAlignment="1">
      <alignment horizontal="center" vertical="center"/>
    </xf>
    <xf numFmtId="0" fontId="88" fillId="12" borderId="150" xfId="0" applyFont="1" applyFill="1" applyBorder="1" applyAlignment="1">
      <alignment horizontal="center" vertical="center"/>
    </xf>
    <xf numFmtId="0" fontId="86" fillId="12" borderId="109" xfId="0" applyFont="1" applyFill="1" applyBorder="1" applyAlignment="1">
      <alignment horizontal="center" vertical="center"/>
    </xf>
    <xf numFmtId="0" fontId="86" fillId="12" borderId="110" xfId="0" applyFont="1" applyFill="1" applyBorder="1" applyAlignment="1">
      <alignment horizontal="center" vertical="center"/>
    </xf>
    <xf numFmtId="0" fontId="86" fillId="12" borderId="111" xfId="0" applyFont="1" applyFill="1" applyBorder="1" applyAlignment="1">
      <alignment horizontal="center" vertical="center"/>
    </xf>
    <xf numFmtId="0" fontId="86" fillId="12" borderId="112" xfId="0" applyFont="1" applyFill="1" applyBorder="1" applyAlignment="1">
      <alignment horizontal="center" vertical="center"/>
    </xf>
    <xf numFmtId="0" fontId="86" fillId="12" borderId="113" xfId="0" applyFont="1" applyFill="1" applyBorder="1" applyAlignment="1">
      <alignment horizontal="center" vertical="center"/>
    </xf>
    <xf numFmtId="0" fontId="86" fillId="12" borderId="114" xfId="0" applyFont="1" applyFill="1" applyBorder="1" applyAlignment="1">
      <alignment horizontal="center" vertical="center"/>
    </xf>
    <xf numFmtId="0" fontId="46" fillId="30" borderId="66" xfId="0" applyFont="1" applyFill="1" applyBorder="1" applyAlignment="1">
      <alignment horizontal="center" vertical="top" wrapText="1"/>
    </xf>
    <xf numFmtId="0" fontId="46" fillId="30" borderId="67" xfId="0" applyFont="1" applyFill="1" applyBorder="1" applyAlignment="1">
      <alignment horizontal="center" vertical="top" wrapText="1"/>
    </xf>
    <xf numFmtId="0" fontId="46" fillId="30" borderId="68" xfId="0" applyFont="1" applyFill="1" applyBorder="1" applyAlignment="1">
      <alignment horizontal="center" vertical="top" wrapText="1"/>
    </xf>
    <xf numFmtId="0" fontId="46" fillId="30" borderId="84" xfId="0" applyFont="1" applyFill="1" applyBorder="1" applyAlignment="1">
      <alignment horizontal="center" vertical="top" wrapText="1"/>
    </xf>
    <xf numFmtId="0" fontId="46" fillId="30" borderId="0" xfId="0" applyFont="1" applyFill="1" applyBorder="1" applyAlignment="1">
      <alignment horizontal="center" vertical="top" wrapText="1"/>
    </xf>
    <xf numFmtId="0" fontId="46" fillId="30" borderId="85" xfId="0" applyFont="1" applyFill="1" applyBorder="1" applyAlignment="1">
      <alignment horizontal="center" vertical="top" wrapText="1"/>
    </xf>
    <xf numFmtId="0" fontId="46" fillId="30" borderId="69" xfId="0" applyFont="1" applyFill="1" applyBorder="1" applyAlignment="1">
      <alignment horizontal="center" vertical="top" wrapText="1"/>
    </xf>
    <xf numFmtId="0" fontId="46" fillId="30" borderId="70" xfId="0" applyFont="1" applyFill="1" applyBorder="1" applyAlignment="1">
      <alignment horizontal="center" vertical="top" wrapText="1"/>
    </xf>
    <xf numFmtId="0" fontId="46" fillId="30" borderId="71" xfId="0" applyFont="1" applyFill="1" applyBorder="1" applyAlignment="1">
      <alignment horizontal="center" vertical="top" wrapText="1"/>
    </xf>
    <xf numFmtId="0" fontId="18" fillId="28" borderId="98" xfId="0" applyFont="1" applyFill="1" applyBorder="1" applyAlignment="1">
      <alignment horizontal="center" vertical="center"/>
    </xf>
    <xf numFmtId="0" fontId="18" fillId="28" borderId="10" xfId="0" applyFont="1" applyFill="1" applyBorder="1" applyAlignment="1">
      <alignment horizontal="center" vertical="center"/>
    </xf>
    <xf numFmtId="0" fontId="18" fillId="27" borderId="14" xfId="0" applyFont="1" applyFill="1" applyBorder="1" applyAlignment="1">
      <alignment horizontal="center" vertical="center"/>
    </xf>
    <xf numFmtId="0" fontId="18" fillId="27" borderId="15" xfId="0" applyFont="1" applyFill="1" applyBorder="1" applyAlignment="1">
      <alignment horizontal="center" vertical="center"/>
    </xf>
    <xf numFmtId="49" fontId="18" fillId="28" borderId="94" xfId="0" applyNumberFormat="1" applyFont="1" applyFill="1" applyBorder="1" applyAlignment="1">
      <alignment horizontal="center" vertical="center"/>
    </xf>
    <xf numFmtId="49" fontId="18" fillId="28" borderId="13" xfId="0" applyNumberFormat="1" applyFont="1" applyFill="1" applyBorder="1" applyAlignment="1">
      <alignment horizontal="center" vertical="center"/>
    </xf>
    <xf numFmtId="0" fontId="85" fillId="12" borderId="109" xfId="0" applyFont="1" applyFill="1" applyBorder="1" applyAlignment="1">
      <alignment horizontal="center" vertical="center"/>
    </xf>
    <xf numFmtId="0" fontId="85" fillId="12" borderId="110" xfId="0" applyFont="1" applyFill="1" applyBorder="1" applyAlignment="1">
      <alignment horizontal="center" vertical="center"/>
    </xf>
    <xf numFmtId="0" fontId="85" fillId="12" borderId="111" xfId="0" applyFont="1" applyFill="1" applyBorder="1" applyAlignment="1">
      <alignment horizontal="center" vertical="center"/>
    </xf>
    <xf numFmtId="0" fontId="85" fillId="12" borderId="112" xfId="0" applyFont="1" applyFill="1" applyBorder="1" applyAlignment="1">
      <alignment horizontal="center" vertical="center"/>
    </xf>
    <xf numFmtId="0" fontId="85" fillId="12" borderId="113" xfId="0" applyFont="1" applyFill="1" applyBorder="1" applyAlignment="1">
      <alignment horizontal="center" vertical="center"/>
    </xf>
    <xf numFmtId="0" fontId="85" fillId="12" borderId="114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0" fontId="15" fillId="12" borderId="0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84" fillId="12" borderId="112" xfId="0" applyFont="1" applyFill="1" applyBorder="1" applyAlignment="1">
      <alignment horizontal="center" vertical="center"/>
    </xf>
    <xf numFmtId="0" fontId="84" fillId="12" borderId="113" xfId="0" applyFont="1" applyFill="1" applyBorder="1" applyAlignment="1">
      <alignment horizontal="center" vertical="center"/>
    </xf>
    <xf numFmtId="0" fontId="84" fillId="12" borderId="114" xfId="0" applyFont="1" applyFill="1" applyBorder="1" applyAlignment="1">
      <alignment horizontal="center" vertical="center"/>
    </xf>
    <xf numFmtId="0" fontId="77" fillId="24" borderId="139" xfId="0" applyFont="1" applyFill="1" applyBorder="1" applyAlignment="1">
      <alignment horizontal="center" vertical="center"/>
    </xf>
    <xf numFmtId="0" fontId="77" fillId="24" borderId="140" xfId="0" applyFont="1" applyFill="1" applyBorder="1" applyAlignment="1">
      <alignment horizontal="center" vertical="center"/>
    </xf>
    <xf numFmtId="0" fontId="77" fillId="24" borderId="141" xfId="0" applyFont="1" applyFill="1" applyBorder="1" applyAlignment="1">
      <alignment horizontal="center" vertical="center"/>
    </xf>
    <xf numFmtId="0" fontId="77" fillId="12" borderId="109" xfId="0" applyFont="1" applyFill="1" applyBorder="1" applyAlignment="1">
      <alignment horizontal="center" vertical="center"/>
    </xf>
    <xf numFmtId="0" fontId="77" fillId="12" borderId="110" xfId="0" applyFont="1" applyFill="1" applyBorder="1" applyAlignment="1">
      <alignment horizontal="center" vertical="center"/>
    </xf>
    <xf numFmtId="0" fontId="77" fillId="12" borderId="111" xfId="0" applyFont="1" applyFill="1" applyBorder="1" applyAlignment="1">
      <alignment horizontal="center" vertical="center"/>
    </xf>
    <xf numFmtId="0" fontId="77" fillId="12" borderId="137" xfId="0" applyFont="1" applyFill="1" applyBorder="1" applyAlignment="1">
      <alignment horizontal="center" vertical="center"/>
    </xf>
    <xf numFmtId="0" fontId="77" fillId="12" borderId="0" xfId="0" applyFont="1" applyFill="1" applyBorder="1" applyAlignment="1">
      <alignment horizontal="center" vertical="center"/>
    </xf>
    <xf numFmtId="0" fontId="77" fillId="12" borderId="138" xfId="0" applyFont="1" applyFill="1" applyBorder="1" applyAlignment="1">
      <alignment horizontal="center" vertical="center"/>
    </xf>
    <xf numFmtId="0" fontId="77" fillId="12" borderId="112" xfId="0" applyFont="1" applyFill="1" applyBorder="1" applyAlignment="1">
      <alignment horizontal="center" vertical="center"/>
    </xf>
    <xf numFmtId="0" fontId="77" fillId="12" borderId="113" xfId="0" applyFont="1" applyFill="1" applyBorder="1" applyAlignment="1">
      <alignment horizontal="center" vertical="center"/>
    </xf>
    <xf numFmtId="0" fontId="77" fillId="12" borderId="114" xfId="0" applyFont="1" applyFill="1" applyBorder="1" applyAlignment="1">
      <alignment horizontal="center" vertical="center"/>
    </xf>
    <xf numFmtId="0" fontId="83" fillId="24" borderId="139" xfId="0" applyFont="1" applyFill="1" applyBorder="1" applyAlignment="1">
      <alignment horizontal="center" vertical="center"/>
    </xf>
    <xf numFmtId="0" fontId="83" fillId="24" borderId="140" xfId="0" applyFont="1" applyFill="1" applyBorder="1" applyAlignment="1">
      <alignment horizontal="center" vertical="center"/>
    </xf>
    <xf numFmtId="0" fontId="83" fillId="24" borderId="141" xfId="0" applyFont="1" applyFill="1" applyBorder="1" applyAlignment="1">
      <alignment horizontal="center" vertical="center"/>
    </xf>
  </cellXfs>
  <cellStyles count="69">
    <cellStyle name="Bon" xfId="48" builtinId="26"/>
    <cellStyle name="Excel Built-in Normal" xfId="2"/>
    <cellStyle name="Insatisfaisant" xfId="49" builtinId="27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Neutre" xfId="3" builtinId="28"/>
    <cellStyle name="Normal" xfId="0" builtinId="0"/>
    <cellStyle name="Normal 2" xfId="1"/>
    <cellStyle name="Sortie" xfId="4" builtinId="21"/>
  </cellStyles>
  <dxfs count="25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FF00"/>
      <color rgb="FF0087E8"/>
      <color rgb="FFD2FDCC"/>
      <color rgb="FFE0FD9F"/>
      <color rgb="FFBFE771"/>
      <color rgb="FFA2C45F"/>
      <color rgb="FFAEFB88"/>
      <color rgb="FFD0FC7C"/>
      <color rgb="FF99E352"/>
      <color rgb="FFC6FD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221323</xdr:colOff>
      <xdr:row>32</xdr:row>
      <xdr:rowOff>58677</xdr:rowOff>
    </xdr:from>
    <xdr:to>
      <xdr:col>36</xdr:col>
      <xdr:colOff>701101</xdr:colOff>
      <xdr:row>35</xdr:row>
      <xdr:rowOff>98780</xdr:rowOff>
    </xdr:to>
    <xdr:sp macro="[0]!EffacerTableau" textlink="">
      <xdr:nvSpPr>
        <xdr:cNvPr id="5" name="Plaque 4"/>
        <xdr:cNvSpPr/>
      </xdr:nvSpPr>
      <xdr:spPr>
        <a:xfrm>
          <a:off x="14418586" y="6475519"/>
          <a:ext cx="3821883" cy="641682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982700" y="231421"/>
          <a:ext cx="0" cy="3824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3" name="Plaque 2"/>
        <xdr:cNvSpPr/>
      </xdr:nvSpPr>
      <xdr:spPr>
        <a:xfrm>
          <a:off x="10110606" y="406400"/>
          <a:ext cx="3429004" cy="476955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221323</xdr:colOff>
      <xdr:row>32</xdr:row>
      <xdr:rowOff>58677</xdr:rowOff>
    </xdr:from>
    <xdr:to>
      <xdr:col>36</xdr:col>
      <xdr:colOff>701101</xdr:colOff>
      <xdr:row>35</xdr:row>
      <xdr:rowOff>98780</xdr:rowOff>
    </xdr:to>
    <xdr:sp macro="[0]!EffacerTableau" textlink="">
      <xdr:nvSpPr>
        <xdr:cNvPr id="4" name="Plaque 3"/>
        <xdr:cNvSpPr/>
      </xdr:nvSpPr>
      <xdr:spPr>
        <a:xfrm>
          <a:off x="14407223" y="6561077"/>
          <a:ext cx="3819878" cy="649703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6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6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437443</xdr:colOff>
      <xdr:row>0</xdr:row>
      <xdr:rowOff>84667</xdr:rowOff>
    </xdr:from>
    <xdr:to>
      <xdr:col>11</xdr:col>
      <xdr:colOff>423333</xdr:colOff>
      <xdr:row>8</xdr:row>
      <xdr:rowOff>127000</xdr:rowOff>
    </xdr:to>
    <xdr:sp macro="" textlink="">
      <xdr:nvSpPr>
        <xdr:cNvPr id="21" name="Flèche vers la gauche 20"/>
        <xdr:cNvSpPr/>
      </xdr:nvSpPr>
      <xdr:spPr>
        <a:xfrm>
          <a:off x="5446887" y="84667"/>
          <a:ext cx="2991557" cy="1509889"/>
        </a:xfrm>
        <a:prstGeom prst="leftArrow">
          <a:avLst/>
        </a:prstGeom>
        <a:effectLst>
          <a:glow rad="139700">
            <a:schemeClr val="accent6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28227</xdr:colOff>
      <xdr:row>23</xdr:row>
      <xdr:rowOff>84668</xdr:rowOff>
    </xdr:from>
    <xdr:to>
      <xdr:col>20</xdr:col>
      <xdr:colOff>6</xdr:colOff>
      <xdr:row>24</xdr:row>
      <xdr:rowOff>127000</xdr:rowOff>
    </xdr:to>
    <xdr:sp macro="" textlink="">
      <xdr:nvSpPr>
        <xdr:cNvPr id="2" name="Parenthèse ouvrante 1"/>
        <xdr:cNvSpPr/>
      </xdr:nvSpPr>
      <xdr:spPr>
        <a:xfrm rot="16200000">
          <a:off x="14562673" y="2666999"/>
          <a:ext cx="239888" cy="3824113"/>
        </a:xfrm>
        <a:prstGeom prst="leftBracket">
          <a:avLst/>
        </a:prstGeom>
        <a:effectLst>
          <a:glow rad="139700">
            <a:schemeClr val="accent6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190502</xdr:colOff>
      <xdr:row>24</xdr:row>
      <xdr:rowOff>84666</xdr:rowOff>
    </xdr:from>
    <xdr:to>
      <xdr:col>9</xdr:col>
      <xdr:colOff>1298225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498170" y="4190998"/>
          <a:ext cx="176388" cy="1107723"/>
        </a:xfrm>
        <a:prstGeom prst="leftBracket">
          <a:avLst/>
        </a:prstGeom>
        <a:effectLst>
          <a:glow rad="139700">
            <a:schemeClr val="accent6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70557</xdr:colOff>
      <xdr:row>0</xdr:row>
      <xdr:rowOff>70554</xdr:rowOff>
    </xdr:from>
    <xdr:to>
      <xdr:col>8</xdr:col>
      <xdr:colOff>254001</xdr:colOff>
      <xdr:row>7</xdr:row>
      <xdr:rowOff>155222</xdr:rowOff>
    </xdr:to>
    <xdr:sp macro="" textlink="">
      <xdr:nvSpPr>
        <xdr:cNvPr id="5" name="Parenthèse fermante 4"/>
        <xdr:cNvSpPr/>
      </xdr:nvSpPr>
      <xdr:spPr>
        <a:xfrm>
          <a:off x="5080001" y="70554"/>
          <a:ext cx="183444" cy="1368779"/>
        </a:xfrm>
        <a:prstGeom prst="rightBracket">
          <a:avLst/>
        </a:prstGeom>
        <a:effectLst>
          <a:glow rad="139700">
            <a:schemeClr val="accent6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19756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Olivier/AppData/Local/Microsoft/Windows/INetCache/IE/DFLLQTVQ/Planning%20auto%20V2%20modifi&#233;.xlsm" TargetMode="External"/><Relationship Id="rId4" Type="http://schemas.openxmlformats.org/officeDocument/2006/relationships/externalLinkPath" Target="/Users/Olivier/AppData/Local/Microsoft/Windows/INetCache/IE/DFLLQTVQ/Planning%20auto%20V2%20modifi&#233;.xlsm" TargetMode="External"/><Relationship Id="rId5" Type="http://schemas.openxmlformats.org/officeDocument/2006/relationships/externalLinkPath" Target="/Users/Olivier/AppData/Local/Microsoft/Windows/INetCache/IE/DFLLQTVQ/Planning%20auto%20V2%20modifi&#233;.xlsm" TargetMode="External"/><Relationship Id="rId6" Type="http://schemas.openxmlformats.org/officeDocument/2006/relationships/externalLinkPath" Target="/Users/Olivier/AppData/Local/Microsoft/Windows/INetCache/IE/DFLLQTVQ/Planning%20auto%20V2%20modifi&#233;.xlsm" TargetMode="External"/><Relationship Id="rId7" Type="http://schemas.openxmlformats.org/officeDocument/2006/relationships/externalLinkPath" Target="/Users/Olivier/AppData/Local/Microsoft/Windows/INetCache/IE/DFLLQTVQ/Planning%20auto%20V2%20modifi&#233;.xlsm" TargetMode="External"/><Relationship Id="rId8" Type="http://schemas.openxmlformats.org/officeDocument/2006/relationships/externalLinkPath" Target="/Users/Olivier/AppData/Local/Microsoft/Windows/INetCache/IE/DFLLQTVQ/Planning%20auto%20V2%20modifi&#233;.xlsm" TargetMode="External"/><Relationship Id="rId9" Type="http://schemas.openxmlformats.org/officeDocument/2006/relationships/externalLinkPath" Target="/Users/Olivier/AppData/Local/Microsoft/Windows/INetCache/IE/DFLLQTVQ/Planning%20auto%20V2%20modifi&#233;.xlsm" TargetMode="External"/><Relationship Id="rId10" Type="http://schemas.openxmlformats.org/officeDocument/2006/relationships/externalLinkPath" Target="/Users/Olivier/AppData/Local/Microsoft/Windows/INetCache/IE/DFLLQTVQ/Planning%20auto%20V2%20modifi&#233;.xlsm" TargetMode="External"/><Relationship Id="rId11" Type="http://schemas.openxmlformats.org/officeDocument/2006/relationships/externalLinkPath" Target="/Users/Olivier/AppData/Local/Microsoft/Windows/INetCache/IE/DFLLQTVQ/Planning%20auto%20V2%20modifi&#233;.xlsm" TargetMode="External"/><Relationship Id="rId1" Type="http://schemas.openxmlformats.org/officeDocument/2006/relationships/externalLinkPath" Target="/Users/Olivier/AppData/Local/Microsoft/Windows/INetCache/IE/DFLLQTVQ/Planning%20auto%20V2%20modifi&#233;.xlsm" TargetMode="External"/><Relationship Id="rId2" Type="http://schemas.openxmlformats.org/officeDocument/2006/relationships/externalLinkPath" Target="/Users/Olivier/AppData/Local/Microsoft/Windows/INetCache/IE/DFLLQTVQ/Planning%20auto%20V2%20modifi&#233;.xls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>
    <tabColor rgb="FF00B050"/>
    <pageSetUpPr autoPageBreaks="0"/>
  </sheetPr>
  <dimension ref="A1:AU50"/>
  <sheetViews>
    <sheetView zoomScale="95" zoomScaleNormal="95" zoomScalePageLayoutView="95" workbookViewId="0"/>
  </sheetViews>
  <sheetFormatPr baseColWidth="10" defaultRowHeight="14" x14ac:dyDescent="0"/>
  <cols>
    <col min="1" max="1" width="7.83203125" customWidth="1"/>
    <col min="2" max="2" width="5.33203125" customWidth="1"/>
    <col min="3" max="3" width="10.33203125" hidden="1" customWidth="1"/>
    <col min="4" max="4" width="28.5" bestFit="1" customWidth="1"/>
    <col min="5" max="6" width="11.83203125" customWidth="1"/>
    <col min="7" max="8" width="7.6640625" customWidth="1"/>
    <col min="9" max="9" width="7.6640625" style="205" customWidth="1"/>
    <col min="10" max="14" width="7.83203125" customWidth="1"/>
    <col min="15" max="15" width="56" customWidth="1"/>
    <col min="16" max="21" width="12.33203125" hidden="1" customWidth="1"/>
    <col min="22" max="29" width="9.1640625" hidden="1" customWidth="1"/>
    <col min="30" max="30" width="2.83203125" hidden="1" customWidth="1"/>
    <col min="31" max="31" width="23.83203125" hidden="1" customWidth="1"/>
    <col min="32" max="32" width="10.33203125" hidden="1" customWidth="1"/>
    <col min="33" max="33" width="2.6640625" customWidth="1"/>
    <col min="34" max="34" width="24.33203125" customWidth="1"/>
    <col min="35" max="35" width="9.83203125" customWidth="1"/>
    <col min="36" max="36" width="9.6640625" customWidth="1"/>
    <col min="37" max="37" width="11.83203125" customWidth="1"/>
    <col min="38" max="38" width="17.83203125" customWidth="1"/>
    <col min="39" max="39" width="15.5" customWidth="1"/>
    <col min="40" max="40" width="18.5" customWidth="1"/>
    <col min="42" max="42" width="4.6640625" customWidth="1"/>
  </cols>
  <sheetData>
    <row r="1" spans="1:42" ht="16" customHeight="1">
      <c r="A1" s="112"/>
      <c r="B1" s="24"/>
      <c r="C1" s="25"/>
      <c r="D1" s="24"/>
      <c r="E1" s="24"/>
      <c r="F1" s="24"/>
      <c r="G1" s="25"/>
      <c r="H1" s="26"/>
      <c r="I1" s="199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6" customHeight="1" thickBot="1">
      <c r="A2" s="28"/>
      <c r="B2" s="134"/>
      <c r="C2" s="133"/>
      <c r="D2" s="28"/>
      <c r="E2" s="28"/>
      <c r="F2" s="28"/>
      <c r="G2" s="28"/>
      <c r="H2" s="28"/>
      <c r="I2" s="200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6" customHeight="1">
      <c r="A3" s="28"/>
      <c r="B3" s="134"/>
      <c r="C3" s="133"/>
      <c r="D3" s="291" t="s">
        <v>117</v>
      </c>
      <c r="E3" s="293">
        <f ca="1">TODAY()</f>
        <v>42355</v>
      </c>
      <c r="F3" s="294"/>
      <c r="G3" s="28"/>
      <c r="H3" s="28"/>
      <c r="I3" s="200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297" t="s">
        <v>53</v>
      </c>
      <c r="W3" s="298"/>
      <c r="X3" s="299" t="s">
        <v>51</v>
      </c>
      <c r="Y3" s="299"/>
      <c r="Z3" s="298" t="s">
        <v>52</v>
      </c>
      <c r="AA3" s="298"/>
      <c r="AB3" s="298" t="s">
        <v>54</v>
      </c>
      <c r="AC3" s="309"/>
      <c r="AD3" s="35"/>
      <c r="AE3" s="300" t="s">
        <v>86</v>
      </c>
      <c r="AF3" s="301"/>
      <c r="AG3" s="28"/>
      <c r="AH3" s="302" t="s">
        <v>17</v>
      </c>
      <c r="AI3" s="303"/>
      <c r="AJ3" s="303"/>
      <c r="AK3" s="304"/>
      <c r="AL3" s="28"/>
      <c r="AM3" s="28"/>
      <c r="AN3" s="28"/>
      <c r="AO3" s="28"/>
      <c r="AP3" s="28"/>
    </row>
    <row r="4" spans="1:42" ht="16" customHeight="1" thickBot="1">
      <c r="A4" s="28"/>
      <c r="B4" s="28"/>
      <c r="C4" s="28"/>
      <c r="D4" s="292"/>
      <c r="E4" s="295"/>
      <c r="F4" s="296"/>
      <c r="G4" s="28"/>
      <c r="H4" s="39"/>
      <c r="I4" s="201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305" t="s">
        <v>127</v>
      </c>
      <c r="W4" s="306"/>
      <c r="X4" s="307" t="s">
        <v>126</v>
      </c>
      <c r="Y4" s="307"/>
      <c r="Z4" s="306" t="s">
        <v>128</v>
      </c>
      <c r="AA4" s="306"/>
      <c r="AB4" s="306" t="s">
        <v>39</v>
      </c>
      <c r="AC4" s="308"/>
      <c r="AD4" s="28"/>
      <c r="AE4" s="91" t="s">
        <v>2</v>
      </c>
      <c r="AF4" s="92">
        <f>COUNTA(G10:G40)</f>
        <v>0</v>
      </c>
      <c r="AG4" s="28"/>
      <c r="AH4" s="81"/>
      <c r="AI4" s="82" t="s">
        <v>34</v>
      </c>
      <c r="AJ4" s="83" t="s">
        <v>23</v>
      </c>
      <c r="AK4" s="84" t="s">
        <v>11</v>
      </c>
      <c r="AL4" s="28"/>
      <c r="AM4" s="28"/>
      <c r="AN4" s="28"/>
      <c r="AO4" s="28"/>
      <c r="AP4" s="28"/>
    </row>
    <row r="5" spans="1:42" ht="16" customHeight="1" thickBot="1">
      <c r="A5" s="28"/>
      <c r="B5" s="28"/>
      <c r="C5" s="28"/>
      <c r="D5" s="41"/>
      <c r="E5" s="41"/>
      <c r="F5" s="28"/>
      <c r="G5" s="28"/>
      <c r="H5" s="39"/>
      <c r="I5" s="201"/>
      <c r="J5" s="28"/>
      <c r="K5" s="36"/>
      <c r="L5" s="36"/>
      <c r="M5" s="36"/>
      <c r="N5" s="36"/>
      <c r="O5" s="27"/>
      <c r="P5" s="325" t="s">
        <v>31</v>
      </c>
      <c r="Q5" s="326"/>
      <c r="R5" s="326"/>
      <c r="S5" s="326" t="s">
        <v>32</v>
      </c>
      <c r="T5" s="326"/>
      <c r="U5" s="327"/>
      <c r="V5" s="328">
        <f>SUM(V7+W7)</f>
        <v>0</v>
      </c>
      <c r="W5" s="329"/>
      <c r="X5" s="330">
        <f>SUM(X7+Y7)</f>
        <v>0</v>
      </c>
      <c r="Y5" s="330"/>
      <c r="Z5" s="329">
        <f>SUM(Z7+AA7)</f>
        <v>0</v>
      </c>
      <c r="AA5" s="329"/>
      <c r="AB5" s="329">
        <f>SUMPRODUCT((MONTH($D$10:$D$42=$E$8)*($C$10:$C$42&lt;&gt;"")*($AB$10:$AC$42)))</f>
        <v>0</v>
      </c>
      <c r="AC5" s="331"/>
      <c r="AD5" s="28"/>
      <c r="AE5" s="310"/>
      <c r="AF5" s="311"/>
      <c r="AG5" s="28"/>
      <c r="AH5" s="21" t="s">
        <v>1</v>
      </c>
      <c r="AI5" s="22">
        <f>SUM(V7)*24</f>
        <v>0</v>
      </c>
      <c r="AJ5" s="108">
        <v>9.93</v>
      </c>
      <c r="AK5" s="195">
        <f t="shared" ref="AK5:AK10" si="0">AI5*AJ5</f>
        <v>0</v>
      </c>
      <c r="AL5" s="28"/>
      <c r="AM5" s="28"/>
      <c r="AN5" s="28"/>
      <c r="AO5" s="28"/>
      <c r="AP5" s="28"/>
    </row>
    <row r="6" spans="1:42" ht="16" customHeight="1" thickBot="1">
      <c r="A6" s="28"/>
      <c r="B6" s="54"/>
      <c r="C6" s="80"/>
      <c r="D6" s="312" t="str">
        <f>UPPER(TEXT($D10,"mmmm aaaa"))</f>
        <v>JANVIER 2016</v>
      </c>
      <c r="E6" s="175" t="s">
        <v>37</v>
      </c>
      <c r="F6" s="55">
        <v>0.875</v>
      </c>
      <c r="G6" s="28"/>
      <c r="H6" s="28"/>
      <c r="I6" s="200"/>
      <c r="J6" s="40"/>
      <c r="K6" s="28"/>
      <c r="L6" s="28"/>
      <c r="M6" s="28"/>
      <c r="N6" s="28"/>
      <c r="O6" s="43"/>
      <c r="P6" s="63" t="s">
        <v>30</v>
      </c>
      <c r="Q6" s="64" t="s">
        <v>28</v>
      </c>
      <c r="R6" s="64" t="s">
        <v>29</v>
      </c>
      <c r="S6" s="64" t="s">
        <v>30</v>
      </c>
      <c r="T6" s="64" t="s">
        <v>28</v>
      </c>
      <c r="U6" s="65" t="s">
        <v>29</v>
      </c>
      <c r="V6" s="69" t="s">
        <v>40</v>
      </c>
      <c r="W6" s="66" t="s">
        <v>41</v>
      </c>
      <c r="X6" s="68" t="s">
        <v>49</v>
      </c>
      <c r="Y6" s="68" t="s">
        <v>50</v>
      </c>
      <c r="Z6" s="66" t="s">
        <v>42</v>
      </c>
      <c r="AA6" s="66" t="s">
        <v>43</v>
      </c>
      <c r="AB6" s="66" t="s">
        <v>1</v>
      </c>
      <c r="AC6" s="67" t="s">
        <v>18</v>
      </c>
      <c r="AD6" s="28"/>
      <c r="AE6" s="91" t="s">
        <v>67</v>
      </c>
      <c r="AF6" s="186">
        <f>SUM(N10:N40)</f>
        <v>0</v>
      </c>
      <c r="AG6" s="28"/>
      <c r="AH6" s="10" t="s">
        <v>18</v>
      </c>
      <c r="AI6" s="2">
        <f>SUM(W7)*24</f>
        <v>0</v>
      </c>
      <c r="AJ6" s="109">
        <v>0.99299999999999999</v>
      </c>
      <c r="AK6" s="196">
        <f t="shared" si="0"/>
        <v>0</v>
      </c>
      <c r="AL6" s="28"/>
      <c r="AM6" s="28"/>
      <c r="AN6" s="28"/>
      <c r="AO6" s="28"/>
      <c r="AP6" s="28"/>
    </row>
    <row r="7" spans="1:42" ht="16" customHeight="1" thickBot="1">
      <c r="A7" s="28"/>
      <c r="B7" s="54"/>
      <c r="C7" s="80"/>
      <c r="D7" s="313"/>
      <c r="E7" s="176" t="s">
        <v>38</v>
      </c>
      <c r="F7" s="56">
        <v>0.25</v>
      </c>
      <c r="G7" s="28"/>
      <c r="H7" s="42"/>
      <c r="I7" s="202"/>
      <c r="J7" s="28"/>
      <c r="K7" s="28"/>
      <c r="L7" s="315" t="s">
        <v>55</v>
      </c>
      <c r="M7" s="316"/>
      <c r="N7" s="58" t="s">
        <v>34</v>
      </c>
      <c r="O7" s="317" t="s">
        <v>0</v>
      </c>
      <c r="P7" s="208" t="str">
        <f>TEXT(P8,"[hh]:mm")&amp;"h"&amp;" à "&amp;TEXT(P9,"[hh]:mm")&amp;"h"</f>
        <v>00:00h à 06:00h</v>
      </c>
      <c r="Q7" s="209" t="str">
        <f>TEXT(Q8,"[hh]:mm")&amp;"h"&amp;" à "&amp;TEXT(Q9,"[hh]:mm")&amp;"h"</f>
        <v>06:00h à 21:00h</v>
      </c>
      <c r="R7" s="209" t="str">
        <f>TEXT(R8,"[hh]:mm")&amp;"h"&amp;" à "&amp;TEXT(R9,"[hh]:mm")&amp;"h"</f>
        <v>21:00h à 24:00h</v>
      </c>
      <c r="S7" s="209" t="str">
        <f>TEXT(S8,"[hh]:mm")&amp;"h"&amp;" à "&amp;TEXT(S9,"hh:mm")&amp;"h"</f>
        <v>24:00h à 06:00h</v>
      </c>
      <c r="T7" s="209" t="str">
        <f>TEXT(T8,"hh:mm")&amp;"h"&amp;" à "&amp;TEXT(T9,"hh:mm")&amp;"h"</f>
        <v>06:00h à 21:00h</v>
      </c>
      <c r="U7" s="210" t="str">
        <f>TEXT(U8,"hh:mm")&amp;"h"&amp;" à "&amp;TEXT(U9-24/24,"[hh]:mm")&amp;"h"</f>
        <v>21:00h à 24:00h</v>
      </c>
      <c r="V7" s="75">
        <f>SUMIF(D10:D40,"&gt;0",V10:V40)</f>
        <v>0</v>
      </c>
      <c r="W7" s="74">
        <f>SUMIF(D10:D40,"&gt;0",W10:W40)</f>
        <v>0</v>
      </c>
      <c r="X7" s="188">
        <f>SUMPRODUCT((WEEKDAY($D$10:$D$40)=1)*($AB$10:$AB$40))</f>
        <v>0</v>
      </c>
      <c r="Y7" s="188">
        <f>SUMPRODUCT((WEEKDAY($D$10:$D$40)=1)*($AC$10:$AC$40))</f>
        <v>0</v>
      </c>
      <c r="Z7" s="74">
        <f>SUMPRODUCT(($C$10:$C$40="férié")*($Z$10:$Z$40))</f>
        <v>0</v>
      </c>
      <c r="AA7" s="74">
        <f>SUMPRODUCT(($C$10:$C$40="férié")*($AA$10:$AA$40))</f>
        <v>0</v>
      </c>
      <c r="AB7" s="74">
        <f>SUMIF(D10:D40,"&gt;0",AB10:AB40)</f>
        <v>0</v>
      </c>
      <c r="AC7" s="227">
        <f>SUMIF(D10:D40,"&gt;0",AC10:AC40)</f>
        <v>0</v>
      </c>
      <c r="AD7" s="28"/>
      <c r="AE7" s="320"/>
      <c r="AF7" s="321"/>
      <c r="AG7" s="28"/>
      <c r="AH7" s="10" t="s">
        <v>20</v>
      </c>
      <c r="AI7" s="2">
        <f>X7*24</f>
        <v>0</v>
      </c>
      <c r="AJ7" s="109">
        <v>0.99299999999999999</v>
      </c>
      <c r="AK7" s="196">
        <f t="shared" si="0"/>
        <v>0</v>
      </c>
      <c r="AL7" s="28"/>
      <c r="AM7" s="28"/>
      <c r="AN7" s="28"/>
      <c r="AO7" s="28"/>
      <c r="AP7" s="28"/>
    </row>
    <row r="8" spans="1:42" ht="16" customHeight="1" thickBot="1">
      <c r="A8" s="28"/>
      <c r="B8" s="28"/>
      <c r="C8" s="28"/>
      <c r="D8" s="314"/>
      <c r="E8" s="177" t="s">
        <v>10</v>
      </c>
      <c r="F8" s="198"/>
      <c r="G8" s="197" t="s">
        <v>34</v>
      </c>
      <c r="H8" s="58" t="s">
        <v>34</v>
      </c>
      <c r="I8" s="203" t="s">
        <v>34</v>
      </c>
      <c r="J8" s="58" t="s">
        <v>34</v>
      </c>
      <c r="K8" s="61" t="s">
        <v>34</v>
      </c>
      <c r="L8" s="64" t="s">
        <v>47</v>
      </c>
      <c r="M8" s="174" t="s">
        <v>48</v>
      </c>
      <c r="N8" s="179" t="s">
        <v>11</v>
      </c>
      <c r="O8" s="318"/>
      <c r="P8" s="211">
        <v>0</v>
      </c>
      <c r="Q8" s="70">
        <f>IF(ISBLANK(F7),0/24,P9)</f>
        <v>0.25</v>
      </c>
      <c r="R8" s="70">
        <f>Q9</f>
        <v>0.875</v>
      </c>
      <c r="S8" s="70">
        <f>R9</f>
        <v>1</v>
      </c>
      <c r="T8" s="70">
        <f>S9</f>
        <v>1.25</v>
      </c>
      <c r="U8" s="71">
        <f>T9</f>
        <v>1.875</v>
      </c>
      <c r="V8" s="305" t="s">
        <v>44</v>
      </c>
      <c r="W8" s="306"/>
      <c r="X8" s="322" t="s">
        <v>4</v>
      </c>
      <c r="Y8" s="322"/>
      <c r="Z8" s="306" t="s">
        <v>3</v>
      </c>
      <c r="AA8" s="306"/>
      <c r="AB8" s="306" t="s">
        <v>2</v>
      </c>
      <c r="AC8" s="308"/>
      <c r="AD8" s="43"/>
      <c r="AE8" s="91" t="s">
        <v>61</v>
      </c>
      <c r="AF8" s="92">
        <f>SUMPRODUCT((($C$10:$C$40="férié")*(WEEKDAY($D$10:$D$40)&lt;&gt;1)+($C$10:$C$40="se"))*($N$10:$N$40&gt;0))</f>
        <v>0</v>
      </c>
      <c r="AG8" s="28"/>
      <c r="AH8" s="10" t="s">
        <v>19</v>
      </c>
      <c r="AI8" s="2">
        <f>Y7*24</f>
        <v>0</v>
      </c>
      <c r="AJ8" s="109">
        <v>1.88</v>
      </c>
      <c r="AK8" s="196">
        <f t="shared" si="0"/>
        <v>0</v>
      </c>
      <c r="AL8" s="28"/>
      <c r="AM8" s="28"/>
      <c r="AN8" s="28"/>
      <c r="AO8" s="28"/>
      <c r="AP8" s="28"/>
    </row>
    <row r="9" spans="1:42" ht="16" customHeight="1" thickBot="1">
      <c r="A9" s="28"/>
      <c r="B9" s="181" t="s">
        <v>5</v>
      </c>
      <c r="C9" s="182" t="s">
        <v>25</v>
      </c>
      <c r="D9" s="60" t="s">
        <v>12</v>
      </c>
      <c r="E9" s="60" t="s">
        <v>7</v>
      </c>
      <c r="F9" s="184" t="s">
        <v>13</v>
      </c>
      <c r="G9" s="59" t="s">
        <v>35</v>
      </c>
      <c r="H9" s="59" t="s">
        <v>36</v>
      </c>
      <c r="I9" s="204" t="s">
        <v>87</v>
      </c>
      <c r="J9" s="59" t="s">
        <v>45</v>
      </c>
      <c r="K9" s="62" t="s">
        <v>46</v>
      </c>
      <c r="L9" s="178">
        <f>SUM(L10:L40)</f>
        <v>0</v>
      </c>
      <c r="M9" s="185">
        <f>SUM(M10:M40)</f>
        <v>0</v>
      </c>
      <c r="N9" s="180" t="s">
        <v>108</v>
      </c>
      <c r="O9" s="319"/>
      <c r="P9" s="212">
        <v>0.25</v>
      </c>
      <c r="Q9" s="72">
        <f>F6</f>
        <v>0.875</v>
      </c>
      <c r="R9" s="72">
        <f>24/24</f>
        <v>1</v>
      </c>
      <c r="S9" s="72">
        <f>IF(ISBLANK(F7),Q9+24/24,IF(P9=0/24,Q9+24/24,P9+24/24))</f>
        <v>1.25</v>
      </c>
      <c r="T9" s="72">
        <f>Q9+24/24</f>
        <v>1.875</v>
      </c>
      <c r="U9" s="73">
        <v>2</v>
      </c>
      <c r="V9" s="323">
        <f>SUMPRODUCT((($C$10:$C$40="férié")*(WEEKDAY($D$10:$D$40)&lt;&gt;1)+($C$10:$C$40="se"))*($N$10:$N$40&gt;0))</f>
        <v>0</v>
      </c>
      <c r="W9" s="324"/>
      <c r="X9" s="344">
        <f>SUMPRODUCT((WEEKDAY($D$10:$D$40)=1)*($N$10:$N$40&gt;0))</f>
        <v>0</v>
      </c>
      <c r="Y9" s="344"/>
      <c r="Z9" s="324">
        <f>SUMPRODUCT(($C$10:$C$40="férié")*($N$10:$N$40&gt;0))</f>
        <v>0</v>
      </c>
      <c r="AA9" s="324"/>
      <c r="AB9" s="324">
        <f>COUNTA(G10:G40)</f>
        <v>0</v>
      </c>
      <c r="AC9" s="345"/>
      <c r="AD9" s="43"/>
      <c r="AE9" s="320"/>
      <c r="AF9" s="321"/>
      <c r="AG9" s="28"/>
      <c r="AH9" s="10" t="s">
        <v>21</v>
      </c>
      <c r="AI9" s="2">
        <f>Z5*24</f>
        <v>0</v>
      </c>
      <c r="AJ9" s="109">
        <v>9.93</v>
      </c>
      <c r="AK9" s="196">
        <f t="shared" si="0"/>
        <v>0</v>
      </c>
      <c r="AL9" s="28"/>
      <c r="AM9" s="28"/>
      <c r="AN9" s="28"/>
      <c r="AO9" s="28"/>
      <c r="AP9" s="28"/>
    </row>
    <row r="10" spans="1:42" ht="16" customHeight="1">
      <c r="A10" s="28"/>
      <c r="B10" s="183">
        <v>1</v>
      </c>
      <c r="C10" s="57" t="str">
        <f t="shared" ref="C10:C40" si="1">IF(D10=0,0,IF(COUNTIF(Fériés,D10)&gt;0,"Férié",IF(WEEKDAY(D10,2)&lt;=6,"Se","Dim")))</f>
        <v>Férié</v>
      </c>
      <c r="D10" s="151">
        <f>DATE(An,1,1)</f>
        <v>42370</v>
      </c>
      <c r="E10" s="113"/>
      <c r="F10" s="113"/>
      <c r="G10" s="114"/>
      <c r="H10" s="114"/>
      <c r="I10" s="206" t="str">
        <f>IF(OR(G10="",H10=""),"",MOD(H10-G10,1)+(G10=H10))</f>
        <v/>
      </c>
      <c r="J10" s="117"/>
      <c r="K10" s="118"/>
      <c r="L10" s="189" t="str">
        <f>IF(N10*24&gt;=6,1,"")</f>
        <v/>
      </c>
      <c r="M10" s="223" t="str">
        <f t="shared" ref="M10:M40" si="2">IF(E10="Maitre chien",I10+J10+K10,"")</f>
        <v/>
      </c>
      <c r="N10" s="220">
        <f t="shared" ref="N10:N40" si="3">SUM(I10,J10,K10)</f>
        <v>0</v>
      </c>
      <c r="O10" s="121"/>
      <c r="P10" s="224" t="str">
        <f>IF(OR($D10="",I10="",P$9=""),"",IF(IF(AND($I10=1,$G10&lt;&gt;$H10),1/4,IF($G10&gt;=$H10,MAX(MIN(P$9,$H10+24/24)-MAX(P$8,$G10)),MAX(MIN(P$9,$H10)-MAX(P$8,$G10))))&lt;0,0,IF(AND($I10=1,$G10&lt;&gt;$H10),1/4,IF($G10&gt;=$H10,MAX(MIN(P$9,$H10+24/24)-MAX(P$8,$G10)),MAX(MIN(P$9,$H10)-MAX(P$8,$G10))))))</f>
        <v/>
      </c>
      <c r="Q10" s="225" t="str">
        <f>IF(OR($D10="",P10="",Q$9=""),"",IF(IF(AND($I10=1,$G10&lt;&gt;$H10),(1/24)*15,IF($G10&gt;=$H10,MAX(,MIN(Q$9,$H10+24/24)-MAX(Q$8,$G10)),MAX(,MIN(Q$9,$H10)-MAX(Q$8,$G10))))&lt;0,0,IF(AND($I10=1,$G10&lt;&gt;$H10),(1/24)*15,IF($G10&gt;=$H10,MAX(,MIN(Q$9,$H10+24/24)-MAX(Q$8,$G10)),MAX(,MIN(Q$9,$H10)-MAX(Q$8,$G10))))))</f>
        <v/>
      </c>
      <c r="R10" s="215" t="str">
        <f>IF(OR($D10="",Q10="",R$9=""),"",IF(IF(AND($I10=1,$G10&lt;&gt;$H10),(1/8),IF($G10&gt;=$H10,MAX(,MIN(R$9,$H10+24/24)-MAX(R$8,$G10)),MAX(,MIN(R$9,$H10)-MAX(R$8,$G10))))&lt;0,0,IF(AND($I10=1,$G10&lt;&gt;$H10),(1/8),IF($G10&gt;=$H10,MAX(,MIN(R$9,$H10+24/24)-MAX(R$8,$G10)),MAX(,MIN(R$9,$H10)-MAX(R$8,$G10))))))</f>
        <v/>
      </c>
      <c r="S10" s="213"/>
      <c r="T10" s="214"/>
      <c r="U10" s="215"/>
      <c r="V10" s="228">
        <f>SUMPRODUCT(($C$10="se")*($AB$10))</f>
        <v>0</v>
      </c>
      <c r="W10" s="229">
        <f>SUMPRODUCT(($C$10="se")*($AC$10))</f>
        <v>0</v>
      </c>
      <c r="X10" s="230">
        <f t="shared" ref="X10:X40" si="4">(WEEKDAY($D10)=1)*($AB10)</f>
        <v>0</v>
      </c>
      <c r="Y10" s="231">
        <f t="shared" ref="Y10:Y40" si="5">(WEEKDAY($D10)=1)*($AC10)</f>
        <v>0</v>
      </c>
      <c r="Z10" s="232">
        <f>SUMPRODUCT(($C$10="férié")*($AB$10))</f>
        <v>0</v>
      </c>
      <c r="AA10" s="233">
        <f>SUMPRODUCT(($C$10="férié")*($AC$10))</f>
        <v>0</v>
      </c>
      <c r="AB10" s="234">
        <f>SUM(J10,Q10,T10)</f>
        <v>0</v>
      </c>
      <c r="AC10" s="235">
        <f>SUM(K10,P10,R10,S10,U10)</f>
        <v>0</v>
      </c>
      <c r="AD10" s="43"/>
      <c r="AE10" s="91" t="s">
        <v>71</v>
      </c>
      <c r="AF10" s="186">
        <f>SUMIF(D10:D40,"&gt;0",AB10:AB40)</f>
        <v>0</v>
      </c>
      <c r="AG10" s="28"/>
      <c r="AH10" s="12" t="s">
        <v>22</v>
      </c>
      <c r="AI10" s="2">
        <f>SUM(AI5:AI9)</f>
        <v>0</v>
      </c>
      <c r="AJ10" s="109">
        <v>0.13100000000000001</v>
      </c>
      <c r="AK10" s="196">
        <f t="shared" si="0"/>
        <v>0</v>
      </c>
      <c r="AL10" s="28"/>
      <c r="AM10" s="28"/>
      <c r="AN10" s="28"/>
      <c r="AO10" s="28"/>
      <c r="AP10" s="28"/>
    </row>
    <row r="11" spans="1:42" ht="16" customHeight="1" thickBot="1">
      <c r="A11" s="28"/>
      <c r="B11" s="183">
        <v>2</v>
      </c>
      <c r="C11" s="57" t="str">
        <f t="shared" si="1"/>
        <v>Se</v>
      </c>
      <c r="D11" s="152">
        <f>IF(D10="","",IF(MONTH(D10+1)=MONTH($D$10),D10+1,""))</f>
        <v>42371</v>
      </c>
      <c r="E11" s="115"/>
      <c r="F11" s="115"/>
      <c r="G11" s="116"/>
      <c r="H11" s="116"/>
      <c r="I11" s="207" t="str">
        <f t="shared" ref="I11:I40" si="6">IF(OR(G11="",H11=""),"",MOD(H11-G11,1)+(G11=H11))</f>
        <v/>
      </c>
      <c r="J11" s="119"/>
      <c r="K11" s="120"/>
      <c r="L11" s="190" t="str">
        <f t="shared" ref="L11:L40" si="7">IF(N11*24&gt;=6,1,"")</f>
        <v/>
      </c>
      <c r="M11" s="222" t="str">
        <f t="shared" si="2"/>
        <v/>
      </c>
      <c r="N11" s="221">
        <f t="shared" si="3"/>
        <v>0</v>
      </c>
      <c r="O11" s="122"/>
      <c r="P11" s="216" t="str">
        <f t="shared" ref="P11:P40" si="8">IF(OR($D11="",I11="",P$9=""),"",IF(IF(AND($I11=1,$G11&lt;&gt;$H11),1/4,IF($G11&gt;=$H11,MAX(MIN(P$9,$H11+24/24)-MAX(P$8,$G11)),MAX(MIN(P$9,$H11)-MAX(P$8,$G11))))&lt;0,0,IF(AND($I11=1,$G11&lt;&gt;$H11),1/4,IF($G11&gt;=$H11,MAX(MIN(P$9,$H11+24/24)-MAX(P$8,$G11)),MAX(MIN(P$9,$H11)-MAX(P$8,$G11))))))</f>
        <v/>
      </c>
      <c r="Q11" s="226" t="str">
        <f t="shared" ref="Q11:Q40" si="9">IF(OR($D11="",P11="",Q$9=""),"",IF(IF(AND($I11=1,$G11&lt;&gt;$H11),(1/24)*15,IF($G11&gt;=$H11,MAX(,MIN(Q$9,$H11+24/24)-MAX(Q$8,$G11)),MAX(,MIN(Q$9,$H11)-MAX(Q$8,$G11))))&lt;0,0,IF(AND($I11=1,$G11&lt;&gt;$H11),(1/24)*15,IF($G11&gt;=$H11,MAX(,MIN(Q$9,$H11+24/24)-MAX(Q$8,$G11)),MAX(,MIN(Q$9,$H11)-MAX(Q$8,$G11))))))</f>
        <v/>
      </c>
      <c r="R11" s="219" t="str">
        <f t="shared" ref="R11:R39" si="10">IF(OR($D11="",Q11="",R$9=""),"",IF(IF(AND($I11=1,$G11&lt;&gt;$H11),(1/8),IF($G11&gt;=$H11,MAX(,MIN(R$9,$H11+24/24)-MAX(R$8,$G11)),MAX(,MIN(R$9,$H11)-MAX(R$8,$G11))))&lt;0,0,IF(AND($I11=1,$G11&lt;&gt;$H11),(1/8),IF($G11&gt;=$H11,MAX(,MIN(R$9,$H11+24/24)-MAX(R$8,$G11)),MAX(,MIN(R$9,$H11)-MAX(R$8,$G11))))))</f>
        <v/>
      </c>
      <c r="S11" s="217" t="str">
        <f>IF(OR(R10="",S$9=""),"",IF(IF($G10&gt;0,IF($G10&gt;=$H10,MAX(,MIN(S$9,$H10+24/24)-MAX(S$8,$G10)),MAX(MIN(S$9,$H10)-MAX(S$8,$G10))),0)&lt;0,0,IF($G10&gt;0,IF($G10&gt;=$H10,MAX(,MIN(S$9,$H10+24/24)-MAX(S$8,$G10)),MAX(MIN(S$9,$H10)-MAX(S$8,$G10))),0)))</f>
        <v/>
      </c>
      <c r="T11" s="218" t="str">
        <f>IF(OR(S11="",T$9=""),"",IF(IF($G10&gt;0,IF($G10&gt;=$H10,MAX(,MIN(T$9,$H10+24/24)-MAX(T$8,$G10)),MAX(,MIN(T$9,$H10)-MAX(T$8,$G10))),0)&lt;0,0,IF($G10&gt;0,IF($G10&gt;=$H10,MAX(,MIN(T$9,$H10+24/24)-MAX(T$8,$G10)),MAX(,MIN(T$9,$H10)-MAX(T$8,$G10))),0)))</f>
        <v/>
      </c>
      <c r="U11" s="219" t="str">
        <f>IF(OR(T11="",U$9=""),"",IF(IF($G10&gt;0,IF($G10&gt;=$H10,MAX(,MIN(U$9,$H10+24/24)-MAX(U$8,$G10)),MAX(,MIN(U$9,$H10)-MAX(U$8,$G10))),0)&lt;0,0,IF($G10&gt;0,IF($G10&gt;=$H10,MAX(,MIN(U$9,$H10+24/24)-MAX(U$8,$G10)),MAX(,MIN(U$9,$H10)-MAX(U$8,$G10))),0)))</f>
        <v/>
      </c>
      <c r="V11" s="236">
        <f>SUMPRODUCT(($C$11="se")*($AB$11))</f>
        <v>0</v>
      </c>
      <c r="W11" s="237">
        <f>SUMPRODUCT(($C$11="se")*($AC$11))</f>
        <v>0</v>
      </c>
      <c r="X11" s="238">
        <f t="shared" si="4"/>
        <v>0</v>
      </c>
      <c r="Y11" s="239">
        <f t="shared" si="5"/>
        <v>0</v>
      </c>
      <c r="Z11" s="240">
        <f>SUMPRODUCT(($C$11="férié")*($AB$11))</f>
        <v>0</v>
      </c>
      <c r="AA11" s="241">
        <f>SUMPRODUCT(($C$11="férié")*($AC$11))</f>
        <v>0</v>
      </c>
      <c r="AB11" s="242">
        <f>SUM(J11,Q11,T11)</f>
        <v>0</v>
      </c>
      <c r="AC11" s="243">
        <f>SUM(K11,P11,R11,S11,U11)</f>
        <v>0</v>
      </c>
      <c r="AD11" s="43"/>
      <c r="AE11" s="346"/>
      <c r="AF11" s="347"/>
      <c r="AG11" s="28"/>
      <c r="AH11" s="13" t="s">
        <v>24</v>
      </c>
      <c r="AI11" s="14">
        <f>SUM(AI6+AI8)</f>
        <v>0</v>
      </c>
      <c r="AJ11" s="110"/>
      <c r="AK11" s="194"/>
      <c r="AL11" s="28"/>
      <c r="AM11" s="28"/>
      <c r="AN11" s="28"/>
      <c r="AO11" s="28"/>
      <c r="AP11" s="28"/>
    </row>
    <row r="12" spans="1:42" ht="16" customHeight="1" thickBot="1">
      <c r="A12" s="28"/>
      <c r="B12" s="183">
        <v>3</v>
      </c>
      <c r="C12" s="57" t="str">
        <f t="shared" si="1"/>
        <v>Dim</v>
      </c>
      <c r="D12" s="152">
        <f t="shared" ref="D12:D40" si="11">IF(D11="","",IF(MONTH(D11+1)=MONTH($D$10),D11+1,""))</f>
        <v>42372</v>
      </c>
      <c r="E12" s="115"/>
      <c r="F12" s="115"/>
      <c r="G12" s="116"/>
      <c r="H12" s="116"/>
      <c r="I12" s="207" t="str">
        <f t="shared" si="6"/>
        <v/>
      </c>
      <c r="J12" s="119"/>
      <c r="K12" s="120"/>
      <c r="L12" s="190" t="str">
        <f t="shared" si="7"/>
        <v/>
      </c>
      <c r="M12" s="222" t="str">
        <f t="shared" si="2"/>
        <v/>
      </c>
      <c r="N12" s="221">
        <f t="shared" si="3"/>
        <v>0</v>
      </c>
      <c r="O12" s="122"/>
      <c r="P12" s="216" t="str">
        <f t="shared" si="8"/>
        <v/>
      </c>
      <c r="Q12" s="226" t="str">
        <f t="shared" si="9"/>
        <v/>
      </c>
      <c r="R12" s="219" t="str">
        <f t="shared" si="10"/>
        <v/>
      </c>
      <c r="S12" s="217" t="str">
        <f t="shared" ref="S12:S40" si="12">IF(OR(R11="",S$9=""),"",IF(IF($G11&gt;0,IF($G11&gt;=$H11,MAX(,MIN(S$9,$H11+24/24)-MAX(S$8,$G11)),MAX(MIN(S$9,$H11)-MAX(S$8,$G11))),0)&lt;0,0,IF($G11&gt;0,IF($G11&gt;=$H11,MAX(,MIN(S$9,$H11+24/24)-MAX(S$8,$G11)),MAX(MIN(S$9,$H11)-MAX(S$8,$G11))),0)))</f>
        <v/>
      </c>
      <c r="T12" s="218" t="str">
        <f t="shared" ref="T12:U12" si="13">IF(OR(S12="",T$9=""),"",IF(IF($G11&gt;0,IF($G11&gt;=$H11,MAX(,MIN(T$9,$H11+24/24)-MAX(T$8,$G11)),MAX(,MIN(T$9,$H11)-MAX(T$8,$G11))),0)&lt;0,0,IF($G11&gt;0,IF($G11&gt;=$H11,MAX(,MIN(T$9,$H11+24/24)-MAX(T$8,$G11)),MAX(,MIN(T$9,$H11)-MAX(T$8,$G11))),0)))</f>
        <v/>
      </c>
      <c r="U12" s="219" t="str">
        <f t="shared" si="13"/>
        <v/>
      </c>
      <c r="V12" s="236">
        <f>SUMPRODUCT(($C$12="se")*($AB$12))</f>
        <v>0</v>
      </c>
      <c r="W12" s="237">
        <f>SUMPRODUCT(($C$12="se")*($AC$12))</f>
        <v>0</v>
      </c>
      <c r="X12" s="238">
        <f t="shared" si="4"/>
        <v>0</v>
      </c>
      <c r="Y12" s="239">
        <f t="shared" si="5"/>
        <v>0</v>
      </c>
      <c r="Z12" s="240">
        <f>SUMPRODUCT(($C$12="férié")*($AB$12))</f>
        <v>0</v>
      </c>
      <c r="AA12" s="241">
        <f>SUMPRODUCT(($C$12="férié")*($AC$12))</f>
        <v>0</v>
      </c>
      <c r="AB12" s="242">
        <f t="shared" ref="AB12:AB40" si="14">SUM(J12,Q12,T12)</f>
        <v>0</v>
      </c>
      <c r="AC12" s="243">
        <f t="shared" ref="AC12:AC40" si="15">SUM(K12,P12,R12,S12,U12)</f>
        <v>0</v>
      </c>
      <c r="AD12" s="43"/>
      <c r="AE12" s="91" t="s">
        <v>72</v>
      </c>
      <c r="AF12" s="186">
        <f>SUMIF(D10:D40,"&gt;0",AC10:AC40)</f>
        <v>0</v>
      </c>
      <c r="AG12" s="28"/>
      <c r="AH12" s="47"/>
      <c r="AI12" s="40"/>
      <c r="AJ12" s="19" t="s">
        <v>76</v>
      </c>
      <c r="AK12" s="192">
        <f>SUM(AK5:AK11)</f>
        <v>0</v>
      </c>
      <c r="AL12" s="28"/>
      <c r="AM12" s="28"/>
      <c r="AN12" s="28"/>
      <c r="AO12" s="28"/>
      <c r="AP12" s="28"/>
    </row>
    <row r="13" spans="1:42" ht="16" customHeight="1" thickBot="1">
      <c r="A13" s="28"/>
      <c r="B13" s="183">
        <v>4</v>
      </c>
      <c r="C13" s="57" t="str">
        <f t="shared" si="1"/>
        <v>Se</v>
      </c>
      <c r="D13" s="152">
        <f t="shared" si="11"/>
        <v>42373</v>
      </c>
      <c r="E13" s="115"/>
      <c r="F13" s="115"/>
      <c r="G13" s="116"/>
      <c r="H13" s="116"/>
      <c r="I13" s="207" t="str">
        <f t="shared" si="6"/>
        <v/>
      </c>
      <c r="J13" s="119"/>
      <c r="K13" s="120"/>
      <c r="L13" s="190" t="str">
        <f t="shared" si="7"/>
        <v/>
      </c>
      <c r="M13" s="222" t="str">
        <f t="shared" si="2"/>
        <v/>
      </c>
      <c r="N13" s="221">
        <f t="shared" si="3"/>
        <v>0</v>
      </c>
      <c r="O13" s="122"/>
      <c r="P13" s="216" t="str">
        <f t="shared" si="8"/>
        <v/>
      </c>
      <c r="Q13" s="226" t="str">
        <f t="shared" si="9"/>
        <v/>
      </c>
      <c r="R13" s="219" t="str">
        <f t="shared" si="10"/>
        <v/>
      </c>
      <c r="S13" s="217" t="str">
        <f t="shared" si="12"/>
        <v/>
      </c>
      <c r="T13" s="218" t="str">
        <f t="shared" ref="T13:U13" si="16">IF(OR(S13="",T$9=""),"",IF(IF($G12&gt;0,IF($G12&gt;=$H12,MAX(,MIN(T$9,$H12+24/24)-MAX(T$8,$G12)),MAX(,MIN(T$9,$H12)-MAX(T$8,$G12))),0)&lt;0,0,IF($G12&gt;0,IF($G12&gt;=$H12,MAX(,MIN(T$9,$H12+24/24)-MAX(T$8,$G12)),MAX(,MIN(T$9,$H12)-MAX(T$8,$G12))),0)))</f>
        <v/>
      </c>
      <c r="U13" s="219" t="str">
        <f t="shared" si="16"/>
        <v/>
      </c>
      <c r="V13" s="236">
        <f>SUMPRODUCT(($C$13="se")*($AB$13))</f>
        <v>0</v>
      </c>
      <c r="W13" s="237">
        <f>SUMPRODUCT(($C$13="se")*($AC$13))</f>
        <v>0</v>
      </c>
      <c r="X13" s="238">
        <f t="shared" si="4"/>
        <v>0</v>
      </c>
      <c r="Y13" s="239">
        <f t="shared" si="5"/>
        <v>0</v>
      </c>
      <c r="Z13" s="240">
        <f>SUMPRODUCT(($C$13="férié")*($AB$13))</f>
        <v>0</v>
      </c>
      <c r="AA13" s="241">
        <f>SUMPRODUCT(($C$13="férié")*($AC$13))</f>
        <v>0</v>
      </c>
      <c r="AB13" s="242">
        <f t="shared" si="14"/>
        <v>0</v>
      </c>
      <c r="AC13" s="243">
        <f t="shared" si="15"/>
        <v>0</v>
      </c>
      <c r="AD13" s="43"/>
      <c r="AE13" s="332"/>
      <c r="AF13" s="333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6" customHeight="1">
      <c r="A14" s="28"/>
      <c r="B14" s="183">
        <v>5</v>
      </c>
      <c r="C14" s="57" t="str">
        <f t="shared" si="1"/>
        <v>Se</v>
      </c>
      <c r="D14" s="152">
        <f t="shared" si="11"/>
        <v>42374</v>
      </c>
      <c r="E14" s="115"/>
      <c r="F14" s="115"/>
      <c r="G14" s="116"/>
      <c r="H14" s="116"/>
      <c r="I14" s="207" t="str">
        <f t="shared" si="6"/>
        <v/>
      </c>
      <c r="J14" s="119"/>
      <c r="K14" s="120"/>
      <c r="L14" s="190" t="str">
        <f t="shared" si="7"/>
        <v/>
      </c>
      <c r="M14" s="222" t="str">
        <f t="shared" si="2"/>
        <v/>
      </c>
      <c r="N14" s="221">
        <f t="shared" si="3"/>
        <v>0</v>
      </c>
      <c r="O14" s="122"/>
      <c r="P14" s="216" t="str">
        <f t="shared" si="8"/>
        <v/>
      </c>
      <c r="Q14" s="226" t="str">
        <f t="shared" si="9"/>
        <v/>
      </c>
      <c r="R14" s="219" t="str">
        <f t="shared" si="10"/>
        <v/>
      </c>
      <c r="S14" s="217" t="str">
        <f t="shared" si="12"/>
        <v/>
      </c>
      <c r="T14" s="218" t="str">
        <f t="shared" ref="T14:U14" si="17">IF(OR(S14="",T$9=""),"",IF(IF($G13&gt;0,IF($G13&gt;=$H13,MAX(,MIN(T$9,$H13+24/24)-MAX(T$8,$G13)),MAX(,MIN(T$9,$H13)-MAX(T$8,$G13))),0)&lt;0,0,IF($G13&gt;0,IF($G13&gt;=$H13,MAX(,MIN(T$9,$H13+24/24)-MAX(T$8,$G13)),MAX(,MIN(T$9,$H13)-MAX(T$8,$G13))),0)))</f>
        <v/>
      </c>
      <c r="U14" s="219" t="str">
        <f t="shared" si="17"/>
        <v/>
      </c>
      <c r="V14" s="236">
        <f>SUMPRODUCT(($C$14="se")*($AB$14))</f>
        <v>0</v>
      </c>
      <c r="W14" s="237">
        <f>SUMPRODUCT(($C$14="se")*($AC$14))</f>
        <v>0</v>
      </c>
      <c r="X14" s="238">
        <f t="shared" si="4"/>
        <v>0</v>
      </c>
      <c r="Y14" s="239">
        <f t="shared" si="5"/>
        <v>0</v>
      </c>
      <c r="Z14" s="240">
        <f>SUMPRODUCT(($C$14="férié")*($AB$14))</f>
        <v>0</v>
      </c>
      <c r="AA14" s="241">
        <f>SUMPRODUCT(($C$14="férié")*($AC$14))</f>
        <v>0</v>
      </c>
      <c r="AB14" s="242">
        <f t="shared" si="14"/>
        <v>0</v>
      </c>
      <c r="AC14" s="243">
        <f t="shared" si="15"/>
        <v>0</v>
      </c>
      <c r="AD14" s="43"/>
      <c r="AE14" s="94" t="s">
        <v>81</v>
      </c>
      <c r="AF14" s="95">
        <f>SUMPRODUCT((WEEKDAY($D$10:$D$40)=1)*($N$10:$N$40&gt;0))</f>
        <v>0</v>
      </c>
      <c r="AG14" s="28"/>
      <c r="AH14" s="338" t="s">
        <v>16</v>
      </c>
      <c r="AI14" s="339"/>
      <c r="AJ14" s="339"/>
      <c r="AK14" s="340"/>
      <c r="AL14" s="28"/>
      <c r="AM14" s="28"/>
      <c r="AN14" s="28"/>
      <c r="AO14" s="28"/>
      <c r="AP14" s="28"/>
    </row>
    <row r="15" spans="1:42" ht="16" customHeight="1">
      <c r="A15" s="28"/>
      <c r="B15" s="183">
        <v>6</v>
      </c>
      <c r="C15" s="57" t="str">
        <f t="shared" si="1"/>
        <v>Se</v>
      </c>
      <c r="D15" s="152">
        <f t="shared" si="11"/>
        <v>42375</v>
      </c>
      <c r="E15" s="115"/>
      <c r="F15" s="115"/>
      <c r="G15" s="116"/>
      <c r="H15" s="116"/>
      <c r="I15" s="207" t="str">
        <f t="shared" si="6"/>
        <v/>
      </c>
      <c r="J15" s="119"/>
      <c r="K15" s="120"/>
      <c r="L15" s="190" t="str">
        <f t="shared" si="7"/>
        <v/>
      </c>
      <c r="M15" s="222" t="str">
        <f t="shared" si="2"/>
        <v/>
      </c>
      <c r="N15" s="221">
        <f t="shared" si="3"/>
        <v>0</v>
      </c>
      <c r="O15" s="122"/>
      <c r="P15" s="216" t="str">
        <f t="shared" si="8"/>
        <v/>
      </c>
      <c r="Q15" s="226" t="str">
        <f t="shared" si="9"/>
        <v/>
      </c>
      <c r="R15" s="219" t="str">
        <f t="shared" si="10"/>
        <v/>
      </c>
      <c r="S15" s="217" t="str">
        <f t="shared" si="12"/>
        <v/>
      </c>
      <c r="T15" s="218" t="str">
        <f t="shared" ref="T15:U15" si="18">IF(OR(S15="",T$9=""),"",IF(IF($G14&gt;0,IF($G14&gt;=$H14,MAX(,MIN(T$9,$H14+24/24)-MAX(T$8,$G14)),MAX(,MIN(T$9,$H14)-MAX(T$8,$G14))),0)&lt;0,0,IF($G14&gt;0,IF($G14&gt;=$H14,MAX(,MIN(T$9,$H14+24/24)-MAX(T$8,$G14)),MAX(,MIN(T$9,$H14)-MAX(T$8,$G14))),0)))</f>
        <v/>
      </c>
      <c r="U15" s="219" t="str">
        <f t="shared" si="18"/>
        <v/>
      </c>
      <c r="V15" s="236">
        <f>SUMPRODUCT(($C$15="se")*($AB$15))</f>
        <v>0</v>
      </c>
      <c r="W15" s="237">
        <f>SUMPRODUCT(($C$15="se")*($AC$15))</f>
        <v>0</v>
      </c>
      <c r="X15" s="238">
        <f t="shared" si="4"/>
        <v>0</v>
      </c>
      <c r="Y15" s="239">
        <f t="shared" si="5"/>
        <v>0</v>
      </c>
      <c r="Z15" s="240">
        <f>SUMPRODUCT(($C$15="férié")*($AB$15))</f>
        <v>0</v>
      </c>
      <c r="AA15" s="241">
        <f>SUMPRODUCT(($C$15="férié")*($AC$15))</f>
        <v>0</v>
      </c>
      <c r="AB15" s="242">
        <f t="shared" si="14"/>
        <v>0</v>
      </c>
      <c r="AC15" s="243">
        <f t="shared" si="15"/>
        <v>0</v>
      </c>
      <c r="AD15" s="43"/>
      <c r="AE15" s="320"/>
      <c r="AF15" s="321"/>
      <c r="AG15" s="28"/>
      <c r="AH15" s="85"/>
      <c r="AI15" s="86" t="s">
        <v>11</v>
      </c>
      <c r="AJ15" s="86" t="s">
        <v>23</v>
      </c>
      <c r="AK15" s="87" t="s">
        <v>11</v>
      </c>
      <c r="AL15" s="28"/>
      <c r="AM15" s="28"/>
      <c r="AN15" s="28"/>
      <c r="AO15" s="28"/>
      <c r="AP15" s="28"/>
    </row>
    <row r="16" spans="1:42" ht="16" customHeight="1">
      <c r="A16" s="28"/>
      <c r="B16" s="183">
        <v>7</v>
      </c>
      <c r="C16" s="57" t="str">
        <f t="shared" si="1"/>
        <v>Se</v>
      </c>
      <c r="D16" s="152">
        <f t="shared" si="11"/>
        <v>42376</v>
      </c>
      <c r="E16" s="115"/>
      <c r="F16" s="115"/>
      <c r="G16" s="116"/>
      <c r="H16" s="116"/>
      <c r="I16" s="207" t="str">
        <f t="shared" si="6"/>
        <v/>
      </c>
      <c r="J16" s="119"/>
      <c r="K16" s="120"/>
      <c r="L16" s="190" t="str">
        <f t="shared" si="7"/>
        <v/>
      </c>
      <c r="M16" s="222" t="str">
        <f t="shared" si="2"/>
        <v/>
      </c>
      <c r="N16" s="221">
        <f t="shared" si="3"/>
        <v>0</v>
      </c>
      <c r="O16" s="122"/>
      <c r="P16" s="216" t="str">
        <f t="shared" si="8"/>
        <v/>
      </c>
      <c r="Q16" s="226" t="str">
        <f t="shared" si="9"/>
        <v/>
      </c>
      <c r="R16" s="219" t="str">
        <f t="shared" si="10"/>
        <v/>
      </c>
      <c r="S16" s="217" t="str">
        <f t="shared" si="12"/>
        <v/>
      </c>
      <c r="T16" s="218" t="str">
        <f t="shared" ref="T16:U16" si="19">IF(OR(S16="",T$9=""),"",IF(IF($G15&gt;0,IF($G15&gt;=$H15,MAX(,MIN(T$9,$H15+24/24)-MAX(T$8,$G15)),MAX(,MIN(T$9,$H15)-MAX(T$8,$G15))),0)&lt;0,0,IF($G15&gt;0,IF($G15&gt;=$H15,MAX(,MIN(T$9,$H15+24/24)-MAX(T$8,$G15)),MAX(,MIN(T$9,$H15)-MAX(T$8,$G15))),0)))</f>
        <v/>
      </c>
      <c r="U16" s="219" t="str">
        <f t="shared" si="19"/>
        <v/>
      </c>
      <c r="V16" s="236">
        <f>SUMPRODUCT(($C$16="se")*($AB$16))</f>
        <v>0</v>
      </c>
      <c r="W16" s="237">
        <f>SUMPRODUCT(($C$16="se")*($AC$16))</f>
        <v>0</v>
      </c>
      <c r="X16" s="238">
        <f t="shared" si="4"/>
        <v>0</v>
      </c>
      <c r="Y16" s="239">
        <f t="shared" si="5"/>
        <v>0</v>
      </c>
      <c r="Z16" s="240">
        <f>SUMPRODUCT(($C$16="férié")*($AB$16))</f>
        <v>0</v>
      </c>
      <c r="AA16" s="241">
        <f>SUMPRODUCT(($C$16="férié")*($AC$16))</f>
        <v>0</v>
      </c>
      <c r="AB16" s="242">
        <f t="shared" si="14"/>
        <v>0</v>
      </c>
      <c r="AC16" s="243">
        <f t="shared" si="15"/>
        <v>0</v>
      </c>
      <c r="AD16" s="43"/>
      <c r="AE16" s="94" t="s">
        <v>75</v>
      </c>
      <c r="AF16" s="187">
        <f>SUM(X7+Y7)</f>
        <v>0</v>
      </c>
      <c r="AG16" s="28"/>
      <c r="AH16" s="16" t="s">
        <v>78</v>
      </c>
      <c r="AI16" s="3">
        <f>SUM(L10:L40)</f>
        <v>0</v>
      </c>
      <c r="AJ16" s="111">
        <v>3.43</v>
      </c>
      <c r="AK16" s="193">
        <f>AI16*AJ16</f>
        <v>0</v>
      </c>
      <c r="AL16" s="28"/>
      <c r="AM16" s="28"/>
      <c r="AN16" s="28"/>
      <c r="AO16" s="28"/>
      <c r="AP16" s="28"/>
    </row>
    <row r="17" spans="1:42" ht="16" customHeight="1" thickBot="1">
      <c r="A17" s="28"/>
      <c r="B17" s="183">
        <v>8</v>
      </c>
      <c r="C17" s="57" t="str">
        <f t="shared" si="1"/>
        <v>Se</v>
      </c>
      <c r="D17" s="152">
        <f t="shared" si="11"/>
        <v>42377</v>
      </c>
      <c r="E17" s="115"/>
      <c r="F17" s="115"/>
      <c r="G17" s="116"/>
      <c r="H17" s="116"/>
      <c r="I17" s="207" t="str">
        <f t="shared" si="6"/>
        <v/>
      </c>
      <c r="J17" s="119"/>
      <c r="K17" s="120"/>
      <c r="L17" s="190" t="str">
        <f t="shared" si="7"/>
        <v/>
      </c>
      <c r="M17" s="222" t="str">
        <f t="shared" si="2"/>
        <v/>
      </c>
      <c r="N17" s="221">
        <f t="shared" si="3"/>
        <v>0</v>
      </c>
      <c r="O17" s="122"/>
      <c r="P17" s="216" t="str">
        <f t="shared" si="8"/>
        <v/>
      </c>
      <c r="Q17" s="226" t="str">
        <f t="shared" si="9"/>
        <v/>
      </c>
      <c r="R17" s="219" t="str">
        <f t="shared" si="10"/>
        <v/>
      </c>
      <c r="S17" s="217" t="str">
        <f t="shared" si="12"/>
        <v/>
      </c>
      <c r="T17" s="218" t="str">
        <f t="shared" ref="T17:U17" si="20">IF(OR(S17="",T$9=""),"",IF(IF($G16&gt;0,IF($G16&gt;=$H16,MAX(,MIN(T$9,$H16+24/24)-MAX(T$8,$G16)),MAX(,MIN(T$9,$H16)-MAX(T$8,$G16))),0)&lt;0,0,IF($G16&gt;0,IF($G16&gt;=$H16,MAX(,MIN(T$9,$H16+24/24)-MAX(T$8,$G16)),MAX(,MIN(T$9,$H16)-MAX(T$8,$G16))),0)))</f>
        <v/>
      </c>
      <c r="U17" s="219" t="str">
        <f t="shared" si="20"/>
        <v/>
      </c>
      <c r="V17" s="236">
        <f>SUMPRODUCT(($C$17="se")*($AB$17))</f>
        <v>0</v>
      </c>
      <c r="W17" s="237">
        <f>SUMPRODUCT(($C$17="se")*($AC$17))</f>
        <v>0</v>
      </c>
      <c r="X17" s="238">
        <f t="shared" si="4"/>
        <v>0</v>
      </c>
      <c r="Y17" s="239">
        <f t="shared" si="5"/>
        <v>0</v>
      </c>
      <c r="Z17" s="240">
        <f>SUMPRODUCT(($C$17="férié")*($AB$17))</f>
        <v>0</v>
      </c>
      <c r="AA17" s="241">
        <f>SUMPRODUCT(($C$17="férié")*($AC$17))</f>
        <v>0</v>
      </c>
      <c r="AB17" s="242">
        <f t="shared" si="14"/>
        <v>0</v>
      </c>
      <c r="AC17" s="243">
        <f t="shared" si="15"/>
        <v>0</v>
      </c>
      <c r="AD17" s="43"/>
      <c r="AE17" s="320"/>
      <c r="AF17" s="321"/>
      <c r="AG17" s="28"/>
      <c r="AH17" s="18" t="s">
        <v>77</v>
      </c>
      <c r="AI17" s="88">
        <f>SUM(M10:M40)*24</f>
        <v>0</v>
      </c>
      <c r="AJ17" s="110">
        <v>0.81</v>
      </c>
      <c r="AK17" s="191">
        <f>AI17*AJ17</f>
        <v>0</v>
      </c>
      <c r="AL17" s="28"/>
      <c r="AM17" s="28"/>
      <c r="AN17" s="28"/>
      <c r="AO17" s="28"/>
      <c r="AP17" s="28"/>
    </row>
    <row r="18" spans="1:42" ht="16" customHeight="1" thickBot="1">
      <c r="A18" s="28"/>
      <c r="B18" s="183">
        <v>9</v>
      </c>
      <c r="C18" s="57" t="str">
        <f t="shared" si="1"/>
        <v>Se</v>
      </c>
      <c r="D18" s="152">
        <f t="shared" si="11"/>
        <v>42378</v>
      </c>
      <c r="E18" s="115"/>
      <c r="F18" s="115"/>
      <c r="G18" s="116"/>
      <c r="H18" s="116"/>
      <c r="I18" s="207" t="str">
        <f t="shared" si="6"/>
        <v/>
      </c>
      <c r="J18" s="119"/>
      <c r="K18" s="120"/>
      <c r="L18" s="190" t="str">
        <f t="shared" si="7"/>
        <v/>
      </c>
      <c r="M18" s="222" t="str">
        <f t="shared" si="2"/>
        <v/>
      </c>
      <c r="N18" s="221">
        <f t="shared" si="3"/>
        <v>0</v>
      </c>
      <c r="O18" s="122"/>
      <c r="P18" s="216" t="str">
        <f t="shared" si="8"/>
        <v/>
      </c>
      <c r="Q18" s="226" t="str">
        <f t="shared" si="9"/>
        <v/>
      </c>
      <c r="R18" s="219" t="str">
        <f t="shared" si="10"/>
        <v/>
      </c>
      <c r="S18" s="217" t="str">
        <f t="shared" si="12"/>
        <v/>
      </c>
      <c r="T18" s="218" t="str">
        <f t="shared" ref="T18:U18" si="21">IF(OR(S18="",T$9=""),"",IF(IF($G17&gt;0,IF($G17&gt;=$H17,MAX(,MIN(T$9,$H17+24/24)-MAX(T$8,$G17)),MAX(,MIN(T$9,$H17)-MAX(T$8,$G17))),0)&lt;0,0,IF($G17&gt;0,IF($G17&gt;=$H17,MAX(,MIN(T$9,$H17+24/24)-MAX(T$8,$G17)),MAX(,MIN(T$9,$H17)-MAX(T$8,$G17))),0)))</f>
        <v/>
      </c>
      <c r="U18" s="219" t="str">
        <f t="shared" si="21"/>
        <v/>
      </c>
      <c r="V18" s="236">
        <f>SUMPRODUCT(($C$18="se")*($AB$18))</f>
        <v>0</v>
      </c>
      <c r="W18" s="237">
        <f>SUMPRODUCT(($C$18="se")*($AC$18))</f>
        <v>0</v>
      </c>
      <c r="X18" s="238">
        <f t="shared" si="4"/>
        <v>0</v>
      </c>
      <c r="Y18" s="239">
        <f t="shared" si="5"/>
        <v>0</v>
      </c>
      <c r="Z18" s="240">
        <f>SUMPRODUCT(($C$18="férié")*($AB$18))</f>
        <v>0</v>
      </c>
      <c r="AA18" s="241">
        <f>SUMPRODUCT(($C$18="férié")*($AC$18))</f>
        <v>0</v>
      </c>
      <c r="AB18" s="242">
        <f t="shared" si="14"/>
        <v>0</v>
      </c>
      <c r="AC18" s="243">
        <f t="shared" si="15"/>
        <v>0</v>
      </c>
      <c r="AD18" s="43"/>
      <c r="AE18" s="91" t="s">
        <v>73</v>
      </c>
      <c r="AF18" s="186">
        <f>SUMPRODUCT(($C$10:$C$40="dim")*($AB$10:$AB$40))</f>
        <v>0</v>
      </c>
      <c r="AG18" s="28"/>
      <c r="AH18" s="48"/>
      <c r="AI18" s="49"/>
      <c r="AJ18" s="19" t="s">
        <v>76</v>
      </c>
      <c r="AK18" s="192">
        <f>SUM(AK16:AK17)</f>
        <v>0</v>
      </c>
      <c r="AL18" s="28"/>
      <c r="AM18" s="28"/>
      <c r="AN18" s="28"/>
      <c r="AO18" s="28"/>
      <c r="AP18" s="28"/>
    </row>
    <row r="19" spans="1:42" ht="16" customHeight="1" thickBot="1">
      <c r="A19" s="28"/>
      <c r="B19" s="183">
        <v>10</v>
      </c>
      <c r="C19" s="57" t="str">
        <f t="shared" si="1"/>
        <v>Dim</v>
      </c>
      <c r="D19" s="152">
        <f t="shared" si="11"/>
        <v>42379</v>
      </c>
      <c r="E19" s="115"/>
      <c r="F19" s="115"/>
      <c r="G19" s="116"/>
      <c r="H19" s="116"/>
      <c r="I19" s="207" t="str">
        <f t="shared" si="6"/>
        <v/>
      </c>
      <c r="J19" s="119"/>
      <c r="K19" s="120"/>
      <c r="L19" s="190" t="str">
        <f t="shared" si="7"/>
        <v/>
      </c>
      <c r="M19" s="222" t="str">
        <f t="shared" si="2"/>
        <v/>
      </c>
      <c r="N19" s="221">
        <f t="shared" si="3"/>
        <v>0</v>
      </c>
      <c r="O19" s="122"/>
      <c r="P19" s="216" t="str">
        <f t="shared" si="8"/>
        <v/>
      </c>
      <c r="Q19" s="226" t="str">
        <f t="shared" si="9"/>
        <v/>
      </c>
      <c r="R19" s="219" t="str">
        <f t="shared" si="10"/>
        <v/>
      </c>
      <c r="S19" s="217" t="str">
        <f t="shared" si="12"/>
        <v/>
      </c>
      <c r="T19" s="218" t="str">
        <f t="shared" ref="T19:U19" si="22">IF(OR(S19="",T$9=""),"",IF(IF($G18&gt;0,IF($G18&gt;=$H18,MAX(,MIN(T$9,$H18+24/24)-MAX(T$8,$G18)),MAX(,MIN(T$9,$H18)-MAX(T$8,$G18))),0)&lt;0,0,IF($G18&gt;0,IF($G18&gt;=$H18,MAX(,MIN(T$9,$H18+24/24)-MAX(T$8,$G18)),MAX(,MIN(T$9,$H18)-MAX(T$8,$G18))),0)))</f>
        <v/>
      </c>
      <c r="U19" s="219" t="str">
        <f t="shared" si="22"/>
        <v/>
      </c>
      <c r="V19" s="236">
        <f>SUMPRODUCT(($C$19="se")*($AB$19))</f>
        <v>0</v>
      </c>
      <c r="W19" s="237">
        <f>SUMPRODUCT(($C$19="se")*($AC$19))</f>
        <v>0</v>
      </c>
      <c r="X19" s="238">
        <f t="shared" si="4"/>
        <v>0</v>
      </c>
      <c r="Y19" s="239">
        <f t="shared" si="5"/>
        <v>0</v>
      </c>
      <c r="Z19" s="240">
        <f>SUMPRODUCT(($C$19="férié")*($AB$19))</f>
        <v>0</v>
      </c>
      <c r="AA19" s="241">
        <f>SUMPRODUCT(($C$19="férié")*($AC$19))</f>
        <v>0</v>
      </c>
      <c r="AB19" s="242">
        <f t="shared" si="14"/>
        <v>0</v>
      </c>
      <c r="AC19" s="243">
        <f t="shared" si="15"/>
        <v>0</v>
      </c>
      <c r="AD19" s="43"/>
      <c r="AE19" s="332"/>
      <c r="AF19" s="333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6" customHeight="1">
      <c r="A20" s="28"/>
      <c r="B20" s="183">
        <v>11</v>
      </c>
      <c r="C20" s="57" t="str">
        <f t="shared" si="1"/>
        <v>Se</v>
      </c>
      <c r="D20" s="152">
        <f t="shared" si="11"/>
        <v>42380</v>
      </c>
      <c r="E20" s="115"/>
      <c r="F20" s="115"/>
      <c r="G20" s="116"/>
      <c r="H20" s="116"/>
      <c r="I20" s="207" t="str">
        <f t="shared" si="6"/>
        <v/>
      </c>
      <c r="J20" s="119"/>
      <c r="K20" s="120"/>
      <c r="L20" s="190" t="str">
        <f t="shared" si="7"/>
        <v/>
      </c>
      <c r="M20" s="222" t="str">
        <f t="shared" si="2"/>
        <v/>
      </c>
      <c r="N20" s="221">
        <f t="shared" si="3"/>
        <v>0</v>
      </c>
      <c r="O20" s="122"/>
      <c r="P20" s="216" t="str">
        <f t="shared" si="8"/>
        <v/>
      </c>
      <c r="Q20" s="226" t="str">
        <f t="shared" si="9"/>
        <v/>
      </c>
      <c r="R20" s="219" t="str">
        <f t="shared" si="10"/>
        <v/>
      </c>
      <c r="S20" s="217" t="str">
        <f t="shared" si="12"/>
        <v/>
      </c>
      <c r="T20" s="218" t="str">
        <f t="shared" ref="T20:U20" si="23">IF(OR(S20="",T$9=""),"",IF(IF($G19&gt;0,IF($G19&gt;=$H19,MAX(,MIN(T$9,$H19+24/24)-MAX(T$8,$G19)),MAX(,MIN(T$9,$H19)-MAX(T$8,$G19))),0)&lt;0,0,IF($G19&gt;0,IF($G19&gt;=$H19,MAX(,MIN(T$9,$H19+24/24)-MAX(T$8,$G19)),MAX(,MIN(T$9,$H19)-MAX(T$8,$G19))),0)))</f>
        <v/>
      </c>
      <c r="U20" s="219" t="str">
        <f t="shared" si="23"/>
        <v/>
      </c>
      <c r="V20" s="236">
        <f>SUMPRODUCT(($C$20="se")*($AB$20))</f>
        <v>0</v>
      </c>
      <c r="W20" s="237">
        <f>SUMPRODUCT(($C$20="se")*($AC$20))</f>
        <v>0</v>
      </c>
      <c r="X20" s="238">
        <f t="shared" si="4"/>
        <v>0</v>
      </c>
      <c r="Y20" s="239">
        <f t="shared" si="5"/>
        <v>0</v>
      </c>
      <c r="Z20" s="240">
        <f>SUMPRODUCT(($C$20="férié")*($AB$20))</f>
        <v>0</v>
      </c>
      <c r="AA20" s="241">
        <f>SUMPRODUCT(($C$20="férié")*($AC$20))</f>
        <v>0</v>
      </c>
      <c r="AB20" s="242">
        <f t="shared" si="14"/>
        <v>0</v>
      </c>
      <c r="AC20" s="243">
        <f t="shared" si="15"/>
        <v>0</v>
      </c>
      <c r="AD20" s="43"/>
      <c r="AE20" s="91" t="s">
        <v>74</v>
      </c>
      <c r="AF20" s="186">
        <f>SUMPRODUCT(($C$10:$C$40="dim")*($AC$10:$AC$40))</f>
        <v>0</v>
      </c>
      <c r="AG20" s="28"/>
      <c r="AH20" s="341" t="s">
        <v>82</v>
      </c>
      <c r="AI20" s="342"/>
      <c r="AJ20" s="342"/>
      <c r="AK20" s="343"/>
      <c r="AL20" s="28"/>
      <c r="AM20" s="28"/>
      <c r="AN20" s="28"/>
      <c r="AO20" s="28"/>
      <c r="AP20" s="28"/>
    </row>
    <row r="21" spans="1:42" ht="16" customHeight="1">
      <c r="A21" s="28"/>
      <c r="B21" s="183">
        <v>12</v>
      </c>
      <c r="C21" s="57" t="str">
        <f t="shared" si="1"/>
        <v>Se</v>
      </c>
      <c r="D21" s="152">
        <f t="shared" si="11"/>
        <v>42381</v>
      </c>
      <c r="E21" s="115"/>
      <c r="F21" s="115"/>
      <c r="G21" s="116"/>
      <c r="H21" s="116"/>
      <c r="I21" s="207" t="str">
        <f t="shared" si="6"/>
        <v/>
      </c>
      <c r="J21" s="119"/>
      <c r="K21" s="120"/>
      <c r="L21" s="190" t="str">
        <f t="shared" si="7"/>
        <v/>
      </c>
      <c r="M21" s="222" t="str">
        <f t="shared" si="2"/>
        <v/>
      </c>
      <c r="N21" s="221">
        <f t="shared" si="3"/>
        <v>0</v>
      </c>
      <c r="O21" s="122"/>
      <c r="P21" s="216" t="str">
        <f t="shared" si="8"/>
        <v/>
      </c>
      <c r="Q21" s="226" t="str">
        <f t="shared" si="9"/>
        <v/>
      </c>
      <c r="R21" s="219" t="str">
        <f t="shared" si="10"/>
        <v/>
      </c>
      <c r="S21" s="217" t="str">
        <f t="shared" si="12"/>
        <v/>
      </c>
      <c r="T21" s="218" t="str">
        <f t="shared" ref="T21:U21" si="24">IF(OR(S21="",T$9=""),"",IF(IF($G20&gt;0,IF($G20&gt;=$H20,MAX(,MIN(T$9,$H20+24/24)-MAX(T$8,$G20)),MAX(,MIN(T$9,$H20)-MAX(T$8,$G20))),0)&lt;0,0,IF($G20&gt;0,IF($G20&gt;=$H20,MAX(,MIN(T$9,$H20+24/24)-MAX(T$8,$G20)),MAX(,MIN(T$9,$H20)-MAX(T$8,$G20))),0)))</f>
        <v/>
      </c>
      <c r="U21" s="219" t="str">
        <f t="shared" si="24"/>
        <v/>
      </c>
      <c r="V21" s="236">
        <f>SUMPRODUCT(($C$21="se")*($AB$21))</f>
        <v>0</v>
      </c>
      <c r="W21" s="237">
        <f>SUMPRODUCT(($C$21="se")*($AC$21))</f>
        <v>0</v>
      </c>
      <c r="X21" s="238">
        <f t="shared" si="4"/>
        <v>0</v>
      </c>
      <c r="Y21" s="239">
        <f t="shared" si="5"/>
        <v>0</v>
      </c>
      <c r="Z21" s="240">
        <f>SUMPRODUCT(($C$21="férié")*($AB$21))</f>
        <v>0</v>
      </c>
      <c r="AA21" s="241">
        <f>SUMPRODUCT(($C$21="férié")*($AC$21))</f>
        <v>0</v>
      </c>
      <c r="AB21" s="242">
        <f t="shared" si="14"/>
        <v>0</v>
      </c>
      <c r="AC21" s="243">
        <f t="shared" si="15"/>
        <v>0</v>
      </c>
      <c r="AD21" s="43"/>
      <c r="AE21" s="332"/>
      <c r="AF21" s="333"/>
      <c r="AG21" s="28"/>
      <c r="AH21" s="334" t="str">
        <f>Réglages!Q20</f>
        <v>Carte SST</v>
      </c>
      <c r="AI21" s="335"/>
      <c r="AJ21" s="336">
        <f>Réglages!S20</f>
        <v>42461</v>
      </c>
      <c r="AK21" s="337"/>
      <c r="AL21" s="28"/>
      <c r="AM21" s="28"/>
      <c r="AN21" s="28"/>
      <c r="AO21" s="28"/>
      <c r="AP21" s="28"/>
    </row>
    <row r="22" spans="1:42" ht="16" customHeight="1">
      <c r="A22" s="28"/>
      <c r="B22" s="183">
        <v>13</v>
      </c>
      <c r="C22" s="57" t="str">
        <f t="shared" si="1"/>
        <v>Se</v>
      </c>
      <c r="D22" s="152">
        <f t="shared" si="11"/>
        <v>42382</v>
      </c>
      <c r="E22" s="115"/>
      <c r="F22" s="115"/>
      <c r="G22" s="116"/>
      <c r="H22" s="116"/>
      <c r="I22" s="207" t="str">
        <f t="shared" si="6"/>
        <v/>
      </c>
      <c r="J22" s="119"/>
      <c r="K22" s="120"/>
      <c r="L22" s="190" t="str">
        <f t="shared" si="7"/>
        <v/>
      </c>
      <c r="M22" s="222" t="str">
        <f t="shared" si="2"/>
        <v/>
      </c>
      <c r="N22" s="221">
        <f t="shared" si="3"/>
        <v>0</v>
      </c>
      <c r="O22" s="122"/>
      <c r="P22" s="216" t="str">
        <f t="shared" si="8"/>
        <v/>
      </c>
      <c r="Q22" s="226" t="str">
        <f t="shared" si="9"/>
        <v/>
      </c>
      <c r="R22" s="219" t="str">
        <f t="shared" si="10"/>
        <v/>
      </c>
      <c r="S22" s="217" t="str">
        <f t="shared" si="12"/>
        <v/>
      </c>
      <c r="T22" s="218" t="str">
        <f t="shared" ref="T22:U22" si="25">IF(OR(S22="",T$9=""),"",IF(IF($G21&gt;0,IF($G21&gt;=$H21,MAX(,MIN(T$9,$H21+24/24)-MAX(T$8,$G21)),MAX(,MIN(T$9,$H21)-MAX(T$8,$G21))),0)&lt;0,0,IF($G21&gt;0,IF($G21&gt;=$H21,MAX(,MIN(T$9,$H21+24/24)-MAX(T$8,$G21)),MAX(,MIN(T$9,$H21)-MAX(T$8,$G21))),0)))</f>
        <v/>
      </c>
      <c r="U22" s="219" t="str">
        <f t="shared" si="25"/>
        <v/>
      </c>
      <c r="V22" s="236">
        <f>SUMPRODUCT(($C$22="se")*($AB$22))</f>
        <v>0</v>
      </c>
      <c r="W22" s="237">
        <f>SUMPRODUCT(($C$22="se")*($AC$22))</f>
        <v>0</v>
      </c>
      <c r="X22" s="238">
        <f t="shared" si="4"/>
        <v>0</v>
      </c>
      <c r="Y22" s="239">
        <f t="shared" si="5"/>
        <v>0</v>
      </c>
      <c r="Z22" s="240">
        <f>SUMPRODUCT(($C$22="férié")*($AB$22))</f>
        <v>0</v>
      </c>
      <c r="AA22" s="241">
        <f>SUMPRODUCT(($C$22="férié")*($AC$22))</f>
        <v>0</v>
      </c>
      <c r="AB22" s="242">
        <f t="shared" si="14"/>
        <v>0</v>
      </c>
      <c r="AC22" s="243">
        <f t="shared" si="15"/>
        <v>0</v>
      </c>
      <c r="AD22" s="43"/>
      <c r="AE22" s="91" t="s">
        <v>80</v>
      </c>
      <c r="AF22" s="97">
        <f>SUMPRODUCT(($C$10:$C$40="férié")*($N$10:$N$40&gt;0))</f>
        <v>0</v>
      </c>
      <c r="AG22" s="28"/>
      <c r="AH22" s="356" t="str">
        <f>Réglages!Q21</f>
        <v>HOBS-BE (Manœuvre)</v>
      </c>
      <c r="AI22" s="357"/>
      <c r="AJ22" s="354">
        <f>Réglages!S21</f>
        <v>42522</v>
      </c>
      <c r="AK22" s="355"/>
      <c r="AL22" s="28"/>
      <c r="AM22" s="28"/>
      <c r="AN22" s="28"/>
      <c r="AO22" s="28"/>
      <c r="AP22" s="28"/>
    </row>
    <row r="23" spans="1:42" ht="16" customHeight="1">
      <c r="A23" s="28"/>
      <c r="B23" s="183">
        <v>14</v>
      </c>
      <c r="C23" s="57" t="str">
        <f t="shared" si="1"/>
        <v>Se</v>
      </c>
      <c r="D23" s="152">
        <f t="shared" si="11"/>
        <v>42383</v>
      </c>
      <c r="E23" s="115"/>
      <c r="F23" s="115"/>
      <c r="G23" s="116"/>
      <c r="H23" s="116"/>
      <c r="I23" s="207" t="str">
        <f t="shared" si="6"/>
        <v/>
      </c>
      <c r="J23" s="119"/>
      <c r="K23" s="120"/>
      <c r="L23" s="190" t="str">
        <f t="shared" si="7"/>
        <v/>
      </c>
      <c r="M23" s="222" t="str">
        <f t="shared" si="2"/>
        <v/>
      </c>
      <c r="N23" s="221">
        <f t="shared" si="3"/>
        <v>0</v>
      </c>
      <c r="O23" s="122"/>
      <c r="P23" s="216" t="str">
        <f t="shared" si="8"/>
        <v/>
      </c>
      <c r="Q23" s="226" t="str">
        <f t="shared" si="9"/>
        <v/>
      </c>
      <c r="R23" s="219" t="str">
        <f t="shared" si="10"/>
        <v/>
      </c>
      <c r="S23" s="217" t="str">
        <f t="shared" si="12"/>
        <v/>
      </c>
      <c r="T23" s="218" t="str">
        <f t="shared" ref="T23:U23" si="26">IF(OR(S23="",T$9=""),"",IF(IF($G22&gt;0,IF($G22&gt;=$H22,MAX(,MIN(T$9,$H22+24/24)-MAX(T$8,$G22)),MAX(,MIN(T$9,$H22)-MAX(T$8,$G22))),0)&lt;0,0,IF($G22&gt;0,IF($G22&gt;=$H22,MAX(,MIN(T$9,$H22+24/24)-MAX(T$8,$G22)),MAX(,MIN(T$9,$H22)-MAX(T$8,$G22))),0)))</f>
        <v/>
      </c>
      <c r="U23" s="219" t="str">
        <f t="shared" si="26"/>
        <v/>
      </c>
      <c r="V23" s="236">
        <f>SUMPRODUCT(($C$23="se")*($AB$23))</f>
        <v>0</v>
      </c>
      <c r="W23" s="237">
        <f>SUMPRODUCT(($C$23="se")*($AC$23))</f>
        <v>0</v>
      </c>
      <c r="X23" s="238">
        <f t="shared" si="4"/>
        <v>0</v>
      </c>
      <c r="Y23" s="239">
        <f t="shared" si="5"/>
        <v>0</v>
      </c>
      <c r="Z23" s="240">
        <f>SUMPRODUCT(($C$23="férié")*($AB$23))</f>
        <v>0</v>
      </c>
      <c r="AA23" s="241">
        <f>SUMPRODUCT(($C$23="férié")*($AC$23))</f>
        <v>0</v>
      </c>
      <c r="AB23" s="242">
        <f t="shared" si="14"/>
        <v>0</v>
      </c>
      <c r="AC23" s="243">
        <f t="shared" si="15"/>
        <v>0</v>
      </c>
      <c r="AD23" s="43"/>
      <c r="AE23" s="360"/>
      <c r="AF23" s="361"/>
      <c r="AG23" s="28"/>
      <c r="AH23" s="356" t="str">
        <f>Réglages!Q22</f>
        <v>SSIAP 1</v>
      </c>
      <c r="AI23" s="357"/>
      <c r="AJ23" s="354">
        <f>Réglages!S22</f>
        <v>42552</v>
      </c>
      <c r="AK23" s="355"/>
      <c r="AL23" s="28"/>
      <c r="AM23" s="28"/>
      <c r="AN23" s="28"/>
      <c r="AO23" s="28"/>
      <c r="AP23" s="28"/>
    </row>
    <row r="24" spans="1:42" ht="16" customHeight="1" thickBot="1">
      <c r="A24" s="28"/>
      <c r="B24" s="183">
        <v>15</v>
      </c>
      <c r="C24" s="57" t="str">
        <f t="shared" si="1"/>
        <v>Se</v>
      </c>
      <c r="D24" s="152">
        <f t="shared" si="11"/>
        <v>42384</v>
      </c>
      <c r="E24" s="115"/>
      <c r="F24" s="115"/>
      <c r="G24" s="116"/>
      <c r="H24" s="116"/>
      <c r="I24" s="207" t="str">
        <f t="shared" si="6"/>
        <v/>
      </c>
      <c r="J24" s="119"/>
      <c r="K24" s="120"/>
      <c r="L24" s="190" t="str">
        <f t="shared" si="7"/>
        <v/>
      </c>
      <c r="M24" s="222" t="str">
        <f t="shared" si="2"/>
        <v/>
      </c>
      <c r="N24" s="221">
        <f t="shared" si="3"/>
        <v>0</v>
      </c>
      <c r="O24" s="122"/>
      <c r="P24" s="216" t="str">
        <f t="shared" si="8"/>
        <v/>
      </c>
      <c r="Q24" s="226" t="str">
        <f t="shared" si="9"/>
        <v/>
      </c>
      <c r="R24" s="219" t="str">
        <f t="shared" si="10"/>
        <v/>
      </c>
      <c r="S24" s="217" t="str">
        <f t="shared" si="12"/>
        <v/>
      </c>
      <c r="T24" s="218" t="str">
        <f t="shared" ref="T24:U24" si="27">IF(OR(S24="",T$9=""),"",IF(IF($G23&gt;0,IF($G23&gt;=$H23,MAX(,MIN(T$9,$H23+24/24)-MAX(T$8,$G23)),MAX(,MIN(T$9,$H23)-MAX(T$8,$G23))),0)&lt;0,0,IF($G23&gt;0,IF($G23&gt;=$H23,MAX(,MIN(T$9,$H23+24/24)-MAX(T$8,$G23)),MAX(,MIN(T$9,$H23)-MAX(T$8,$G23))),0)))</f>
        <v/>
      </c>
      <c r="U24" s="219" t="str">
        <f t="shared" si="27"/>
        <v/>
      </c>
      <c r="V24" s="236">
        <f>SUMPRODUCT(($C$24="se")*($AB$24))</f>
        <v>0</v>
      </c>
      <c r="W24" s="237">
        <f>SUMPRODUCT(($C$24="se")*($AC$24))</f>
        <v>0</v>
      </c>
      <c r="X24" s="238">
        <f t="shared" si="4"/>
        <v>0</v>
      </c>
      <c r="Y24" s="239">
        <f t="shared" si="5"/>
        <v>0</v>
      </c>
      <c r="Z24" s="240">
        <f>SUMPRODUCT(($C$24="férié")*($AB$24))</f>
        <v>0</v>
      </c>
      <c r="AA24" s="241">
        <f>SUMPRODUCT(($C$24="férié")*($AC$24))</f>
        <v>0</v>
      </c>
      <c r="AB24" s="242">
        <f t="shared" si="14"/>
        <v>0</v>
      </c>
      <c r="AC24" s="243">
        <f t="shared" si="15"/>
        <v>0</v>
      </c>
      <c r="AD24" s="43"/>
      <c r="AE24" s="91" t="s">
        <v>68</v>
      </c>
      <c r="AF24" s="186">
        <f>SUM(Z7+AA7)</f>
        <v>0</v>
      </c>
      <c r="AG24" s="28"/>
      <c r="AH24" s="358" t="str">
        <f>Réglages!Q23</f>
        <v>Carte PRO CNAPS</v>
      </c>
      <c r="AI24" s="359"/>
      <c r="AJ24" s="350">
        <f>Réglages!S23</f>
        <v>42583</v>
      </c>
      <c r="AK24" s="351"/>
      <c r="AL24" s="28"/>
      <c r="AM24" s="28"/>
      <c r="AN24" s="28"/>
      <c r="AO24" s="28"/>
      <c r="AP24" s="28"/>
    </row>
    <row r="25" spans="1:42" ht="16" customHeight="1" thickBot="1">
      <c r="A25" s="28"/>
      <c r="B25" s="183">
        <v>16</v>
      </c>
      <c r="C25" s="57" t="str">
        <f t="shared" si="1"/>
        <v>Se</v>
      </c>
      <c r="D25" s="152">
        <f t="shared" si="11"/>
        <v>42385</v>
      </c>
      <c r="E25" s="115"/>
      <c r="F25" s="115"/>
      <c r="G25" s="116"/>
      <c r="H25" s="116"/>
      <c r="I25" s="207" t="str">
        <f t="shared" si="6"/>
        <v/>
      </c>
      <c r="J25" s="119"/>
      <c r="K25" s="120"/>
      <c r="L25" s="190" t="str">
        <f t="shared" si="7"/>
        <v/>
      </c>
      <c r="M25" s="222" t="str">
        <f t="shared" si="2"/>
        <v/>
      </c>
      <c r="N25" s="221">
        <f t="shared" si="3"/>
        <v>0</v>
      </c>
      <c r="O25" s="122"/>
      <c r="P25" s="216" t="str">
        <f t="shared" si="8"/>
        <v/>
      </c>
      <c r="Q25" s="226" t="str">
        <f t="shared" si="9"/>
        <v/>
      </c>
      <c r="R25" s="219" t="str">
        <f t="shared" si="10"/>
        <v/>
      </c>
      <c r="S25" s="217" t="str">
        <f t="shared" si="12"/>
        <v/>
      </c>
      <c r="T25" s="218" t="str">
        <f t="shared" ref="T25:U25" si="28">IF(OR(S25="",T$9=""),"",IF(IF($G24&gt;0,IF($G24&gt;=$H24,MAX(,MIN(T$9,$H24+24/24)-MAX(T$8,$G24)),MAX(,MIN(T$9,$H24)-MAX(T$8,$G24))),0)&lt;0,0,IF($G24&gt;0,IF($G24&gt;=$H24,MAX(,MIN(T$9,$H24+24/24)-MAX(T$8,$G24)),MAX(,MIN(T$9,$H24)-MAX(T$8,$G24))),0)))</f>
        <v/>
      </c>
      <c r="U25" s="219" t="str">
        <f t="shared" si="28"/>
        <v/>
      </c>
      <c r="V25" s="236">
        <f>SUMPRODUCT(($C$25="se")*($AB$25))</f>
        <v>0</v>
      </c>
      <c r="W25" s="237">
        <f>SUMPRODUCT(($C$25="se")*($AC$25))</f>
        <v>0</v>
      </c>
      <c r="X25" s="238">
        <f t="shared" si="4"/>
        <v>0</v>
      </c>
      <c r="Y25" s="239">
        <f t="shared" si="5"/>
        <v>0</v>
      </c>
      <c r="Z25" s="240">
        <f>SUMPRODUCT(($C$25="férié")*($AB$25))</f>
        <v>0</v>
      </c>
      <c r="AA25" s="241">
        <f>SUMPRODUCT(($C$25="férié")*($AC$25))</f>
        <v>0</v>
      </c>
      <c r="AB25" s="242">
        <f t="shared" si="14"/>
        <v>0</v>
      </c>
      <c r="AC25" s="243">
        <f t="shared" si="15"/>
        <v>0</v>
      </c>
      <c r="AD25" s="43"/>
      <c r="AE25" s="332"/>
      <c r="AF25" s="333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6" customHeight="1">
      <c r="A26" s="28"/>
      <c r="B26" s="183">
        <v>17</v>
      </c>
      <c r="C26" s="57" t="str">
        <f t="shared" si="1"/>
        <v>Dim</v>
      </c>
      <c r="D26" s="152">
        <f t="shared" si="11"/>
        <v>42386</v>
      </c>
      <c r="E26" s="115"/>
      <c r="F26" s="115"/>
      <c r="G26" s="116"/>
      <c r="H26" s="116"/>
      <c r="I26" s="207" t="str">
        <f t="shared" si="6"/>
        <v/>
      </c>
      <c r="J26" s="119"/>
      <c r="K26" s="120"/>
      <c r="L26" s="190" t="str">
        <f t="shared" si="7"/>
        <v/>
      </c>
      <c r="M26" s="222" t="str">
        <f t="shared" si="2"/>
        <v/>
      </c>
      <c r="N26" s="221">
        <f t="shared" si="3"/>
        <v>0</v>
      </c>
      <c r="O26" s="122"/>
      <c r="P26" s="216" t="str">
        <f t="shared" si="8"/>
        <v/>
      </c>
      <c r="Q26" s="226" t="str">
        <f t="shared" si="9"/>
        <v/>
      </c>
      <c r="R26" s="219" t="str">
        <f t="shared" si="10"/>
        <v/>
      </c>
      <c r="S26" s="217" t="str">
        <f t="shared" si="12"/>
        <v/>
      </c>
      <c r="T26" s="218" t="str">
        <f t="shared" ref="T26:U26" si="29">IF(OR(S26="",T$9=""),"",IF(IF($G25&gt;0,IF($G25&gt;=$H25,MAX(,MIN(T$9,$H25+24/24)-MAX(T$8,$G25)),MAX(,MIN(T$9,$H25)-MAX(T$8,$G25))),0)&lt;0,0,IF($G25&gt;0,IF($G25&gt;=$H25,MAX(,MIN(T$9,$H25+24/24)-MAX(T$8,$G25)),MAX(,MIN(T$9,$H25)-MAX(T$8,$G25))),0)))</f>
        <v/>
      </c>
      <c r="U26" s="219" t="str">
        <f t="shared" si="29"/>
        <v/>
      </c>
      <c r="V26" s="236">
        <f>SUMPRODUCT(($C$26="se")*($AB$26))</f>
        <v>0</v>
      </c>
      <c r="W26" s="237">
        <f>SUMPRODUCT(($C$26="se")*($AC$26))</f>
        <v>0</v>
      </c>
      <c r="X26" s="238">
        <f t="shared" si="4"/>
        <v>0</v>
      </c>
      <c r="Y26" s="239">
        <f t="shared" si="5"/>
        <v>0</v>
      </c>
      <c r="Z26" s="240">
        <f>SUMPRODUCT(($C$26="férié")*($AB$26))</f>
        <v>0</v>
      </c>
      <c r="AA26" s="241">
        <f>SUMPRODUCT(($C$26="férié")*($AC$26))</f>
        <v>0</v>
      </c>
      <c r="AB26" s="242">
        <f t="shared" si="14"/>
        <v>0</v>
      </c>
      <c r="AC26" s="243">
        <f t="shared" si="15"/>
        <v>0</v>
      </c>
      <c r="AD26" s="43"/>
      <c r="AE26" s="91" t="s">
        <v>69</v>
      </c>
      <c r="AF26" s="186">
        <f>SUM(Z7)</f>
        <v>0</v>
      </c>
      <c r="AG26" s="28"/>
      <c r="AH26" s="371" t="s">
        <v>139</v>
      </c>
      <c r="AI26" s="372"/>
      <c r="AJ26" s="372"/>
      <c r="AK26" s="373"/>
      <c r="AL26" s="28"/>
      <c r="AM26" s="28"/>
      <c r="AN26" s="28"/>
      <c r="AO26" s="28"/>
      <c r="AP26" s="28"/>
    </row>
    <row r="27" spans="1:42" ht="16" customHeight="1">
      <c r="A27" s="28"/>
      <c r="B27" s="183">
        <v>18</v>
      </c>
      <c r="C27" s="57" t="str">
        <f t="shared" si="1"/>
        <v>Se</v>
      </c>
      <c r="D27" s="152">
        <f t="shared" si="11"/>
        <v>42387</v>
      </c>
      <c r="E27" s="115"/>
      <c r="F27" s="115"/>
      <c r="G27" s="116"/>
      <c r="H27" s="116"/>
      <c r="I27" s="207" t="str">
        <f t="shared" si="6"/>
        <v/>
      </c>
      <c r="J27" s="119"/>
      <c r="K27" s="120"/>
      <c r="L27" s="190" t="str">
        <f t="shared" si="7"/>
        <v/>
      </c>
      <c r="M27" s="222" t="str">
        <f t="shared" si="2"/>
        <v/>
      </c>
      <c r="N27" s="221">
        <f t="shared" si="3"/>
        <v>0</v>
      </c>
      <c r="O27" s="122"/>
      <c r="P27" s="216" t="str">
        <f t="shared" si="8"/>
        <v/>
      </c>
      <c r="Q27" s="226" t="str">
        <f t="shared" si="9"/>
        <v/>
      </c>
      <c r="R27" s="219" t="str">
        <f t="shared" si="10"/>
        <v/>
      </c>
      <c r="S27" s="217" t="str">
        <f t="shared" si="12"/>
        <v/>
      </c>
      <c r="T27" s="218" t="str">
        <f t="shared" ref="T27:U27" si="30">IF(OR(S27="",T$9=""),"",IF(IF($G26&gt;0,IF($G26&gt;=$H26,MAX(,MIN(T$9,$H26+24/24)-MAX(T$8,$G26)),MAX(,MIN(T$9,$H26)-MAX(T$8,$G26))),0)&lt;0,0,IF($G26&gt;0,IF($G26&gt;=$H26,MAX(,MIN(T$9,$H26+24/24)-MAX(T$8,$G26)),MAX(,MIN(T$9,$H26)-MAX(T$8,$G26))),0)))</f>
        <v/>
      </c>
      <c r="U27" s="219" t="str">
        <f t="shared" si="30"/>
        <v/>
      </c>
      <c r="V27" s="236">
        <f>SUMPRODUCT(($C$27="se")*($AB$27))</f>
        <v>0</v>
      </c>
      <c r="W27" s="237">
        <f>SUMPRODUCT(($C$27="se")*($AC$27))</f>
        <v>0</v>
      </c>
      <c r="X27" s="238">
        <f t="shared" si="4"/>
        <v>0</v>
      </c>
      <c r="Y27" s="239">
        <f t="shared" si="5"/>
        <v>0</v>
      </c>
      <c r="Z27" s="240">
        <f>SUMPRODUCT(($C$27="férié")*($AB$27))</f>
        <v>0</v>
      </c>
      <c r="AA27" s="241">
        <f>SUMPRODUCT(($C$27="férié")*($AC$27))</f>
        <v>0</v>
      </c>
      <c r="AB27" s="242">
        <f t="shared" si="14"/>
        <v>0</v>
      </c>
      <c r="AC27" s="243">
        <f t="shared" si="15"/>
        <v>0</v>
      </c>
      <c r="AD27" s="43"/>
      <c r="AE27" s="332"/>
      <c r="AF27" s="333"/>
      <c r="AG27" s="28"/>
      <c r="AH27" s="362" t="s">
        <v>142</v>
      </c>
      <c r="AI27" s="363"/>
      <c r="AJ27" s="363"/>
      <c r="AK27" s="364"/>
      <c r="AL27" s="28"/>
      <c r="AM27" s="28"/>
      <c r="AN27" s="28"/>
      <c r="AO27" s="28"/>
      <c r="AP27" s="28"/>
    </row>
    <row r="28" spans="1:42" ht="16" customHeight="1">
      <c r="A28" s="28"/>
      <c r="B28" s="183">
        <v>19</v>
      </c>
      <c r="C28" s="57" t="str">
        <f t="shared" si="1"/>
        <v>Se</v>
      </c>
      <c r="D28" s="152">
        <f t="shared" si="11"/>
        <v>42388</v>
      </c>
      <c r="E28" s="115"/>
      <c r="F28" s="115"/>
      <c r="G28" s="116"/>
      <c r="H28" s="116"/>
      <c r="I28" s="207" t="str">
        <f t="shared" si="6"/>
        <v/>
      </c>
      <c r="J28" s="119"/>
      <c r="K28" s="120"/>
      <c r="L28" s="190" t="str">
        <f t="shared" si="7"/>
        <v/>
      </c>
      <c r="M28" s="222" t="str">
        <f t="shared" si="2"/>
        <v/>
      </c>
      <c r="N28" s="221">
        <f t="shared" si="3"/>
        <v>0</v>
      </c>
      <c r="O28" s="122"/>
      <c r="P28" s="216" t="str">
        <f t="shared" si="8"/>
        <v/>
      </c>
      <c r="Q28" s="226" t="str">
        <f t="shared" si="9"/>
        <v/>
      </c>
      <c r="R28" s="219" t="str">
        <f t="shared" si="10"/>
        <v/>
      </c>
      <c r="S28" s="217" t="str">
        <f t="shared" si="12"/>
        <v/>
      </c>
      <c r="T28" s="218" t="str">
        <f t="shared" ref="T28:U28" si="31">IF(OR(S28="",T$9=""),"",IF(IF($G27&gt;0,IF($G27&gt;=$H27,MAX(,MIN(T$9,$H27+24/24)-MAX(T$8,$G27)),MAX(,MIN(T$9,$H27)-MAX(T$8,$G27))),0)&lt;0,0,IF($G27&gt;0,IF($G27&gt;=$H27,MAX(,MIN(T$9,$H27+24/24)-MAX(T$8,$G27)),MAX(,MIN(T$9,$H27)-MAX(T$8,$G27))),0)))</f>
        <v/>
      </c>
      <c r="U28" s="219" t="str">
        <f t="shared" si="31"/>
        <v/>
      </c>
      <c r="V28" s="236">
        <f>SUMPRODUCT(($C$28="se")*($AB$28))</f>
        <v>0</v>
      </c>
      <c r="W28" s="237">
        <f>SUMPRODUCT(($C$28="se")*($AC$28))</f>
        <v>0</v>
      </c>
      <c r="X28" s="238">
        <f t="shared" si="4"/>
        <v>0</v>
      </c>
      <c r="Y28" s="239">
        <f t="shared" si="5"/>
        <v>0</v>
      </c>
      <c r="Z28" s="240">
        <f>SUMPRODUCT(($C$28="férié")*($AB$28))</f>
        <v>0</v>
      </c>
      <c r="AA28" s="241">
        <f>SUMPRODUCT(($C$28="férié")*($AC$28))</f>
        <v>0</v>
      </c>
      <c r="AB28" s="242">
        <f t="shared" si="14"/>
        <v>0</v>
      </c>
      <c r="AC28" s="243">
        <f t="shared" si="15"/>
        <v>0</v>
      </c>
      <c r="AD28" s="43"/>
      <c r="AE28" s="91" t="s">
        <v>70</v>
      </c>
      <c r="AF28" s="186">
        <f>SUM(AA7)</f>
        <v>0</v>
      </c>
      <c r="AG28" s="28"/>
      <c r="AH28" s="365" t="s">
        <v>141</v>
      </c>
      <c r="AI28" s="366"/>
      <c r="AJ28" s="366"/>
      <c r="AK28" s="367"/>
      <c r="AL28" s="28"/>
      <c r="AM28" s="28"/>
      <c r="AN28" s="28"/>
      <c r="AO28" s="28"/>
      <c r="AP28" s="28"/>
    </row>
    <row r="29" spans="1:42" ht="16" customHeight="1">
      <c r="A29" s="28"/>
      <c r="B29" s="183">
        <v>20</v>
      </c>
      <c r="C29" s="57" t="str">
        <f t="shared" si="1"/>
        <v>Se</v>
      </c>
      <c r="D29" s="152">
        <f t="shared" si="11"/>
        <v>42389</v>
      </c>
      <c r="E29" s="115"/>
      <c r="F29" s="115"/>
      <c r="G29" s="116"/>
      <c r="H29" s="116"/>
      <c r="I29" s="207" t="str">
        <f t="shared" si="6"/>
        <v/>
      </c>
      <c r="J29" s="119"/>
      <c r="K29" s="120"/>
      <c r="L29" s="190" t="str">
        <f t="shared" si="7"/>
        <v/>
      </c>
      <c r="M29" s="222" t="str">
        <f t="shared" si="2"/>
        <v/>
      </c>
      <c r="N29" s="221">
        <f t="shared" si="3"/>
        <v>0</v>
      </c>
      <c r="O29" s="122"/>
      <c r="P29" s="216" t="str">
        <f t="shared" si="8"/>
        <v/>
      </c>
      <c r="Q29" s="226" t="str">
        <f t="shared" si="9"/>
        <v/>
      </c>
      <c r="R29" s="219" t="str">
        <f t="shared" si="10"/>
        <v/>
      </c>
      <c r="S29" s="217" t="str">
        <f t="shared" si="12"/>
        <v/>
      </c>
      <c r="T29" s="218" t="str">
        <f t="shared" ref="T29:U29" si="32">IF(OR(S29="",T$9=""),"",IF(IF($G28&gt;0,IF($G28&gt;=$H28,MAX(,MIN(T$9,$H28+24/24)-MAX(T$8,$G28)),MAX(,MIN(T$9,$H28)-MAX(T$8,$G28))),0)&lt;0,0,IF($G28&gt;0,IF($G28&gt;=$H28,MAX(,MIN(T$9,$H28+24/24)-MAX(T$8,$G28)),MAX(,MIN(T$9,$H28)-MAX(T$8,$G28))),0)))</f>
        <v/>
      </c>
      <c r="U29" s="219" t="str">
        <f t="shared" si="32"/>
        <v/>
      </c>
      <c r="V29" s="236">
        <f>SUMPRODUCT(($C$29="se")*($AB$29))</f>
        <v>0</v>
      </c>
      <c r="W29" s="237">
        <f>SUMPRODUCT(($C$29="se")*($AC$29))</f>
        <v>0</v>
      </c>
      <c r="X29" s="238">
        <f t="shared" si="4"/>
        <v>0</v>
      </c>
      <c r="Y29" s="239">
        <f t="shared" si="5"/>
        <v>0</v>
      </c>
      <c r="Z29" s="240">
        <f>SUMPRODUCT(($C$29="férié")*($AB$29))</f>
        <v>0</v>
      </c>
      <c r="AA29" s="241">
        <f>SUMPRODUCT(($C$29="férié")*($AC$29))</f>
        <v>0</v>
      </c>
      <c r="AB29" s="242">
        <f t="shared" si="14"/>
        <v>0</v>
      </c>
      <c r="AC29" s="243">
        <f t="shared" si="15"/>
        <v>0</v>
      </c>
      <c r="AD29" s="43"/>
      <c r="AE29" s="332"/>
      <c r="AF29" s="333"/>
      <c r="AG29" s="28"/>
      <c r="AH29" s="368" t="s">
        <v>143</v>
      </c>
      <c r="AI29" s="369"/>
      <c r="AJ29" s="369"/>
      <c r="AK29" s="370"/>
      <c r="AL29" s="28"/>
      <c r="AM29" s="28"/>
      <c r="AN29" s="28"/>
      <c r="AO29" s="28"/>
      <c r="AP29" s="28"/>
    </row>
    <row r="30" spans="1:42" ht="16" customHeight="1" thickBot="1">
      <c r="A30" s="28"/>
      <c r="B30" s="183">
        <v>21</v>
      </c>
      <c r="C30" s="57" t="str">
        <f t="shared" si="1"/>
        <v>Se</v>
      </c>
      <c r="D30" s="152">
        <f t="shared" si="11"/>
        <v>42390</v>
      </c>
      <c r="E30" s="115"/>
      <c r="F30" s="115"/>
      <c r="G30" s="116"/>
      <c r="H30" s="116"/>
      <c r="I30" s="207" t="str">
        <f t="shared" si="6"/>
        <v/>
      </c>
      <c r="J30" s="119"/>
      <c r="K30" s="120"/>
      <c r="L30" s="190" t="str">
        <f t="shared" si="7"/>
        <v/>
      </c>
      <c r="M30" s="222" t="str">
        <f t="shared" si="2"/>
        <v/>
      </c>
      <c r="N30" s="221">
        <f t="shared" si="3"/>
        <v>0</v>
      </c>
      <c r="O30" s="122"/>
      <c r="P30" s="216" t="str">
        <f t="shared" si="8"/>
        <v/>
      </c>
      <c r="Q30" s="226" t="str">
        <f t="shared" si="9"/>
        <v/>
      </c>
      <c r="R30" s="219" t="str">
        <f t="shared" si="10"/>
        <v/>
      </c>
      <c r="S30" s="217" t="str">
        <f t="shared" si="12"/>
        <v/>
      </c>
      <c r="T30" s="218" t="str">
        <f t="shared" ref="T30:U30" si="33">IF(OR(S30="",T$9=""),"",IF(IF($G29&gt;0,IF($G29&gt;=$H29,MAX(,MIN(T$9,$H29+24/24)-MAX(T$8,$G29)),MAX(,MIN(T$9,$H29)-MAX(T$8,$G29))),0)&lt;0,0,IF($G29&gt;0,IF($G29&gt;=$H29,MAX(,MIN(T$9,$H29+24/24)-MAX(T$8,$G29)),MAX(,MIN(T$9,$H29)-MAX(T$8,$G29))),0)))</f>
        <v/>
      </c>
      <c r="U30" s="219" t="str">
        <f t="shared" si="33"/>
        <v/>
      </c>
      <c r="V30" s="236">
        <f>SUMPRODUCT(($C$30="se")*($AB$30))</f>
        <v>0</v>
      </c>
      <c r="W30" s="237">
        <f>SUMPRODUCT(($C$30="se")*($AC$30))</f>
        <v>0</v>
      </c>
      <c r="X30" s="238">
        <f t="shared" si="4"/>
        <v>0</v>
      </c>
      <c r="Y30" s="239">
        <f t="shared" si="5"/>
        <v>0</v>
      </c>
      <c r="Z30" s="240">
        <f>SUMPRODUCT(($C$30="férié")*($AB$30))</f>
        <v>0</v>
      </c>
      <c r="AA30" s="241">
        <f>SUMPRODUCT(($C$30="férié")*($AC$30))</f>
        <v>0</v>
      </c>
      <c r="AB30" s="242">
        <f t="shared" si="14"/>
        <v>0</v>
      </c>
      <c r="AC30" s="243">
        <f t="shared" si="15"/>
        <v>0</v>
      </c>
      <c r="AD30" s="46"/>
      <c r="AE30" s="94" t="s">
        <v>62</v>
      </c>
      <c r="AF30" s="187">
        <f>SUM(J10:J40,K10:K40)</f>
        <v>0</v>
      </c>
      <c r="AG30" s="28"/>
      <c r="AH30" s="374" t="s">
        <v>140</v>
      </c>
      <c r="AI30" s="375"/>
      <c r="AJ30" s="375"/>
      <c r="AK30" s="376"/>
      <c r="AL30" s="28"/>
      <c r="AM30" s="28"/>
      <c r="AN30" s="28"/>
      <c r="AO30" s="28"/>
      <c r="AP30" s="28"/>
    </row>
    <row r="31" spans="1:42" ht="16" customHeight="1">
      <c r="A31" s="28"/>
      <c r="B31" s="183">
        <v>22</v>
      </c>
      <c r="C31" s="57" t="str">
        <f t="shared" si="1"/>
        <v>Se</v>
      </c>
      <c r="D31" s="152">
        <f t="shared" si="11"/>
        <v>42391</v>
      </c>
      <c r="E31" s="115"/>
      <c r="F31" s="115"/>
      <c r="G31" s="116"/>
      <c r="H31" s="116"/>
      <c r="I31" s="207" t="str">
        <f t="shared" si="6"/>
        <v/>
      </c>
      <c r="J31" s="119"/>
      <c r="K31" s="120"/>
      <c r="L31" s="190" t="str">
        <f t="shared" si="7"/>
        <v/>
      </c>
      <c r="M31" s="222" t="str">
        <f t="shared" si="2"/>
        <v/>
      </c>
      <c r="N31" s="221">
        <f t="shared" si="3"/>
        <v>0</v>
      </c>
      <c r="O31" s="122"/>
      <c r="P31" s="216" t="str">
        <f t="shared" si="8"/>
        <v/>
      </c>
      <c r="Q31" s="226" t="str">
        <f t="shared" si="9"/>
        <v/>
      </c>
      <c r="R31" s="219" t="str">
        <f t="shared" si="10"/>
        <v/>
      </c>
      <c r="S31" s="217" t="str">
        <f t="shared" si="12"/>
        <v/>
      </c>
      <c r="T31" s="218" t="str">
        <f t="shared" ref="T31:U31" si="34">IF(OR(S31="",T$9=""),"",IF(IF($G30&gt;0,IF($G30&gt;=$H30,MAX(,MIN(T$9,$H30+24/24)-MAX(T$8,$G30)),MAX(,MIN(T$9,$H30)-MAX(T$8,$G30))),0)&lt;0,0,IF($G30&gt;0,IF($G30&gt;=$H30,MAX(,MIN(T$9,$H30+24/24)-MAX(T$8,$G30)),MAX(,MIN(T$9,$H30)-MAX(T$8,$G30))),0)))</f>
        <v/>
      </c>
      <c r="U31" s="219" t="str">
        <f t="shared" si="34"/>
        <v/>
      </c>
      <c r="V31" s="236">
        <f>SUMPRODUCT(($C$31="se")*($AB$31))</f>
        <v>0</v>
      </c>
      <c r="W31" s="237">
        <f>SUMPRODUCT(($C$31="se")*($AC$31))</f>
        <v>0</v>
      </c>
      <c r="X31" s="238">
        <f t="shared" si="4"/>
        <v>0</v>
      </c>
      <c r="Y31" s="239">
        <f t="shared" si="5"/>
        <v>0</v>
      </c>
      <c r="Z31" s="240">
        <f>SUMPRODUCT(($C$31="férié")*($AB$31))</f>
        <v>0</v>
      </c>
      <c r="AA31" s="241">
        <f>SUMPRODUCT(($C$31="férié")*($AC$31))</f>
        <v>0</v>
      </c>
      <c r="AB31" s="242">
        <f t="shared" si="14"/>
        <v>0</v>
      </c>
      <c r="AC31" s="243">
        <f t="shared" si="15"/>
        <v>0</v>
      </c>
      <c r="AD31" s="43"/>
      <c r="AE31" s="352"/>
      <c r="AF31" s="353"/>
      <c r="AG31" s="28"/>
      <c r="AH31" s="248"/>
      <c r="AI31" s="248"/>
      <c r="AJ31" s="248"/>
      <c r="AK31" s="248"/>
      <c r="AL31" s="28"/>
      <c r="AM31" s="28"/>
      <c r="AN31" s="28"/>
      <c r="AO31" s="28"/>
      <c r="AP31" s="28"/>
    </row>
    <row r="32" spans="1:42" ht="16" customHeight="1">
      <c r="A32" s="28"/>
      <c r="B32" s="183">
        <v>23</v>
      </c>
      <c r="C32" s="57" t="str">
        <f t="shared" si="1"/>
        <v>Se</v>
      </c>
      <c r="D32" s="152">
        <f t="shared" si="11"/>
        <v>42392</v>
      </c>
      <c r="E32" s="115"/>
      <c r="F32" s="115"/>
      <c r="G32" s="116"/>
      <c r="H32" s="116"/>
      <c r="I32" s="207" t="str">
        <f t="shared" si="6"/>
        <v/>
      </c>
      <c r="J32" s="119"/>
      <c r="K32" s="120"/>
      <c r="L32" s="190" t="str">
        <f t="shared" si="7"/>
        <v/>
      </c>
      <c r="M32" s="222" t="str">
        <f t="shared" si="2"/>
        <v/>
      </c>
      <c r="N32" s="221">
        <f t="shared" si="3"/>
        <v>0</v>
      </c>
      <c r="O32" s="122"/>
      <c r="P32" s="216" t="str">
        <f t="shared" si="8"/>
        <v/>
      </c>
      <c r="Q32" s="226" t="str">
        <f t="shared" si="9"/>
        <v/>
      </c>
      <c r="R32" s="219" t="str">
        <f t="shared" si="10"/>
        <v/>
      </c>
      <c r="S32" s="217" t="str">
        <f t="shared" si="12"/>
        <v/>
      </c>
      <c r="T32" s="218" t="str">
        <f t="shared" ref="T32:U32" si="35">IF(OR(S32="",T$9=""),"",IF(IF($G31&gt;0,IF($G31&gt;=$H31,MAX(,MIN(T$9,$H31+24/24)-MAX(T$8,$G31)),MAX(,MIN(T$9,$H31)-MAX(T$8,$G31))),0)&lt;0,0,IF($G31&gt;0,IF($G31&gt;=$H31,MAX(,MIN(T$9,$H31+24/24)-MAX(T$8,$G31)),MAX(,MIN(T$9,$H31)-MAX(T$8,$G31))),0)))</f>
        <v/>
      </c>
      <c r="U32" s="219" t="str">
        <f t="shared" si="35"/>
        <v/>
      </c>
      <c r="V32" s="236">
        <f>SUMPRODUCT(($C$32="se")*($AB$32))</f>
        <v>0</v>
      </c>
      <c r="W32" s="237">
        <f>SUMPRODUCT(($C$32="se")*($AC$32))</f>
        <v>0</v>
      </c>
      <c r="X32" s="238">
        <f t="shared" si="4"/>
        <v>0</v>
      </c>
      <c r="Y32" s="239">
        <f t="shared" si="5"/>
        <v>0</v>
      </c>
      <c r="Z32" s="240">
        <f>SUMPRODUCT(($C$32="férié")*($AB$32))</f>
        <v>0</v>
      </c>
      <c r="AA32" s="241">
        <f>SUMPRODUCT(($C$32="férié")*($AC$32))</f>
        <v>0</v>
      </c>
      <c r="AB32" s="242">
        <f t="shared" si="14"/>
        <v>0</v>
      </c>
      <c r="AC32" s="243">
        <f t="shared" si="15"/>
        <v>0</v>
      </c>
      <c r="AD32" s="46"/>
      <c r="AE32" s="94" t="s">
        <v>63</v>
      </c>
      <c r="AF32" s="187">
        <f>SUM(J10:J40)</f>
        <v>0</v>
      </c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7" ht="16" customHeight="1">
      <c r="A33" s="28"/>
      <c r="B33" s="183">
        <v>24</v>
      </c>
      <c r="C33" s="57" t="str">
        <f t="shared" si="1"/>
        <v>Dim</v>
      </c>
      <c r="D33" s="152">
        <f t="shared" si="11"/>
        <v>42393</v>
      </c>
      <c r="E33" s="115"/>
      <c r="F33" s="115"/>
      <c r="G33" s="116"/>
      <c r="H33" s="116"/>
      <c r="I33" s="207" t="str">
        <f t="shared" si="6"/>
        <v/>
      </c>
      <c r="J33" s="119"/>
      <c r="K33" s="120"/>
      <c r="L33" s="190" t="str">
        <f t="shared" si="7"/>
        <v/>
      </c>
      <c r="M33" s="222" t="str">
        <f t="shared" si="2"/>
        <v/>
      </c>
      <c r="N33" s="221">
        <f t="shared" si="3"/>
        <v>0</v>
      </c>
      <c r="O33" s="122"/>
      <c r="P33" s="216" t="str">
        <f t="shared" si="8"/>
        <v/>
      </c>
      <c r="Q33" s="226" t="str">
        <f t="shared" si="9"/>
        <v/>
      </c>
      <c r="R33" s="219" t="str">
        <f t="shared" si="10"/>
        <v/>
      </c>
      <c r="S33" s="217" t="str">
        <f t="shared" si="12"/>
        <v/>
      </c>
      <c r="T33" s="218" t="str">
        <f t="shared" ref="T33:U33" si="36">IF(OR(S33="",T$9=""),"",IF(IF($G32&gt;0,IF($G32&gt;=$H32,MAX(,MIN(T$9,$H32+24/24)-MAX(T$8,$G32)),MAX(,MIN(T$9,$H32)-MAX(T$8,$G32))),0)&lt;0,0,IF($G32&gt;0,IF($G32&gt;=$H32,MAX(,MIN(T$9,$H32+24/24)-MAX(T$8,$G32)),MAX(,MIN(T$9,$H32)-MAX(T$8,$G32))),0)))</f>
        <v/>
      </c>
      <c r="U33" s="219" t="str">
        <f t="shared" si="36"/>
        <v/>
      </c>
      <c r="V33" s="236">
        <f>SUMPRODUCT(($C$33="se")*($AB$33))</f>
        <v>0</v>
      </c>
      <c r="W33" s="237">
        <f>SUMPRODUCT(($C$33="se")*($AC$33))</f>
        <v>0</v>
      </c>
      <c r="X33" s="238">
        <f t="shared" si="4"/>
        <v>0</v>
      </c>
      <c r="Y33" s="239">
        <f t="shared" si="5"/>
        <v>0</v>
      </c>
      <c r="Z33" s="240">
        <f>SUMPRODUCT(($C$33="férié")*($AB$33))</f>
        <v>0</v>
      </c>
      <c r="AA33" s="241">
        <f>SUMPRODUCT(($C$33="férié")*($AC$33))</f>
        <v>0</v>
      </c>
      <c r="AB33" s="242">
        <f t="shared" si="14"/>
        <v>0</v>
      </c>
      <c r="AC33" s="243">
        <f t="shared" si="15"/>
        <v>0</v>
      </c>
      <c r="AD33" s="46"/>
      <c r="AE33" s="352"/>
      <c r="AF33" s="353"/>
      <c r="AG33" s="28"/>
      <c r="AH33" s="159"/>
      <c r="AI33" s="247"/>
      <c r="AJ33" s="247"/>
      <c r="AK33" s="247"/>
      <c r="AL33" s="28"/>
      <c r="AM33" s="28"/>
      <c r="AN33" s="28"/>
      <c r="AO33" s="28"/>
      <c r="AP33" s="28"/>
    </row>
    <row r="34" spans="1:47" ht="16" customHeight="1">
      <c r="A34" s="28"/>
      <c r="B34" s="183">
        <v>25</v>
      </c>
      <c r="C34" s="57" t="str">
        <f t="shared" si="1"/>
        <v>Se</v>
      </c>
      <c r="D34" s="152">
        <f t="shared" si="11"/>
        <v>42394</v>
      </c>
      <c r="E34" s="115"/>
      <c r="F34" s="115"/>
      <c r="G34" s="116"/>
      <c r="H34" s="116"/>
      <c r="I34" s="207" t="str">
        <f t="shared" si="6"/>
        <v/>
      </c>
      <c r="J34" s="119"/>
      <c r="K34" s="120"/>
      <c r="L34" s="190" t="str">
        <f t="shared" si="7"/>
        <v/>
      </c>
      <c r="M34" s="222" t="str">
        <f t="shared" si="2"/>
        <v/>
      </c>
      <c r="N34" s="221">
        <f t="shared" si="3"/>
        <v>0</v>
      </c>
      <c r="O34" s="122"/>
      <c r="P34" s="216" t="str">
        <f t="shared" si="8"/>
        <v/>
      </c>
      <c r="Q34" s="226" t="str">
        <f t="shared" si="9"/>
        <v/>
      </c>
      <c r="R34" s="219" t="str">
        <f t="shared" si="10"/>
        <v/>
      </c>
      <c r="S34" s="217" t="str">
        <f t="shared" si="12"/>
        <v/>
      </c>
      <c r="T34" s="218" t="str">
        <f t="shared" ref="T34:U34" si="37">IF(OR(S34="",T$9=""),"",IF(IF($G33&gt;0,IF($G33&gt;=$H33,MAX(,MIN(T$9,$H33+24/24)-MAX(T$8,$G33)),MAX(,MIN(T$9,$H33)-MAX(T$8,$G33))),0)&lt;0,0,IF($G33&gt;0,IF($G33&gt;=$H33,MAX(,MIN(T$9,$H33+24/24)-MAX(T$8,$G33)),MAX(,MIN(T$9,$H33)-MAX(T$8,$G33))),0)))</f>
        <v/>
      </c>
      <c r="U34" s="219" t="str">
        <f t="shared" si="37"/>
        <v/>
      </c>
      <c r="V34" s="236">
        <f>SUMPRODUCT(($C$34="se")*($AB$34))</f>
        <v>0</v>
      </c>
      <c r="W34" s="237">
        <f>SUMPRODUCT(($C$34="se")*($AC$34))</f>
        <v>0</v>
      </c>
      <c r="X34" s="238">
        <f t="shared" si="4"/>
        <v>0</v>
      </c>
      <c r="Y34" s="239">
        <f t="shared" si="5"/>
        <v>0</v>
      </c>
      <c r="Z34" s="240">
        <f>SUMPRODUCT(($C$34="férié")*($AB$34))</f>
        <v>0</v>
      </c>
      <c r="AA34" s="241">
        <f>SUMPRODUCT(($C$34="férié")*($AC$34))</f>
        <v>0</v>
      </c>
      <c r="AB34" s="242">
        <f t="shared" si="14"/>
        <v>0</v>
      </c>
      <c r="AC34" s="243">
        <f t="shared" si="15"/>
        <v>0</v>
      </c>
      <c r="AD34" s="46"/>
      <c r="AE34" s="91" t="s">
        <v>64</v>
      </c>
      <c r="AF34" s="186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6" customHeight="1">
      <c r="A35" s="28"/>
      <c r="B35" s="183">
        <v>26</v>
      </c>
      <c r="C35" s="57" t="str">
        <f t="shared" si="1"/>
        <v>Se</v>
      </c>
      <c r="D35" s="152">
        <f t="shared" si="11"/>
        <v>42395</v>
      </c>
      <c r="E35" s="115"/>
      <c r="F35" s="115"/>
      <c r="G35" s="116"/>
      <c r="H35" s="116"/>
      <c r="I35" s="207" t="str">
        <f t="shared" si="6"/>
        <v/>
      </c>
      <c r="J35" s="119"/>
      <c r="K35" s="120"/>
      <c r="L35" s="190" t="str">
        <f t="shared" si="7"/>
        <v/>
      </c>
      <c r="M35" s="222" t="str">
        <f t="shared" si="2"/>
        <v/>
      </c>
      <c r="N35" s="221">
        <f t="shared" si="3"/>
        <v>0</v>
      </c>
      <c r="O35" s="122"/>
      <c r="P35" s="216" t="str">
        <f t="shared" si="8"/>
        <v/>
      </c>
      <c r="Q35" s="226" t="str">
        <f t="shared" si="9"/>
        <v/>
      </c>
      <c r="R35" s="219" t="str">
        <f t="shared" si="10"/>
        <v/>
      </c>
      <c r="S35" s="217" t="str">
        <f t="shared" si="12"/>
        <v/>
      </c>
      <c r="T35" s="218" t="str">
        <f t="shared" ref="T35:U35" si="38">IF(OR(S35="",T$9=""),"",IF(IF($G34&gt;0,IF($G34&gt;=$H34,MAX(,MIN(T$9,$H34+24/24)-MAX(T$8,$G34)),MAX(,MIN(T$9,$H34)-MAX(T$8,$G34))),0)&lt;0,0,IF($G34&gt;0,IF($G34&gt;=$H34,MAX(,MIN(T$9,$H34+24/24)-MAX(T$8,$G34)),MAX(,MIN(T$9,$H34)-MAX(T$8,$G34))),0)))</f>
        <v/>
      </c>
      <c r="U35" s="219" t="str">
        <f t="shared" si="38"/>
        <v/>
      </c>
      <c r="V35" s="236">
        <f>SUMPRODUCT(($C$35="se")*($AB$35))</f>
        <v>0</v>
      </c>
      <c r="W35" s="237">
        <f>SUMPRODUCT(($C$35="se")*($AC$35))</f>
        <v>0</v>
      </c>
      <c r="X35" s="238">
        <f t="shared" si="4"/>
        <v>0</v>
      </c>
      <c r="Y35" s="239">
        <f t="shared" si="5"/>
        <v>0</v>
      </c>
      <c r="Z35" s="240">
        <f>SUMPRODUCT(($C$35="férié")*($AB$35))</f>
        <v>0</v>
      </c>
      <c r="AA35" s="241">
        <f>SUMPRODUCT(($C$35="férié")*($AC$35))</f>
        <v>0</v>
      </c>
      <c r="AB35" s="242">
        <f t="shared" si="14"/>
        <v>0</v>
      </c>
      <c r="AC35" s="243">
        <f t="shared" si="15"/>
        <v>0</v>
      </c>
      <c r="AD35" s="46"/>
      <c r="AE35" s="332"/>
      <c r="AF35" s="333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6" customHeight="1">
      <c r="A36" s="28"/>
      <c r="B36" s="183">
        <v>27</v>
      </c>
      <c r="C36" s="57" t="str">
        <f t="shared" si="1"/>
        <v>Se</v>
      </c>
      <c r="D36" s="152">
        <f t="shared" si="11"/>
        <v>42396</v>
      </c>
      <c r="E36" s="115"/>
      <c r="F36" s="115"/>
      <c r="G36" s="116"/>
      <c r="H36" s="116"/>
      <c r="I36" s="207" t="str">
        <f t="shared" si="6"/>
        <v/>
      </c>
      <c r="J36" s="119"/>
      <c r="K36" s="120"/>
      <c r="L36" s="190" t="str">
        <f t="shared" si="7"/>
        <v/>
      </c>
      <c r="M36" s="222" t="str">
        <f t="shared" si="2"/>
        <v/>
      </c>
      <c r="N36" s="221">
        <f t="shared" si="3"/>
        <v>0</v>
      </c>
      <c r="O36" s="122"/>
      <c r="P36" s="216" t="str">
        <f t="shared" si="8"/>
        <v/>
      </c>
      <c r="Q36" s="226" t="str">
        <f t="shared" si="9"/>
        <v/>
      </c>
      <c r="R36" s="219" t="str">
        <f t="shared" si="10"/>
        <v/>
      </c>
      <c r="S36" s="217" t="str">
        <f t="shared" si="12"/>
        <v/>
      </c>
      <c r="T36" s="218" t="str">
        <f t="shared" ref="T36:U36" si="39">IF(OR(S36="",T$9=""),"",IF(IF($G35&gt;0,IF($G35&gt;=$H35,MAX(,MIN(T$9,$H35+24/24)-MAX(T$8,$G35)),MAX(,MIN(T$9,$H35)-MAX(T$8,$G35))),0)&lt;0,0,IF($G35&gt;0,IF($G35&gt;=$H35,MAX(,MIN(T$9,$H35+24/24)-MAX(T$8,$G35)),MAX(,MIN(T$9,$H35)-MAX(T$8,$G35))),0)))</f>
        <v/>
      </c>
      <c r="U36" s="219" t="str">
        <f t="shared" si="39"/>
        <v/>
      </c>
      <c r="V36" s="236">
        <f>SUMPRODUCT(($C$36="se")*($AB$36))</f>
        <v>0</v>
      </c>
      <c r="W36" s="237">
        <f>SUMPRODUCT(($C$36="se")*($AC$36))</f>
        <v>0</v>
      </c>
      <c r="X36" s="238">
        <f t="shared" si="4"/>
        <v>0</v>
      </c>
      <c r="Y36" s="239">
        <f t="shared" si="5"/>
        <v>0</v>
      </c>
      <c r="Z36" s="240">
        <f>SUMPRODUCT(($C$36="férié")*($AB$36))</f>
        <v>0</v>
      </c>
      <c r="AA36" s="241">
        <f>SUMPRODUCT(($C$36="férié")*($AC$36))</f>
        <v>0</v>
      </c>
      <c r="AB36" s="242">
        <f t="shared" si="14"/>
        <v>0</v>
      </c>
      <c r="AC36" s="243">
        <f t="shared" si="15"/>
        <v>0</v>
      </c>
      <c r="AD36" s="46"/>
      <c r="AE36" s="91" t="s">
        <v>65</v>
      </c>
      <c r="AF36" s="97">
        <f>COUNTA(G10:G40)</f>
        <v>0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6" customHeight="1">
      <c r="A37" s="28"/>
      <c r="B37" s="183">
        <v>28</v>
      </c>
      <c r="C37" s="57" t="str">
        <f t="shared" si="1"/>
        <v>Se</v>
      </c>
      <c r="D37" s="152">
        <f t="shared" si="11"/>
        <v>42397</v>
      </c>
      <c r="E37" s="115"/>
      <c r="F37" s="115"/>
      <c r="G37" s="116"/>
      <c r="H37" s="116"/>
      <c r="I37" s="207" t="str">
        <f t="shared" si="6"/>
        <v/>
      </c>
      <c r="J37" s="119"/>
      <c r="K37" s="120"/>
      <c r="L37" s="190" t="str">
        <f t="shared" si="7"/>
        <v/>
      </c>
      <c r="M37" s="222" t="str">
        <f t="shared" si="2"/>
        <v/>
      </c>
      <c r="N37" s="221">
        <f t="shared" si="3"/>
        <v>0</v>
      </c>
      <c r="O37" s="122"/>
      <c r="P37" s="216" t="str">
        <f t="shared" si="8"/>
        <v/>
      </c>
      <c r="Q37" s="226" t="str">
        <f t="shared" si="9"/>
        <v/>
      </c>
      <c r="R37" s="219" t="str">
        <f t="shared" si="10"/>
        <v/>
      </c>
      <c r="S37" s="217" t="str">
        <f t="shared" si="12"/>
        <v/>
      </c>
      <c r="T37" s="218" t="str">
        <f t="shared" ref="T37:U37" si="40">IF(OR(S37="",T$9=""),"",IF(IF($G36&gt;0,IF($G36&gt;=$H36,MAX(,MIN(T$9,$H36+24/24)-MAX(T$8,$G36)),MAX(,MIN(T$9,$H36)-MAX(T$8,$G36))),0)&lt;0,0,IF($G36&gt;0,IF($G36&gt;=$H36,MAX(,MIN(T$9,$H36+24/24)-MAX(T$8,$G36)),MAX(,MIN(T$9,$H36)-MAX(T$8,$G36))),0)))</f>
        <v/>
      </c>
      <c r="U37" s="219" t="str">
        <f t="shared" si="40"/>
        <v/>
      </c>
      <c r="V37" s="236">
        <f>SUMPRODUCT(($C$37="se")*($AB$37))</f>
        <v>0</v>
      </c>
      <c r="W37" s="237">
        <f>SUMPRODUCT(($C$37="se")*($AC$37))</f>
        <v>0</v>
      </c>
      <c r="X37" s="238">
        <f t="shared" si="4"/>
        <v>0</v>
      </c>
      <c r="Y37" s="239">
        <f t="shared" si="5"/>
        <v>0</v>
      </c>
      <c r="Z37" s="240">
        <f>SUMPRODUCT(($C$37="férié")*($AB$37))</f>
        <v>0</v>
      </c>
      <c r="AA37" s="241">
        <f>SUMPRODUCT(($C$37="férié")*($AC$37))</f>
        <v>0</v>
      </c>
      <c r="AB37" s="242">
        <f t="shared" si="14"/>
        <v>0</v>
      </c>
      <c r="AC37" s="243">
        <f t="shared" si="15"/>
        <v>0</v>
      </c>
      <c r="AD37" s="46"/>
      <c r="AE37" s="332"/>
      <c r="AF37" s="333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6" customHeight="1">
      <c r="A38" s="28"/>
      <c r="B38" s="183">
        <v>29</v>
      </c>
      <c r="C38" s="57" t="str">
        <f t="shared" si="1"/>
        <v>Se</v>
      </c>
      <c r="D38" s="152">
        <f t="shared" si="11"/>
        <v>42398</v>
      </c>
      <c r="E38" s="115"/>
      <c r="F38" s="115"/>
      <c r="G38" s="116"/>
      <c r="H38" s="116"/>
      <c r="I38" s="207" t="str">
        <f t="shared" si="6"/>
        <v/>
      </c>
      <c r="J38" s="119"/>
      <c r="K38" s="120"/>
      <c r="L38" s="190" t="str">
        <f t="shared" si="7"/>
        <v/>
      </c>
      <c r="M38" s="222" t="str">
        <f t="shared" si="2"/>
        <v/>
      </c>
      <c r="N38" s="221">
        <f t="shared" si="3"/>
        <v>0</v>
      </c>
      <c r="O38" s="122"/>
      <c r="P38" s="216" t="str">
        <f t="shared" si="8"/>
        <v/>
      </c>
      <c r="Q38" s="226" t="str">
        <f t="shared" si="9"/>
        <v/>
      </c>
      <c r="R38" s="219" t="str">
        <f t="shared" si="10"/>
        <v/>
      </c>
      <c r="S38" s="217" t="str">
        <f t="shared" si="12"/>
        <v/>
      </c>
      <c r="T38" s="218" t="str">
        <f t="shared" ref="T38:U38" si="41">IF(OR(S38="",T$9=""),"",IF(IF($G37&gt;0,IF($G37&gt;=$H37,MAX(,MIN(T$9,$H37+24/24)-MAX(T$8,$G37)),MAX(,MIN(T$9,$H37)-MAX(T$8,$G37))),0)&lt;0,0,IF($G37&gt;0,IF($G37&gt;=$H37,MAX(,MIN(T$9,$H37+24/24)-MAX(T$8,$G37)),MAX(,MIN(T$9,$H37)-MAX(T$8,$G37))),0)))</f>
        <v/>
      </c>
      <c r="U38" s="219" t="str">
        <f t="shared" si="41"/>
        <v/>
      </c>
      <c r="V38" s="236">
        <f>SUMPRODUCT(($C$38="se")*($AB$38))</f>
        <v>0</v>
      </c>
      <c r="W38" s="237">
        <f>SUMPRODUCT(($C$38="se")*($AC$38))</f>
        <v>0</v>
      </c>
      <c r="X38" s="238">
        <f t="shared" si="4"/>
        <v>0</v>
      </c>
      <c r="Y38" s="239">
        <f t="shared" si="5"/>
        <v>0</v>
      </c>
      <c r="Z38" s="240">
        <f>SUMPRODUCT(($C$38="férié")*($AB$38))</f>
        <v>0</v>
      </c>
      <c r="AA38" s="241">
        <f>SUMPRODUCT(($C$38="férié")*($AC$38))</f>
        <v>0</v>
      </c>
      <c r="AB38" s="242">
        <f t="shared" si="14"/>
        <v>0</v>
      </c>
      <c r="AC38" s="243">
        <f t="shared" si="15"/>
        <v>0</v>
      </c>
      <c r="AD38" s="46"/>
      <c r="AE38" s="98" t="s">
        <v>66</v>
      </c>
      <c r="AF38" s="186">
        <f>SUM(M10:M40)</f>
        <v>0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" customHeight="1" thickBot="1">
      <c r="A39" s="28"/>
      <c r="B39" s="183">
        <v>30</v>
      </c>
      <c r="C39" s="57" t="str">
        <f t="shared" si="1"/>
        <v>Se</v>
      </c>
      <c r="D39" s="152">
        <f t="shared" si="11"/>
        <v>42399</v>
      </c>
      <c r="E39" s="115"/>
      <c r="F39" s="115"/>
      <c r="G39" s="116"/>
      <c r="H39" s="116"/>
      <c r="I39" s="207" t="str">
        <f t="shared" si="6"/>
        <v/>
      </c>
      <c r="J39" s="119"/>
      <c r="K39" s="120"/>
      <c r="L39" s="190" t="str">
        <f t="shared" si="7"/>
        <v/>
      </c>
      <c r="M39" s="222" t="str">
        <f t="shared" si="2"/>
        <v/>
      </c>
      <c r="N39" s="221">
        <f t="shared" si="3"/>
        <v>0</v>
      </c>
      <c r="O39" s="122"/>
      <c r="P39" s="216" t="str">
        <f t="shared" si="8"/>
        <v/>
      </c>
      <c r="Q39" s="226" t="str">
        <f t="shared" si="9"/>
        <v/>
      </c>
      <c r="R39" s="219" t="str">
        <f t="shared" si="10"/>
        <v/>
      </c>
      <c r="S39" s="217" t="str">
        <f t="shared" si="12"/>
        <v/>
      </c>
      <c r="T39" s="218" t="str">
        <f t="shared" ref="T39:U39" si="42">IF(OR(S39="",T$9=""),"",IF(IF($G38&gt;0,IF($G38&gt;=$H38,MAX(,MIN(T$9,$H38+24/24)-MAX(T$8,$G38)),MAX(,MIN(T$9,$H38)-MAX(T$8,$G38))),0)&lt;0,0,IF($G38&gt;0,IF($G38&gt;=$H38,MAX(,MIN(T$9,$H38+24/24)-MAX(T$8,$G38)),MAX(,MIN(T$9,$H38)-MAX(T$8,$G38))),0)))</f>
        <v/>
      </c>
      <c r="U39" s="219" t="str">
        <f t="shared" si="42"/>
        <v/>
      </c>
      <c r="V39" s="236">
        <f>SUMPRODUCT(($C$39="se")*($AB$39))</f>
        <v>0</v>
      </c>
      <c r="W39" s="237">
        <f>SUMPRODUCT(($C$39="se")*($AC$39))</f>
        <v>0</v>
      </c>
      <c r="X39" s="238">
        <f t="shared" si="4"/>
        <v>0</v>
      </c>
      <c r="Y39" s="239">
        <f t="shared" si="5"/>
        <v>0</v>
      </c>
      <c r="Z39" s="240">
        <f>SUMPRODUCT(($C$39="férié")*($AB$39))</f>
        <v>0</v>
      </c>
      <c r="AA39" s="241">
        <f>SUMPRODUCT(($C$39="férié")*($AC$39))</f>
        <v>0</v>
      </c>
      <c r="AB39" s="242">
        <f t="shared" si="14"/>
        <v>0</v>
      </c>
      <c r="AC39" s="243">
        <f t="shared" si="15"/>
        <v>0</v>
      </c>
      <c r="AD39" s="46"/>
      <c r="AE39" s="348"/>
      <c r="AF39" s="349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7" ht="16" customHeight="1" thickBot="1">
      <c r="A40" s="28"/>
      <c r="B40" s="257">
        <v>31</v>
      </c>
      <c r="C40" s="258" t="str">
        <f t="shared" si="1"/>
        <v>Dim</v>
      </c>
      <c r="D40" s="152">
        <f t="shared" si="11"/>
        <v>42400</v>
      </c>
      <c r="E40" s="259"/>
      <c r="F40" s="259"/>
      <c r="G40" s="260"/>
      <c r="H40" s="260"/>
      <c r="I40" s="261" t="str">
        <f t="shared" si="6"/>
        <v/>
      </c>
      <c r="J40" s="262"/>
      <c r="K40" s="263"/>
      <c r="L40" s="264" t="str">
        <f t="shared" si="7"/>
        <v/>
      </c>
      <c r="M40" s="265" t="str">
        <f t="shared" si="2"/>
        <v/>
      </c>
      <c r="N40" s="266">
        <f t="shared" si="3"/>
        <v>0</v>
      </c>
      <c r="O40" s="267"/>
      <c r="P40" s="276" t="str">
        <f t="shared" si="8"/>
        <v/>
      </c>
      <c r="Q40" s="277" t="str">
        <f t="shared" si="9"/>
        <v/>
      </c>
      <c r="R40" s="278" t="str">
        <f t="shared" ref="R40" si="43">IF(OR($D40="",Q40="",R$9=""),"",IF(AND($I40=1,$G40&lt;&gt;$H40),(1/8),IF($G40&gt;=$H40,MAX(,MIN(R$9,$H40+24/24)-MAX(R$8,$G40)),MAX(,MIN(R$9,$H40)-MAX(R$8,$G40)))))</f>
        <v/>
      </c>
      <c r="S40" s="279" t="str">
        <f t="shared" si="12"/>
        <v/>
      </c>
      <c r="T40" s="280" t="str">
        <f t="shared" ref="T40:U40" si="44">IF(OR(S40="",T$9=""),"",IF(IF($G39&gt;0,IF($G39&gt;=$H39,MAX(,MIN(T$9,$H39+24/24)-MAX(T$8,$G39)),MAX(,MIN(T$9,$H39)-MAX(T$8,$G39))),0)&lt;0,0,IF($G39&gt;0,IF($G39&gt;=$H39,MAX(,MIN(T$9,$H39+24/24)-MAX(T$8,$G39)),MAX(,MIN(T$9,$H39)-MAX(T$8,$G39))),0)))</f>
        <v/>
      </c>
      <c r="U40" s="278" t="str">
        <f t="shared" si="44"/>
        <v/>
      </c>
      <c r="V40" s="281">
        <f>SUMPRODUCT(($C$40="se")*($AB$40))</f>
        <v>0</v>
      </c>
      <c r="W40" s="282">
        <f>SUMPRODUCT(($C$40="se")*($AC$40))</f>
        <v>0</v>
      </c>
      <c r="X40" s="283">
        <f t="shared" si="4"/>
        <v>0</v>
      </c>
      <c r="Y40" s="284">
        <f t="shared" si="5"/>
        <v>0</v>
      </c>
      <c r="Z40" s="285">
        <f>SUMPRODUCT(($C$40="férié")*($AB$40))</f>
        <v>0</v>
      </c>
      <c r="AA40" s="286">
        <f>SUMPRODUCT(($C$40="férié")*($AC$40))</f>
        <v>0</v>
      </c>
      <c r="AB40" s="287">
        <f t="shared" si="14"/>
        <v>0</v>
      </c>
      <c r="AC40" s="288">
        <f t="shared" si="15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6" customHeight="1" thickBot="1">
      <c r="A41" s="45"/>
      <c r="B41" s="268" t="s">
        <v>60</v>
      </c>
      <c r="C41" s="269"/>
      <c r="D41" s="270">
        <f>COUNT(D10:D40)</f>
        <v>31</v>
      </c>
      <c r="E41" s="270">
        <f>COUNTA(E10:E40)</f>
        <v>0</v>
      </c>
      <c r="F41" s="270">
        <f>COUNTA(F10:F40)</f>
        <v>0</v>
      </c>
      <c r="G41" s="270">
        <f>COUNTA(G10:G40)</f>
        <v>0</v>
      </c>
      <c r="H41" s="270">
        <f>COUNTA(H10:H40)</f>
        <v>0</v>
      </c>
      <c r="I41" s="271">
        <f>SUM(I10:I40)</f>
        <v>0</v>
      </c>
      <c r="J41" s="272">
        <f t="shared" ref="J41:M41" si="45">SUM(J10:J40)</f>
        <v>0</v>
      </c>
      <c r="K41" s="272">
        <f t="shared" si="45"/>
        <v>0</v>
      </c>
      <c r="L41" s="273">
        <f t="shared" si="45"/>
        <v>0</v>
      </c>
      <c r="M41" s="274">
        <f t="shared" si="45"/>
        <v>0</v>
      </c>
      <c r="N41" s="274">
        <f>SUM(N10:N40)</f>
        <v>0</v>
      </c>
      <c r="O41" s="275"/>
      <c r="P41" s="289">
        <f t="shared" ref="P41:R41" si="46">SUM(P10:P40)</f>
        <v>0</v>
      </c>
      <c r="Q41" s="274">
        <f t="shared" si="46"/>
        <v>0</v>
      </c>
      <c r="R41" s="290">
        <f t="shared" si="46"/>
        <v>0</v>
      </c>
      <c r="S41" s="289">
        <f>SUM(S10:S40)</f>
        <v>0</v>
      </c>
      <c r="T41" s="274">
        <f>SUM(T10:T40)</f>
        <v>0</v>
      </c>
      <c r="U41" s="290">
        <f>SUM(U10:U40)</f>
        <v>0</v>
      </c>
      <c r="V41" s="289">
        <f>SUMIF(D10:D40,"&gt;0",V10:V40)</f>
        <v>0</v>
      </c>
      <c r="W41" s="290">
        <f>SUMIF(D10:D40,"&gt;0",W10:W40)</f>
        <v>0</v>
      </c>
      <c r="X41" s="289">
        <f>SUMPRODUCT((WEEKDAY($D$10:$D$40)=1)*($AB$10:$AB$40))</f>
        <v>0</v>
      </c>
      <c r="Y41" s="290">
        <f>SUMPRODUCT(($C$10:$C$40="dim")*($AC$10:$AC$40))</f>
        <v>0</v>
      </c>
      <c r="Z41" s="289">
        <f>SUMPRODUCT(($C$10:$C$40="férié")*($Z$10:$Z$40))</f>
        <v>0</v>
      </c>
      <c r="AA41" s="290">
        <f>SUMPRODUCT(($C$10:$C$40="férié")*($AA$10:$AA$40))</f>
        <v>0</v>
      </c>
      <c r="AB41" s="289">
        <f>SUMIF(D10:D40,"&gt;0",AB10:AB40)</f>
        <v>0</v>
      </c>
      <c r="AC41" s="290">
        <f>SUMIF(D10:D40,"&gt;0",AC10:AC40)</f>
        <v>0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00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00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00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00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00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00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00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password="8F84" sheet="1" objects="1" scenarios="1" selectLockedCells="1"/>
  <mergeCells count="62">
    <mergeCell ref="AJ22:AK22"/>
    <mergeCell ref="AH22:AI22"/>
    <mergeCell ref="AH24:AI24"/>
    <mergeCell ref="AE35:AF35"/>
    <mergeCell ref="AE37:AF37"/>
    <mergeCell ref="AE23:AF23"/>
    <mergeCell ref="AH23:AI23"/>
    <mergeCell ref="AJ23:AK23"/>
    <mergeCell ref="AH27:AK27"/>
    <mergeCell ref="AH28:AK28"/>
    <mergeCell ref="AH29:AK29"/>
    <mergeCell ref="AH26:AK26"/>
    <mergeCell ref="AH30:AK30"/>
    <mergeCell ref="AE39:AF39"/>
    <mergeCell ref="AE29:AF29"/>
    <mergeCell ref="AJ24:AK24"/>
    <mergeCell ref="AE31:AF31"/>
    <mergeCell ref="AE33:AF33"/>
    <mergeCell ref="AE25:AF25"/>
    <mergeCell ref="AE27:AF27"/>
    <mergeCell ref="X9:Y9"/>
    <mergeCell ref="Z9:AA9"/>
    <mergeCell ref="AB9:AC9"/>
    <mergeCell ref="AE9:AF9"/>
    <mergeCell ref="AE11:AF11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3:AF3"/>
    <mergeCell ref="AH3:AK3"/>
    <mergeCell ref="V4:W4"/>
    <mergeCell ref="X4:Y4"/>
    <mergeCell ref="Z4:AA4"/>
    <mergeCell ref="AB4:AC4"/>
    <mergeCell ref="AB3:AC3"/>
    <mergeCell ref="D3:D4"/>
    <mergeCell ref="E3:F4"/>
    <mergeCell ref="V3:W3"/>
    <mergeCell ref="X3:Y3"/>
    <mergeCell ref="Z3:AA3"/>
  </mergeCells>
  <phoneticPr fontId="65" type="noConversion"/>
  <conditionalFormatting sqref="C10:D40">
    <cfRule type="expression" dxfId="24" priority="4" stopIfTrue="1">
      <formula>COUNTIF(Fériés,$D10)&gt;0</formula>
    </cfRule>
  </conditionalFormatting>
  <conditionalFormatting sqref="AJ21:AK22">
    <cfRule type="expression" dxfId="23" priority="1" stopIfTrue="1">
      <formula>(AJ21:AJ24&lt;=TODAY()+120)*(AJ21:AJ24&lt;&gt;"")</formula>
    </cfRule>
    <cfRule type="expression" dxfId="22" priority="2" stopIfTrue="1">
      <formula>(AJ21:AJ24&lt;=TODAY()+180)*(AJ21:AJ24&lt;&gt;"")</formula>
    </cfRule>
    <cfRule type="expression" dxfId="21" priority="3" stopIfTrue="1">
      <formula>(AJ21:AJ24&lt;=TODAY()&gt;180)*(AJ21:AJ24&lt;&gt;"")</formula>
    </cfRule>
  </conditionalFormatting>
  <conditionalFormatting sqref="C10:AC40">
    <cfRule type="expression" dxfId="20" priority="7" stopIfTrue="1">
      <formula>WEEKDAY($D10,2)=7</formula>
    </cfRule>
  </conditionalFormatting>
  <conditionalFormatting sqref="AJ23:AK23">
    <cfRule type="expression" dxfId="19" priority="11" stopIfTrue="1">
      <formula>(AJ23:AJ25&lt;=TODAY()+120)*(AJ23:AJ25&lt;&gt;"")</formula>
    </cfRule>
    <cfRule type="expression" dxfId="18" priority="12" stopIfTrue="1">
      <formula>(AJ23:AJ25&lt;=TODAY()+180)*(AJ23:AJ25&lt;&gt;"")</formula>
    </cfRule>
    <cfRule type="expression" dxfId="17" priority="13" stopIfTrue="1">
      <formula>(AJ23:AJ25&lt;=TODAY()&gt;180)*(AJ23:AJ25&lt;&gt;"")</formula>
    </cfRule>
  </conditionalFormatting>
  <conditionalFormatting sqref="AJ24:AK24">
    <cfRule type="expression" dxfId="16" priority="20" stopIfTrue="1">
      <formula>(AJ24:AJ25&lt;=TODAY()+120)*(AJ24:AJ25&lt;&gt;"")</formula>
    </cfRule>
    <cfRule type="expression" dxfId="15" priority="21" stopIfTrue="1">
      <formula>(AJ24:AJ25&lt;=TODAY()+180)*(AJ24:AJ25&lt;&gt;"")</formula>
    </cfRule>
    <cfRule type="expression" dxfId="14" priority="22" stopIfTrue="1">
      <formula>(AJ24:AJ25&lt;=TODAY()&gt;180)*(AJ24:AJ25&lt;&gt;"")</formula>
    </cfRule>
  </conditionalFormatting>
  <pageMargins left="0.7" right="0.7" top="0.75" bottom="0.75" header="0.3" footer="0.3"/>
  <pageSetup paperSize="9"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5" enableFormatConditionsCalculation="0">
    <tabColor rgb="FF00B050"/>
    <pageSetUpPr autoPageBreaks="0"/>
  </sheetPr>
  <dimension ref="A1:AU50"/>
  <sheetViews>
    <sheetView tabSelected="1" zoomScale="95" zoomScaleNormal="95" zoomScalePageLayoutView="95" workbookViewId="0"/>
  </sheetViews>
  <sheetFormatPr baseColWidth="10" defaultRowHeight="14" x14ac:dyDescent="0"/>
  <cols>
    <col min="1" max="1" width="7.83203125" customWidth="1"/>
    <col min="2" max="2" width="5.33203125" customWidth="1"/>
    <col min="3" max="3" width="10.33203125" hidden="1" customWidth="1"/>
    <col min="4" max="4" width="28.5" bestFit="1" customWidth="1"/>
    <col min="5" max="6" width="11.83203125" customWidth="1"/>
    <col min="7" max="8" width="7.6640625" customWidth="1"/>
    <col min="9" max="9" width="7.6640625" style="205" customWidth="1"/>
    <col min="10" max="14" width="7.83203125" customWidth="1"/>
    <col min="15" max="15" width="56" customWidth="1"/>
    <col min="16" max="21" width="12.33203125" hidden="1" customWidth="1"/>
    <col min="22" max="29" width="9.1640625" hidden="1" customWidth="1"/>
    <col min="30" max="30" width="2.83203125" hidden="1" customWidth="1"/>
    <col min="31" max="31" width="23.83203125" hidden="1" customWidth="1"/>
    <col min="32" max="32" width="10.33203125" hidden="1" customWidth="1"/>
    <col min="33" max="33" width="2.6640625" customWidth="1"/>
    <col min="34" max="34" width="24.33203125" customWidth="1"/>
    <col min="35" max="35" width="9.83203125" customWidth="1"/>
    <col min="36" max="36" width="9.6640625" customWidth="1"/>
    <col min="37" max="37" width="11.83203125" customWidth="1"/>
    <col min="38" max="38" width="17.83203125" customWidth="1"/>
    <col min="39" max="39" width="15.5" customWidth="1"/>
    <col min="40" max="40" width="18.5" customWidth="1"/>
    <col min="42" max="42" width="4.6640625" customWidth="1"/>
  </cols>
  <sheetData>
    <row r="1" spans="1:42" ht="16" customHeight="1">
      <c r="A1" s="112"/>
      <c r="B1" s="24"/>
      <c r="C1" s="25"/>
      <c r="D1" s="24"/>
      <c r="E1" s="24"/>
      <c r="F1" s="24"/>
      <c r="G1" s="25"/>
      <c r="H1" s="26"/>
      <c r="I1" s="199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6" customHeight="1" thickBot="1">
      <c r="A2" s="28"/>
      <c r="B2" s="134"/>
      <c r="C2" s="133"/>
      <c r="D2" s="28"/>
      <c r="E2" s="28"/>
      <c r="F2" s="28"/>
      <c r="G2" s="28"/>
      <c r="H2" s="28"/>
      <c r="I2" s="200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6" customHeight="1">
      <c r="A3" s="28"/>
      <c r="B3" s="134"/>
      <c r="C3" s="133"/>
      <c r="D3" s="291" t="s">
        <v>117</v>
      </c>
      <c r="E3" s="293">
        <f ca="1">TODAY()</f>
        <v>42355</v>
      </c>
      <c r="F3" s="294"/>
      <c r="G3" s="28"/>
      <c r="H3" s="28"/>
      <c r="I3" s="200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297" t="s">
        <v>53</v>
      </c>
      <c r="W3" s="298"/>
      <c r="X3" s="299" t="s">
        <v>51</v>
      </c>
      <c r="Y3" s="299"/>
      <c r="Z3" s="298" t="s">
        <v>52</v>
      </c>
      <c r="AA3" s="298"/>
      <c r="AB3" s="298" t="s">
        <v>54</v>
      </c>
      <c r="AC3" s="309"/>
      <c r="AD3" s="35"/>
      <c r="AE3" s="300" t="s">
        <v>86</v>
      </c>
      <c r="AF3" s="301"/>
      <c r="AG3" s="28"/>
      <c r="AH3" s="302" t="s">
        <v>17</v>
      </c>
      <c r="AI3" s="303"/>
      <c r="AJ3" s="303"/>
      <c r="AK3" s="304"/>
      <c r="AL3" s="28"/>
      <c r="AM3" s="28"/>
      <c r="AN3" s="28"/>
      <c r="AO3" s="28"/>
      <c r="AP3" s="28"/>
    </row>
    <row r="4" spans="1:42" ht="16" customHeight="1" thickBot="1">
      <c r="A4" s="28"/>
      <c r="B4" s="28"/>
      <c r="C4" s="28"/>
      <c r="D4" s="292"/>
      <c r="E4" s="295"/>
      <c r="F4" s="296"/>
      <c r="G4" s="28"/>
      <c r="H4" s="39"/>
      <c r="I4" s="201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305" t="s">
        <v>127</v>
      </c>
      <c r="W4" s="306"/>
      <c r="X4" s="307" t="s">
        <v>126</v>
      </c>
      <c r="Y4" s="307"/>
      <c r="Z4" s="306" t="s">
        <v>128</v>
      </c>
      <c r="AA4" s="306"/>
      <c r="AB4" s="306" t="s">
        <v>39</v>
      </c>
      <c r="AC4" s="308"/>
      <c r="AD4" s="28"/>
      <c r="AE4" s="91" t="s">
        <v>2</v>
      </c>
      <c r="AF4" s="92">
        <f>COUNTA(G10:G40)</f>
        <v>0</v>
      </c>
      <c r="AG4" s="28"/>
      <c r="AH4" s="81"/>
      <c r="AI4" s="82" t="s">
        <v>34</v>
      </c>
      <c r="AJ4" s="83" t="s">
        <v>23</v>
      </c>
      <c r="AK4" s="84" t="s">
        <v>11</v>
      </c>
      <c r="AL4" s="28"/>
      <c r="AM4" s="28"/>
      <c r="AN4" s="28"/>
      <c r="AO4" s="28"/>
      <c r="AP4" s="28"/>
    </row>
    <row r="5" spans="1:42" ht="16" customHeight="1" thickBot="1">
      <c r="A5" s="28"/>
      <c r="B5" s="28"/>
      <c r="C5" s="28"/>
      <c r="D5" s="41"/>
      <c r="E5" s="41"/>
      <c r="F5" s="28"/>
      <c r="G5" s="28"/>
      <c r="H5" s="39"/>
      <c r="I5" s="201"/>
      <c r="J5" s="28"/>
      <c r="K5" s="36"/>
      <c r="L5" s="36"/>
      <c r="M5" s="36"/>
      <c r="N5" s="36"/>
      <c r="O5" s="27"/>
      <c r="P5" s="325" t="s">
        <v>31</v>
      </c>
      <c r="Q5" s="326"/>
      <c r="R5" s="326"/>
      <c r="S5" s="326" t="s">
        <v>32</v>
      </c>
      <c r="T5" s="326"/>
      <c r="U5" s="327"/>
      <c r="V5" s="328">
        <f>SUM(V7+W7)</f>
        <v>0</v>
      </c>
      <c r="W5" s="329"/>
      <c r="X5" s="330" t="e">
        <f>SUM(X7+Y7)</f>
        <v>#VALUE!</v>
      </c>
      <c r="Y5" s="330"/>
      <c r="Z5" s="329" t="e">
        <f>SUM(Z7+AA7)</f>
        <v>#VALUE!</v>
      </c>
      <c r="AA5" s="329"/>
      <c r="AB5" s="329" t="e">
        <f>SUMPRODUCT((MONTH($D$10:$D$42=$E$8)*($C$10:$C$42&lt;&gt;"")*($AB$10:$AC$42)))</f>
        <v>#VALUE!</v>
      </c>
      <c r="AC5" s="331"/>
      <c r="AD5" s="28"/>
      <c r="AE5" s="310"/>
      <c r="AF5" s="311"/>
      <c r="AG5" s="28"/>
      <c r="AH5" s="21" t="s">
        <v>1</v>
      </c>
      <c r="AI5" s="22">
        <f>SUM(V7)*24</f>
        <v>0</v>
      </c>
      <c r="AJ5" s="108">
        <v>9.93</v>
      </c>
      <c r="AK5" s="195">
        <f t="shared" ref="AK5:AK10" si="0">AI5*AJ5</f>
        <v>0</v>
      </c>
      <c r="AL5" s="28"/>
      <c r="AM5" s="28"/>
      <c r="AN5" s="28"/>
      <c r="AO5" s="28"/>
      <c r="AP5" s="28"/>
    </row>
    <row r="6" spans="1:42" ht="16" customHeight="1" thickBot="1">
      <c r="A6" s="28"/>
      <c r="B6" s="54"/>
      <c r="C6" s="80"/>
      <c r="D6" s="312" t="str">
        <f>UPPER(TEXT($D10,"mmmm aaaa"))</f>
        <v>FÉVRIER 2016</v>
      </c>
      <c r="E6" s="175" t="s">
        <v>37</v>
      </c>
      <c r="F6" s="55">
        <v>0.875</v>
      </c>
      <c r="G6" s="28"/>
      <c r="H6" s="28"/>
      <c r="I6" s="200"/>
      <c r="J6" s="40"/>
      <c r="K6" s="28"/>
      <c r="L6" s="28"/>
      <c r="M6" s="28"/>
      <c r="N6" s="28"/>
      <c r="O6" s="43"/>
      <c r="P6" s="63" t="s">
        <v>30</v>
      </c>
      <c r="Q6" s="64" t="s">
        <v>28</v>
      </c>
      <c r="R6" s="64" t="s">
        <v>29</v>
      </c>
      <c r="S6" s="64" t="s">
        <v>30</v>
      </c>
      <c r="T6" s="64" t="s">
        <v>28</v>
      </c>
      <c r="U6" s="65" t="s">
        <v>29</v>
      </c>
      <c r="V6" s="249" t="s">
        <v>40</v>
      </c>
      <c r="W6" s="250" t="s">
        <v>41</v>
      </c>
      <c r="X6" s="251" t="s">
        <v>49</v>
      </c>
      <c r="Y6" s="251" t="s">
        <v>50</v>
      </c>
      <c r="Z6" s="250" t="s">
        <v>42</v>
      </c>
      <c r="AA6" s="250" t="s">
        <v>43</v>
      </c>
      <c r="AB6" s="250" t="s">
        <v>1</v>
      </c>
      <c r="AC6" s="252" t="s">
        <v>18</v>
      </c>
      <c r="AD6" s="28"/>
      <c r="AE6" s="91" t="s">
        <v>67</v>
      </c>
      <c r="AF6" s="186">
        <f>SUM(N10:N40)</f>
        <v>0</v>
      </c>
      <c r="AG6" s="28"/>
      <c r="AH6" s="10" t="s">
        <v>18</v>
      </c>
      <c r="AI6" s="2">
        <f>SUM(W7)*24</f>
        <v>0</v>
      </c>
      <c r="AJ6" s="109">
        <v>0.99299999999999999</v>
      </c>
      <c r="AK6" s="196">
        <f t="shared" si="0"/>
        <v>0</v>
      </c>
      <c r="AL6" s="28"/>
      <c r="AM6" s="28"/>
      <c r="AN6" s="28"/>
      <c r="AO6" s="28"/>
      <c r="AP6" s="28"/>
    </row>
    <row r="7" spans="1:42" ht="16" customHeight="1" thickBot="1">
      <c r="A7" s="28"/>
      <c r="B7" s="54"/>
      <c r="C7" s="80"/>
      <c r="D7" s="313"/>
      <c r="E7" s="176" t="s">
        <v>38</v>
      </c>
      <c r="F7" s="56">
        <v>0.25</v>
      </c>
      <c r="G7" s="28"/>
      <c r="H7" s="42"/>
      <c r="I7" s="202"/>
      <c r="J7" s="28"/>
      <c r="K7" s="28"/>
      <c r="L7" s="315" t="s">
        <v>55</v>
      </c>
      <c r="M7" s="316"/>
      <c r="N7" s="58" t="s">
        <v>34</v>
      </c>
      <c r="O7" s="317" t="s">
        <v>0</v>
      </c>
      <c r="P7" s="208" t="str">
        <f>TEXT(P8,"[hh]:mm")&amp;"h"&amp;" à "&amp;TEXT(P9,"[hh]:mm")&amp;"h"</f>
        <v>00:00h à 06:00h</v>
      </c>
      <c r="Q7" s="209" t="str">
        <f>TEXT(Q8,"[hh]:mm")&amp;"h"&amp;" à "&amp;TEXT(Q9,"[hh]:mm")&amp;"h"</f>
        <v>06:00h à 21:00h</v>
      </c>
      <c r="R7" s="209" t="str">
        <f>TEXT(R8,"[hh]:mm")&amp;"h"&amp;" à "&amp;TEXT(R9,"[hh]:mm")&amp;"h"</f>
        <v>21:00h à 24:00h</v>
      </c>
      <c r="S7" s="209" t="str">
        <f>TEXT(S8,"[hh]:mm")&amp;"h"&amp;" à "&amp;TEXT(S9,"hh:mm")&amp;"h"</f>
        <v>24:00h à 06:00h</v>
      </c>
      <c r="T7" s="209" t="str">
        <f>TEXT(T8,"hh:mm")&amp;"h"&amp;" à "&amp;TEXT(T9,"hh:mm")&amp;"h"</f>
        <v>06:00h à 21:00h</v>
      </c>
      <c r="U7" s="210" t="str">
        <f>TEXT(U8,"hh:mm")&amp;"h"&amp;" à "&amp;TEXT(U9-24/24,"[hh]:mm")&amp;"h"</f>
        <v>21:00h à 24:00h</v>
      </c>
      <c r="V7" s="253">
        <f>SUMIF(D10:D40,"&gt;0",V10:V40)</f>
        <v>0</v>
      </c>
      <c r="W7" s="254">
        <f>SUMIF(D10:D40,"&gt;0",W10:W40)</f>
        <v>0</v>
      </c>
      <c r="X7" s="255" t="e">
        <f>SUMPRODUCT((WEEKDAY($D$10:$D$40)=1)*($AB$10:$AB$40))</f>
        <v>#VALUE!</v>
      </c>
      <c r="Y7" s="255" t="e">
        <f>SUMPRODUCT((WEEKDAY($D$10:$D$40)=1)*($AC$10:$AC$40))</f>
        <v>#VALUE!</v>
      </c>
      <c r="Z7" s="254" t="e">
        <f>SUMPRODUCT(($C$10:$C$40="férié")*($Z$10:$Z$40))</f>
        <v>#VALUE!</v>
      </c>
      <c r="AA7" s="254" t="e">
        <f>SUMPRODUCT(($C$10:$C$40="férié")*($AA$10:$AA$40))</f>
        <v>#VALUE!</v>
      </c>
      <c r="AB7" s="254">
        <f>SUMIF(D10:D40,"&gt;0",AB10:AB40)</f>
        <v>0</v>
      </c>
      <c r="AC7" s="256">
        <f>SUMIF(D10:D40,"&gt;0",AC10:AC40)</f>
        <v>0</v>
      </c>
      <c r="AD7" s="28"/>
      <c r="AE7" s="320"/>
      <c r="AF7" s="321"/>
      <c r="AG7" s="28"/>
      <c r="AH7" s="10" t="s">
        <v>20</v>
      </c>
      <c r="AI7" s="2" t="e">
        <f>X7*24</f>
        <v>#VALUE!</v>
      </c>
      <c r="AJ7" s="109">
        <v>0.99299999999999999</v>
      </c>
      <c r="AK7" s="196" t="e">
        <f t="shared" si="0"/>
        <v>#VALUE!</v>
      </c>
      <c r="AL7" s="28"/>
      <c r="AM7" s="28"/>
      <c r="AN7" s="28"/>
      <c r="AO7" s="28"/>
      <c r="AP7" s="28"/>
    </row>
    <row r="8" spans="1:42" ht="16" customHeight="1" thickBot="1">
      <c r="A8" s="28"/>
      <c r="B8" s="28"/>
      <c r="C8" s="28"/>
      <c r="D8" s="314"/>
      <c r="E8" s="177" t="s">
        <v>10</v>
      </c>
      <c r="F8" s="198"/>
      <c r="G8" s="197" t="s">
        <v>34</v>
      </c>
      <c r="H8" s="58" t="s">
        <v>34</v>
      </c>
      <c r="I8" s="203" t="s">
        <v>34</v>
      </c>
      <c r="J8" s="58" t="s">
        <v>34</v>
      </c>
      <c r="K8" s="61" t="s">
        <v>34</v>
      </c>
      <c r="L8" s="64" t="s">
        <v>47</v>
      </c>
      <c r="M8" s="174" t="s">
        <v>48</v>
      </c>
      <c r="N8" s="179" t="s">
        <v>11</v>
      </c>
      <c r="O8" s="318"/>
      <c r="P8" s="211">
        <v>0</v>
      </c>
      <c r="Q8" s="70">
        <f>IF(ISBLANK(F7),0/24,P9)</f>
        <v>0.25</v>
      </c>
      <c r="R8" s="70">
        <f>Q9</f>
        <v>0.875</v>
      </c>
      <c r="S8" s="70">
        <f>R9</f>
        <v>1</v>
      </c>
      <c r="T8" s="70">
        <f>S9</f>
        <v>1.25</v>
      </c>
      <c r="U8" s="71">
        <f>T9</f>
        <v>1.875</v>
      </c>
      <c r="V8" s="305" t="s">
        <v>44</v>
      </c>
      <c r="W8" s="306"/>
      <c r="X8" s="322" t="s">
        <v>4</v>
      </c>
      <c r="Y8" s="322"/>
      <c r="Z8" s="306" t="s">
        <v>3</v>
      </c>
      <c r="AA8" s="306"/>
      <c r="AB8" s="306" t="s">
        <v>2</v>
      </c>
      <c r="AC8" s="308"/>
      <c r="AD8" s="43"/>
      <c r="AE8" s="91" t="s">
        <v>61</v>
      </c>
      <c r="AF8" s="92" t="e">
        <f>SUMPRODUCT((($C$10:$C$40="férié")*(WEEKDAY($D$10:$D$40)&lt;&gt;1)+($C$10:$C$40="se"))*($N$10:$N$40&gt;0))</f>
        <v>#VALUE!</v>
      </c>
      <c r="AG8" s="28"/>
      <c r="AH8" s="10" t="s">
        <v>19</v>
      </c>
      <c r="AI8" s="2" t="e">
        <f>Y7*24</f>
        <v>#VALUE!</v>
      </c>
      <c r="AJ8" s="109">
        <v>1.88</v>
      </c>
      <c r="AK8" s="196" t="e">
        <f t="shared" si="0"/>
        <v>#VALUE!</v>
      </c>
      <c r="AL8" s="28"/>
      <c r="AM8" s="28"/>
      <c r="AN8" s="28"/>
      <c r="AO8" s="28"/>
      <c r="AP8" s="28"/>
    </row>
    <row r="9" spans="1:42" ht="16" customHeight="1" thickBot="1">
      <c r="A9" s="28"/>
      <c r="B9" s="181" t="s">
        <v>5</v>
      </c>
      <c r="C9" s="182" t="s">
        <v>25</v>
      </c>
      <c r="D9" s="60" t="s">
        <v>12</v>
      </c>
      <c r="E9" s="60" t="s">
        <v>7</v>
      </c>
      <c r="F9" s="184" t="s">
        <v>13</v>
      </c>
      <c r="G9" s="59" t="s">
        <v>35</v>
      </c>
      <c r="H9" s="59" t="s">
        <v>36</v>
      </c>
      <c r="I9" s="204" t="s">
        <v>87</v>
      </c>
      <c r="J9" s="59" t="s">
        <v>45</v>
      </c>
      <c r="K9" s="62" t="s">
        <v>46</v>
      </c>
      <c r="L9" s="178">
        <f>SUM(L10:L40)</f>
        <v>0</v>
      </c>
      <c r="M9" s="185">
        <f>SUM(M10:M40)</f>
        <v>0</v>
      </c>
      <c r="N9" s="180" t="s">
        <v>108</v>
      </c>
      <c r="O9" s="319"/>
      <c r="P9" s="212">
        <v>0.25</v>
      </c>
      <c r="Q9" s="72">
        <f>F6</f>
        <v>0.875</v>
      </c>
      <c r="R9" s="72">
        <f>24/24</f>
        <v>1</v>
      </c>
      <c r="S9" s="72">
        <f>IF(ISBLANK(F7),Q9+24/24,IF(P9=0/24,Q9+24/24,P9+24/24))</f>
        <v>1.25</v>
      </c>
      <c r="T9" s="72">
        <f>Q9+24/24</f>
        <v>1.875</v>
      </c>
      <c r="U9" s="73">
        <v>2</v>
      </c>
      <c r="V9" s="323" t="e">
        <f>SUMPRODUCT((($C$10:$C$40="férié")*(WEEKDAY($D$10:$D$40)&lt;&gt;1)+($C$10:$C$40="se"))*($N$10:$N$40&gt;0))</f>
        <v>#VALUE!</v>
      </c>
      <c r="W9" s="324"/>
      <c r="X9" s="344" t="e">
        <f>SUMPRODUCT((WEEKDAY($D$10:$D$40)=1)*($N$10:$N$40&gt;0))</f>
        <v>#VALUE!</v>
      </c>
      <c r="Y9" s="344"/>
      <c r="Z9" s="324" t="e">
        <f>SUMPRODUCT(($C$10:$C$40="férié")*($N$10:$N$40&gt;0))</f>
        <v>#VALUE!</v>
      </c>
      <c r="AA9" s="324"/>
      <c r="AB9" s="324">
        <f>COUNTA(G10:G40)</f>
        <v>0</v>
      </c>
      <c r="AC9" s="345"/>
      <c r="AD9" s="43"/>
      <c r="AE9" s="320"/>
      <c r="AF9" s="321"/>
      <c r="AG9" s="28"/>
      <c r="AH9" s="10" t="s">
        <v>21</v>
      </c>
      <c r="AI9" s="2" t="e">
        <f>Z5*24</f>
        <v>#VALUE!</v>
      </c>
      <c r="AJ9" s="109">
        <v>9.93</v>
      </c>
      <c r="AK9" s="196" t="e">
        <f t="shared" si="0"/>
        <v>#VALUE!</v>
      </c>
      <c r="AL9" s="28"/>
      <c r="AM9" s="28"/>
      <c r="AN9" s="28"/>
      <c r="AO9" s="28"/>
      <c r="AP9" s="28"/>
    </row>
    <row r="10" spans="1:42" ht="16" customHeight="1">
      <c r="A10" s="28"/>
      <c r="B10" s="183">
        <v>1</v>
      </c>
      <c r="C10" s="57" t="str">
        <f t="shared" ref="C10:C40" si="1">IF(D10=0,0,IF(COUNTIF(Fériés,D10)&gt;0,"Férié",IF(WEEKDAY(D10,2)&lt;=6,"Se","Dim")))</f>
        <v>Se</v>
      </c>
      <c r="D10" s="151">
        <f>DATE(An,2,1)</f>
        <v>42401</v>
      </c>
      <c r="E10" s="113"/>
      <c r="F10" s="113"/>
      <c r="G10" s="114"/>
      <c r="H10" s="114"/>
      <c r="I10" s="206" t="str">
        <f>IF(OR(G10="",H10=""),"",MOD(H10-G10,1)+(G10=H10))</f>
        <v/>
      </c>
      <c r="J10" s="117"/>
      <c r="K10" s="118"/>
      <c r="L10" s="189" t="str">
        <f>IF(N10*24&gt;=6,1,"")</f>
        <v/>
      </c>
      <c r="M10" s="223" t="str">
        <f t="shared" ref="M10:M40" si="2">IF(E10="Maitre chien",I10+J10+K10,"")</f>
        <v/>
      </c>
      <c r="N10" s="220">
        <f t="shared" ref="N10:N40" si="3">SUM(I10,J10,K10)</f>
        <v>0</v>
      </c>
      <c r="O10" s="121"/>
      <c r="P10" s="224" t="str">
        <f>IF(OR($D10="",I10="",P$9=""),"",IF(IF(AND($I10=1,$G10&lt;&gt;$H10),1/4,IF($G10&gt;=$H10,MAX(MIN(P$9,$H10+24/24)-MAX(P$8,$G10)),MAX(MIN(P$9,$H10)-MAX(P$8,$G10))))&lt;0,0,IF(AND($I10=1,$G10&lt;&gt;$H10),1/4,IF($G10&gt;=$H10,MAX(MIN(P$9,$H10+24/24)-MAX(P$8,$G10)),MAX(MIN(P$9,$H10)-MAX(P$8,$G10))))))</f>
        <v/>
      </c>
      <c r="Q10" s="225" t="str">
        <f>IF(OR($D10="",P10="",Q$9=""),"",IF(IF(AND($I10=1,$G10&lt;&gt;$H10),(1/24)*15,IF($G10&gt;=$H10,MAX(,MIN(Q$9,$H10+24/24)-MAX(Q$8,$G10)),MAX(,MIN(Q$9,$H10)-MAX(Q$8,$G10))))&lt;0,0,IF(AND($I10=1,$G10&lt;&gt;$H10),(1/24)*15,IF($G10&gt;=$H10,MAX(,MIN(Q$9,$H10+24/24)-MAX(Q$8,$G10)),MAX(,MIN(Q$9,$H10)-MAX(Q$8,$G10))))))</f>
        <v/>
      </c>
      <c r="R10" s="215" t="str">
        <f>IF(OR($D10="",Q10="",R$9=""),"",IF(IF(AND($I10=1,$G10&lt;&gt;$H10),(1/8),IF($G10&gt;=$H10,MAX(,MIN(R$9,$H10+24/24)-MAX(R$8,$G10)),MAX(,MIN(R$9,$H10)-MAX(R$8,$G10))))&lt;0,0,IF(AND($I10=1,$G10&lt;&gt;$H10),(1/8),IF($G10&gt;=$H10,MAX(,MIN(R$9,$H10+24/24)-MAX(R$8,$G10)),MAX(,MIN(R$9,$H10)-MAX(R$8,$G10))))))</f>
        <v/>
      </c>
      <c r="S10" s="213"/>
      <c r="T10" s="214"/>
      <c r="U10" s="215"/>
      <c r="V10" s="228">
        <f>SUMPRODUCT(($C$10="se")*($AB$10))</f>
        <v>0</v>
      </c>
      <c r="W10" s="229">
        <f>SUMPRODUCT(($C$10="se")*($AC$10))</f>
        <v>0</v>
      </c>
      <c r="X10" s="230">
        <f t="shared" ref="X10:X40" si="4">(WEEKDAY($D10)=1)*($AB10)</f>
        <v>0</v>
      </c>
      <c r="Y10" s="231">
        <f t="shared" ref="Y10:Y40" si="5">(WEEKDAY($D10)=1)*($AC10)</f>
        <v>0</v>
      </c>
      <c r="Z10" s="232">
        <f>SUMPRODUCT(($C$10="férié")*($AB$10))</f>
        <v>0</v>
      </c>
      <c r="AA10" s="233">
        <f>SUMPRODUCT(($C$10="férié")*($AC$10))</f>
        <v>0</v>
      </c>
      <c r="AB10" s="234">
        <f>SUM(J10,Q10,T10)</f>
        <v>0</v>
      </c>
      <c r="AC10" s="235">
        <f>SUM(K10,P10,R10,S10,U10)</f>
        <v>0</v>
      </c>
      <c r="AD10" s="43"/>
      <c r="AE10" s="91" t="s">
        <v>71</v>
      </c>
      <c r="AF10" s="186">
        <f>SUMIF(D10:D40,"&gt;0",AB10:AB40)</f>
        <v>0</v>
      </c>
      <c r="AG10" s="28"/>
      <c r="AH10" s="12" t="s">
        <v>22</v>
      </c>
      <c r="AI10" s="2" t="e">
        <f>SUM(AI5:AI9)</f>
        <v>#VALUE!</v>
      </c>
      <c r="AJ10" s="109">
        <v>0.13100000000000001</v>
      </c>
      <c r="AK10" s="196" t="e">
        <f t="shared" si="0"/>
        <v>#VALUE!</v>
      </c>
      <c r="AL10" s="28"/>
      <c r="AM10" s="28"/>
      <c r="AN10" s="28"/>
      <c r="AO10" s="28"/>
      <c r="AP10" s="28"/>
    </row>
    <row r="11" spans="1:42" ht="16" customHeight="1" thickBot="1">
      <c r="A11" s="28"/>
      <c r="B11" s="183">
        <v>2</v>
      </c>
      <c r="C11" s="57" t="str">
        <f t="shared" si="1"/>
        <v>Se</v>
      </c>
      <c r="D11" s="152">
        <f>IF(D10="","",IF(MONTH(D10+1)=MONTH($D$10),D10+1,""))</f>
        <v>42402</v>
      </c>
      <c r="E11" s="115"/>
      <c r="F11" s="115"/>
      <c r="G11" s="116"/>
      <c r="H11" s="116"/>
      <c r="I11" s="207" t="str">
        <f t="shared" ref="I11:I40" si="6">IF(OR(G11="",H11=""),"",MOD(H11-G11,1)+(G11=H11))</f>
        <v/>
      </c>
      <c r="J11" s="119"/>
      <c r="K11" s="120"/>
      <c r="L11" s="190" t="str">
        <f t="shared" ref="L11:L40" si="7">IF(N11*24&gt;=6,1,"")</f>
        <v/>
      </c>
      <c r="M11" s="222" t="str">
        <f t="shared" si="2"/>
        <v/>
      </c>
      <c r="N11" s="221">
        <f t="shared" si="3"/>
        <v>0</v>
      </c>
      <c r="O11" s="122"/>
      <c r="P11" s="216" t="str">
        <f t="shared" ref="P11:P40" si="8">IF(OR($D11="",I11="",P$9=""),"",IF(IF(AND($I11=1,$G11&lt;&gt;$H11),1/4,IF($G11&gt;=$H11,MAX(MIN(P$9,$H11+24/24)-MAX(P$8,$G11)),MAX(MIN(P$9,$H11)-MAX(P$8,$G11))))&lt;0,0,IF(AND($I11=1,$G11&lt;&gt;$H11),1/4,IF($G11&gt;=$H11,MAX(MIN(P$9,$H11+24/24)-MAX(P$8,$G11)),MAX(MIN(P$9,$H11)-MAX(P$8,$G11))))))</f>
        <v/>
      </c>
      <c r="Q11" s="226" t="str">
        <f t="shared" ref="Q11:Q40" si="9">IF(OR($D11="",P11="",Q$9=""),"",IF(IF(AND($I11=1,$G11&lt;&gt;$H11),(1/24)*15,IF($G11&gt;=$H11,MAX(,MIN(Q$9,$H11+24/24)-MAX(Q$8,$G11)),MAX(,MIN(Q$9,$H11)-MAX(Q$8,$G11))))&lt;0,0,IF(AND($I11=1,$G11&lt;&gt;$H11),(1/24)*15,IF($G11&gt;=$H11,MAX(,MIN(Q$9,$H11+24/24)-MAX(Q$8,$G11)),MAX(,MIN(Q$9,$H11)-MAX(Q$8,$G11))))))</f>
        <v/>
      </c>
      <c r="R11" s="219" t="str">
        <f t="shared" ref="R11:R39" si="10">IF(OR($D11="",Q11="",R$9=""),"",IF(IF(AND($I11=1,$G11&lt;&gt;$H11),(1/8),IF($G11&gt;=$H11,MAX(,MIN(R$9,$H11+24/24)-MAX(R$8,$G11)),MAX(,MIN(R$9,$H11)-MAX(R$8,$G11))))&lt;0,0,IF(AND($I11=1,$G11&lt;&gt;$H11),(1/8),IF($G11&gt;=$H11,MAX(,MIN(R$9,$H11+24/24)-MAX(R$8,$G11)),MAX(,MIN(R$9,$H11)-MAX(R$8,$G11))))))</f>
        <v/>
      </c>
      <c r="S11" s="217" t="str">
        <f>IF(OR(R10="",S$9=""),"",IF(IF($G10&gt;0,IF($G10&gt;=$H10,MAX(,MIN(S$9,$H10+24/24)-MAX(S$8,$G10)),MAX(MIN(S$9,$H10)-MAX(S$8,$G10))),0)&lt;0,0,IF($G10&gt;0,IF($G10&gt;=$H10,MAX(,MIN(S$9,$H10+24/24)-MAX(S$8,$G10)),MAX(MIN(S$9,$H10)-MAX(S$8,$G10))),0)))</f>
        <v/>
      </c>
      <c r="T11" s="218" t="str">
        <f>IF(OR(S11="",T$9=""),"",IF(IF($G10&gt;0,IF($G10&gt;=$H10,MAX(,MIN(T$9,$H10+24/24)-MAX(T$8,$G10)),MAX(,MIN(T$9,$H10)-MAX(T$8,$G10))),0)&lt;0,0,IF($G10&gt;0,IF($G10&gt;=$H10,MAX(,MIN(T$9,$H10+24/24)-MAX(T$8,$G10)),MAX(,MIN(T$9,$H10)-MAX(T$8,$G10))),0)))</f>
        <v/>
      </c>
      <c r="U11" s="219" t="str">
        <f>IF(OR(T11="",U$9=""),"",IF(IF($G10&gt;0,IF($G10&gt;=$H10,MAX(,MIN(U$9,$H10+24/24)-MAX(U$8,$G10)),MAX(,MIN(U$9,$H10)-MAX(U$8,$G10))),0)&lt;0,0,IF($G10&gt;0,IF($G10&gt;=$H10,MAX(,MIN(U$9,$H10+24/24)-MAX(U$8,$G10)),MAX(,MIN(U$9,$H10)-MAX(U$8,$G10))),0)))</f>
        <v/>
      </c>
      <c r="V11" s="236">
        <f>SUMPRODUCT(($C$11="se")*($AB$11))</f>
        <v>0</v>
      </c>
      <c r="W11" s="237">
        <f>SUMPRODUCT(($C$11="se")*($AC$11))</f>
        <v>0</v>
      </c>
      <c r="X11" s="238">
        <f t="shared" si="4"/>
        <v>0</v>
      </c>
      <c r="Y11" s="239">
        <f t="shared" si="5"/>
        <v>0</v>
      </c>
      <c r="Z11" s="240">
        <f>SUMPRODUCT(($C$11="férié")*($AB$11))</f>
        <v>0</v>
      </c>
      <c r="AA11" s="241">
        <f>SUMPRODUCT(($C$11="férié")*($AC$11))</f>
        <v>0</v>
      </c>
      <c r="AB11" s="242">
        <f>SUM(J11,Q11,T11)</f>
        <v>0</v>
      </c>
      <c r="AC11" s="243">
        <f>SUM(K11,P11,R11,S11,U11)</f>
        <v>0</v>
      </c>
      <c r="AD11" s="43"/>
      <c r="AE11" s="346"/>
      <c r="AF11" s="347"/>
      <c r="AG11" s="28"/>
      <c r="AH11" s="13" t="s">
        <v>24</v>
      </c>
      <c r="AI11" s="14" t="e">
        <f>SUM(AI6+AI8)</f>
        <v>#VALUE!</v>
      </c>
      <c r="AJ11" s="110"/>
      <c r="AK11" s="194"/>
      <c r="AL11" s="28"/>
      <c r="AM11" s="28"/>
      <c r="AN11" s="28"/>
      <c r="AO11" s="28"/>
      <c r="AP11" s="28"/>
    </row>
    <row r="12" spans="1:42" ht="16" customHeight="1" thickBot="1">
      <c r="A12" s="28"/>
      <c r="B12" s="183">
        <v>3</v>
      </c>
      <c r="C12" s="57" t="str">
        <f t="shared" si="1"/>
        <v>Se</v>
      </c>
      <c r="D12" s="152">
        <f t="shared" ref="D12:D40" si="11">IF(D11="","",IF(MONTH(D11+1)=MONTH($D$10),D11+1,""))</f>
        <v>42403</v>
      </c>
      <c r="E12" s="115"/>
      <c r="F12" s="115"/>
      <c r="G12" s="116"/>
      <c r="H12" s="116"/>
      <c r="I12" s="207" t="str">
        <f t="shared" si="6"/>
        <v/>
      </c>
      <c r="J12" s="119"/>
      <c r="K12" s="120"/>
      <c r="L12" s="190" t="str">
        <f t="shared" si="7"/>
        <v/>
      </c>
      <c r="M12" s="222" t="str">
        <f t="shared" si="2"/>
        <v/>
      </c>
      <c r="N12" s="221">
        <f t="shared" si="3"/>
        <v>0</v>
      </c>
      <c r="O12" s="122"/>
      <c r="P12" s="216" t="str">
        <f t="shared" si="8"/>
        <v/>
      </c>
      <c r="Q12" s="226" t="str">
        <f t="shared" si="9"/>
        <v/>
      </c>
      <c r="R12" s="219" t="str">
        <f t="shared" si="10"/>
        <v/>
      </c>
      <c r="S12" s="217" t="str">
        <f t="shared" ref="S12:S40" si="12">IF(OR(R11="",S$9=""),"",IF(IF($G11&gt;0,IF($G11&gt;=$H11,MAX(,MIN(S$9,$H11+24/24)-MAX(S$8,$G11)),MAX(MIN(S$9,$H11)-MAX(S$8,$G11))),0)&lt;0,0,IF($G11&gt;0,IF($G11&gt;=$H11,MAX(,MIN(S$9,$H11+24/24)-MAX(S$8,$G11)),MAX(MIN(S$9,$H11)-MAX(S$8,$G11))),0)))</f>
        <v/>
      </c>
      <c r="T12" s="218" t="str">
        <f t="shared" ref="T12:U27" si="13">IF(OR(S12="",T$9=""),"",IF(IF($G11&gt;0,IF($G11&gt;=$H11,MAX(,MIN(T$9,$H11+24/24)-MAX(T$8,$G11)),MAX(,MIN(T$9,$H11)-MAX(T$8,$G11))),0)&lt;0,0,IF($G11&gt;0,IF($G11&gt;=$H11,MAX(,MIN(T$9,$H11+24/24)-MAX(T$8,$G11)),MAX(,MIN(T$9,$H11)-MAX(T$8,$G11))),0)))</f>
        <v/>
      </c>
      <c r="U12" s="219" t="str">
        <f t="shared" si="13"/>
        <v/>
      </c>
      <c r="V12" s="236">
        <f>SUMPRODUCT(($C$12="se")*($AB$12))</f>
        <v>0</v>
      </c>
      <c r="W12" s="237">
        <f>SUMPRODUCT(($C$12="se")*($AC$12))</f>
        <v>0</v>
      </c>
      <c r="X12" s="238">
        <f t="shared" si="4"/>
        <v>0</v>
      </c>
      <c r="Y12" s="239">
        <f t="shared" si="5"/>
        <v>0</v>
      </c>
      <c r="Z12" s="240">
        <f>SUMPRODUCT(($C$12="férié")*($AB$12))</f>
        <v>0</v>
      </c>
      <c r="AA12" s="241">
        <f>SUMPRODUCT(($C$12="férié")*($AC$12))</f>
        <v>0</v>
      </c>
      <c r="AB12" s="242">
        <f t="shared" ref="AB12:AB40" si="14">SUM(J12,Q12,T12)</f>
        <v>0</v>
      </c>
      <c r="AC12" s="243">
        <f t="shared" ref="AC12:AC40" si="15">SUM(K12,P12,R12,S12,U12)</f>
        <v>0</v>
      </c>
      <c r="AD12" s="43"/>
      <c r="AE12" s="91" t="s">
        <v>72</v>
      </c>
      <c r="AF12" s="186">
        <f>SUMIF(D10:D40,"&gt;0",AC10:AC40)</f>
        <v>0</v>
      </c>
      <c r="AG12" s="28"/>
      <c r="AH12" s="47"/>
      <c r="AI12" s="40"/>
      <c r="AJ12" s="19" t="s">
        <v>76</v>
      </c>
      <c r="AK12" s="192" t="e">
        <f>SUM(AK5:AK11)</f>
        <v>#VALUE!</v>
      </c>
      <c r="AL12" s="28"/>
      <c r="AM12" s="28"/>
      <c r="AN12" s="28"/>
      <c r="AO12" s="28"/>
      <c r="AP12" s="28"/>
    </row>
    <row r="13" spans="1:42" ht="16" customHeight="1" thickBot="1">
      <c r="A13" s="28"/>
      <c r="B13" s="183">
        <v>4</v>
      </c>
      <c r="C13" s="57" t="str">
        <f t="shared" si="1"/>
        <v>Se</v>
      </c>
      <c r="D13" s="152">
        <f t="shared" si="11"/>
        <v>42404</v>
      </c>
      <c r="E13" s="115"/>
      <c r="F13" s="115"/>
      <c r="G13" s="116"/>
      <c r="H13" s="116"/>
      <c r="I13" s="207" t="str">
        <f t="shared" si="6"/>
        <v/>
      </c>
      <c r="J13" s="119"/>
      <c r="K13" s="120"/>
      <c r="L13" s="190" t="str">
        <f t="shared" si="7"/>
        <v/>
      </c>
      <c r="M13" s="222" t="str">
        <f t="shared" si="2"/>
        <v/>
      </c>
      <c r="N13" s="221">
        <f t="shared" si="3"/>
        <v>0</v>
      </c>
      <c r="O13" s="122"/>
      <c r="P13" s="216" t="str">
        <f t="shared" si="8"/>
        <v/>
      </c>
      <c r="Q13" s="226" t="str">
        <f t="shared" si="9"/>
        <v/>
      </c>
      <c r="R13" s="219" t="str">
        <f t="shared" si="10"/>
        <v/>
      </c>
      <c r="S13" s="217" t="str">
        <f t="shared" si="12"/>
        <v/>
      </c>
      <c r="T13" s="218" t="str">
        <f t="shared" si="13"/>
        <v/>
      </c>
      <c r="U13" s="219" t="str">
        <f t="shared" si="13"/>
        <v/>
      </c>
      <c r="V13" s="236">
        <f>SUMPRODUCT(($C$13="se")*($AB$13))</f>
        <v>0</v>
      </c>
      <c r="W13" s="237">
        <f>SUMPRODUCT(($C$13="se")*($AC$13))</f>
        <v>0</v>
      </c>
      <c r="X13" s="238">
        <f t="shared" si="4"/>
        <v>0</v>
      </c>
      <c r="Y13" s="239">
        <f t="shared" si="5"/>
        <v>0</v>
      </c>
      <c r="Z13" s="240">
        <f>SUMPRODUCT(($C$13="férié")*($AB$13))</f>
        <v>0</v>
      </c>
      <c r="AA13" s="241">
        <f>SUMPRODUCT(($C$13="férié")*($AC$13))</f>
        <v>0</v>
      </c>
      <c r="AB13" s="242">
        <f t="shared" si="14"/>
        <v>0</v>
      </c>
      <c r="AC13" s="243">
        <f t="shared" si="15"/>
        <v>0</v>
      </c>
      <c r="AD13" s="43"/>
      <c r="AE13" s="332"/>
      <c r="AF13" s="333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6" customHeight="1">
      <c r="A14" s="28"/>
      <c r="B14" s="183">
        <v>5</v>
      </c>
      <c r="C14" s="57" t="str">
        <f t="shared" si="1"/>
        <v>Se</v>
      </c>
      <c r="D14" s="152">
        <f t="shared" si="11"/>
        <v>42405</v>
      </c>
      <c r="E14" s="115"/>
      <c r="F14" s="115"/>
      <c r="G14" s="116"/>
      <c r="H14" s="116"/>
      <c r="I14" s="207" t="str">
        <f t="shared" si="6"/>
        <v/>
      </c>
      <c r="J14" s="119"/>
      <c r="K14" s="120"/>
      <c r="L14" s="190" t="str">
        <f t="shared" si="7"/>
        <v/>
      </c>
      <c r="M14" s="222" t="str">
        <f t="shared" si="2"/>
        <v/>
      </c>
      <c r="N14" s="221">
        <f t="shared" si="3"/>
        <v>0</v>
      </c>
      <c r="O14" s="122"/>
      <c r="P14" s="216" t="str">
        <f t="shared" si="8"/>
        <v/>
      </c>
      <c r="Q14" s="226" t="str">
        <f t="shared" si="9"/>
        <v/>
      </c>
      <c r="R14" s="219" t="str">
        <f t="shared" si="10"/>
        <v/>
      </c>
      <c r="S14" s="217" t="str">
        <f t="shared" si="12"/>
        <v/>
      </c>
      <c r="T14" s="218" t="str">
        <f t="shared" si="13"/>
        <v/>
      </c>
      <c r="U14" s="219" t="str">
        <f t="shared" si="13"/>
        <v/>
      </c>
      <c r="V14" s="236">
        <f>SUMPRODUCT(($C$14="se")*($AB$14))</f>
        <v>0</v>
      </c>
      <c r="W14" s="237">
        <f>SUMPRODUCT(($C$14="se")*($AC$14))</f>
        <v>0</v>
      </c>
      <c r="X14" s="238">
        <f t="shared" si="4"/>
        <v>0</v>
      </c>
      <c r="Y14" s="239">
        <f t="shared" si="5"/>
        <v>0</v>
      </c>
      <c r="Z14" s="240">
        <f>SUMPRODUCT(($C$14="férié")*($AB$14))</f>
        <v>0</v>
      </c>
      <c r="AA14" s="241">
        <f>SUMPRODUCT(($C$14="férié")*($AC$14))</f>
        <v>0</v>
      </c>
      <c r="AB14" s="242">
        <f t="shared" si="14"/>
        <v>0</v>
      </c>
      <c r="AC14" s="243">
        <f t="shared" si="15"/>
        <v>0</v>
      </c>
      <c r="AD14" s="43"/>
      <c r="AE14" s="94" t="s">
        <v>81</v>
      </c>
      <c r="AF14" s="95" t="e">
        <f>SUMPRODUCT((WEEKDAY($D$10:$D$40)=1)*($N$10:$N$40&gt;0))</f>
        <v>#VALUE!</v>
      </c>
      <c r="AG14" s="28"/>
      <c r="AH14" s="338" t="s">
        <v>16</v>
      </c>
      <c r="AI14" s="339"/>
      <c r="AJ14" s="339"/>
      <c r="AK14" s="340"/>
      <c r="AL14" s="28"/>
      <c r="AM14" s="28"/>
      <c r="AN14" s="28"/>
      <c r="AO14" s="28"/>
      <c r="AP14" s="28"/>
    </row>
    <row r="15" spans="1:42" ht="16" customHeight="1">
      <c r="A15" s="28"/>
      <c r="B15" s="183">
        <v>6</v>
      </c>
      <c r="C15" s="57" t="str">
        <f t="shared" si="1"/>
        <v>Se</v>
      </c>
      <c r="D15" s="152">
        <f t="shared" si="11"/>
        <v>42406</v>
      </c>
      <c r="E15" s="115"/>
      <c r="F15" s="115"/>
      <c r="G15" s="116"/>
      <c r="H15" s="116"/>
      <c r="I15" s="207" t="str">
        <f t="shared" si="6"/>
        <v/>
      </c>
      <c r="J15" s="119"/>
      <c r="K15" s="120"/>
      <c r="L15" s="190" t="str">
        <f t="shared" si="7"/>
        <v/>
      </c>
      <c r="M15" s="222" t="str">
        <f t="shared" si="2"/>
        <v/>
      </c>
      <c r="N15" s="221">
        <f t="shared" si="3"/>
        <v>0</v>
      </c>
      <c r="O15" s="122"/>
      <c r="P15" s="216" t="str">
        <f t="shared" si="8"/>
        <v/>
      </c>
      <c r="Q15" s="226" t="str">
        <f t="shared" si="9"/>
        <v/>
      </c>
      <c r="R15" s="219" t="str">
        <f t="shared" si="10"/>
        <v/>
      </c>
      <c r="S15" s="217" t="str">
        <f t="shared" si="12"/>
        <v/>
      </c>
      <c r="T15" s="218" t="str">
        <f t="shared" si="13"/>
        <v/>
      </c>
      <c r="U15" s="219" t="str">
        <f t="shared" si="13"/>
        <v/>
      </c>
      <c r="V15" s="236">
        <f>SUMPRODUCT(($C$15="se")*($AB$15))</f>
        <v>0</v>
      </c>
      <c r="W15" s="237">
        <f>SUMPRODUCT(($C$15="se")*($AC$15))</f>
        <v>0</v>
      </c>
      <c r="X15" s="238">
        <f t="shared" si="4"/>
        <v>0</v>
      </c>
      <c r="Y15" s="239">
        <f t="shared" si="5"/>
        <v>0</v>
      </c>
      <c r="Z15" s="240">
        <f>SUMPRODUCT(($C$15="férié")*($AB$15))</f>
        <v>0</v>
      </c>
      <c r="AA15" s="241">
        <f>SUMPRODUCT(($C$15="férié")*($AC$15))</f>
        <v>0</v>
      </c>
      <c r="AB15" s="242">
        <f t="shared" si="14"/>
        <v>0</v>
      </c>
      <c r="AC15" s="243">
        <f t="shared" si="15"/>
        <v>0</v>
      </c>
      <c r="AD15" s="43"/>
      <c r="AE15" s="320"/>
      <c r="AF15" s="321"/>
      <c r="AG15" s="28"/>
      <c r="AH15" s="85"/>
      <c r="AI15" s="86" t="s">
        <v>11</v>
      </c>
      <c r="AJ15" s="86" t="s">
        <v>23</v>
      </c>
      <c r="AK15" s="87" t="s">
        <v>11</v>
      </c>
      <c r="AL15" s="28"/>
      <c r="AM15" s="28"/>
      <c r="AN15" s="28"/>
      <c r="AO15" s="28"/>
      <c r="AP15" s="28"/>
    </row>
    <row r="16" spans="1:42" ht="16" customHeight="1">
      <c r="A16" s="28"/>
      <c r="B16" s="183">
        <v>7</v>
      </c>
      <c r="C16" s="57" t="str">
        <f t="shared" si="1"/>
        <v>Dim</v>
      </c>
      <c r="D16" s="152">
        <f t="shared" si="11"/>
        <v>42407</v>
      </c>
      <c r="E16" s="115"/>
      <c r="F16" s="115"/>
      <c r="G16" s="116"/>
      <c r="H16" s="116"/>
      <c r="I16" s="207" t="str">
        <f t="shared" si="6"/>
        <v/>
      </c>
      <c r="J16" s="119"/>
      <c r="K16" s="120"/>
      <c r="L16" s="190" t="str">
        <f t="shared" si="7"/>
        <v/>
      </c>
      <c r="M16" s="222" t="str">
        <f t="shared" si="2"/>
        <v/>
      </c>
      <c r="N16" s="221">
        <f t="shared" si="3"/>
        <v>0</v>
      </c>
      <c r="O16" s="122"/>
      <c r="P16" s="216" t="str">
        <f t="shared" si="8"/>
        <v/>
      </c>
      <c r="Q16" s="226" t="str">
        <f t="shared" si="9"/>
        <v/>
      </c>
      <c r="R16" s="219" t="str">
        <f t="shared" si="10"/>
        <v/>
      </c>
      <c r="S16" s="217" t="str">
        <f t="shared" si="12"/>
        <v/>
      </c>
      <c r="T16" s="218" t="str">
        <f t="shared" si="13"/>
        <v/>
      </c>
      <c r="U16" s="219" t="str">
        <f t="shared" si="13"/>
        <v/>
      </c>
      <c r="V16" s="236">
        <f>SUMPRODUCT(($C$16="se")*($AB$16))</f>
        <v>0</v>
      </c>
      <c r="W16" s="237">
        <f>SUMPRODUCT(($C$16="se")*($AC$16))</f>
        <v>0</v>
      </c>
      <c r="X16" s="238">
        <f t="shared" si="4"/>
        <v>0</v>
      </c>
      <c r="Y16" s="239">
        <f t="shared" si="5"/>
        <v>0</v>
      </c>
      <c r="Z16" s="240">
        <f>SUMPRODUCT(($C$16="férié")*($AB$16))</f>
        <v>0</v>
      </c>
      <c r="AA16" s="241">
        <f>SUMPRODUCT(($C$16="férié")*($AC$16))</f>
        <v>0</v>
      </c>
      <c r="AB16" s="242">
        <f t="shared" si="14"/>
        <v>0</v>
      </c>
      <c r="AC16" s="243">
        <f t="shared" si="15"/>
        <v>0</v>
      </c>
      <c r="AD16" s="43"/>
      <c r="AE16" s="94" t="s">
        <v>75</v>
      </c>
      <c r="AF16" s="187" t="e">
        <f>SUM(X7+Y7)</f>
        <v>#VALUE!</v>
      </c>
      <c r="AG16" s="28"/>
      <c r="AH16" s="16" t="s">
        <v>78</v>
      </c>
      <c r="AI16" s="3">
        <f>SUM(L10:L40)</f>
        <v>0</v>
      </c>
      <c r="AJ16" s="111">
        <v>3.43</v>
      </c>
      <c r="AK16" s="193">
        <f>AI16*AJ16</f>
        <v>0</v>
      </c>
      <c r="AL16" s="28"/>
      <c r="AM16" s="28"/>
      <c r="AN16" s="28"/>
      <c r="AO16" s="28"/>
      <c r="AP16" s="28"/>
    </row>
    <row r="17" spans="1:42" ht="16" customHeight="1" thickBot="1">
      <c r="A17" s="28"/>
      <c r="B17" s="183">
        <v>8</v>
      </c>
      <c r="C17" s="57" t="str">
        <f t="shared" si="1"/>
        <v>Se</v>
      </c>
      <c r="D17" s="152">
        <f t="shared" si="11"/>
        <v>42408</v>
      </c>
      <c r="E17" s="115"/>
      <c r="F17" s="115"/>
      <c r="G17" s="116"/>
      <c r="H17" s="116"/>
      <c r="I17" s="207" t="str">
        <f t="shared" si="6"/>
        <v/>
      </c>
      <c r="J17" s="119"/>
      <c r="K17" s="120"/>
      <c r="L17" s="190" t="str">
        <f t="shared" si="7"/>
        <v/>
      </c>
      <c r="M17" s="222" t="str">
        <f t="shared" si="2"/>
        <v/>
      </c>
      <c r="N17" s="221">
        <f t="shared" si="3"/>
        <v>0</v>
      </c>
      <c r="O17" s="122"/>
      <c r="P17" s="216" t="str">
        <f t="shared" si="8"/>
        <v/>
      </c>
      <c r="Q17" s="226" t="str">
        <f t="shared" si="9"/>
        <v/>
      </c>
      <c r="R17" s="219" t="str">
        <f t="shared" si="10"/>
        <v/>
      </c>
      <c r="S17" s="217" t="str">
        <f t="shared" si="12"/>
        <v/>
      </c>
      <c r="T17" s="218" t="str">
        <f t="shared" si="13"/>
        <v/>
      </c>
      <c r="U17" s="219" t="str">
        <f t="shared" si="13"/>
        <v/>
      </c>
      <c r="V17" s="236">
        <f>SUMPRODUCT(($C$17="se")*($AB$17))</f>
        <v>0</v>
      </c>
      <c r="W17" s="237">
        <f>SUMPRODUCT(($C$17="se")*($AC$17))</f>
        <v>0</v>
      </c>
      <c r="X17" s="238">
        <f t="shared" si="4"/>
        <v>0</v>
      </c>
      <c r="Y17" s="239">
        <f t="shared" si="5"/>
        <v>0</v>
      </c>
      <c r="Z17" s="240">
        <f>SUMPRODUCT(($C$17="férié")*($AB$17))</f>
        <v>0</v>
      </c>
      <c r="AA17" s="241">
        <f>SUMPRODUCT(($C$17="férié")*($AC$17))</f>
        <v>0</v>
      </c>
      <c r="AB17" s="242">
        <f t="shared" si="14"/>
        <v>0</v>
      </c>
      <c r="AC17" s="243">
        <f t="shared" si="15"/>
        <v>0</v>
      </c>
      <c r="AD17" s="43"/>
      <c r="AE17" s="320"/>
      <c r="AF17" s="321"/>
      <c r="AG17" s="28"/>
      <c r="AH17" s="18" t="s">
        <v>77</v>
      </c>
      <c r="AI17" s="88">
        <f>SUM(M10:M40)*24</f>
        <v>0</v>
      </c>
      <c r="AJ17" s="110">
        <v>0.81</v>
      </c>
      <c r="AK17" s="191">
        <f>AI17*AJ17</f>
        <v>0</v>
      </c>
      <c r="AL17" s="28"/>
      <c r="AM17" s="28"/>
      <c r="AN17" s="28"/>
      <c r="AO17" s="28"/>
      <c r="AP17" s="28"/>
    </row>
    <row r="18" spans="1:42" ht="16" customHeight="1" thickBot="1">
      <c r="A18" s="28"/>
      <c r="B18" s="183">
        <v>9</v>
      </c>
      <c r="C18" s="57" t="str">
        <f t="shared" si="1"/>
        <v>Se</v>
      </c>
      <c r="D18" s="152">
        <f t="shared" si="11"/>
        <v>42409</v>
      </c>
      <c r="E18" s="115"/>
      <c r="F18" s="115"/>
      <c r="G18" s="116"/>
      <c r="H18" s="116"/>
      <c r="I18" s="207" t="str">
        <f t="shared" si="6"/>
        <v/>
      </c>
      <c r="J18" s="119"/>
      <c r="K18" s="120"/>
      <c r="L18" s="190" t="str">
        <f t="shared" si="7"/>
        <v/>
      </c>
      <c r="M18" s="222" t="str">
        <f t="shared" si="2"/>
        <v/>
      </c>
      <c r="N18" s="221">
        <f t="shared" si="3"/>
        <v>0</v>
      </c>
      <c r="O18" s="122"/>
      <c r="P18" s="216" t="str">
        <f t="shared" si="8"/>
        <v/>
      </c>
      <c r="Q18" s="226" t="str">
        <f t="shared" si="9"/>
        <v/>
      </c>
      <c r="R18" s="219" t="str">
        <f t="shared" si="10"/>
        <v/>
      </c>
      <c r="S18" s="217" t="str">
        <f t="shared" si="12"/>
        <v/>
      </c>
      <c r="T18" s="218" t="str">
        <f t="shared" si="13"/>
        <v/>
      </c>
      <c r="U18" s="219" t="str">
        <f t="shared" si="13"/>
        <v/>
      </c>
      <c r="V18" s="236">
        <f>SUMPRODUCT(($C$18="se")*($AB$18))</f>
        <v>0</v>
      </c>
      <c r="W18" s="237">
        <f>SUMPRODUCT(($C$18="se")*($AC$18))</f>
        <v>0</v>
      </c>
      <c r="X18" s="238">
        <f t="shared" si="4"/>
        <v>0</v>
      </c>
      <c r="Y18" s="239">
        <f t="shared" si="5"/>
        <v>0</v>
      </c>
      <c r="Z18" s="240">
        <f>SUMPRODUCT(($C$18="férié")*($AB$18))</f>
        <v>0</v>
      </c>
      <c r="AA18" s="241">
        <f>SUMPRODUCT(($C$18="férié")*($AC$18))</f>
        <v>0</v>
      </c>
      <c r="AB18" s="242">
        <f t="shared" si="14"/>
        <v>0</v>
      </c>
      <c r="AC18" s="243">
        <f t="shared" si="15"/>
        <v>0</v>
      </c>
      <c r="AD18" s="43"/>
      <c r="AE18" s="91" t="s">
        <v>73</v>
      </c>
      <c r="AF18" s="186" t="e">
        <f>SUMPRODUCT(($C$10:$C$40="dim")*($AB$10:$AB$40))</f>
        <v>#VALUE!</v>
      </c>
      <c r="AG18" s="28"/>
      <c r="AH18" s="48"/>
      <c r="AI18" s="49"/>
      <c r="AJ18" s="19" t="s">
        <v>76</v>
      </c>
      <c r="AK18" s="192">
        <f>SUM(AK16:AK17)</f>
        <v>0</v>
      </c>
      <c r="AL18" s="28"/>
      <c r="AM18" s="28"/>
      <c r="AN18" s="28"/>
      <c r="AO18" s="28"/>
      <c r="AP18" s="28"/>
    </row>
    <row r="19" spans="1:42" ht="16" customHeight="1" thickBot="1">
      <c r="A19" s="28"/>
      <c r="B19" s="183">
        <v>10</v>
      </c>
      <c r="C19" s="57" t="str">
        <f t="shared" si="1"/>
        <v>Se</v>
      </c>
      <c r="D19" s="152">
        <f t="shared" si="11"/>
        <v>42410</v>
      </c>
      <c r="E19" s="115"/>
      <c r="F19" s="115"/>
      <c r="G19" s="116"/>
      <c r="H19" s="116"/>
      <c r="I19" s="207" t="str">
        <f t="shared" si="6"/>
        <v/>
      </c>
      <c r="J19" s="119"/>
      <c r="K19" s="120"/>
      <c r="L19" s="190" t="str">
        <f t="shared" si="7"/>
        <v/>
      </c>
      <c r="M19" s="222" t="str">
        <f t="shared" si="2"/>
        <v/>
      </c>
      <c r="N19" s="221">
        <f t="shared" si="3"/>
        <v>0</v>
      </c>
      <c r="O19" s="122"/>
      <c r="P19" s="216" t="str">
        <f t="shared" si="8"/>
        <v/>
      </c>
      <c r="Q19" s="226" t="str">
        <f t="shared" si="9"/>
        <v/>
      </c>
      <c r="R19" s="219" t="str">
        <f t="shared" si="10"/>
        <v/>
      </c>
      <c r="S19" s="217" t="str">
        <f t="shared" si="12"/>
        <v/>
      </c>
      <c r="T19" s="218" t="str">
        <f t="shared" si="13"/>
        <v/>
      </c>
      <c r="U19" s="219" t="str">
        <f t="shared" si="13"/>
        <v/>
      </c>
      <c r="V19" s="236">
        <f>SUMPRODUCT(($C$19="se")*($AB$19))</f>
        <v>0</v>
      </c>
      <c r="W19" s="237">
        <f>SUMPRODUCT(($C$19="se")*($AC$19))</f>
        <v>0</v>
      </c>
      <c r="X19" s="238">
        <f t="shared" si="4"/>
        <v>0</v>
      </c>
      <c r="Y19" s="239">
        <f t="shared" si="5"/>
        <v>0</v>
      </c>
      <c r="Z19" s="240">
        <f>SUMPRODUCT(($C$19="férié")*($AB$19))</f>
        <v>0</v>
      </c>
      <c r="AA19" s="241">
        <f>SUMPRODUCT(($C$19="férié")*($AC$19))</f>
        <v>0</v>
      </c>
      <c r="AB19" s="242">
        <f t="shared" si="14"/>
        <v>0</v>
      </c>
      <c r="AC19" s="243">
        <f t="shared" si="15"/>
        <v>0</v>
      </c>
      <c r="AD19" s="43"/>
      <c r="AE19" s="332"/>
      <c r="AF19" s="333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6" customHeight="1">
      <c r="A20" s="28"/>
      <c r="B20" s="183">
        <v>11</v>
      </c>
      <c r="C20" s="57" t="str">
        <f t="shared" si="1"/>
        <v>Se</v>
      </c>
      <c r="D20" s="152">
        <f t="shared" si="11"/>
        <v>42411</v>
      </c>
      <c r="E20" s="115"/>
      <c r="F20" s="115"/>
      <c r="G20" s="116"/>
      <c r="H20" s="116"/>
      <c r="I20" s="207" t="str">
        <f t="shared" si="6"/>
        <v/>
      </c>
      <c r="J20" s="119"/>
      <c r="K20" s="120"/>
      <c r="L20" s="190" t="str">
        <f t="shared" si="7"/>
        <v/>
      </c>
      <c r="M20" s="222" t="str">
        <f t="shared" si="2"/>
        <v/>
      </c>
      <c r="N20" s="221">
        <f t="shared" si="3"/>
        <v>0</v>
      </c>
      <c r="O20" s="122"/>
      <c r="P20" s="216" t="str">
        <f t="shared" si="8"/>
        <v/>
      </c>
      <c r="Q20" s="226" t="str">
        <f t="shared" si="9"/>
        <v/>
      </c>
      <c r="R20" s="219" t="str">
        <f t="shared" si="10"/>
        <v/>
      </c>
      <c r="S20" s="217" t="str">
        <f t="shared" si="12"/>
        <v/>
      </c>
      <c r="T20" s="218" t="str">
        <f t="shared" si="13"/>
        <v/>
      </c>
      <c r="U20" s="219" t="str">
        <f t="shared" si="13"/>
        <v/>
      </c>
      <c r="V20" s="236">
        <f>SUMPRODUCT(($C$20="se")*($AB$20))</f>
        <v>0</v>
      </c>
      <c r="W20" s="237">
        <f>SUMPRODUCT(($C$20="se")*($AC$20))</f>
        <v>0</v>
      </c>
      <c r="X20" s="238">
        <f t="shared" si="4"/>
        <v>0</v>
      </c>
      <c r="Y20" s="239">
        <f t="shared" si="5"/>
        <v>0</v>
      </c>
      <c r="Z20" s="240">
        <f>SUMPRODUCT(($C$20="férié")*($AB$20))</f>
        <v>0</v>
      </c>
      <c r="AA20" s="241">
        <f>SUMPRODUCT(($C$20="férié")*($AC$20))</f>
        <v>0</v>
      </c>
      <c r="AB20" s="242">
        <f t="shared" si="14"/>
        <v>0</v>
      </c>
      <c r="AC20" s="243">
        <f t="shared" si="15"/>
        <v>0</v>
      </c>
      <c r="AD20" s="43"/>
      <c r="AE20" s="91" t="s">
        <v>74</v>
      </c>
      <c r="AF20" s="186" t="e">
        <f>SUMPRODUCT(($C$10:$C$40="dim")*($AC$10:$AC$40))</f>
        <v>#VALUE!</v>
      </c>
      <c r="AG20" s="28"/>
      <c r="AH20" s="341" t="s">
        <v>82</v>
      </c>
      <c r="AI20" s="342"/>
      <c r="AJ20" s="342"/>
      <c r="AK20" s="343"/>
      <c r="AL20" s="28"/>
      <c r="AM20" s="28"/>
      <c r="AN20" s="28"/>
      <c r="AO20" s="28"/>
      <c r="AP20" s="28"/>
    </row>
    <row r="21" spans="1:42" ht="16" customHeight="1">
      <c r="A21" s="28"/>
      <c r="B21" s="183">
        <v>12</v>
      </c>
      <c r="C21" s="57" t="str">
        <f t="shared" si="1"/>
        <v>Se</v>
      </c>
      <c r="D21" s="152">
        <f t="shared" si="11"/>
        <v>42412</v>
      </c>
      <c r="E21" s="115"/>
      <c r="F21" s="115"/>
      <c r="G21" s="116"/>
      <c r="H21" s="116"/>
      <c r="I21" s="207" t="str">
        <f t="shared" si="6"/>
        <v/>
      </c>
      <c r="J21" s="119"/>
      <c r="K21" s="120"/>
      <c r="L21" s="190" t="str">
        <f t="shared" si="7"/>
        <v/>
      </c>
      <c r="M21" s="222" t="str">
        <f t="shared" si="2"/>
        <v/>
      </c>
      <c r="N21" s="221">
        <f t="shared" si="3"/>
        <v>0</v>
      </c>
      <c r="O21" s="122"/>
      <c r="P21" s="216" t="str">
        <f t="shared" si="8"/>
        <v/>
      </c>
      <c r="Q21" s="226" t="str">
        <f t="shared" si="9"/>
        <v/>
      </c>
      <c r="R21" s="219" t="str">
        <f t="shared" si="10"/>
        <v/>
      </c>
      <c r="S21" s="217" t="str">
        <f t="shared" si="12"/>
        <v/>
      </c>
      <c r="T21" s="218" t="str">
        <f t="shared" si="13"/>
        <v/>
      </c>
      <c r="U21" s="219" t="str">
        <f t="shared" si="13"/>
        <v/>
      </c>
      <c r="V21" s="236">
        <f>SUMPRODUCT(($C$21="se")*($AB$21))</f>
        <v>0</v>
      </c>
      <c r="W21" s="237">
        <f>SUMPRODUCT(($C$21="se")*($AC$21))</f>
        <v>0</v>
      </c>
      <c r="X21" s="238">
        <f t="shared" si="4"/>
        <v>0</v>
      </c>
      <c r="Y21" s="239">
        <f t="shared" si="5"/>
        <v>0</v>
      </c>
      <c r="Z21" s="240">
        <f>SUMPRODUCT(($C$21="férié")*($AB$21))</f>
        <v>0</v>
      </c>
      <c r="AA21" s="241">
        <f>SUMPRODUCT(($C$21="férié")*($AC$21))</f>
        <v>0</v>
      </c>
      <c r="AB21" s="242">
        <f t="shared" si="14"/>
        <v>0</v>
      </c>
      <c r="AC21" s="243">
        <f t="shared" si="15"/>
        <v>0</v>
      </c>
      <c r="AD21" s="43"/>
      <c r="AE21" s="332"/>
      <c r="AF21" s="333"/>
      <c r="AG21" s="28"/>
      <c r="AH21" s="334" t="str">
        <f>Réglages!Q20</f>
        <v>Carte SST</v>
      </c>
      <c r="AI21" s="335"/>
      <c r="AJ21" s="336">
        <f>Réglages!S20</f>
        <v>42461</v>
      </c>
      <c r="AK21" s="337"/>
      <c r="AL21" s="28"/>
      <c r="AM21" s="28"/>
      <c r="AN21" s="28"/>
      <c r="AO21" s="28"/>
      <c r="AP21" s="28"/>
    </row>
    <row r="22" spans="1:42" ht="16" customHeight="1">
      <c r="A22" s="28"/>
      <c r="B22" s="183">
        <v>13</v>
      </c>
      <c r="C22" s="57" t="str">
        <f t="shared" si="1"/>
        <v>Se</v>
      </c>
      <c r="D22" s="152">
        <f t="shared" si="11"/>
        <v>42413</v>
      </c>
      <c r="E22" s="115"/>
      <c r="F22" s="115"/>
      <c r="G22" s="116"/>
      <c r="H22" s="116"/>
      <c r="I22" s="207" t="str">
        <f t="shared" si="6"/>
        <v/>
      </c>
      <c r="J22" s="119"/>
      <c r="K22" s="120"/>
      <c r="L22" s="190" t="str">
        <f t="shared" si="7"/>
        <v/>
      </c>
      <c r="M22" s="222" t="str">
        <f t="shared" si="2"/>
        <v/>
      </c>
      <c r="N22" s="221">
        <f t="shared" si="3"/>
        <v>0</v>
      </c>
      <c r="O22" s="122"/>
      <c r="P22" s="216" t="str">
        <f t="shared" si="8"/>
        <v/>
      </c>
      <c r="Q22" s="226" t="str">
        <f t="shared" si="9"/>
        <v/>
      </c>
      <c r="R22" s="219" t="str">
        <f t="shared" si="10"/>
        <v/>
      </c>
      <c r="S22" s="217" t="str">
        <f t="shared" si="12"/>
        <v/>
      </c>
      <c r="T22" s="218" t="str">
        <f t="shared" si="13"/>
        <v/>
      </c>
      <c r="U22" s="219" t="str">
        <f t="shared" si="13"/>
        <v/>
      </c>
      <c r="V22" s="236">
        <f>SUMPRODUCT(($C$22="se")*($AB$22))</f>
        <v>0</v>
      </c>
      <c r="W22" s="237">
        <f>SUMPRODUCT(($C$22="se")*($AC$22))</f>
        <v>0</v>
      </c>
      <c r="X22" s="238">
        <f t="shared" si="4"/>
        <v>0</v>
      </c>
      <c r="Y22" s="239">
        <f t="shared" si="5"/>
        <v>0</v>
      </c>
      <c r="Z22" s="240">
        <f>SUMPRODUCT(($C$22="férié")*($AB$22))</f>
        <v>0</v>
      </c>
      <c r="AA22" s="241">
        <f>SUMPRODUCT(($C$22="férié")*($AC$22))</f>
        <v>0</v>
      </c>
      <c r="AB22" s="242">
        <f t="shared" si="14"/>
        <v>0</v>
      </c>
      <c r="AC22" s="243">
        <f t="shared" si="15"/>
        <v>0</v>
      </c>
      <c r="AD22" s="43"/>
      <c r="AE22" s="91" t="s">
        <v>80</v>
      </c>
      <c r="AF22" s="97" t="e">
        <f>SUMPRODUCT(($C$10:$C$40="férié")*($N$10:$N$40&gt;0))</f>
        <v>#VALUE!</v>
      </c>
      <c r="AG22" s="28"/>
      <c r="AH22" s="356" t="str">
        <f>Réglages!Q21</f>
        <v>HOBS-BE (Manœuvre)</v>
      </c>
      <c r="AI22" s="357"/>
      <c r="AJ22" s="354">
        <f>Réglages!S21</f>
        <v>42522</v>
      </c>
      <c r="AK22" s="355"/>
      <c r="AL22" s="28"/>
      <c r="AM22" s="28"/>
      <c r="AN22" s="28"/>
      <c r="AO22" s="28"/>
      <c r="AP22" s="28"/>
    </row>
    <row r="23" spans="1:42" ht="16" customHeight="1">
      <c r="A23" s="28"/>
      <c r="B23" s="183">
        <v>14</v>
      </c>
      <c r="C23" s="57" t="str">
        <f t="shared" si="1"/>
        <v>Dim</v>
      </c>
      <c r="D23" s="152">
        <f t="shared" si="11"/>
        <v>42414</v>
      </c>
      <c r="E23" s="115"/>
      <c r="F23" s="115"/>
      <c r="G23" s="116"/>
      <c r="H23" s="116"/>
      <c r="I23" s="207" t="str">
        <f t="shared" si="6"/>
        <v/>
      </c>
      <c r="J23" s="119"/>
      <c r="K23" s="120"/>
      <c r="L23" s="190" t="str">
        <f t="shared" si="7"/>
        <v/>
      </c>
      <c r="M23" s="222" t="str">
        <f t="shared" si="2"/>
        <v/>
      </c>
      <c r="N23" s="221">
        <f t="shared" si="3"/>
        <v>0</v>
      </c>
      <c r="O23" s="122"/>
      <c r="P23" s="216" t="str">
        <f t="shared" si="8"/>
        <v/>
      </c>
      <c r="Q23" s="226" t="str">
        <f t="shared" si="9"/>
        <v/>
      </c>
      <c r="R23" s="219" t="str">
        <f t="shared" si="10"/>
        <v/>
      </c>
      <c r="S23" s="217" t="str">
        <f t="shared" si="12"/>
        <v/>
      </c>
      <c r="T23" s="218" t="str">
        <f t="shared" si="13"/>
        <v/>
      </c>
      <c r="U23" s="219" t="str">
        <f t="shared" si="13"/>
        <v/>
      </c>
      <c r="V23" s="236">
        <f>SUMPRODUCT(($C$23="se")*($AB$23))</f>
        <v>0</v>
      </c>
      <c r="W23" s="237">
        <f>SUMPRODUCT(($C$23="se")*($AC$23))</f>
        <v>0</v>
      </c>
      <c r="X23" s="238">
        <f t="shared" si="4"/>
        <v>0</v>
      </c>
      <c r="Y23" s="239">
        <f t="shared" si="5"/>
        <v>0</v>
      </c>
      <c r="Z23" s="240">
        <f>SUMPRODUCT(($C$23="férié")*($AB$23))</f>
        <v>0</v>
      </c>
      <c r="AA23" s="241">
        <f>SUMPRODUCT(($C$23="férié")*($AC$23))</f>
        <v>0</v>
      </c>
      <c r="AB23" s="242">
        <f t="shared" si="14"/>
        <v>0</v>
      </c>
      <c r="AC23" s="243">
        <f t="shared" si="15"/>
        <v>0</v>
      </c>
      <c r="AD23" s="43"/>
      <c r="AE23" s="360"/>
      <c r="AF23" s="361"/>
      <c r="AG23" s="28"/>
      <c r="AH23" s="356" t="str">
        <f>Réglages!Q22</f>
        <v>SSIAP 1</v>
      </c>
      <c r="AI23" s="357"/>
      <c r="AJ23" s="354">
        <f>Réglages!S22</f>
        <v>42552</v>
      </c>
      <c r="AK23" s="355"/>
      <c r="AL23" s="28"/>
      <c r="AM23" s="28"/>
      <c r="AN23" s="28"/>
      <c r="AO23" s="28"/>
      <c r="AP23" s="28"/>
    </row>
    <row r="24" spans="1:42" ht="16" customHeight="1" thickBot="1">
      <c r="A24" s="28"/>
      <c r="B24" s="183">
        <v>15</v>
      </c>
      <c r="C24" s="57" t="str">
        <f t="shared" si="1"/>
        <v>Se</v>
      </c>
      <c r="D24" s="152">
        <f t="shared" si="11"/>
        <v>42415</v>
      </c>
      <c r="E24" s="115"/>
      <c r="F24" s="115"/>
      <c r="G24" s="116"/>
      <c r="H24" s="116"/>
      <c r="I24" s="207" t="str">
        <f t="shared" si="6"/>
        <v/>
      </c>
      <c r="J24" s="119"/>
      <c r="K24" s="120"/>
      <c r="L24" s="190" t="str">
        <f t="shared" si="7"/>
        <v/>
      </c>
      <c r="M24" s="222" t="str">
        <f t="shared" si="2"/>
        <v/>
      </c>
      <c r="N24" s="221">
        <f t="shared" si="3"/>
        <v>0</v>
      </c>
      <c r="O24" s="122"/>
      <c r="P24" s="216" t="str">
        <f t="shared" si="8"/>
        <v/>
      </c>
      <c r="Q24" s="226" t="str">
        <f t="shared" si="9"/>
        <v/>
      </c>
      <c r="R24" s="219" t="str">
        <f t="shared" si="10"/>
        <v/>
      </c>
      <c r="S24" s="217" t="str">
        <f t="shared" si="12"/>
        <v/>
      </c>
      <c r="T24" s="218" t="str">
        <f t="shared" si="13"/>
        <v/>
      </c>
      <c r="U24" s="219" t="str">
        <f t="shared" si="13"/>
        <v/>
      </c>
      <c r="V24" s="236">
        <f>SUMPRODUCT(($C$24="se")*($AB$24))</f>
        <v>0</v>
      </c>
      <c r="W24" s="237">
        <f>SUMPRODUCT(($C$24="se")*($AC$24))</f>
        <v>0</v>
      </c>
      <c r="X24" s="238">
        <f t="shared" si="4"/>
        <v>0</v>
      </c>
      <c r="Y24" s="239">
        <f t="shared" si="5"/>
        <v>0</v>
      </c>
      <c r="Z24" s="240">
        <f>SUMPRODUCT(($C$24="férié")*($AB$24))</f>
        <v>0</v>
      </c>
      <c r="AA24" s="241">
        <f>SUMPRODUCT(($C$24="férié")*($AC$24))</f>
        <v>0</v>
      </c>
      <c r="AB24" s="242">
        <f t="shared" si="14"/>
        <v>0</v>
      </c>
      <c r="AC24" s="243">
        <f t="shared" si="15"/>
        <v>0</v>
      </c>
      <c r="AD24" s="43"/>
      <c r="AE24" s="91" t="s">
        <v>68</v>
      </c>
      <c r="AF24" s="186" t="e">
        <f>SUM(Z7+AA7)</f>
        <v>#VALUE!</v>
      </c>
      <c r="AG24" s="28"/>
      <c r="AH24" s="358" t="str">
        <f>Réglages!Q23</f>
        <v>Carte PRO CNAPS</v>
      </c>
      <c r="AI24" s="359"/>
      <c r="AJ24" s="350">
        <f>Réglages!S23</f>
        <v>42583</v>
      </c>
      <c r="AK24" s="351"/>
      <c r="AL24" s="28"/>
      <c r="AM24" s="28"/>
      <c r="AN24" s="28"/>
      <c r="AO24" s="28"/>
      <c r="AP24" s="28"/>
    </row>
    <row r="25" spans="1:42" ht="16" customHeight="1" thickBot="1">
      <c r="A25" s="28"/>
      <c r="B25" s="183">
        <v>16</v>
      </c>
      <c r="C25" s="57" t="str">
        <f t="shared" si="1"/>
        <v>Se</v>
      </c>
      <c r="D25" s="152">
        <f t="shared" si="11"/>
        <v>42416</v>
      </c>
      <c r="E25" s="115"/>
      <c r="F25" s="115"/>
      <c r="G25" s="116"/>
      <c r="H25" s="116"/>
      <c r="I25" s="207" t="str">
        <f t="shared" si="6"/>
        <v/>
      </c>
      <c r="J25" s="119"/>
      <c r="K25" s="120"/>
      <c r="L25" s="190" t="str">
        <f t="shared" si="7"/>
        <v/>
      </c>
      <c r="M25" s="222" t="str">
        <f t="shared" si="2"/>
        <v/>
      </c>
      <c r="N25" s="221">
        <f t="shared" si="3"/>
        <v>0</v>
      </c>
      <c r="O25" s="122"/>
      <c r="P25" s="216" t="str">
        <f t="shared" si="8"/>
        <v/>
      </c>
      <c r="Q25" s="226" t="str">
        <f t="shared" si="9"/>
        <v/>
      </c>
      <c r="R25" s="219" t="str">
        <f t="shared" si="10"/>
        <v/>
      </c>
      <c r="S25" s="217" t="str">
        <f t="shared" si="12"/>
        <v/>
      </c>
      <c r="T25" s="218" t="str">
        <f t="shared" si="13"/>
        <v/>
      </c>
      <c r="U25" s="219" t="str">
        <f t="shared" si="13"/>
        <v/>
      </c>
      <c r="V25" s="236">
        <f>SUMPRODUCT(($C$25="se")*($AB$25))</f>
        <v>0</v>
      </c>
      <c r="W25" s="237">
        <f>SUMPRODUCT(($C$25="se")*($AC$25))</f>
        <v>0</v>
      </c>
      <c r="X25" s="238">
        <f t="shared" si="4"/>
        <v>0</v>
      </c>
      <c r="Y25" s="239">
        <f t="shared" si="5"/>
        <v>0</v>
      </c>
      <c r="Z25" s="240">
        <f>SUMPRODUCT(($C$25="férié")*($AB$25))</f>
        <v>0</v>
      </c>
      <c r="AA25" s="241">
        <f>SUMPRODUCT(($C$25="férié")*($AC$25))</f>
        <v>0</v>
      </c>
      <c r="AB25" s="242">
        <f t="shared" si="14"/>
        <v>0</v>
      </c>
      <c r="AC25" s="243">
        <f t="shared" si="15"/>
        <v>0</v>
      </c>
      <c r="AD25" s="43"/>
      <c r="AE25" s="332"/>
      <c r="AF25" s="333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6" customHeight="1">
      <c r="A26" s="28"/>
      <c r="B26" s="183">
        <v>17</v>
      </c>
      <c r="C26" s="57" t="str">
        <f t="shared" si="1"/>
        <v>Se</v>
      </c>
      <c r="D26" s="152">
        <f t="shared" si="11"/>
        <v>42417</v>
      </c>
      <c r="E26" s="115"/>
      <c r="F26" s="115"/>
      <c r="G26" s="116"/>
      <c r="H26" s="116"/>
      <c r="I26" s="207" t="str">
        <f t="shared" si="6"/>
        <v/>
      </c>
      <c r="J26" s="119"/>
      <c r="K26" s="120"/>
      <c r="L26" s="190" t="str">
        <f t="shared" si="7"/>
        <v/>
      </c>
      <c r="M26" s="222" t="str">
        <f t="shared" si="2"/>
        <v/>
      </c>
      <c r="N26" s="221">
        <f t="shared" si="3"/>
        <v>0</v>
      </c>
      <c r="O26" s="122"/>
      <c r="P26" s="216" t="str">
        <f t="shared" si="8"/>
        <v/>
      </c>
      <c r="Q26" s="226" t="str">
        <f t="shared" si="9"/>
        <v/>
      </c>
      <c r="R26" s="219" t="str">
        <f t="shared" si="10"/>
        <v/>
      </c>
      <c r="S26" s="217" t="str">
        <f t="shared" si="12"/>
        <v/>
      </c>
      <c r="T26" s="218" t="str">
        <f t="shared" si="13"/>
        <v/>
      </c>
      <c r="U26" s="219" t="str">
        <f t="shared" si="13"/>
        <v/>
      </c>
      <c r="V26" s="236">
        <f>SUMPRODUCT(($C$26="se")*($AB$26))</f>
        <v>0</v>
      </c>
      <c r="W26" s="237">
        <f>SUMPRODUCT(($C$26="se")*($AC$26))</f>
        <v>0</v>
      </c>
      <c r="X26" s="238">
        <f t="shared" si="4"/>
        <v>0</v>
      </c>
      <c r="Y26" s="239">
        <f t="shared" si="5"/>
        <v>0</v>
      </c>
      <c r="Z26" s="240">
        <f>SUMPRODUCT(($C$26="férié")*($AB$26))</f>
        <v>0</v>
      </c>
      <c r="AA26" s="241">
        <f>SUMPRODUCT(($C$26="férié")*($AC$26))</f>
        <v>0</v>
      </c>
      <c r="AB26" s="242">
        <f t="shared" si="14"/>
        <v>0</v>
      </c>
      <c r="AC26" s="243">
        <f t="shared" si="15"/>
        <v>0</v>
      </c>
      <c r="AD26" s="43"/>
      <c r="AE26" s="91" t="s">
        <v>69</v>
      </c>
      <c r="AF26" s="186" t="e">
        <f>SUM(Z7)</f>
        <v>#VALUE!</v>
      </c>
      <c r="AG26" s="28"/>
      <c r="AH26" s="371" t="s">
        <v>139</v>
      </c>
      <c r="AI26" s="372"/>
      <c r="AJ26" s="372"/>
      <c r="AK26" s="373"/>
      <c r="AL26" s="28"/>
      <c r="AM26" s="28"/>
      <c r="AN26" s="28"/>
      <c r="AO26" s="28"/>
      <c r="AP26" s="28"/>
    </row>
    <row r="27" spans="1:42" ht="16" customHeight="1">
      <c r="A27" s="28"/>
      <c r="B27" s="183">
        <v>18</v>
      </c>
      <c r="C27" s="57" t="str">
        <f t="shared" si="1"/>
        <v>Se</v>
      </c>
      <c r="D27" s="152">
        <f t="shared" si="11"/>
        <v>42418</v>
      </c>
      <c r="E27" s="115"/>
      <c r="F27" s="115"/>
      <c r="G27" s="116"/>
      <c r="H27" s="116"/>
      <c r="I27" s="207" t="str">
        <f t="shared" si="6"/>
        <v/>
      </c>
      <c r="J27" s="119"/>
      <c r="K27" s="120"/>
      <c r="L27" s="190" t="str">
        <f t="shared" si="7"/>
        <v/>
      </c>
      <c r="M27" s="222" t="str">
        <f t="shared" si="2"/>
        <v/>
      </c>
      <c r="N27" s="221">
        <f t="shared" si="3"/>
        <v>0</v>
      </c>
      <c r="O27" s="122"/>
      <c r="P27" s="216" t="str">
        <f t="shared" si="8"/>
        <v/>
      </c>
      <c r="Q27" s="226" t="str">
        <f t="shared" si="9"/>
        <v/>
      </c>
      <c r="R27" s="219" t="str">
        <f t="shared" si="10"/>
        <v/>
      </c>
      <c r="S27" s="217" t="str">
        <f t="shared" si="12"/>
        <v/>
      </c>
      <c r="T27" s="218" t="str">
        <f t="shared" si="13"/>
        <v/>
      </c>
      <c r="U27" s="219" t="str">
        <f t="shared" si="13"/>
        <v/>
      </c>
      <c r="V27" s="236">
        <f>SUMPRODUCT(($C$27="se")*($AB$27))</f>
        <v>0</v>
      </c>
      <c r="W27" s="237">
        <f>SUMPRODUCT(($C$27="se")*($AC$27))</f>
        <v>0</v>
      </c>
      <c r="X27" s="238">
        <f t="shared" si="4"/>
        <v>0</v>
      </c>
      <c r="Y27" s="239">
        <f t="shared" si="5"/>
        <v>0</v>
      </c>
      <c r="Z27" s="240">
        <f>SUMPRODUCT(($C$27="férié")*($AB$27))</f>
        <v>0</v>
      </c>
      <c r="AA27" s="241">
        <f>SUMPRODUCT(($C$27="férié")*($AC$27))</f>
        <v>0</v>
      </c>
      <c r="AB27" s="242">
        <f t="shared" si="14"/>
        <v>0</v>
      </c>
      <c r="AC27" s="243">
        <f t="shared" si="15"/>
        <v>0</v>
      </c>
      <c r="AD27" s="43"/>
      <c r="AE27" s="332"/>
      <c r="AF27" s="333"/>
      <c r="AG27" s="28"/>
      <c r="AH27" s="362" t="s">
        <v>142</v>
      </c>
      <c r="AI27" s="363"/>
      <c r="AJ27" s="363"/>
      <c r="AK27" s="364"/>
      <c r="AL27" s="28"/>
      <c r="AM27" s="28"/>
      <c r="AN27" s="28"/>
      <c r="AO27" s="28"/>
      <c r="AP27" s="28"/>
    </row>
    <row r="28" spans="1:42" ht="16" customHeight="1">
      <c r="A28" s="28"/>
      <c r="B28" s="183">
        <v>19</v>
      </c>
      <c r="C28" s="57" t="str">
        <f t="shared" si="1"/>
        <v>Se</v>
      </c>
      <c r="D28" s="152">
        <f t="shared" si="11"/>
        <v>42419</v>
      </c>
      <c r="E28" s="115"/>
      <c r="F28" s="115"/>
      <c r="G28" s="116"/>
      <c r="H28" s="116"/>
      <c r="I28" s="207" t="str">
        <f t="shared" si="6"/>
        <v/>
      </c>
      <c r="J28" s="119"/>
      <c r="K28" s="120"/>
      <c r="L28" s="190" t="str">
        <f t="shared" si="7"/>
        <v/>
      </c>
      <c r="M28" s="222" t="str">
        <f t="shared" si="2"/>
        <v/>
      </c>
      <c r="N28" s="221">
        <f t="shared" si="3"/>
        <v>0</v>
      </c>
      <c r="O28" s="122"/>
      <c r="P28" s="216" t="str">
        <f t="shared" si="8"/>
        <v/>
      </c>
      <c r="Q28" s="226" t="str">
        <f t="shared" si="9"/>
        <v/>
      </c>
      <c r="R28" s="219" t="str">
        <f t="shared" si="10"/>
        <v/>
      </c>
      <c r="S28" s="217" t="str">
        <f t="shared" si="12"/>
        <v/>
      </c>
      <c r="T28" s="218" t="str">
        <f t="shared" ref="T28:U40" si="16">IF(OR(S28="",T$9=""),"",IF(IF($G27&gt;0,IF($G27&gt;=$H27,MAX(,MIN(T$9,$H27+24/24)-MAX(T$8,$G27)),MAX(,MIN(T$9,$H27)-MAX(T$8,$G27))),0)&lt;0,0,IF($G27&gt;0,IF($G27&gt;=$H27,MAX(,MIN(T$9,$H27+24/24)-MAX(T$8,$G27)),MAX(,MIN(T$9,$H27)-MAX(T$8,$G27))),0)))</f>
        <v/>
      </c>
      <c r="U28" s="219" t="str">
        <f t="shared" si="16"/>
        <v/>
      </c>
      <c r="V28" s="236">
        <f>SUMPRODUCT(($C$28="se")*($AB$28))</f>
        <v>0</v>
      </c>
      <c r="W28" s="237">
        <f>SUMPRODUCT(($C$28="se")*($AC$28))</f>
        <v>0</v>
      </c>
      <c r="X28" s="238">
        <f t="shared" si="4"/>
        <v>0</v>
      </c>
      <c r="Y28" s="239">
        <f t="shared" si="5"/>
        <v>0</v>
      </c>
      <c r="Z28" s="240">
        <f>SUMPRODUCT(($C$28="férié")*($AB$28))</f>
        <v>0</v>
      </c>
      <c r="AA28" s="241">
        <f>SUMPRODUCT(($C$28="férié")*($AC$28))</f>
        <v>0</v>
      </c>
      <c r="AB28" s="242">
        <f t="shared" si="14"/>
        <v>0</v>
      </c>
      <c r="AC28" s="243">
        <f t="shared" si="15"/>
        <v>0</v>
      </c>
      <c r="AD28" s="43"/>
      <c r="AE28" s="91" t="s">
        <v>70</v>
      </c>
      <c r="AF28" s="186" t="e">
        <f>SUM(AA7)</f>
        <v>#VALUE!</v>
      </c>
      <c r="AG28" s="28"/>
      <c r="AH28" s="365" t="s">
        <v>141</v>
      </c>
      <c r="AI28" s="366"/>
      <c r="AJ28" s="366"/>
      <c r="AK28" s="367"/>
      <c r="AL28" s="28"/>
      <c r="AM28" s="28"/>
      <c r="AN28" s="28"/>
      <c r="AO28" s="28"/>
      <c r="AP28" s="28"/>
    </row>
    <row r="29" spans="1:42" ht="16" customHeight="1">
      <c r="A29" s="28"/>
      <c r="B29" s="183">
        <v>20</v>
      </c>
      <c r="C29" s="57" t="str">
        <f t="shared" si="1"/>
        <v>Se</v>
      </c>
      <c r="D29" s="152">
        <f t="shared" si="11"/>
        <v>42420</v>
      </c>
      <c r="E29" s="115"/>
      <c r="F29" s="115"/>
      <c r="G29" s="116"/>
      <c r="H29" s="116"/>
      <c r="I29" s="207" t="str">
        <f t="shared" si="6"/>
        <v/>
      </c>
      <c r="J29" s="119"/>
      <c r="K29" s="120"/>
      <c r="L29" s="190" t="str">
        <f t="shared" si="7"/>
        <v/>
      </c>
      <c r="M29" s="222" t="str">
        <f t="shared" si="2"/>
        <v/>
      </c>
      <c r="N29" s="221">
        <f t="shared" si="3"/>
        <v>0</v>
      </c>
      <c r="O29" s="122"/>
      <c r="P29" s="216" t="str">
        <f t="shared" si="8"/>
        <v/>
      </c>
      <c r="Q29" s="226" t="str">
        <f t="shared" si="9"/>
        <v/>
      </c>
      <c r="R29" s="219" t="str">
        <f t="shared" si="10"/>
        <v/>
      </c>
      <c r="S29" s="217" t="str">
        <f t="shared" si="12"/>
        <v/>
      </c>
      <c r="T29" s="218" t="str">
        <f t="shared" si="16"/>
        <v/>
      </c>
      <c r="U29" s="219" t="str">
        <f t="shared" si="16"/>
        <v/>
      </c>
      <c r="V29" s="236">
        <f>SUMPRODUCT(($C$29="se")*($AB$29))</f>
        <v>0</v>
      </c>
      <c r="W29" s="237">
        <f>SUMPRODUCT(($C$29="se")*($AC$29))</f>
        <v>0</v>
      </c>
      <c r="X29" s="238">
        <f t="shared" si="4"/>
        <v>0</v>
      </c>
      <c r="Y29" s="239">
        <f t="shared" si="5"/>
        <v>0</v>
      </c>
      <c r="Z29" s="240">
        <f>SUMPRODUCT(($C$29="férié")*($AB$29))</f>
        <v>0</v>
      </c>
      <c r="AA29" s="241">
        <f>SUMPRODUCT(($C$29="férié")*($AC$29))</f>
        <v>0</v>
      </c>
      <c r="AB29" s="242">
        <f t="shared" si="14"/>
        <v>0</v>
      </c>
      <c r="AC29" s="243">
        <f t="shared" si="15"/>
        <v>0</v>
      </c>
      <c r="AD29" s="43"/>
      <c r="AE29" s="332"/>
      <c r="AF29" s="333"/>
      <c r="AG29" s="28"/>
      <c r="AH29" s="368" t="s">
        <v>143</v>
      </c>
      <c r="AI29" s="369"/>
      <c r="AJ29" s="369"/>
      <c r="AK29" s="370"/>
      <c r="AL29" s="28"/>
      <c r="AM29" s="28"/>
      <c r="AN29" s="28"/>
      <c r="AO29" s="28"/>
      <c r="AP29" s="28"/>
    </row>
    <row r="30" spans="1:42" ht="16" customHeight="1" thickBot="1">
      <c r="A30" s="28"/>
      <c r="B30" s="183">
        <v>21</v>
      </c>
      <c r="C30" s="57" t="str">
        <f t="shared" si="1"/>
        <v>Dim</v>
      </c>
      <c r="D30" s="152">
        <f t="shared" si="11"/>
        <v>42421</v>
      </c>
      <c r="E30" s="115"/>
      <c r="F30" s="115"/>
      <c r="G30" s="116"/>
      <c r="H30" s="116"/>
      <c r="I30" s="207" t="str">
        <f t="shared" si="6"/>
        <v/>
      </c>
      <c r="J30" s="119"/>
      <c r="K30" s="120"/>
      <c r="L30" s="190" t="str">
        <f t="shared" si="7"/>
        <v/>
      </c>
      <c r="M30" s="222" t="str">
        <f t="shared" si="2"/>
        <v/>
      </c>
      <c r="N30" s="221">
        <f t="shared" si="3"/>
        <v>0</v>
      </c>
      <c r="O30" s="122"/>
      <c r="P30" s="216" t="str">
        <f t="shared" si="8"/>
        <v/>
      </c>
      <c r="Q30" s="226" t="str">
        <f t="shared" si="9"/>
        <v/>
      </c>
      <c r="R30" s="219" t="str">
        <f t="shared" si="10"/>
        <v/>
      </c>
      <c r="S30" s="217" t="str">
        <f t="shared" si="12"/>
        <v/>
      </c>
      <c r="T30" s="218" t="str">
        <f t="shared" si="16"/>
        <v/>
      </c>
      <c r="U30" s="219" t="str">
        <f t="shared" si="16"/>
        <v/>
      </c>
      <c r="V30" s="236">
        <f>SUMPRODUCT(($C$30="se")*($AB$30))</f>
        <v>0</v>
      </c>
      <c r="W30" s="237">
        <f>SUMPRODUCT(($C$30="se")*($AC$30))</f>
        <v>0</v>
      </c>
      <c r="X30" s="238">
        <f t="shared" si="4"/>
        <v>0</v>
      </c>
      <c r="Y30" s="239">
        <f t="shared" si="5"/>
        <v>0</v>
      </c>
      <c r="Z30" s="240">
        <f>SUMPRODUCT(($C$30="férié")*($AB$30))</f>
        <v>0</v>
      </c>
      <c r="AA30" s="241">
        <f>SUMPRODUCT(($C$30="férié")*($AC$30))</f>
        <v>0</v>
      </c>
      <c r="AB30" s="242">
        <f t="shared" si="14"/>
        <v>0</v>
      </c>
      <c r="AC30" s="243">
        <f t="shared" si="15"/>
        <v>0</v>
      </c>
      <c r="AD30" s="46"/>
      <c r="AE30" s="94" t="s">
        <v>62</v>
      </c>
      <c r="AF30" s="187">
        <f>SUM(J10:J40,K10:K40)</f>
        <v>0</v>
      </c>
      <c r="AG30" s="28"/>
      <c r="AH30" s="374" t="s">
        <v>140</v>
      </c>
      <c r="AI30" s="375"/>
      <c r="AJ30" s="375"/>
      <c r="AK30" s="376"/>
      <c r="AL30" s="28"/>
      <c r="AM30" s="28"/>
      <c r="AN30" s="28"/>
      <c r="AO30" s="28"/>
      <c r="AP30" s="28"/>
    </row>
    <row r="31" spans="1:42" ht="16" customHeight="1">
      <c r="A31" s="28"/>
      <c r="B31" s="183">
        <v>22</v>
      </c>
      <c r="C31" s="57" t="str">
        <f t="shared" si="1"/>
        <v>Se</v>
      </c>
      <c r="D31" s="152">
        <f t="shared" si="11"/>
        <v>42422</v>
      </c>
      <c r="E31" s="115"/>
      <c r="F31" s="115"/>
      <c r="G31" s="116"/>
      <c r="H31" s="116"/>
      <c r="I31" s="207" t="str">
        <f t="shared" si="6"/>
        <v/>
      </c>
      <c r="J31" s="119"/>
      <c r="K31" s="120"/>
      <c r="L31" s="190" t="str">
        <f t="shared" si="7"/>
        <v/>
      </c>
      <c r="M31" s="222" t="str">
        <f t="shared" si="2"/>
        <v/>
      </c>
      <c r="N31" s="221">
        <f t="shared" si="3"/>
        <v>0</v>
      </c>
      <c r="O31" s="122"/>
      <c r="P31" s="216" t="str">
        <f t="shared" si="8"/>
        <v/>
      </c>
      <c r="Q31" s="226" t="str">
        <f t="shared" si="9"/>
        <v/>
      </c>
      <c r="R31" s="219" t="str">
        <f t="shared" si="10"/>
        <v/>
      </c>
      <c r="S31" s="217" t="str">
        <f t="shared" si="12"/>
        <v/>
      </c>
      <c r="T31" s="218" t="str">
        <f t="shared" si="16"/>
        <v/>
      </c>
      <c r="U31" s="219" t="str">
        <f t="shared" si="16"/>
        <v/>
      </c>
      <c r="V31" s="236">
        <f>SUMPRODUCT(($C$31="se")*($AB$31))</f>
        <v>0</v>
      </c>
      <c r="W31" s="237">
        <f>SUMPRODUCT(($C$31="se")*($AC$31))</f>
        <v>0</v>
      </c>
      <c r="X31" s="238">
        <f t="shared" si="4"/>
        <v>0</v>
      </c>
      <c r="Y31" s="239">
        <f t="shared" si="5"/>
        <v>0</v>
      </c>
      <c r="Z31" s="240">
        <f>SUMPRODUCT(($C$31="férié")*($AB$31))</f>
        <v>0</v>
      </c>
      <c r="AA31" s="241">
        <f>SUMPRODUCT(($C$31="férié")*($AC$31))</f>
        <v>0</v>
      </c>
      <c r="AB31" s="242">
        <f t="shared" si="14"/>
        <v>0</v>
      </c>
      <c r="AC31" s="243">
        <f t="shared" si="15"/>
        <v>0</v>
      </c>
      <c r="AD31" s="43"/>
      <c r="AE31" s="352"/>
      <c r="AF31" s="353"/>
      <c r="AG31" s="28"/>
      <c r="AH31" s="248"/>
      <c r="AI31" s="248"/>
      <c r="AJ31" s="248"/>
      <c r="AK31" s="248"/>
      <c r="AL31" s="28"/>
      <c r="AM31" s="28"/>
      <c r="AN31" s="28"/>
      <c r="AO31" s="28"/>
      <c r="AP31" s="28"/>
    </row>
    <row r="32" spans="1:42" ht="16" customHeight="1">
      <c r="A32" s="28"/>
      <c r="B32" s="183">
        <v>23</v>
      </c>
      <c r="C32" s="57" t="str">
        <f t="shared" si="1"/>
        <v>Se</v>
      </c>
      <c r="D32" s="152">
        <f t="shared" si="11"/>
        <v>42423</v>
      </c>
      <c r="E32" s="115"/>
      <c r="F32" s="115"/>
      <c r="G32" s="116"/>
      <c r="H32" s="116"/>
      <c r="I32" s="207" t="str">
        <f t="shared" si="6"/>
        <v/>
      </c>
      <c r="J32" s="119"/>
      <c r="K32" s="120"/>
      <c r="L32" s="190" t="str">
        <f t="shared" si="7"/>
        <v/>
      </c>
      <c r="M32" s="222" t="str">
        <f t="shared" si="2"/>
        <v/>
      </c>
      <c r="N32" s="221">
        <f t="shared" si="3"/>
        <v>0</v>
      </c>
      <c r="O32" s="122"/>
      <c r="P32" s="216" t="str">
        <f t="shared" si="8"/>
        <v/>
      </c>
      <c r="Q32" s="226" t="str">
        <f t="shared" si="9"/>
        <v/>
      </c>
      <c r="R32" s="219" t="str">
        <f t="shared" si="10"/>
        <v/>
      </c>
      <c r="S32" s="217" t="str">
        <f t="shared" si="12"/>
        <v/>
      </c>
      <c r="T32" s="218" t="str">
        <f t="shared" si="16"/>
        <v/>
      </c>
      <c r="U32" s="219" t="str">
        <f t="shared" si="16"/>
        <v/>
      </c>
      <c r="V32" s="236">
        <f>SUMPRODUCT(($C$32="se")*($AB$32))</f>
        <v>0</v>
      </c>
      <c r="W32" s="237">
        <f>SUMPRODUCT(($C$32="se")*($AC$32))</f>
        <v>0</v>
      </c>
      <c r="X32" s="238">
        <f t="shared" si="4"/>
        <v>0</v>
      </c>
      <c r="Y32" s="239">
        <f t="shared" si="5"/>
        <v>0</v>
      </c>
      <c r="Z32" s="240">
        <f>SUMPRODUCT(($C$32="férié")*($AB$32))</f>
        <v>0</v>
      </c>
      <c r="AA32" s="241">
        <f>SUMPRODUCT(($C$32="férié")*($AC$32))</f>
        <v>0</v>
      </c>
      <c r="AB32" s="242">
        <f t="shared" si="14"/>
        <v>0</v>
      </c>
      <c r="AC32" s="243">
        <f t="shared" si="15"/>
        <v>0</v>
      </c>
      <c r="AD32" s="46"/>
      <c r="AE32" s="94" t="s">
        <v>63</v>
      </c>
      <c r="AF32" s="187">
        <f>SUM(J10:J40)</f>
        <v>0</v>
      </c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7" ht="16" customHeight="1">
      <c r="A33" s="28"/>
      <c r="B33" s="183">
        <v>24</v>
      </c>
      <c r="C33" s="57" t="str">
        <f t="shared" si="1"/>
        <v>Se</v>
      </c>
      <c r="D33" s="152">
        <f t="shared" si="11"/>
        <v>42424</v>
      </c>
      <c r="E33" s="115"/>
      <c r="F33" s="115"/>
      <c r="G33" s="116"/>
      <c r="H33" s="116"/>
      <c r="I33" s="207" t="str">
        <f t="shared" si="6"/>
        <v/>
      </c>
      <c r="J33" s="119"/>
      <c r="K33" s="120"/>
      <c r="L33" s="190" t="str">
        <f t="shared" si="7"/>
        <v/>
      </c>
      <c r="M33" s="222" t="str">
        <f t="shared" si="2"/>
        <v/>
      </c>
      <c r="N33" s="221">
        <f t="shared" si="3"/>
        <v>0</v>
      </c>
      <c r="O33" s="122"/>
      <c r="P33" s="216" t="str">
        <f t="shared" si="8"/>
        <v/>
      </c>
      <c r="Q33" s="226" t="str">
        <f t="shared" si="9"/>
        <v/>
      </c>
      <c r="R33" s="219" t="str">
        <f t="shared" si="10"/>
        <v/>
      </c>
      <c r="S33" s="217" t="str">
        <f t="shared" si="12"/>
        <v/>
      </c>
      <c r="T33" s="218" t="str">
        <f t="shared" si="16"/>
        <v/>
      </c>
      <c r="U33" s="219" t="str">
        <f t="shared" si="16"/>
        <v/>
      </c>
      <c r="V33" s="236">
        <f>SUMPRODUCT(($C$33="se")*($AB$33))</f>
        <v>0</v>
      </c>
      <c r="W33" s="237">
        <f>SUMPRODUCT(($C$33="se")*($AC$33))</f>
        <v>0</v>
      </c>
      <c r="X33" s="238">
        <f t="shared" si="4"/>
        <v>0</v>
      </c>
      <c r="Y33" s="239">
        <f t="shared" si="5"/>
        <v>0</v>
      </c>
      <c r="Z33" s="240">
        <f>SUMPRODUCT(($C$33="férié")*($AB$33))</f>
        <v>0</v>
      </c>
      <c r="AA33" s="241">
        <f>SUMPRODUCT(($C$33="férié")*($AC$33))</f>
        <v>0</v>
      </c>
      <c r="AB33" s="242">
        <f t="shared" si="14"/>
        <v>0</v>
      </c>
      <c r="AC33" s="243">
        <f t="shared" si="15"/>
        <v>0</v>
      </c>
      <c r="AD33" s="46"/>
      <c r="AE33" s="352"/>
      <c r="AF33" s="353"/>
      <c r="AG33" s="28"/>
      <c r="AH33" s="159"/>
      <c r="AI33" s="247"/>
      <c r="AJ33" s="247"/>
      <c r="AK33" s="247"/>
      <c r="AL33" s="28"/>
      <c r="AM33" s="28"/>
      <c r="AN33" s="28"/>
      <c r="AO33" s="28"/>
      <c r="AP33" s="28"/>
    </row>
    <row r="34" spans="1:47" ht="16" customHeight="1">
      <c r="A34" s="28"/>
      <c r="B34" s="183">
        <v>25</v>
      </c>
      <c r="C34" s="57" t="str">
        <f t="shared" si="1"/>
        <v>Se</v>
      </c>
      <c r="D34" s="152">
        <f t="shared" si="11"/>
        <v>42425</v>
      </c>
      <c r="E34" s="115"/>
      <c r="F34" s="115"/>
      <c r="G34" s="116"/>
      <c r="H34" s="116"/>
      <c r="I34" s="207" t="str">
        <f t="shared" si="6"/>
        <v/>
      </c>
      <c r="J34" s="119"/>
      <c r="K34" s="120"/>
      <c r="L34" s="190" t="str">
        <f t="shared" si="7"/>
        <v/>
      </c>
      <c r="M34" s="222" t="str">
        <f t="shared" si="2"/>
        <v/>
      </c>
      <c r="N34" s="221">
        <f t="shared" si="3"/>
        <v>0</v>
      </c>
      <c r="O34" s="122"/>
      <c r="P34" s="216" t="str">
        <f t="shared" si="8"/>
        <v/>
      </c>
      <c r="Q34" s="226" t="str">
        <f t="shared" si="9"/>
        <v/>
      </c>
      <c r="R34" s="219" t="str">
        <f t="shared" si="10"/>
        <v/>
      </c>
      <c r="S34" s="217" t="str">
        <f t="shared" si="12"/>
        <v/>
      </c>
      <c r="T34" s="218" t="str">
        <f t="shared" si="16"/>
        <v/>
      </c>
      <c r="U34" s="219" t="str">
        <f t="shared" si="16"/>
        <v/>
      </c>
      <c r="V34" s="236">
        <f>SUMPRODUCT(($C$34="se")*($AB$34))</f>
        <v>0</v>
      </c>
      <c r="W34" s="237">
        <f>SUMPRODUCT(($C$34="se")*($AC$34))</f>
        <v>0</v>
      </c>
      <c r="X34" s="238">
        <f t="shared" si="4"/>
        <v>0</v>
      </c>
      <c r="Y34" s="239">
        <f t="shared" si="5"/>
        <v>0</v>
      </c>
      <c r="Z34" s="240">
        <f>SUMPRODUCT(($C$34="férié")*($AB$34))</f>
        <v>0</v>
      </c>
      <c r="AA34" s="241">
        <f>SUMPRODUCT(($C$34="férié")*($AC$34))</f>
        <v>0</v>
      </c>
      <c r="AB34" s="242">
        <f t="shared" si="14"/>
        <v>0</v>
      </c>
      <c r="AC34" s="243">
        <f t="shared" si="15"/>
        <v>0</v>
      </c>
      <c r="AD34" s="46"/>
      <c r="AE34" s="91" t="s">
        <v>64</v>
      </c>
      <c r="AF34" s="186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6" customHeight="1">
      <c r="A35" s="28"/>
      <c r="B35" s="183">
        <v>26</v>
      </c>
      <c r="C35" s="57" t="str">
        <f t="shared" si="1"/>
        <v>Se</v>
      </c>
      <c r="D35" s="152">
        <f t="shared" si="11"/>
        <v>42426</v>
      </c>
      <c r="E35" s="115"/>
      <c r="F35" s="115"/>
      <c r="G35" s="116"/>
      <c r="H35" s="116"/>
      <c r="I35" s="207" t="str">
        <f t="shared" si="6"/>
        <v/>
      </c>
      <c r="J35" s="119"/>
      <c r="K35" s="120"/>
      <c r="L35" s="190" t="str">
        <f t="shared" si="7"/>
        <v/>
      </c>
      <c r="M35" s="222" t="str">
        <f t="shared" si="2"/>
        <v/>
      </c>
      <c r="N35" s="221">
        <f t="shared" si="3"/>
        <v>0</v>
      </c>
      <c r="O35" s="122"/>
      <c r="P35" s="216" t="str">
        <f t="shared" si="8"/>
        <v/>
      </c>
      <c r="Q35" s="226" t="str">
        <f t="shared" si="9"/>
        <v/>
      </c>
      <c r="R35" s="219" t="str">
        <f t="shared" si="10"/>
        <v/>
      </c>
      <c r="S35" s="217" t="str">
        <f t="shared" si="12"/>
        <v/>
      </c>
      <c r="T35" s="218" t="str">
        <f t="shared" si="16"/>
        <v/>
      </c>
      <c r="U35" s="219" t="str">
        <f t="shared" si="16"/>
        <v/>
      </c>
      <c r="V35" s="236">
        <f>SUMPRODUCT(($C$35="se")*($AB$35))</f>
        <v>0</v>
      </c>
      <c r="W35" s="237">
        <f>SUMPRODUCT(($C$35="se")*($AC$35))</f>
        <v>0</v>
      </c>
      <c r="X35" s="238">
        <f t="shared" si="4"/>
        <v>0</v>
      </c>
      <c r="Y35" s="239">
        <f t="shared" si="5"/>
        <v>0</v>
      </c>
      <c r="Z35" s="240">
        <f>SUMPRODUCT(($C$35="férié")*($AB$35))</f>
        <v>0</v>
      </c>
      <c r="AA35" s="241">
        <f>SUMPRODUCT(($C$35="férié")*($AC$35))</f>
        <v>0</v>
      </c>
      <c r="AB35" s="242">
        <f t="shared" si="14"/>
        <v>0</v>
      </c>
      <c r="AC35" s="243">
        <f t="shared" si="15"/>
        <v>0</v>
      </c>
      <c r="AD35" s="46"/>
      <c r="AE35" s="332"/>
      <c r="AF35" s="333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6" customHeight="1">
      <c r="A36" s="28"/>
      <c r="B36" s="183">
        <v>27</v>
      </c>
      <c r="C36" s="57" t="str">
        <f t="shared" si="1"/>
        <v>Se</v>
      </c>
      <c r="D36" s="152">
        <f t="shared" si="11"/>
        <v>42427</v>
      </c>
      <c r="E36" s="115"/>
      <c r="F36" s="115"/>
      <c r="G36" s="116"/>
      <c r="H36" s="116"/>
      <c r="I36" s="207" t="str">
        <f t="shared" si="6"/>
        <v/>
      </c>
      <c r="J36" s="119"/>
      <c r="K36" s="120"/>
      <c r="L36" s="190" t="str">
        <f t="shared" si="7"/>
        <v/>
      </c>
      <c r="M36" s="222" t="str">
        <f t="shared" si="2"/>
        <v/>
      </c>
      <c r="N36" s="221">
        <f t="shared" si="3"/>
        <v>0</v>
      </c>
      <c r="O36" s="122"/>
      <c r="P36" s="216" t="str">
        <f t="shared" si="8"/>
        <v/>
      </c>
      <c r="Q36" s="226" t="str">
        <f t="shared" si="9"/>
        <v/>
      </c>
      <c r="R36" s="219" t="str">
        <f t="shared" si="10"/>
        <v/>
      </c>
      <c r="S36" s="217" t="str">
        <f t="shared" si="12"/>
        <v/>
      </c>
      <c r="T36" s="218" t="str">
        <f t="shared" si="16"/>
        <v/>
      </c>
      <c r="U36" s="219" t="str">
        <f t="shared" si="16"/>
        <v/>
      </c>
      <c r="V36" s="236">
        <f>SUMPRODUCT(($C$36="se")*($AB$36))</f>
        <v>0</v>
      </c>
      <c r="W36" s="237">
        <f>SUMPRODUCT(($C$36="se")*($AC$36))</f>
        <v>0</v>
      </c>
      <c r="X36" s="238">
        <f t="shared" si="4"/>
        <v>0</v>
      </c>
      <c r="Y36" s="239">
        <f t="shared" si="5"/>
        <v>0</v>
      </c>
      <c r="Z36" s="240">
        <f>SUMPRODUCT(($C$36="férié")*($AB$36))</f>
        <v>0</v>
      </c>
      <c r="AA36" s="241">
        <f>SUMPRODUCT(($C$36="férié")*($AC$36))</f>
        <v>0</v>
      </c>
      <c r="AB36" s="242">
        <f t="shared" si="14"/>
        <v>0</v>
      </c>
      <c r="AC36" s="243">
        <f t="shared" si="15"/>
        <v>0</v>
      </c>
      <c r="AD36" s="46"/>
      <c r="AE36" s="91" t="s">
        <v>65</v>
      </c>
      <c r="AF36" s="97">
        <f>COUNTA(G10:G40)</f>
        <v>0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6" customHeight="1">
      <c r="A37" s="28"/>
      <c r="B37" s="183">
        <v>28</v>
      </c>
      <c r="C37" s="57" t="str">
        <f t="shared" si="1"/>
        <v>Dim</v>
      </c>
      <c r="D37" s="152">
        <f t="shared" si="11"/>
        <v>42428</v>
      </c>
      <c r="E37" s="115"/>
      <c r="F37" s="115"/>
      <c r="G37" s="116"/>
      <c r="H37" s="116"/>
      <c r="I37" s="207" t="str">
        <f t="shared" si="6"/>
        <v/>
      </c>
      <c r="J37" s="119"/>
      <c r="K37" s="120"/>
      <c r="L37" s="190" t="str">
        <f t="shared" si="7"/>
        <v/>
      </c>
      <c r="M37" s="222" t="str">
        <f t="shared" si="2"/>
        <v/>
      </c>
      <c r="N37" s="221">
        <f t="shared" si="3"/>
        <v>0</v>
      </c>
      <c r="O37" s="122"/>
      <c r="P37" s="216" t="str">
        <f t="shared" si="8"/>
        <v/>
      </c>
      <c r="Q37" s="226" t="str">
        <f t="shared" si="9"/>
        <v/>
      </c>
      <c r="R37" s="219" t="str">
        <f t="shared" si="10"/>
        <v/>
      </c>
      <c r="S37" s="217" t="str">
        <f t="shared" si="12"/>
        <v/>
      </c>
      <c r="T37" s="218" t="str">
        <f t="shared" si="16"/>
        <v/>
      </c>
      <c r="U37" s="219" t="str">
        <f t="shared" si="16"/>
        <v/>
      </c>
      <c r="V37" s="236">
        <f>SUMPRODUCT(($C$37="se")*($AB$37))</f>
        <v>0</v>
      </c>
      <c r="W37" s="237">
        <f>SUMPRODUCT(($C$37="se")*($AC$37))</f>
        <v>0</v>
      </c>
      <c r="X37" s="238">
        <f t="shared" si="4"/>
        <v>0</v>
      </c>
      <c r="Y37" s="239">
        <f t="shared" si="5"/>
        <v>0</v>
      </c>
      <c r="Z37" s="240">
        <f>SUMPRODUCT(($C$37="férié")*($AB$37))</f>
        <v>0</v>
      </c>
      <c r="AA37" s="241">
        <f>SUMPRODUCT(($C$37="férié")*($AC$37))</f>
        <v>0</v>
      </c>
      <c r="AB37" s="242">
        <f t="shared" si="14"/>
        <v>0</v>
      </c>
      <c r="AC37" s="243">
        <f t="shared" si="15"/>
        <v>0</v>
      </c>
      <c r="AD37" s="46"/>
      <c r="AE37" s="332"/>
      <c r="AF37" s="333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6" customHeight="1">
      <c r="A38" s="28"/>
      <c r="B38" s="183">
        <v>29</v>
      </c>
      <c r="C38" s="57" t="str">
        <f t="shared" si="1"/>
        <v>Se</v>
      </c>
      <c r="D38" s="152">
        <f t="shared" si="11"/>
        <v>42429</v>
      </c>
      <c r="E38" s="115"/>
      <c r="F38" s="115"/>
      <c r="G38" s="116"/>
      <c r="H38" s="116"/>
      <c r="I38" s="207" t="str">
        <f t="shared" si="6"/>
        <v/>
      </c>
      <c r="J38" s="119"/>
      <c r="K38" s="120"/>
      <c r="L38" s="190" t="str">
        <f t="shared" si="7"/>
        <v/>
      </c>
      <c r="M38" s="222" t="str">
        <f t="shared" si="2"/>
        <v/>
      </c>
      <c r="N38" s="221">
        <f t="shared" si="3"/>
        <v>0</v>
      </c>
      <c r="O38" s="122"/>
      <c r="P38" s="216" t="str">
        <f t="shared" si="8"/>
        <v/>
      </c>
      <c r="Q38" s="226" t="str">
        <f t="shared" si="9"/>
        <v/>
      </c>
      <c r="R38" s="219" t="str">
        <f t="shared" si="10"/>
        <v/>
      </c>
      <c r="S38" s="217" t="str">
        <f t="shared" si="12"/>
        <v/>
      </c>
      <c r="T38" s="218" t="str">
        <f t="shared" si="16"/>
        <v/>
      </c>
      <c r="U38" s="219" t="str">
        <f t="shared" si="16"/>
        <v/>
      </c>
      <c r="V38" s="236">
        <f>SUMPRODUCT(($C$38="se")*($AB$38))</f>
        <v>0</v>
      </c>
      <c r="W38" s="237">
        <f>SUMPRODUCT(($C$38="se")*($AC$38))</f>
        <v>0</v>
      </c>
      <c r="X38" s="238">
        <f t="shared" si="4"/>
        <v>0</v>
      </c>
      <c r="Y38" s="239">
        <f t="shared" si="5"/>
        <v>0</v>
      </c>
      <c r="Z38" s="240">
        <f>SUMPRODUCT(($C$38="férié")*($AB$38))</f>
        <v>0</v>
      </c>
      <c r="AA38" s="241">
        <f>SUMPRODUCT(($C$38="férié")*($AC$38))</f>
        <v>0</v>
      </c>
      <c r="AB38" s="242">
        <f t="shared" si="14"/>
        <v>0</v>
      </c>
      <c r="AC38" s="243">
        <f t="shared" si="15"/>
        <v>0</v>
      </c>
      <c r="AD38" s="46"/>
      <c r="AE38" s="98" t="s">
        <v>66</v>
      </c>
      <c r="AF38" s="186">
        <f>SUM(M10:M40)</f>
        <v>0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" customHeight="1" thickBot="1">
      <c r="A39" s="28"/>
      <c r="B39" s="183">
        <v>30</v>
      </c>
      <c r="C39" s="57" t="e">
        <f t="shared" si="1"/>
        <v>#VALUE!</v>
      </c>
      <c r="D39" s="152" t="str">
        <f t="shared" si="11"/>
        <v/>
      </c>
      <c r="E39" s="115"/>
      <c r="F39" s="115"/>
      <c r="G39" s="116"/>
      <c r="H39" s="116"/>
      <c r="I39" s="207" t="str">
        <f t="shared" si="6"/>
        <v/>
      </c>
      <c r="J39" s="119"/>
      <c r="K39" s="120"/>
      <c r="L39" s="190" t="str">
        <f t="shared" si="7"/>
        <v/>
      </c>
      <c r="M39" s="222" t="str">
        <f t="shared" si="2"/>
        <v/>
      </c>
      <c r="N39" s="221">
        <f t="shared" si="3"/>
        <v>0</v>
      </c>
      <c r="O39" s="122"/>
      <c r="P39" s="216" t="str">
        <f t="shared" si="8"/>
        <v/>
      </c>
      <c r="Q39" s="226" t="str">
        <f t="shared" si="9"/>
        <v/>
      </c>
      <c r="R39" s="219" t="str">
        <f t="shared" si="10"/>
        <v/>
      </c>
      <c r="S39" s="217" t="str">
        <f t="shared" si="12"/>
        <v/>
      </c>
      <c r="T39" s="218" t="str">
        <f t="shared" si="16"/>
        <v/>
      </c>
      <c r="U39" s="219" t="str">
        <f t="shared" si="16"/>
        <v/>
      </c>
      <c r="V39" s="236" t="e">
        <f>SUMPRODUCT(($C$39="se")*($AB$39))</f>
        <v>#VALUE!</v>
      </c>
      <c r="W39" s="237" t="e">
        <f>SUMPRODUCT(($C$39="se")*($AC$39))</f>
        <v>#VALUE!</v>
      </c>
      <c r="X39" s="238" t="e">
        <f t="shared" si="4"/>
        <v>#VALUE!</v>
      </c>
      <c r="Y39" s="239" t="e">
        <f t="shared" si="5"/>
        <v>#VALUE!</v>
      </c>
      <c r="Z39" s="240" t="e">
        <f>SUMPRODUCT(($C$39="férié")*($AB$39))</f>
        <v>#VALUE!</v>
      </c>
      <c r="AA39" s="241" t="e">
        <f>SUMPRODUCT(($C$39="férié")*($AC$39))</f>
        <v>#VALUE!</v>
      </c>
      <c r="AB39" s="242">
        <f t="shared" si="14"/>
        <v>0</v>
      </c>
      <c r="AC39" s="243">
        <f t="shared" si="15"/>
        <v>0</v>
      </c>
      <c r="AD39" s="46"/>
      <c r="AE39" s="348"/>
      <c r="AF39" s="349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7" ht="16" customHeight="1" thickBot="1">
      <c r="A40" s="28"/>
      <c r="B40" s="257">
        <v>31</v>
      </c>
      <c r="C40" s="258" t="e">
        <f t="shared" si="1"/>
        <v>#VALUE!</v>
      </c>
      <c r="D40" s="152" t="str">
        <f t="shared" si="11"/>
        <v/>
      </c>
      <c r="E40" s="259"/>
      <c r="F40" s="259"/>
      <c r="G40" s="260"/>
      <c r="H40" s="260"/>
      <c r="I40" s="261" t="str">
        <f t="shared" si="6"/>
        <v/>
      </c>
      <c r="J40" s="262"/>
      <c r="K40" s="263"/>
      <c r="L40" s="264" t="str">
        <f t="shared" si="7"/>
        <v/>
      </c>
      <c r="M40" s="265" t="str">
        <f t="shared" si="2"/>
        <v/>
      </c>
      <c r="N40" s="266">
        <f t="shared" si="3"/>
        <v>0</v>
      </c>
      <c r="O40" s="267"/>
      <c r="P40" s="276" t="str">
        <f t="shared" si="8"/>
        <v/>
      </c>
      <c r="Q40" s="277" t="str">
        <f t="shared" si="9"/>
        <v/>
      </c>
      <c r="R40" s="278" t="str">
        <f t="shared" ref="R40" si="17">IF(OR($D40="",Q40="",R$9=""),"",IF(AND($I40=1,$G40&lt;&gt;$H40),(1/8),IF($G40&gt;=$H40,MAX(,MIN(R$9,$H40+24/24)-MAX(R$8,$G40)),MAX(,MIN(R$9,$H40)-MAX(R$8,$G40)))))</f>
        <v/>
      </c>
      <c r="S40" s="279" t="str">
        <f t="shared" si="12"/>
        <v/>
      </c>
      <c r="T40" s="280" t="str">
        <f t="shared" si="16"/>
        <v/>
      </c>
      <c r="U40" s="278" t="str">
        <f t="shared" si="16"/>
        <v/>
      </c>
      <c r="V40" s="281" t="e">
        <f>SUMPRODUCT(($C$40="se")*($AB$40))</f>
        <v>#VALUE!</v>
      </c>
      <c r="W40" s="282" t="e">
        <f>SUMPRODUCT(($C$40="se")*($AC$40))</f>
        <v>#VALUE!</v>
      </c>
      <c r="X40" s="283" t="e">
        <f t="shared" si="4"/>
        <v>#VALUE!</v>
      </c>
      <c r="Y40" s="284" t="e">
        <f t="shared" si="5"/>
        <v>#VALUE!</v>
      </c>
      <c r="Z40" s="285" t="e">
        <f>SUMPRODUCT(($C$40="férié")*($AB$40))</f>
        <v>#VALUE!</v>
      </c>
      <c r="AA40" s="286" t="e">
        <f>SUMPRODUCT(($C$40="férié")*($AC$40))</f>
        <v>#VALUE!</v>
      </c>
      <c r="AB40" s="287">
        <f t="shared" si="14"/>
        <v>0</v>
      </c>
      <c r="AC40" s="288">
        <f t="shared" si="15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6" customHeight="1" thickBot="1">
      <c r="A41" s="45"/>
      <c r="B41" s="268" t="s">
        <v>60</v>
      </c>
      <c r="C41" s="269"/>
      <c r="D41" s="270">
        <f>COUNT(D10:D40)</f>
        <v>29</v>
      </c>
      <c r="E41" s="270">
        <f>COUNTA(E10:E40)</f>
        <v>0</v>
      </c>
      <c r="F41" s="270">
        <f>COUNTA(F10:F40)</f>
        <v>0</v>
      </c>
      <c r="G41" s="270">
        <f>COUNTA(G10:G40)</f>
        <v>0</v>
      </c>
      <c r="H41" s="270">
        <f>COUNTA(H10:H40)</f>
        <v>0</v>
      </c>
      <c r="I41" s="271">
        <f>SUM(I10:I40)</f>
        <v>0</v>
      </c>
      <c r="J41" s="272">
        <f t="shared" ref="J41:M41" si="18">SUM(J10:J40)</f>
        <v>0</v>
      </c>
      <c r="K41" s="272">
        <f t="shared" si="18"/>
        <v>0</v>
      </c>
      <c r="L41" s="273">
        <f t="shared" si="18"/>
        <v>0</v>
      </c>
      <c r="M41" s="274">
        <f t="shared" si="18"/>
        <v>0</v>
      </c>
      <c r="N41" s="274">
        <f>SUM(N10:N40)</f>
        <v>0</v>
      </c>
      <c r="O41" s="275"/>
      <c r="P41" s="289">
        <f t="shared" ref="P41:R41" si="19">SUM(P10:P40)</f>
        <v>0</v>
      </c>
      <c r="Q41" s="274">
        <f t="shared" si="19"/>
        <v>0</v>
      </c>
      <c r="R41" s="290">
        <f t="shared" si="19"/>
        <v>0</v>
      </c>
      <c r="S41" s="289">
        <f>SUM(S10:S40)</f>
        <v>0</v>
      </c>
      <c r="T41" s="274">
        <f>SUM(T10:T40)</f>
        <v>0</v>
      </c>
      <c r="U41" s="290">
        <f>SUM(U10:U40)</f>
        <v>0</v>
      </c>
      <c r="V41" s="289">
        <f>SUMIF(D10:D40,"&gt;0",V10:V40)</f>
        <v>0</v>
      </c>
      <c r="W41" s="290">
        <f>SUMIF(D10:D40,"&gt;0",W10:W40)</f>
        <v>0</v>
      </c>
      <c r="X41" s="289" t="e">
        <f>SUMPRODUCT((WEEKDAY($D$10:$D$40)=1)*($AB$10:$AB$40))</f>
        <v>#VALUE!</v>
      </c>
      <c r="Y41" s="290" t="e">
        <f>SUMPRODUCT(($C$10:$C$40="dim")*($AC$10:$AC$40))</f>
        <v>#VALUE!</v>
      </c>
      <c r="Z41" s="289" t="e">
        <f>SUMPRODUCT(($C$10:$C$40="férié")*($Z$10:$Z$40))</f>
        <v>#VALUE!</v>
      </c>
      <c r="AA41" s="290" t="e">
        <f>SUMPRODUCT(($C$10:$C$40="férié")*($AA$10:$AA$40))</f>
        <v>#VALUE!</v>
      </c>
      <c r="AB41" s="289">
        <f>SUMIF(D10:D40,"&gt;0",AB10:AB40)</f>
        <v>0</v>
      </c>
      <c r="AC41" s="290">
        <f>SUMIF(D10:D40,"&gt;0",AC10:AC40)</f>
        <v>0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00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00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00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00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00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00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00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password="8F84" sheet="1" objects="1" scenarios="1" selectLockedCells="1"/>
  <mergeCells count="62">
    <mergeCell ref="D3:D4"/>
    <mergeCell ref="E3:F4"/>
    <mergeCell ref="V3:W3"/>
    <mergeCell ref="X3:Y3"/>
    <mergeCell ref="Z3:AA3"/>
    <mergeCell ref="AB5:AC5"/>
    <mergeCell ref="AE3:AF3"/>
    <mergeCell ref="AH3:AK3"/>
    <mergeCell ref="V4:W4"/>
    <mergeCell ref="X4:Y4"/>
    <mergeCell ref="Z4:AA4"/>
    <mergeCell ref="AB4:AC4"/>
    <mergeCell ref="AB3:AC3"/>
    <mergeCell ref="AE13:AF1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X9:Y9"/>
    <mergeCell ref="Z9:AA9"/>
    <mergeCell ref="AB9:AC9"/>
    <mergeCell ref="AE9:AF9"/>
    <mergeCell ref="AE11:AF11"/>
    <mergeCell ref="AH24:AI24"/>
    <mergeCell ref="AJ24:AK24"/>
    <mergeCell ref="AH14:AK14"/>
    <mergeCell ref="AE15:AF15"/>
    <mergeCell ref="AE17:AF17"/>
    <mergeCell ref="AE19:AF19"/>
    <mergeCell ref="AH20:AK20"/>
    <mergeCell ref="AE21:AF21"/>
    <mergeCell ref="AH21:AI21"/>
    <mergeCell ref="AJ21:AK21"/>
    <mergeCell ref="AH22:AI22"/>
    <mergeCell ref="AJ22:AK22"/>
    <mergeCell ref="AE23:AF23"/>
    <mergeCell ref="AH23:AI23"/>
    <mergeCell ref="AJ23:AK23"/>
    <mergeCell ref="AE39:AF39"/>
    <mergeCell ref="AE25:AF25"/>
    <mergeCell ref="AH26:AK26"/>
    <mergeCell ref="AE27:AF27"/>
    <mergeCell ref="AH27:AK27"/>
    <mergeCell ref="AH28:AK28"/>
    <mergeCell ref="AE29:AF29"/>
    <mergeCell ref="AH29:AK29"/>
    <mergeCell ref="AH30:AK30"/>
    <mergeCell ref="AE31:AF31"/>
    <mergeCell ref="AE33:AF33"/>
    <mergeCell ref="AE35:AF35"/>
    <mergeCell ref="AE37:AF37"/>
  </mergeCells>
  <conditionalFormatting sqref="C10:D40">
    <cfRule type="expression" dxfId="13" priority="4" stopIfTrue="1">
      <formula>COUNTIF(Fériés,$D10)&gt;0</formula>
    </cfRule>
  </conditionalFormatting>
  <conditionalFormatting sqref="AJ21:AK22">
    <cfRule type="expression" dxfId="12" priority="1" stopIfTrue="1">
      <formula>(AJ21:AJ24&lt;=TODAY()+120)*(AJ21:AJ24&lt;&gt;"")</formula>
    </cfRule>
    <cfRule type="expression" dxfId="11" priority="2" stopIfTrue="1">
      <formula>(AJ21:AJ24&lt;=TODAY()+180)*(AJ21:AJ24&lt;&gt;"")</formula>
    </cfRule>
    <cfRule type="expression" dxfId="10" priority="3" stopIfTrue="1">
      <formula>(AJ21:AJ24&lt;=TODAY()&gt;180)*(AJ21:AJ24&lt;&gt;"")</formula>
    </cfRule>
  </conditionalFormatting>
  <conditionalFormatting sqref="C10:AC40">
    <cfRule type="expression" dxfId="9" priority="5" stopIfTrue="1">
      <formula>WEEKDAY($D10,2)=7</formula>
    </cfRule>
  </conditionalFormatting>
  <conditionalFormatting sqref="AJ23:AK23">
    <cfRule type="expression" dxfId="8" priority="6" stopIfTrue="1">
      <formula>(AJ23:AJ25&lt;=TODAY()+120)*(AJ23:AJ25&lt;&gt;"")</formula>
    </cfRule>
    <cfRule type="expression" dxfId="7" priority="7" stopIfTrue="1">
      <formula>(AJ23:AJ25&lt;=TODAY()+180)*(AJ23:AJ25&lt;&gt;"")</formula>
    </cfRule>
    <cfRule type="expression" dxfId="6" priority="8" stopIfTrue="1">
      <formula>(AJ23:AJ25&lt;=TODAY()&gt;180)*(AJ23:AJ25&lt;&gt;"")</formula>
    </cfRule>
  </conditionalFormatting>
  <conditionalFormatting sqref="AJ24:AK24">
    <cfRule type="expression" dxfId="5" priority="9" stopIfTrue="1">
      <formula>(AJ24:AJ25&lt;=TODAY()+120)*(AJ24:AJ25&lt;&gt;"")</formula>
    </cfRule>
    <cfRule type="expression" dxfId="4" priority="10" stopIfTrue="1">
      <formula>(AJ24:AJ25&lt;=TODAY()+180)*(AJ24:AJ25&lt;&gt;"")</formula>
    </cfRule>
    <cfRule type="expression" dxfId="3" priority="11" stopIfTrue="1">
      <formula>(AJ24:AJ25&lt;=TODAY()&gt;180)*(AJ24:AJ25&lt;&gt;"")</formula>
    </cfRule>
  </conditionalFormatting>
  <pageMargins left="0.7" right="0.7" top="0.75" bottom="0.75" header="0.3" footer="0.3"/>
  <pageSetup paperSize="9"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Réglages!$H$2:$H$6</xm:f>
          </x14:formula1>
          <xm:sqref>E10:E40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87E8"/>
  </sheetPr>
  <dimension ref="A1:AL78"/>
  <sheetViews>
    <sheetView zoomScale="90" zoomScaleNormal="90" zoomScalePageLayoutView="90" workbookViewId="0">
      <selection sqref="A1:U5"/>
    </sheetView>
  </sheetViews>
  <sheetFormatPr baseColWidth="10" defaultRowHeight="14" x14ac:dyDescent="0"/>
  <cols>
    <col min="2" max="2" width="24.33203125" customWidth="1"/>
    <col min="3" max="3" width="15.5" customWidth="1"/>
    <col min="5" max="5" width="11.33203125" customWidth="1"/>
    <col min="6" max="6" width="26.6640625" customWidth="1"/>
    <col min="8" max="8" width="12.83203125" customWidth="1"/>
    <col min="9" max="9" width="23.6640625" customWidth="1"/>
  </cols>
  <sheetData>
    <row r="1" spans="1:38">
      <c r="A1" s="377" t="s">
        <v>111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</row>
    <row r="2" spans="1:38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</row>
    <row r="3" spans="1:38">
      <c r="A3" s="377"/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</row>
    <row r="4" spans="1:38">
      <c r="A4" s="377"/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</row>
    <row r="5" spans="1:38">
      <c r="A5" s="377"/>
      <c r="B5" s="377"/>
      <c r="C5" s="377"/>
      <c r="D5" s="377"/>
      <c r="E5" s="377"/>
      <c r="F5" s="377"/>
      <c r="G5" s="377"/>
      <c r="H5" s="377"/>
      <c r="I5" s="377"/>
      <c r="J5" s="377"/>
      <c r="K5" s="377"/>
      <c r="L5" s="377"/>
      <c r="M5" s="377"/>
      <c r="N5" s="377"/>
      <c r="O5" s="377"/>
      <c r="P5" s="377"/>
      <c r="Q5" s="377"/>
      <c r="R5" s="377"/>
      <c r="S5" s="377"/>
      <c r="T5" s="377"/>
      <c r="U5" s="377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</row>
    <row r="6" spans="1:38" ht="15" thickBot="1">
      <c r="A6" s="132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">
      <c r="A7" s="28"/>
      <c r="B7" s="28"/>
      <c r="C7" s="28"/>
      <c r="D7" s="28"/>
      <c r="E7" s="28"/>
      <c r="F7" s="300" t="s">
        <v>110</v>
      </c>
      <c r="G7" s="301"/>
      <c r="H7" s="28"/>
      <c r="I7" s="378" t="s">
        <v>17</v>
      </c>
      <c r="J7" s="379"/>
      <c r="K7" s="379"/>
      <c r="L7" s="380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8">
      <c r="A8" s="28"/>
      <c r="B8" s="28"/>
      <c r="C8" s="28"/>
      <c r="D8" s="28"/>
      <c r="E8" s="28"/>
      <c r="F8" s="91" t="s">
        <v>2</v>
      </c>
      <c r="G8" s="92" t="e">
        <f>SUM(Janvier!AF4,#REF!,#REF!,#REF!,#REF!,#REF!,#REF!,#REF!,#REF!,#REF!,#REF!,#REF!)</f>
        <v>#REF!</v>
      </c>
      <c r="H8" s="28"/>
      <c r="I8" s="101"/>
      <c r="J8" s="102" t="s">
        <v>34</v>
      </c>
      <c r="K8" s="103" t="s">
        <v>23</v>
      </c>
      <c r="L8" s="104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310"/>
      <c r="G9" s="311"/>
      <c r="H9" s="28"/>
      <c r="I9" s="21" t="s">
        <v>1</v>
      </c>
      <c r="J9" s="22" t="e">
        <f>SUM(Janvier!AF10,#REF!,#REF!,#REF!,#REF!,#REF!,#REF!,#REF!,#REF!,#REF!,#REF!,#REF!)*24</f>
        <v>#REF!</v>
      </c>
      <c r="K9" s="108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91" t="s">
        <v>67</v>
      </c>
      <c r="G10" s="93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09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320"/>
      <c r="G11" s="321"/>
      <c r="H11" s="28"/>
      <c r="I11" s="10" t="s">
        <v>20</v>
      </c>
      <c r="J11" s="2" t="e">
        <f>SUM(Janvier!AF18,#REF!,#REF!,#REF!,#REF!,#REF!,#REF!,#REF!,#REF!,#REF!,#REF!,#REF!)*24</f>
        <v>#REF!</v>
      </c>
      <c r="K11" s="109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91" t="s">
        <v>61</v>
      </c>
      <c r="G12" s="92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09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320"/>
      <c r="G13" s="321"/>
      <c r="H13" s="28"/>
      <c r="I13" s="10" t="s">
        <v>21</v>
      </c>
      <c r="J13" s="2" t="e">
        <f>SUM(Janvier!AF24,#REF!,#REF!,#REF!,#REF!,#REF!,#REF!,#REF!,#REF!,#REF!,#REF!,#REF!)*24</f>
        <v>#REF!</v>
      </c>
      <c r="K13" s="109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91" t="s">
        <v>71</v>
      </c>
      <c r="G14" s="93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09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" thickBot="1">
      <c r="A15" s="28"/>
      <c r="B15" s="28"/>
      <c r="C15" s="28"/>
      <c r="D15" s="28"/>
      <c r="E15" s="28"/>
      <c r="F15" s="346"/>
      <c r="G15" s="347"/>
      <c r="H15" s="28"/>
      <c r="I15" s="13" t="s">
        <v>24</v>
      </c>
      <c r="J15" s="14" t="e">
        <f>SUM(J10+J12)</f>
        <v>#REF!</v>
      </c>
      <c r="K15" s="110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" thickBot="1">
      <c r="A16" s="28"/>
      <c r="B16" s="28"/>
      <c r="C16" s="28"/>
      <c r="D16" s="28"/>
      <c r="E16" s="28"/>
      <c r="F16" s="91" t="s">
        <v>72</v>
      </c>
      <c r="G16" s="93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" thickBot="1">
      <c r="A17" s="28"/>
      <c r="B17" s="28"/>
      <c r="C17" s="28"/>
      <c r="D17" s="28"/>
      <c r="E17" s="28"/>
      <c r="F17" s="332"/>
      <c r="G17" s="333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94" t="s">
        <v>81</v>
      </c>
      <c r="G18" s="95" t="e">
        <f>SUM(Janvier!AF14,#REF!,#REF!,#REF!,#REF!,#REF!,#REF!,#REF!,#REF!,#REF!,#REF!,#REF!)</f>
        <v>#REF!</v>
      </c>
      <c r="H18" s="28"/>
      <c r="I18" s="381" t="s">
        <v>16</v>
      </c>
      <c r="J18" s="382"/>
      <c r="K18" s="382"/>
      <c r="L18" s="383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320"/>
      <c r="G19" s="321"/>
      <c r="H19" s="28"/>
      <c r="I19" s="105"/>
      <c r="J19" s="106" t="s">
        <v>11</v>
      </c>
      <c r="K19" s="106" t="s">
        <v>23</v>
      </c>
      <c r="L19" s="107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94" t="s">
        <v>75</v>
      </c>
      <c r="G20" s="96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11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" thickBot="1">
      <c r="A21" s="28"/>
      <c r="B21" s="28"/>
      <c r="C21" s="28"/>
      <c r="D21" s="28"/>
      <c r="E21" s="28"/>
      <c r="F21" s="320"/>
      <c r="G21" s="321"/>
      <c r="H21" s="28"/>
      <c r="I21" s="18" t="s">
        <v>77</v>
      </c>
      <c r="J21" s="88" t="e">
        <f>SUM(Janvier!AF38,#REF!,#REF!,#REF!,#REF!,#REF!,#REF!,#REF!,#REF!,#REF!,#REF!,#REF!)</f>
        <v>#REF!</v>
      </c>
      <c r="K21" s="110">
        <v>0.81</v>
      </c>
      <c r="L21" s="100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" thickBot="1">
      <c r="A22" s="28"/>
      <c r="B22" s="28"/>
      <c r="C22" s="28"/>
      <c r="D22" s="28"/>
      <c r="E22" s="28"/>
      <c r="F22" s="91" t="s">
        <v>73</v>
      </c>
      <c r="G22" s="93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76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332"/>
      <c r="G23" s="333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91" t="s">
        <v>74</v>
      </c>
      <c r="G24" s="93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332"/>
      <c r="G25" s="333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91" t="s">
        <v>80</v>
      </c>
      <c r="G26" s="97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360"/>
      <c r="G27" s="361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91" t="s">
        <v>68</v>
      </c>
      <c r="G28" s="93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332"/>
      <c r="G29" s="333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91" t="s">
        <v>69</v>
      </c>
      <c r="G30" s="93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332"/>
      <c r="G31" s="333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91" t="s">
        <v>70</v>
      </c>
      <c r="G32" s="93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332"/>
      <c r="G33" s="333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94" t="s">
        <v>62</v>
      </c>
      <c r="G34" s="96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352"/>
      <c r="G35" s="353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94" t="s">
        <v>63</v>
      </c>
      <c r="G36" s="96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352"/>
      <c r="G37" s="353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91" t="s">
        <v>64</v>
      </c>
      <c r="G38" s="93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332"/>
      <c r="G39" s="333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91" t="s">
        <v>65</v>
      </c>
      <c r="G40" s="97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332"/>
      <c r="G41" s="333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98" t="s">
        <v>66</v>
      </c>
      <c r="G42" s="93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" thickBot="1">
      <c r="A43" s="28"/>
      <c r="B43" s="28"/>
      <c r="C43" s="28"/>
      <c r="D43" s="28"/>
      <c r="E43" s="28"/>
      <c r="F43" s="348"/>
      <c r="G43" s="349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formatColumns="0" formatRows="0"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  <mergeCell ref="F27:G27"/>
    <mergeCell ref="F17:G17"/>
    <mergeCell ref="F19:G19"/>
    <mergeCell ref="F21:G21"/>
    <mergeCell ref="F23:G23"/>
    <mergeCell ref="F25:G2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F49" sqref="F49"/>
    </sheetView>
  </sheetViews>
  <sheetFormatPr baseColWidth="10" defaultRowHeight="14" x14ac:dyDescent="0"/>
  <cols>
    <col min="1" max="1" width="2.33203125" customWidth="1"/>
    <col min="2" max="2" width="2.5" customWidth="1"/>
    <col min="3" max="3" width="2.83203125" customWidth="1"/>
    <col min="4" max="5" width="10.83203125" style="7"/>
    <col min="6" max="6" width="11.33203125" style="77" customWidth="1"/>
    <col min="7" max="7" width="12.5" style="7" customWidth="1"/>
    <col min="8" max="8" width="12.1640625" customWidth="1"/>
    <col min="10" max="10" width="17.6640625" customWidth="1"/>
    <col min="13" max="13" width="18.33203125" bestFit="1" customWidth="1"/>
    <col min="14" max="14" width="26.5" bestFit="1" customWidth="1"/>
    <col min="15" max="15" width="2.83203125" customWidth="1"/>
    <col min="16" max="16" width="3.5" customWidth="1"/>
    <col min="17" max="17" width="14.1640625" customWidth="1"/>
    <col min="18" max="18" width="11.5" customWidth="1"/>
    <col min="20" max="20" width="13.83203125" customWidth="1"/>
    <col min="21" max="21" width="12.6640625" customWidth="1"/>
    <col min="22" max="22" width="5.5" customWidth="1"/>
  </cols>
  <sheetData>
    <row r="1" spans="1:42">
      <c r="A1" s="172"/>
      <c r="B1" s="135"/>
      <c r="C1" s="136"/>
      <c r="D1" s="8" t="s">
        <v>84</v>
      </c>
      <c r="E1" s="8" t="s">
        <v>33</v>
      </c>
      <c r="F1" s="142"/>
      <c r="G1" s="129" t="s">
        <v>13</v>
      </c>
      <c r="H1" s="9" t="s">
        <v>26</v>
      </c>
      <c r="I1" s="28"/>
      <c r="J1" s="43"/>
      <c r="K1" s="148"/>
      <c r="L1" s="28"/>
      <c r="M1" s="165">
        <f>An</f>
        <v>2016</v>
      </c>
      <c r="N1" s="169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30">
        <v>0</v>
      </c>
      <c r="E2" s="130">
        <v>1.0416666666666666E-2</v>
      </c>
      <c r="F2" s="143"/>
      <c r="G2" s="124" t="s">
        <v>56</v>
      </c>
      <c r="H2" s="126" t="s">
        <v>125</v>
      </c>
      <c r="I2" s="28"/>
      <c r="J2" s="137"/>
      <c r="K2" s="137"/>
      <c r="L2" s="28"/>
      <c r="M2" s="166" t="s">
        <v>88</v>
      </c>
      <c r="N2" s="162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30">
        <v>2.0833333333333332E-2</v>
      </c>
      <c r="E3" s="130">
        <v>2.0833333333333332E-2</v>
      </c>
      <c r="F3" s="143"/>
      <c r="G3" s="124" t="s">
        <v>57</v>
      </c>
      <c r="H3" s="127" t="s">
        <v>27</v>
      </c>
      <c r="I3" s="28"/>
      <c r="J3" s="43"/>
      <c r="K3" s="43"/>
      <c r="L3" s="28"/>
      <c r="M3" s="167" t="s">
        <v>89</v>
      </c>
      <c r="N3" s="163">
        <f>FLOOR(DAY(MINUTE(An/38)/2+56)&amp;"/5/"&amp;An,7)-34</f>
        <v>42456</v>
      </c>
      <c r="O3" s="28"/>
      <c r="P3" s="28"/>
      <c r="Q3" s="388" t="s">
        <v>107</v>
      </c>
      <c r="R3" s="388"/>
      <c r="S3" s="38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30">
        <v>4.1666666666666664E-2</v>
      </c>
      <c r="E4" s="130">
        <v>3.125E-2</v>
      </c>
      <c r="F4" s="143"/>
      <c r="G4" s="124" t="s">
        <v>58</v>
      </c>
      <c r="H4" s="127" t="s">
        <v>8</v>
      </c>
      <c r="I4" s="28"/>
      <c r="J4" s="137"/>
      <c r="K4" s="137"/>
      <c r="L4" s="28"/>
      <c r="M4" s="167" t="s">
        <v>90</v>
      </c>
      <c r="N4" s="163">
        <f>Paques+1</f>
        <v>42457</v>
      </c>
      <c r="O4" s="28"/>
      <c r="P4" s="28"/>
      <c r="Q4" s="388"/>
      <c r="R4" s="388"/>
      <c r="S4" s="38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30">
        <v>6.25E-2</v>
      </c>
      <c r="E5" s="130">
        <v>4.1666666666666664E-2</v>
      </c>
      <c r="F5" s="143"/>
      <c r="G5" s="124" t="s">
        <v>59</v>
      </c>
      <c r="H5" s="127" t="s">
        <v>9</v>
      </c>
      <c r="I5" s="28"/>
      <c r="J5" s="137"/>
      <c r="K5" s="137"/>
      <c r="L5" s="28"/>
      <c r="M5" s="167" t="s">
        <v>91</v>
      </c>
      <c r="N5" s="163">
        <f>DATE(An,5,1)</f>
        <v>42491</v>
      </c>
      <c r="O5" s="28"/>
      <c r="P5" s="28"/>
      <c r="Q5" s="78" t="s">
        <v>106</v>
      </c>
      <c r="R5" s="78"/>
      <c r="S5" s="7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30">
        <v>8.3333333333333301E-2</v>
      </c>
      <c r="E6" s="130">
        <v>5.2083333333333336E-2</v>
      </c>
      <c r="F6" s="143"/>
      <c r="G6" s="124" t="s">
        <v>79</v>
      </c>
      <c r="H6" s="128" t="s">
        <v>118</v>
      </c>
      <c r="I6" s="28"/>
      <c r="J6" s="137"/>
      <c r="K6" s="43"/>
      <c r="L6" s="28"/>
      <c r="M6" s="167" t="s">
        <v>92</v>
      </c>
      <c r="N6" s="163">
        <f>DATE(An,5,8)</f>
        <v>42498</v>
      </c>
      <c r="O6" s="28"/>
      <c r="P6" s="28"/>
      <c r="Q6" s="79" t="s">
        <v>101</v>
      </c>
      <c r="R6" s="79" t="s">
        <v>102</v>
      </c>
      <c r="S6" s="79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30">
        <v>0.104166666666667</v>
      </c>
      <c r="E7" s="130">
        <v>6.25E-2</v>
      </c>
      <c r="F7" s="143"/>
      <c r="G7" s="124" t="s">
        <v>6</v>
      </c>
      <c r="H7" s="145"/>
      <c r="I7" s="28"/>
      <c r="J7" s="137"/>
      <c r="K7" s="43"/>
      <c r="L7" s="28"/>
      <c r="M7" s="167" t="s">
        <v>93</v>
      </c>
      <c r="N7" s="163">
        <f>Paques+39</f>
        <v>42495</v>
      </c>
      <c r="O7" s="28"/>
      <c r="P7" s="28"/>
      <c r="Q7" s="79" t="s">
        <v>15</v>
      </c>
      <c r="R7" s="79" t="s">
        <v>103</v>
      </c>
      <c r="S7" s="79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30">
        <v>0.125</v>
      </c>
      <c r="E8" s="130">
        <v>7.2916666666666671E-2</v>
      </c>
      <c r="F8" s="143"/>
      <c r="G8" s="125" t="s">
        <v>14</v>
      </c>
      <c r="H8" s="145"/>
      <c r="I8" s="28"/>
      <c r="J8" s="137"/>
      <c r="K8" s="43"/>
      <c r="L8" s="28"/>
      <c r="M8" s="167" t="s">
        <v>94</v>
      </c>
      <c r="N8" s="163">
        <f>Paques+49</f>
        <v>42505</v>
      </c>
      <c r="O8" s="28"/>
      <c r="P8" s="28"/>
      <c r="Q8" s="79" t="s">
        <v>104</v>
      </c>
      <c r="R8" s="79" t="s">
        <v>105</v>
      </c>
      <c r="S8" s="79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" thickBot="1">
      <c r="A9" s="28"/>
      <c r="B9" s="28"/>
      <c r="C9" s="28"/>
      <c r="D9" s="130">
        <v>0.14583333333333301</v>
      </c>
      <c r="E9" s="130">
        <v>8.3333333333333329E-2</v>
      </c>
      <c r="F9" s="144"/>
      <c r="G9" s="170"/>
      <c r="H9" s="171"/>
      <c r="I9" s="28"/>
      <c r="J9" s="137"/>
      <c r="K9" s="43"/>
      <c r="L9" s="28"/>
      <c r="M9" s="167" t="s">
        <v>95</v>
      </c>
      <c r="N9" s="163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" thickBot="1">
      <c r="A10" s="28"/>
      <c r="B10" s="28"/>
      <c r="C10" s="28"/>
      <c r="D10" s="130">
        <v>0.16666666666666699</v>
      </c>
      <c r="E10" s="130">
        <v>9.375E-2</v>
      </c>
      <c r="F10" s="244"/>
      <c r="G10" s="386" t="s">
        <v>121</v>
      </c>
      <c r="H10" s="387"/>
      <c r="I10" s="28"/>
      <c r="J10" s="137"/>
      <c r="K10" s="43"/>
      <c r="L10" s="28"/>
      <c r="M10" s="167" t="s">
        <v>96</v>
      </c>
      <c r="N10" s="163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30">
        <v>0.1875</v>
      </c>
      <c r="E11" s="130">
        <v>0.10416666666666667</v>
      </c>
      <c r="F11" s="244"/>
      <c r="G11" s="170"/>
      <c r="H11" s="171"/>
      <c r="I11" s="28"/>
      <c r="J11" s="137"/>
      <c r="K11" s="43"/>
      <c r="L11" s="28"/>
      <c r="M11" s="167" t="s">
        <v>97</v>
      </c>
      <c r="N11" s="163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30">
        <v>0.20833333333333301</v>
      </c>
      <c r="E12" s="130">
        <v>0.11458333333333333</v>
      </c>
      <c r="F12" s="244"/>
      <c r="G12" s="170"/>
      <c r="H12" s="171"/>
      <c r="I12" s="160"/>
      <c r="J12" s="160"/>
      <c r="K12" s="160"/>
      <c r="L12" s="28"/>
      <c r="M12" s="167" t="s">
        <v>98</v>
      </c>
      <c r="N12" s="163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" customHeight="1">
      <c r="A13" s="28"/>
      <c r="B13" s="28"/>
      <c r="C13" s="28"/>
      <c r="D13" s="130">
        <v>0.22916666666666699</v>
      </c>
      <c r="E13" s="130">
        <v>0.125</v>
      </c>
      <c r="F13" s="245"/>
      <c r="G13" s="170"/>
      <c r="H13" s="171"/>
      <c r="I13" s="160"/>
      <c r="J13" s="160"/>
      <c r="K13" s="160"/>
      <c r="L13" s="28"/>
      <c r="M13" s="167" t="s">
        <v>99</v>
      </c>
      <c r="N13" s="163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30">
        <v>0.25</v>
      </c>
      <c r="E14" s="130">
        <v>0.13541666666666666</v>
      </c>
      <c r="F14" s="246"/>
      <c r="G14" s="170"/>
      <c r="H14" s="132"/>
      <c r="I14" s="160"/>
      <c r="J14" s="160"/>
      <c r="K14" s="160"/>
      <c r="L14" s="146"/>
      <c r="M14" s="168" t="s">
        <v>100</v>
      </c>
      <c r="N14" s="164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30">
        <v>0.27083333333333298</v>
      </c>
      <c r="E15" s="130">
        <v>0.14583333333333334</v>
      </c>
      <c r="F15" s="246"/>
      <c r="G15" s="149"/>
      <c r="H15" s="28"/>
      <c r="I15" s="161"/>
      <c r="J15" s="161"/>
      <c r="K15" s="161"/>
      <c r="L15" s="147"/>
      <c r="M15" s="43"/>
      <c r="N15" s="43"/>
      <c r="O15" s="28"/>
      <c r="P15" s="28"/>
      <c r="Q15" s="397" t="s">
        <v>117</v>
      </c>
      <c r="R15" s="398"/>
      <c r="S15" s="401">
        <f ca="1">TODAY()</f>
        <v>42355</v>
      </c>
      <c r="T15" s="402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" thickBot="1">
      <c r="A16" s="54"/>
      <c r="B16" s="54"/>
      <c r="C16" s="28"/>
      <c r="D16" s="130">
        <v>0.29166666666666702</v>
      </c>
      <c r="E16" s="130">
        <v>0.15625</v>
      </c>
      <c r="F16" s="246"/>
      <c r="G16" s="139"/>
      <c r="H16" s="28"/>
      <c r="I16" s="161"/>
      <c r="J16" s="161"/>
      <c r="K16" s="161"/>
      <c r="L16" s="28"/>
      <c r="M16" s="43"/>
      <c r="N16" s="43"/>
      <c r="O16" s="28"/>
      <c r="P16" s="28"/>
      <c r="Q16" s="399"/>
      <c r="R16" s="400"/>
      <c r="S16" s="403"/>
      <c r="T16" s="404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30">
        <v>0.3125</v>
      </c>
      <c r="E17" s="130">
        <v>0.16666666666666666</v>
      </c>
      <c r="F17" s="246"/>
      <c r="G17" s="139"/>
      <c r="H17" s="28"/>
      <c r="I17" s="28"/>
      <c r="J17" s="137"/>
      <c r="K17" s="43"/>
      <c r="L17" s="43"/>
      <c r="M17" s="43"/>
      <c r="N17" s="43"/>
      <c r="O17" s="43"/>
      <c r="P17" s="123"/>
      <c r="Q17" s="140"/>
      <c r="R17" s="140"/>
      <c r="S17" s="140"/>
      <c r="T17" s="123"/>
      <c r="U17" s="123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" thickBot="1">
      <c r="A18" s="28"/>
      <c r="B18" s="28"/>
      <c r="C18" s="28"/>
      <c r="D18" s="130">
        <v>0.33333333333333298</v>
      </c>
      <c r="E18" s="130">
        <v>0.17708333333333334</v>
      </c>
      <c r="F18" s="246"/>
      <c r="G18" s="139"/>
      <c r="H18" s="28"/>
      <c r="I18" s="28"/>
      <c r="J18" s="43"/>
      <c r="K18" s="43"/>
      <c r="L18" s="43"/>
      <c r="M18" s="43"/>
      <c r="N18" s="43"/>
      <c r="O18" s="43"/>
      <c r="P18" s="123"/>
      <c r="Q18" s="123"/>
      <c r="R18" s="123"/>
      <c r="S18" s="123"/>
      <c r="T18" s="123"/>
      <c r="U18" s="123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" thickBot="1">
      <c r="A19" s="28"/>
      <c r="B19" s="28"/>
      <c r="C19" s="28"/>
      <c r="D19" s="130">
        <v>0.35416666666666702</v>
      </c>
      <c r="E19" s="130">
        <v>0.1875</v>
      </c>
      <c r="F19" s="246"/>
      <c r="G19" s="139"/>
      <c r="H19" s="28"/>
      <c r="I19" s="28"/>
      <c r="J19" s="28"/>
      <c r="K19" s="28"/>
      <c r="L19" s="43"/>
      <c r="M19" s="43"/>
      <c r="N19" s="43"/>
      <c r="O19" s="43"/>
      <c r="P19" s="123"/>
      <c r="Q19" s="395" t="s">
        <v>82</v>
      </c>
      <c r="R19" s="396"/>
      <c r="S19" s="396"/>
      <c r="T19" s="396"/>
      <c r="U19" s="384" t="s">
        <v>119</v>
      </c>
      <c r="V19" s="385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30">
        <v>0.375</v>
      </c>
      <c r="E20" s="130">
        <v>0.19791666666666666</v>
      </c>
      <c r="F20" s="246"/>
      <c r="G20" s="37"/>
      <c r="H20" s="28"/>
      <c r="I20" s="28"/>
      <c r="J20" s="150"/>
      <c r="K20" s="28"/>
      <c r="L20" s="43"/>
      <c r="M20" s="43"/>
      <c r="N20" s="43"/>
      <c r="O20" s="43"/>
      <c r="P20" s="123"/>
      <c r="Q20" s="409" t="s">
        <v>112</v>
      </c>
      <c r="R20" s="410"/>
      <c r="S20" s="411">
        <v>42461</v>
      </c>
      <c r="T20" s="412"/>
      <c r="U20" s="153" t="s">
        <v>120</v>
      </c>
      <c r="V20" s="154">
        <f ca="1">ABS(S15-S20)</f>
        <v>106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30">
        <v>0.39583333333333298</v>
      </c>
      <c r="E21" s="131">
        <v>0.20833333333333334</v>
      </c>
      <c r="F21" s="246"/>
      <c r="G21" s="37"/>
      <c r="H21" s="28"/>
      <c r="I21" s="28"/>
      <c r="J21" s="150"/>
      <c r="K21" s="28"/>
      <c r="L21" s="43"/>
      <c r="M21" s="43"/>
      <c r="N21" s="43"/>
      <c r="O21" s="43"/>
      <c r="P21" s="123"/>
      <c r="Q21" s="413" t="s">
        <v>113</v>
      </c>
      <c r="R21" s="414"/>
      <c r="S21" s="415">
        <v>42522</v>
      </c>
      <c r="T21" s="416"/>
      <c r="U21" s="155" t="s">
        <v>120</v>
      </c>
      <c r="V21" s="156">
        <f ca="1">ABS(S15-S21)</f>
        <v>167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" thickBot="1">
      <c r="A22" s="28"/>
      <c r="B22" s="28"/>
      <c r="C22" s="28"/>
      <c r="D22" s="130">
        <v>0.41666666666666702</v>
      </c>
      <c r="E22" s="37"/>
      <c r="F22" s="246"/>
      <c r="G22" s="139"/>
      <c r="H22" s="28"/>
      <c r="I22" s="28"/>
      <c r="J22" s="28"/>
      <c r="K22" s="28"/>
      <c r="L22" s="43"/>
      <c r="M22" s="43"/>
      <c r="N22" s="43"/>
      <c r="O22" s="43"/>
      <c r="P22" s="123"/>
      <c r="Q22" s="413" t="s">
        <v>8</v>
      </c>
      <c r="R22" s="414"/>
      <c r="S22" s="415">
        <v>42552</v>
      </c>
      <c r="T22" s="416"/>
      <c r="U22" s="155" t="s">
        <v>120</v>
      </c>
      <c r="V22" s="156">
        <f ca="1">ABS(S15-S22)</f>
        <v>197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" thickTop="1" thickBot="1">
      <c r="A23" s="28"/>
      <c r="B23" s="28"/>
      <c r="C23" s="28"/>
      <c r="D23" s="130">
        <v>0.4375</v>
      </c>
      <c r="E23" s="37"/>
      <c r="F23" s="246"/>
      <c r="G23" s="391" t="s">
        <v>85</v>
      </c>
      <c r="H23" s="392"/>
      <c r="I23" s="392"/>
      <c r="J23" s="389">
        <v>2016</v>
      </c>
      <c r="K23" s="28"/>
      <c r="L23" s="43"/>
      <c r="M23" s="43"/>
      <c r="N23" s="43"/>
      <c r="O23" s="43"/>
      <c r="P23" s="123"/>
      <c r="Q23" s="405" t="s">
        <v>83</v>
      </c>
      <c r="R23" s="406"/>
      <c r="S23" s="407">
        <v>42583</v>
      </c>
      <c r="T23" s="408"/>
      <c r="U23" s="157" t="s">
        <v>120</v>
      </c>
      <c r="V23" s="158">
        <f ca="1">ABS(S15-S23)</f>
        <v>228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" thickBot="1">
      <c r="A24" s="28"/>
      <c r="B24" s="28"/>
      <c r="C24" s="28"/>
      <c r="D24" s="130">
        <v>0.45833333333333298</v>
      </c>
      <c r="E24" s="37"/>
      <c r="F24" s="246"/>
      <c r="G24" s="393"/>
      <c r="H24" s="394"/>
      <c r="I24" s="394"/>
      <c r="J24" s="390"/>
      <c r="K24" s="28"/>
      <c r="L24" s="28"/>
      <c r="M24" s="28"/>
      <c r="N24" s="28"/>
      <c r="O24" s="28"/>
      <c r="P24" s="123"/>
      <c r="Q24" s="123"/>
      <c r="R24" s="123"/>
      <c r="S24" s="123"/>
      <c r="T24" s="123"/>
      <c r="U24" s="123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30">
        <v>0.47916666666666702</v>
      </c>
      <c r="E25" s="37"/>
      <c r="F25" s="246"/>
      <c r="G25" s="37"/>
      <c r="H25" s="28"/>
      <c r="I25" s="28"/>
      <c r="J25" s="28"/>
      <c r="K25" s="141"/>
      <c r="L25" s="28"/>
      <c r="M25" s="28"/>
      <c r="N25" s="28"/>
      <c r="O25" s="28"/>
      <c r="P25" s="123"/>
      <c r="Q25" s="123"/>
      <c r="R25" s="123"/>
      <c r="S25" s="123"/>
      <c r="T25" s="123"/>
      <c r="U25" s="123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" customHeight="1">
      <c r="A26" s="28"/>
      <c r="B26" s="28"/>
      <c r="C26" s="28"/>
      <c r="D26" s="130">
        <v>0.5</v>
      </c>
      <c r="E26" s="37"/>
      <c r="F26" s="246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" customHeight="1">
      <c r="A27" s="28"/>
      <c r="B27" s="28"/>
      <c r="C27" s="28"/>
      <c r="D27" s="130">
        <v>0.52083333333333304</v>
      </c>
      <c r="E27" s="37"/>
      <c r="F27" s="246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30">
        <v>0.54166666666666696</v>
      </c>
      <c r="E28" s="37"/>
      <c r="F28" s="246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30">
        <v>0.5625</v>
      </c>
      <c r="E29" s="37"/>
      <c r="F29" s="246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30">
        <v>0.58333333333333304</v>
      </c>
      <c r="E30" s="37"/>
      <c r="F30" s="246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 ht="15" thickBot="1">
      <c r="A31" s="28"/>
      <c r="B31" s="28"/>
      <c r="C31" s="28"/>
      <c r="D31" s="130">
        <v>0.60416666666666696</v>
      </c>
      <c r="E31" s="37"/>
      <c r="F31" s="246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30">
        <v>0.625</v>
      </c>
      <c r="E32" s="37"/>
      <c r="F32" s="246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432" t="s">
        <v>135</v>
      </c>
      <c r="V32" s="433"/>
      <c r="W32" s="434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 ht="15">
      <c r="A33" s="28"/>
      <c r="B33" s="28"/>
      <c r="C33" s="28"/>
      <c r="D33" s="130">
        <v>0.64583333333333304</v>
      </c>
      <c r="E33" s="37"/>
      <c r="F33" s="246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423" t="s">
        <v>134</v>
      </c>
      <c r="V33" s="424"/>
      <c r="W33" s="425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 ht="15">
      <c r="A34" s="28"/>
      <c r="B34" s="28"/>
      <c r="C34" s="28"/>
      <c r="D34" s="130">
        <v>0.66666666666666696</v>
      </c>
      <c r="E34" s="37"/>
      <c r="F34" s="246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426" t="s">
        <v>136</v>
      </c>
      <c r="V34" s="427"/>
      <c r="W34" s="4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 ht="15">
      <c r="A35" s="28"/>
      <c r="B35" s="28"/>
      <c r="C35" s="28"/>
      <c r="D35" s="130">
        <v>0.6875</v>
      </c>
      <c r="E35" s="37"/>
      <c r="F35" s="246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429" t="s">
        <v>137</v>
      </c>
      <c r="V35" s="430"/>
      <c r="W35" s="431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30">
        <v>0.70833333333333304</v>
      </c>
      <c r="E36" s="37"/>
      <c r="F36" s="246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435" t="s">
        <v>138</v>
      </c>
      <c r="V36" s="436"/>
      <c r="W36" s="437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 ht="15" thickBot="1">
      <c r="A37" s="28"/>
      <c r="B37" s="28"/>
      <c r="C37" s="28"/>
      <c r="D37" s="130">
        <v>0.72916666666666696</v>
      </c>
      <c r="E37" s="37"/>
      <c r="F37" s="246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438"/>
      <c r="V37" s="439"/>
      <c r="W37" s="440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30">
        <v>0.75</v>
      </c>
      <c r="E38" s="37"/>
      <c r="F38" s="246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30">
        <v>0.77083333333333304</v>
      </c>
      <c r="E39" s="37"/>
      <c r="F39" s="246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30">
        <v>0.79166666666666696</v>
      </c>
      <c r="E40" s="37"/>
      <c r="F40" s="246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30">
        <v>0.8125</v>
      </c>
      <c r="E41" s="37"/>
      <c r="F41" s="246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30">
        <v>0.83333333333333304</v>
      </c>
      <c r="E42" s="37"/>
      <c r="F42" s="246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30">
        <v>0.85416666666666696</v>
      </c>
      <c r="E43" s="37"/>
      <c r="F43" s="246"/>
      <c r="G43" s="37"/>
      <c r="H43" s="28"/>
      <c r="I43" s="417" t="s">
        <v>144</v>
      </c>
      <c r="J43" s="418"/>
      <c r="K43" s="418"/>
      <c r="L43" s="418"/>
      <c r="M43" s="418"/>
      <c r="N43" s="418"/>
      <c r="O43" s="418"/>
      <c r="P43" s="418"/>
      <c r="Q43" s="418"/>
      <c r="R43" s="419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30">
        <v>0.875</v>
      </c>
      <c r="E44" s="37"/>
      <c r="F44" s="246"/>
      <c r="G44" s="37"/>
      <c r="H44" s="28"/>
      <c r="I44" s="420"/>
      <c r="J44" s="421"/>
      <c r="K44" s="421"/>
      <c r="L44" s="421"/>
      <c r="M44" s="421"/>
      <c r="N44" s="421"/>
      <c r="O44" s="421"/>
      <c r="P44" s="421"/>
      <c r="Q44" s="421"/>
      <c r="R44" s="422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30">
        <v>0.89583333333333304</v>
      </c>
      <c r="E45" s="37"/>
      <c r="F45" s="246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30">
        <v>0.91666666666666696</v>
      </c>
      <c r="E46" s="37"/>
      <c r="F46" s="246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30">
        <v>0.9375</v>
      </c>
      <c r="E47" s="37"/>
      <c r="F47" s="246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30">
        <v>0.95833333333333304</v>
      </c>
      <c r="E48" s="37"/>
      <c r="F48" s="246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31">
        <v>0.97916666666666696</v>
      </c>
      <c r="E49" s="37"/>
      <c r="F49" s="139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38"/>
      <c r="E50" s="37"/>
      <c r="F50" s="139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37"/>
      <c r="D51" s="137"/>
      <c r="E51" s="37"/>
      <c r="F51" s="139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37"/>
      <c r="D52" s="137"/>
      <c r="E52" s="37"/>
      <c r="F52" s="139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37"/>
      <c r="D53" s="137"/>
      <c r="E53" s="37"/>
      <c r="F53" s="139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37"/>
      <c r="D54" s="137"/>
      <c r="E54" s="37"/>
      <c r="F54" s="139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37"/>
      <c r="D55" s="137"/>
      <c r="E55" s="37"/>
      <c r="F55" s="139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37"/>
      <c r="D56" s="137"/>
      <c r="E56" s="37"/>
      <c r="F56" s="139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37"/>
      <c r="D57" s="137"/>
      <c r="E57" s="37"/>
      <c r="F57" s="139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37"/>
      <c r="D58" s="137"/>
      <c r="E58" s="37"/>
      <c r="F58" s="139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37"/>
      <c r="D59" s="137"/>
      <c r="E59" s="37"/>
      <c r="F59" s="139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37"/>
      <c r="D60" s="137"/>
      <c r="E60" s="37"/>
      <c r="F60" s="139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37"/>
      <c r="D61" s="137"/>
      <c r="E61" s="37"/>
      <c r="F61" s="139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37"/>
      <c r="D62" s="137"/>
      <c r="E62" s="37"/>
      <c r="F62" s="139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37"/>
      <c r="D63" s="137"/>
      <c r="E63" s="37"/>
      <c r="F63" s="139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37"/>
      <c r="D64" s="137"/>
      <c r="E64" s="37"/>
      <c r="F64" s="139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39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39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39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39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39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39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password="8F84" sheet="1" objects="1" scenarios="1" formatColumns="0" formatRows="0" selectLockedCells="1"/>
  <mergeCells count="22">
    <mergeCell ref="I43:R44"/>
    <mergeCell ref="U33:W33"/>
    <mergeCell ref="U34:W34"/>
    <mergeCell ref="U35:W35"/>
    <mergeCell ref="U32:W32"/>
    <mergeCell ref="U36:W37"/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2" priority="1" stopIfTrue="1">
      <formula>(S20:S23&lt;=TODAY()+120)*(S20:S23&lt;&gt;"")</formula>
    </cfRule>
    <cfRule type="expression" dxfId="1" priority="2" stopIfTrue="1">
      <formula>(S20:S23&lt;=TODAY()+180)*(S20:S23&lt;&gt;"")</formula>
    </cfRule>
    <cfRule type="expression" dxfId="0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theme="1"/>
  </sheetPr>
  <dimension ref="A1:AE147"/>
  <sheetViews>
    <sheetView zoomScale="90" zoomScaleNormal="90" zoomScalePageLayoutView="90" workbookViewId="0"/>
  </sheetViews>
  <sheetFormatPr baseColWidth="10" defaultColWidth="10.83203125" defaultRowHeight="14" x14ac:dyDescent="0"/>
  <cols>
    <col min="1" max="16384" width="10.83203125" style="89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6" customHeight="1" thickTop="1">
      <c r="A2" s="43"/>
      <c r="B2" s="43"/>
      <c r="C2" s="43"/>
      <c r="D2" s="43"/>
      <c r="E2" s="43"/>
      <c r="F2" s="43"/>
      <c r="G2" s="43"/>
      <c r="H2" s="90"/>
      <c r="I2" s="43"/>
      <c r="J2" s="447" t="s">
        <v>130</v>
      </c>
      <c r="K2" s="448"/>
      <c r="L2" s="448"/>
      <c r="M2" s="448"/>
      <c r="N2" s="448"/>
      <c r="O2" s="449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90"/>
      <c r="I3" s="43"/>
      <c r="J3" s="450"/>
      <c r="K3" s="451"/>
      <c r="L3" s="451"/>
      <c r="M3" s="451"/>
      <c r="N3" s="451"/>
      <c r="O3" s="452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90"/>
      <c r="I4" s="43"/>
      <c r="J4" s="450"/>
      <c r="K4" s="451"/>
      <c r="L4" s="451"/>
      <c r="M4" s="451"/>
      <c r="N4" s="451"/>
      <c r="O4" s="452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73"/>
      <c r="C5" s="173"/>
      <c r="D5" s="173"/>
      <c r="E5" s="173"/>
      <c r="F5" s="43"/>
      <c r="G5" s="43"/>
      <c r="H5" s="90"/>
      <c r="I5" s="43"/>
      <c r="J5" s="450"/>
      <c r="K5" s="451"/>
      <c r="L5" s="451"/>
      <c r="M5" s="451"/>
      <c r="N5" s="451"/>
      <c r="O5" s="452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90"/>
      <c r="I6" s="43"/>
      <c r="J6" s="450"/>
      <c r="K6" s="451"/>
      <c r="L6" s="451"/>
      <c r="M6" s="451"/>
      <c r="N6" s="451"/>
      <c r="O6" s="452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90"/>
      <c r="I7" s="43"/>
      <c r="J7" s="450"/>
      <c r="K7" s="451"/>
      <c r="L7" s="451"/>
      <c r="M7" s="451"/>
      <c r="N7" s="451"/>
      <c r="O7" s="452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" thickBot="1">
      <c r="A8" s="43"/>
      <c r="B8" s="43"/>
      <c r="C8" s="43"/>
      <c r="D8" s="43"/>
      <c r="E8" s="43"/>
      <c r="F8" s="43"/>
      <c r="G8" s="43"/>
      <c r="H8" s="90"/>
      <c r="I8" s="43"/>
      <c r="J8" s="450"/>
      <c r="K8" s="451"/>
      <c r="L8" s="451"/>
      <c r="M8" s="451"/>
      <c r="N8" s="451"/>
      <c r="O8" s="452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 ht="21" customHeight="1">
      <c r="A9" s="43"/>
      <c r="B9" s="462" t="s">
        <v>109</v>
      </c>
      <c r="C9" s="463"/>
      <c r="D9" s="463"/>
      <c r="E9" s="464"/>
      <c r="F9" s="43"/>
      <c r="G9" s="43"/>
      <c r="H9" s="90"/>
      <c r="I9" s="43"/>
      <c r="J9" s="450"/>
      <c r="K9" s="451"/>
      <c r="L9" s="451"/>
      <c r="M9" s="451"/>
      <c r="N9" s="451"/>
      <c r="O9" s="452"/>
      <c r="P9" s="43"/>
      <c r="Q9" s="43"/>
      <c r="R9" s="43"/>
      <c r="S9" s="458" t="s">
        <v>114</v>
      </c>
      <c r="T9" s="459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" thickBot="1">
      <c r="A10" s="43"/>
      <c r="B10" s="465"/>
      <c r="C10" s="466"/>
      <c r="D10" s="466"/>
      <c r="E10" s="467"/>
      <c r="F10" s="43"/>
      <c r="G10" s="43"/>
      <c r="H10" s="90"/>
      <c r="I10" s="43"/>
      <c r="J10" s="450"/>
      <c r="K10" s="451"/>
      <c r="L10" s="451"/>
      <c r="M10" s="451"/>
      <c r="N10" s="451"/>
      <c r="O10" s="452"/>
      <c r="P10" s="43"/>
      <c r="Q10" s="43"/>
      <c r="R10" s="43"/>
      <c r="S10" s="456" t="s">
        <v>115</v>
      </c>
      <c r="T10" s="457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21" customHeight="1">
      <c r="A11" s="43"/>
      <c r="B11" s="468" t="s">
        <v>123</v>
      </c>
      <c r="C11" s="469"/>
      <c r="D11" s="469"/>
      <c r="E11" s="470"/>
      <c r="F11" s="43"/>
      <c r="G11" s="43"/>
      <c r="H11" s="90"/>
      <c r="I11" s="43"/>
      <c r="J11" s="450"/>
      <c r="K11" s="451"/>
      <c r="L11" s="451"/>
      <c r="M11" s="451"/>
      <c r="N11" s="451"/>
      <c r="O11" s="452"/>
      <c r="P11" s="43"/>
      <c r="Q11" s="43"/>
      <c r="R11" s="43"/>
      <c r="S11" s="460" t="s">
        <v>116</v>
      </c>
      <c r="T11" s="461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21" customHeight="1" thickBot="1">
      <c r="A12" s="43"/>
      <c r="B12" s="471" t="s">
        <v>124</v>
      </c>
      <c r="C12" s="472"/>
      <c r="D12" s="472"/>
      <c r="E12" s="473"/>
      <c r="F12" s="43"/>
      <c r="G12" s="43"/>
      <c r="H12" s="90"/>
      <c r="I12" s="43"/>
      <c r="J12" s="450"/>
      <c r="K12" s="451"/>
      <c r="L12" s="451"/>
      <c r="M12" s="451"/>
      <c r="N12" s="451"/>
      <c r="O12" s="452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>
      <c r="A13" s="43"/>
      <c r="B13" s="43"/>
      <c r="C13" s="43"/>
      <c r="D13" s="43"/>
      <c r="E13" s="43"/>
      <c r="F13" s="43"/>
      <c r="G13" s="43"/>
      <c r="H13" s="90"/>
      <c r="I13" s="43"/>
      <c r="J13" s="450"/>
      <c r="K13" s="451"/>
      <c r="L13" s="451"/>
      <c r="M13" s="451"/>
      <c r="N13" s="451"/>
      <c r="O13" s="452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" thickBot="1">
      <c r="A14" s="43"/>
      <c r="B14" s="43"/>
      <c r="C14" s="43"/>
      <c r="D14" s="43"/>
      <c r="E14" s="43"/>
      <c r="F14" s="43"/>
      <c r="G14" s="43"/>
      <c r="H14" s="90"/>
      <c r="I14" s="43"/>
      <c r="J14" s="453"/>
      <c r="K14" s="454"/>
      <c r="L14" s="454"/>
      <c r="M14" s="454"/>
      <c r="N14" s="454"/>
      <c r="O14" s="455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 ht="15" thickTop="1">
      <c r="A15" s="43"/>
      <c r="B15" s="90"/>
      <c r="C15" s="90"/>
      <c r="D15" s="90"/>
      <c r="E15" s="90"/>
      <c r="F15" s="90"/>
      <c r="G15" s="90"/>
      <c r="H15" s="90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90"/>
      <c r="C16" s="90"/>
      <c r="D16" s="90"/>
      <c r="E16" s="90"/>
      <c r="F16" s="90"/>
      <c r="G16" s="90"/>
      <c r="H16" s="90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 ht="15" thickBot="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 ht="24" customHeight="1" thickBo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86" t="s">
        <v>132</v>
      </c>
      <c r="L19" s="487"/>
      <c r="M19" s="487"/>
      <c r="N19" s="488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 ht="24" customHeight="1" thickBot="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74" t="s">
        <v>131</v>
      </c>
      <c r="L20" s="475"/>
      <c r="M20" s="475"/>
      <c r="N20" s="476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477" t="s">
        <v>129</v>
      </c>
      <c r="J26" s="478"/>
      <c r="K26" s="478"/>
      <c r="L26" s="478"/>
      <c r="M26" s="478"/>
      <c r="N26" s="478"/>
      <c r="O26" s="478"/>
      <c r="P26" s="479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480"/>
      <c r="J27" s="481"/>
      <c r="K27" s="481"/>
      <c r="L27" s="481"/>
      <c r="M27" s="481"/>
      <c r="N27" s="481"/>
      <c r="O27" s="481"/>
      <c r="P27" s="482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" thickBot="1">
      <c r="A28" s="43"/>
      <c r="B28" s="43"/>
      <c r="C28" s="43"/>
      <c r="D28" s="43"/>
      <c r="E28" s="43"/>
      <c r="F28" s="43"/>
      <c r="G28" s="43"/>
      <c r="H28" s="43"/>
      <c r="I28" s="483"/>
      <c r="J28" s="484"/>
      <c r="K28" s="484"/>
      <c r="L28" s="484"/>
      <c r="M28" s="484"/>
      <c r="N28" s="484"/>
      <c r="O28" s="484"/>
      <c r="P28" s="485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441" t="s">
        <v>133</v>
      </c>
      <c r="J29" s="442"/>
      <c r="K29" s="442"/>
      <c r="L29" s="442"/>
      <c r="M29" s="442"/>
      <c r="N29" s="442"/>
      <c r="O29" s="442"/>
      <c r="P29" s="4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" thickBot="1">
      <c r="A30" s="43"/>
      <c r="B30" s="43"/>
      <c r="C30" s="43"/>
      <c r="D30" s="43"/>
      <c r="E30" s="43"/>
      <c r="F30" s="43"/>
      <c r="G30" s="43"/>
      <c r="H30" s="43"/>
      <c r="I30" s="444"/>
      <c r="J30" s="445"/>
      <c r="K30" s="445"/>
      <c r="L30" s="445"/>
      <c r="M30" s="445"/>
      <c r="N30" s="445"/>
      <c r="O30" s="445"/>
      <c r="P30" s="446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password="DBC6" sheet="1" objects="1" scenarios="1" formatColumns="0" formatRows="0" selectLockedCells="1" selectUnlockedCells="1"/>
  <mergeCells count="11">
    <mergeCell ref="B9:E10"/>
    <mergeCell ref="B11:E11"/>
    <mergeCell ref="B12:E12"/>
    <mergeCell ref="K20:N20"/>
    <mergeCell ref="I26:P28"/>
    <mergeCell ref="K19:N19"/>
    <mergeCell ref="I29:P30"/>
    <mergeCell ref="J2:O14"/>
    <mergeCell ref="S10:T10"/>
    <mergeCell ref="S9:T9"/>
    <mergeCell ref="S11:T11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Février</vt:lpstr>
      <vt:lpstr>Stats année</vt:lpstr>
      <vt:lpstr>Réglages</vt:lpstr>
      <vt:lpstr>Aide et remerciements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2015-10-25T17:19:21Z</dcterms:created>
  <dcterms:modified xsi:type="dcterms:W3CDTF">2015-12-17T22:28:14Z</dcterms:modified>
</cp:coreProperties>
</file>