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0" yWindow="0" windowWidth="22260" windowHeight="12645" tabRatio="848" activeTab="1"/>
  </bookViews>
  <sheets>
    <sheet name="AJOUTER" sheetId="11" r:id="rId1"/>
    <sheet name="Planning" sheetId="1" r:id="rId2"/>
    <sheet name="MODIFIER" sheetId="12" r:id="rId3"/>
    <sheet name="SUPPRIMER" sheetId="13" r:id="rId4"/>
    <sheet name="Commentaire" sheetId="10" r:id="rId5"/>
    <sheet name="Permission" sheetId="5" r:id="rId6"/>
    <sheet name="Renseignement" sheetId="6" r:id="rId7"/>
    <sheet name="Recap" sheetId="7" r:id="rId8"/>
    <sheet name="Appel" sheetId="8" r:id="rId9"/>
    <sheet name="Attente_planning" sheetId="4" r:id="rId10"/>
    <sheet name="PARAM" sheetId="3" r:id="rId11"/>
    <sheet name="Donnees_planning" sheetId="2" r:id="rId12"/>
  </sheets>
  <functionGroups builtInGroupCount="18"/>
  <definedNames>
    <definedName name="Adresse">Tableau3[[Adresse ]]</definedName>
    <definedName name="ARRIVEE">Permission!$AE$8</definedName>
    <definedName name="CP">Tableau3[Code postale]</definedName>
    <definedName name="CP_Ville">Tableau3[CP Ville]</definedName>
    <definedName name="CYNO">Tableau7[CYNO]</definedName>
    <definedName name="d">OFFSET(Donnees_planning!$C$1,1,,COUNTA(Donnees_planning!$B:$B)-1)</definedName>
    <definedName name="DATE">#REF!</definedName>
    <definedName name="Date_motif">OFFSET(Donnees_planning!$F$1,1,,COUNTA(Donnees_planning!$B:$B)-1)</definedName>
    <definedName name="date_planning">Planning!$N$3</definedName>
    <definedName name="FERIE">Tableau35[FERIE]</definedName>
    <definedName name="FIN">Permission!$AG$8</definedName>
    <definedName name="Grade">Tableau3[Grade]</definedName>
    <definedName name="Grade_Nom_Prenom">Tableau3[GRADE NOM PRENOM]</definedName>
    <definedName name="Grade_Nom_Prénom2">Tableau1[NOM]</definedName>
    <definedName name="Grade_nom_prenom3">OFFSET(Donnees_planning!$B$1,1,,COUNTA(Donnees_planning!$B:$B)-1)</definedName>
    <definedName name="Grage_Nom">Tableau3[GRADE NOM]</definedName>
    <definedName name="LUNDI">PARAM!$B$8:$B$12</definedName>
    <definedName name="LUNDI2">PARAM!$B$14:$B$19</definedName>
    <definedName name="m">OFFSET(Donnees_planning!$D$1,1,,COUNTA(Donnees_planning!$B:$B)-1)</definedName>
    <definedName name="Nb_enregistrement">PARAM!$F$3</definedName>
    <definedName name="NIA">Tableau3[NIA]</definedName>
    <definedName name="Nom_prenom">Tableau3[nom prenom]</definedName>
    <definedName name="param_no_ligne">PARAM!$F$2</definedName>
    <definedName name="Portable">Tableau3[N° portable]</definedName>
    <definedName name="TAOPM">Tableau35[TAOPM]</definedName>
    <definedName name="Unité">Tableau3[Unité]</definedName>
    <definedName name="Validite_tir">OFFSET(Renseignement!$S$1,1,,COUNTA(Renseignement!$Q:$Q)-1)</definedName>
    <definedName name="Ville">Tableau3[Ville]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27" i="1" l="1" a="1"/>
  <c r="AV27" i="1" s="1"/>
  <c r="AW27" i="1" s="1"/>
  <c r="C8" i="8"/>
  <c r="D8" i="8"/>
  <c r="E8" i="8"/>
  <c r="F8" i="8"/>
  <c r="G8" i="8"/>
  <c r="C9" i="8"/>
  <c r="D9" i="8"/>
  <c r="E9" i="8"/>
  <c r="F9" i="8"/>
  <c r="G9" i="8"/>
  <c r="C10" i="8"/>
  <c r="D10" i="8"/>
  <c r="E10" i="8"/>
  <c r="F10" i="8"/>
  <c r="G10" i="8"/>
  <c r="C11" i="8"/>
  <c r="D11" i="8"/>
  <c r="E11" i="8"/>
  <c r="F11" i="8"/>
  <c r="G11" i="8"/>
  <c r="C12" i="8"/>
  <c r="D12" i="8"/>
  <c r="E12" i="8"/>
  <c r="F12" i="8"/>
  <c r="G12" i="8"/>
  <c r="C13" i="8"/>
  <c r="D13" i="8"/>
  <c r="E13" i="8"/>
  <c r="F13" i="8"/>
  <c r="G13" i="8"/>
  <c r="C14" i="8"/>
  <c r="D14" i="8"/>
  <c r="E14" i="8"/>
  <c r="F14" i="8"/>
  <c r="G14" i="8"/>
  <c r="B12" i="7"/>
  <c r="C12" i="7"/>
  <c r="D12" i="7"/>
  <c r="E12" i="7"/>
  <c r="F12" i="7"/>
  <c r="G12" i="7"/>
  <c r="H12" i="7"/>
  <c r="I12" i="7"/>
  <c r="J12" i="7"/>
  <c r="K12" i="7"/>
  <c r="L12" i="7"/>
  <c r="M12" i="7"/>
  <c r="N12" i="7"/>
  <c r="R8" i="6"/>
  <c r="S8" i="6"/>
  <c r="O8" i="6" s="1" a="1"/>
  <c r="O8" i="6" s="1"/>
  <c r="T8" i="6"/>
  <c r="U8" i="6"/>
  <c r="V8" i="6"/>
  <c r="U3" i="6"/>
  <c r="U4" i="6"/>
  <c r="U5" i="6"/>
  <c r="U6" i="6"/>
  <c r="U7" i="6"/>
  <c r="AV26" i="1" a="1"/>
  <c r="AV26" i="1" s="1"/>
  <c r="AW26" i="1" s="1"/>
  <c r="AV25" i="1" a="1"/>
  <c r="AV25" i="1" s="1"/>
  <c r="AW25" i="1" s="1"/>
  <c r="AV24" i="1" a="1"/>
  <c r="AV24" i="1" s="1"/>
  <c r="AW24" i="1" s="1"/>
  <c r="AV23" i="1" a="1"/>
  <c r="AV23" i="1" s="1"/>
  <c r="AW23" i="1" s="1"/>
  <c r="AV22" i="1" a="1"/>
  <c r="AV22" i="1" s="1"/>
  <c r="AW22" i="1" s="1"/>
  <c r="AV21" i="1" a="1"/>
  <c r="AV21" i="1" s="1"/>
  <c r="AW21" i="1" s="1"/>
  <c r="AV20" i="1" a="1"/>
  <c r="AV20" i="1" s="1"/>
  <c r="AW20" i="1" s="1"/>
  <c r="AV19" i="1" a="1"/>
  <c r="AV19" i="1" s="1"/>
  <c r="AW19" i="1" s="1"/>
  <c r="AV18" i="1" a="1"/>
  <c r="AV18" i="1" s="1"/>
  <c r="AW18" i="1" s="1"/>
  <c r="A27" i="1" l="1"/>
  <c r="A25" i="1"/>
  <c r="A23" i="1"/>
  <c r="A21" i="1"/>
  <c r="A19" i="1"/>
  <c r="A26" i="1"/>
  <c r="A24" i="1"/>
  <c r="A22" i="1"/>
  <c r="A20" i="1"/>
  <c r="A18" i="1"/>
  <c r="O12" i="7"/>
  <c r="P8" i="6"/>
  <c r="Q8" i="6" s="1"/>
  <c r="W8" i="6"/>
  <c r="R7" i="6"/>
  <c r="S7" i="6"/>
  <c r="O7" i="6" s="1" a="1"/>
  <c r="O7" i="6" s="1"/>
  <c r="T7" i="6"/>
  <c r="V7" i="6"/>
  <c r="A34" i="2"/>
  <c r="A35" i="2"/>
  <c r="A36" i="2"/>
  <c r="A37" i="2"/>
  <c r="A38" i="2"/>
  <c r="A39" i="2"/>
  <c r="A40" i="2"/>
  <c r="A41" i="2"/>
  <c r="A42" i="2"/>
  <c r="A43" i="2"/>
  <c r="E34" i="2"/>
  <c r="E35" i="2"/>
  <c r="E36" i="2"/>
  <c r="E37" i="2"/>
  <c r="E38" i="2"/>
  <c r="E39" i="2"/>
  <c r="E40" i="2"/>
  <c r="E41" i="2"/>
  <c r="E42" i="2"/>
  <c r="E43" i="2"/>
  <c r="F34" i="2"/>
  <c r="F35" i="2"/>
  <c r="F36" i="2"/>
  <c r="F37" i="2"/>
  <c r="F38" i="2"/>
  <c r="F39" i="2"/>
  <c r="F40" i="2"/>
  <c r="F41" i="2"/>
  <c r="F42" i="2"/>
  <c r="F43" i="2"/>
  <c r="A30" i="2"/>
  <c r="E30" i="2"/>
  <c r="F30" i="2"/>
  <c r="A31" i="2"/>
  <c r="A32" i="2"/>
  <c r="A33" i="2"/>
  <c r="E31" i="2"/>
  <c r="E32" i="2"/>
  <c r="E33" i="2"/>
  <c r="F31" i="2"/>
  <c r="F32" i="2"/>
  <c r="F33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A51" i="2"/>
  <c r="A52" i="2"/>
  <c r="A53" i="2"/>
  <c r="A54" i="2"/>
  <c r="A55" i="2"/>
  <c r="A56" i="2"/>
  <c r="A57" i="2"/>
  <c r="E51" i="2"/>
  <c r="E52" i="2"/>
  <c r="E53" i="2"/>
  <c r="E54" i="2"/>
  <c r="E55" i="2"/>
  <c r="E56" i="2"/>
  <c r="E57" i="2"/>
  <c r="F51" i="2"/>
  <c r="F52" i="2"/>
  <c r="F53" i="2"/>
  <c r="F54" i="2"/>
  <c r="F55" i="2"/>
  <c r="F56" i="2"/>
  <c r="F57" i="2"/>
  <c r="A50" i="2"/>
  <c r="A49" i="2"/>
  <c r="A48" i="2"/>
  <c r="A47" i="2"/>
  <c r="A46" i="2"/>
  <c r="A45" i="2"/>
  <c r="A44" i="2"/>
  <c r="E50" i="2"/>
  <c r="E49" i="2"/>
  <c r="E48" i="2"/>
  <c r="E47" i="2"/>
  <c r="E46" i="2"/>
  <c r="E45" i="2"/>
  <c r="E44" i="2"/>
  <c r="F50" i="2"/>
  <c r="F49" i="2"/>
  <c r="F48" i="2"/>
  <c r="F47" i="2"/>
  <c r="F46" i="2"/>
  <c r="F45" i="2"/>
  <c r="F44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R6" i="6"/>
  <c r="S6" i="6"/>
  <c r="O6" i="6" s="1" a="1"/>
  <c r="O6" i="6" s="1"/>
  <c r="T6" i="6"/>
  <c r="V6" i="6"/>
  <c r="W7" i="6" l="1"/>
  <c r="P7" i="6"/>
  <c r="Q7" i="6" s="1"/>
  <c r="P6" i="6"/>
  <c r="Q6" i="6" s="1"/>
  <c r="W6" i="6"/>
  <c r="AV11" i="1" a="1"/>
  <c r="AV11" i="1" s="1"/>
  <c r="AV12" i="1" a="1"/>
  <c r="AV12" i="1" s="1"/>
  <c r="AV13" i="1" a="1"/>
  <c r="AV13" i="1" s="1"/>
  <c r="AV14" i="1" a="1"/>
  <c r="AV14" i="1" s="1"/>
  <c r="AV15" i="1" a="1"/>
  <c r="AV15" i="1" s="1"/>
  <c r="AV16" i="1" a="1"/>
  <c r="AV16" i="1" s="1"/>
  <c r="AV17" i="1" a="1"/>
  <c r="AV17" i="1" s="1"/>
  <c r="A10" i="1" l="1"/>
  <c r="B7" i="7"/>
  <c r="C7" i="7"/>
  <c r="D7" i="7"/>
  <c r="B8" i="7"/>
  <c r="C8" i="7"/>
  <c r="D8" i="7"/>
  <c r="B9" i="7"/>
  <c r="C9" i="7"/>
  <c r="D9" i="7"/>
  <c r="B10" i="7"/>
  <c r="C10" i="7"/>
  <c r="D10" i="7"/>
  <c r="B11" i="7"/>
  <c r="C11" i="7"/>
  <c r="D11" i="7"/>
  <c r="D6" i="7"/>
  <c r="C6" i="7"/>
  <c r="B6" i="7"/>
  <c r="E6" i="7"/>
  <c r="E7" i="7"/>
  <c r="E8" i="7"/>
  <c r="E9" i="7"/>
  <c r="E10" i="7"/>
  <c r="E11" i="7"/>
  <c r="F6" i="7"/>
  <c r="F7" i="7"/>
  <c r="F8" i="7"/>
  <c r="F9" i="7"/>
  <c r="F10" i="7"/>
  <c r="F11" i="7"/>
  <c r="G6" i="7"/>
  <c r="G7" i="7"/>
  <c r="G8" i="7"/>
  <c r="G9" i="7"/>
  <c r="G10" i="7"/>
  <c r="G11" i="7"/>
  <c r="H6" i="7"/>
  <c r="H7" i="7"/>
  <c r="H8" i="7"/>
  <c r="H9" i="7"/>
  <c r="H10" i="7"/>
  <c r="H11" i="7"/>
  <c r="I6" i="7"/>
  <c r="I7" i="7"/>
  <c r="I8" i="7"/>
  <c r="I9" i="7"/>
  <c r="I10" i="7"/>
  <c r="I11" i="7"/>
  <c r="J6" i="7"/>
  <c r="J7" i="7"/>
  <c r="J8" i="7"/>
  <c r="J9" i="7"/>
  <c r="J10" i="7"/>
  <c r="J11" i="7"/>
  <c r="K6" i="7"/>
  <c r="K7" i="7"/>
  <c r="K8" i="7"/>
  <c r="K9" i="7"/>
  <c r="K10" i="7"/>
  <c r="K11" i="7"/>
  <c r="L6" i="7"/>
  <c r="L7" i="7"/>
  <c r="L8" i="7"/>
  <c r="L9" i="7"/>
  <c r="L10" i="7"/>
  <c r="L11" i="7"/>
  <c r="M6" i="7"/>
  <c r="M7" i="7"/>
  <c r="M8" i="7"/>
  <c r="M9" i="7"/>
  <c r="M10" i="7"/>
  <c r="M11" i="7"/>
  <c r="N6" i="7"/>
  <c r="N7" i="7"/>
  <c r="N8" i="7"/>
  <c r="N9" i="7"/>
  <c r="N10" i="7"/>
  <c r="N11" i="7"/>
  <c r="AW17" i="1" l="1"/>
  <c r="A17" i="1" s="1"/>
  <c r="AW13" i="1"/>
  <c r="A13" i="1" s="1"/>
  <c r="AW12" i="1"/>
  <c r="A12" i="1" s="1"/>
  <c r="AW16" i="1"/>
  <c r="A16" i="1" s="1"/>
  <c r="AW14" i="1"/>
  <c r="A14" i="1" s="1"/>
  <c r="AW15" i="1"/>
  <c r="A15" i="1" s="1"/>
  <c r="O6" i="7"/>
  <c r="O11" i="7"/>
  <c r="O9" i="7"/>
  <c r="O8" i="7"/>
  <c r="O10" i="7"/>
  <c r="O7" i="7"/>
  <c r="AW11" i="1" l="1"/>
  <c r="A11" i="1" s="1"/>
  <c r="C9" i="1"/>
  <c r="C12" i="1" l="1"/>
  <c r="C14" i="1"/>
  <c r="C13" i="1"/>
  <c r="C15" i="1"/>
  <c r="C16" i="1"/>
  <c r="C18" i="1"/>
  <c r="C17" i="1"/>
  <c r="C19" i="1"/>
  <c r="C20" i="1"/>
  <c r="C22" i="1"/>
  <c r="C24" i="1"/>
  <c r="C26" i="1"/>
  <c r="C21" i="1"/>
  <c r="C23" i="1"/>
  <c r="C25" i="1"/>
  <c r="C27" i="1"/>
  <c r="C6" i="1"/>
  <c r="C8" i="1"/>
  <c r="C7" i="1" s="1"/>
  <c r="D9" i="1"/>
  <c r="D13" i="1" l="1"/>
  <c r="D15" i="1"/>
  <c r="D12" i="1"/>
  <c r="D14" i="1"/>
  <c r="D17" i="1"/>
  <c r="D19" i="1"/>
  <c r="D16" i="1"/>
  <c r="D18" i="1"/>
  <c r="D21" i="1"/>
  <c r="D23" i="1"/>
  <c r="D25" i="1"/>
  <c r="D27" i="1"/>
  <c r="D20" i="1"/>
  <c r="D22" i="1"/>
  <c r="D24" i="1"/>
  <c r="D26" i="1"/>
  <c r="D11" i="1"/>
  <c r="D6" i="1"/>
  <c r="E9" i="1"/>
  <c r="D8" i="1"/>
  <c r="D7" i="1" s="1"/>
  <c r="E12" i="1" l="1"/>
  <c r="E14" i="1"/>
  <c r="E13" i="1"/>
  <c r="E15" i="1"/>
  <c r="E16" i="1"/>
  <c r="E18" i="1"/>
  <c r="E17" i="1"/>
  <c r="E19" i="1"/>
  <c r="E20" i="1"/>
  <c r="E22" i="1"/>
  <c r="E24" i="1"/>
  <c r="E26" i="1"/>
  <c r="E21" i="1"/>
  <c r="E23" i="1"/>
  <c r="E25" i="1"/>
  <c r="E27" i="1"/>
  <c r="E11" i="1"/>
  <c r="E6" i="1"/>
  <c r="E8" i="1"/>
  <c r="E7" i="1" s="1"/>
  <c r="F9" i="1"/>
  <c r="F13" i="1" l="1"/>
  <c r="F15" i="1"/>
  <c r="F12" i="1"/>
  <c r="F14" i="1"/>
  <c r="F17" i="1"/>
  <c r="F19" i="1"/>
  <c r="F16" i="1"/>
  <c r="F18" i="1"/>
  <c r="F21" i="1"/>
  <c r="F23" i="1"/>
  <c r="F25" i="1"/>
  <c r="F27" i="1"/>
  <c r="F20" i="1"/>
  <c r="F22" i="1"/>
  <c r="F24" i="1"/>
  <c r="F26" i="1"/>
  <c r="F11" i="1"/>
  <c r="F8" i="1"/>
  <c r="F7" i="1" s="1"/>
  <c r="F6" i="1"/>
  <c r="G9" i="1"/>
  <c r="R5" i="6"/>
  <c r="S5" i="6"/>
  <c r="O5" i="6" s="1" a="1"/>
  <c r="O5" i="6" s="1"/>
  <c r="T5" i="6"/>
  <c r="V5" i="6"/>
  <c r="G12" i="1" l="1"/>
  <c r="G14" i="1"/>
  <c r="G13" i="1"/>
  <c r="G15" i="1"/>
  <c r="G16" i="1"/>
  <c r="G18" i="1"/>
  <c r="G17" i="1"/>
  <c r="G19" i="1"/>
  <c r="G20" i="1"/>
  <c r="G22" i="1"/>
  <c r="G24" i="1"/>
  <c r="G26" i="1"/>
  <c r="G21" i="1"/>
  <c r="G23" i="1"/>
  <c r="G25" i="1"/>
  <c r="G27" i="1"/>
  <c r="G11" i="1"/>
  <c r="G6" i="1"/>
  <c r="G8" i="1"/>
  <c r="G7" i="1" s="1"/>
  <c r="H9" i="1"/>
  <c r="A2" i="12"/>
  <c r="H13" i="1" l="1"/>
  <c r="H15" i="1"/>
  <c r="H12" i="1"/>
  <c r="H14" i="1"/>
  <c r="H17" i="1"/>
  <c r="H19" i="1"/>
  <c r="H16" i="1"/>
  <c r="H18" i="1"/>
  <c r="H21" i="1"/>
  <c r="H23" i="1"/>
  <c r="H25" i="1"/>
  <c r="H20" i="1"/>
  <c r="H22" i="1"/>
  <c r="H24" i="1"/>
  <c r="H26" i="1"/>
  <c r="H27" i="1"/>
  <c r="H11" i="1"/>
  <c r="H6" i="1"/>
  <c r="I9" i="1"/>
  <c r="H8" i="1"/>
  <c r="H7" i="1" s="1"/>
  <c r="E20" i="12"/>
  <c r="N2" i="12" s="1"/>
  <c r="E19" i="12"/>
  <c r="M2" i="12" s="1"/>
  <c r="E18" i="12"/>
  <c r="L2" i="12" s="1"/>
  <c r="E17" i="12"/>
  <c r="K2" i="12" s="1"/>
  <c r="E16" i="12"/>
  <c r="J2" i="12" s="1"/>
  <c r="E15" i="12"/>
  <c r="I2" i="12" s="1"/>
  <c r="E14" i="12"/>
  <c r="H2" i="12" s="1"/>
  <c r="E13" i="12"/>
  <c r="G2" i="12" s="1"/>
  <c r="E12" i="12"/>
  <c r="F2" i="12" s="1"/>
  <c r="E11" i="12"/>
  <c r="E2" i="12" s="1"/>
  <c r="E10" i="12"/>
  <c r="D2" i="12" s="1"/>
  <c r="E9" i="12"/>
  <c r="C2" i="12" s="1"/>
  <c r="E8" i="12"/>
  <c r="I12" i="1" l="1"/>
  <c r="I14" i="1"/>
  <c r="I13" i="1"/>
  <c r="I15" i="1"/>
  <c r="I16" i="1"/>
  <c r="I18" i="1"/>
  <c r="I17" i="1"/>
  <c r="I19" i="1"/>
  <c r="I20" i="1"/>
  <c r="I22" i="1"/>
  <c r="I24" i="1"/>
  <c r="I26" i="1"/>
  <c r="I21" i="1"/>
  <c r="I23" i="1"/>
  <c r="I25" i="1"/>
  <c r="I27" i="1"/>
  <c r="I11" i="1"/>
  <c r="I6" i="1"/>
  <c r="I8" i="1"/>
  <c r="I7" i="1" s="1"/>
  <c r="J9" i="1"/>
  <c r="B2" i="12"/>
  <c r="D6" i="12"/>
  <c r="D7" i="12"/>
  <c r="C5" i="7"/>
  <c r="D5" i="7"/>
  <c r="E5" i="7"/>
  <c r="F5" i="7"/>
  <c r="G5" i="7"/>
  <c r="H5" i="7"/>
  <c r="I5" i="7"/>
  <c r="J5" i="7"/>
  <c r="K5" i="7"/>
  <c r="L5" i="7"/>
  <c r="M5" i="7"/>
  <c r="N5" i="7"/>
  <c r="B5" i="7"/>
  <c r="J13" i="1" l="1"/>
  <c r="J15" i="1"/>
  <c r="J12" i="1"/>
  <c r="J14" i="1"/>
  <c r="J17" i="1"/>
  <c r="J19" i="1"/>
  <c r="J16" i="1"/>
  <c r="J18" i="1"/>
  <c r="J21" i="1"/>
  <c r="J23" i="1"/>
  <c r="J25" i="1"/>
  <c r="J20" i="1"/>
  <c r="J22" i="1"/>
  <c r="J24" i="1"/>
  <c r="J26" i="1"/>
  <c r="J27" i="1"/>
  <c r="J11" i="1"/>
  <c r="O5" i="7"/>
  <c r="J8" i="1"/>
  <c r="J7" i="1" s="1"/>
  <c r="J6" i="1"/>
  <c r="K9" i="1"/>
  <c r="S9" i="6"/>
  <c r="O9" i="6" s="1" a="1"/>
  <c r="O9" i="6" s="1"/>
  <c r="S3" i="6"/>
  <c r="O3" i="6" s="1" a="1"/>
  <c r="O3" i="6" s="1"/>
  <c r="S4" i="6"/>
  <c r="O4" i="6" s="1" a="1"/>
  <c r="O4" i="6" s="1"/>
  <c r="R3" i="6"/>
  <c r="T3" i="6"/>
  <c r="V3" i="6"/>
  <c r="R4" i="6"/>
  <c r="T4" i="6"/>
  <c r="V4" i="6"/>
  <c r="R9" i="6"/>
  <c r="T9" i="6"/>
  <c r="U9" i="6"/>
  <c r="V9" i="6"/>
  <c r="K12" i="1" l="1"/>
  <c r="K14" i="1"/>
  <c r="K13" i="1"/>
  <c r="K15" i="1"/>
  <c r="K16" i="1"/>
  <c r="K18" i="1"/>
  <c r="K17" i="1"/>
  <c r="K19" i="1"/>
  <c r="K20" i="1"/>
  <c r="K22" i="1"/>
  <c r="K24" i="1"/>
  <c r="K26" i="1"/>
  <c r="K21" i="1"/>
  <c r="K23" i="1"/>
  <c r="K25" i="1"/>
  <c r="K27" i="1"/>
  <c r="K11" i="1"/>
  <c r="K6" i="1"/>
  <c r="K8" i="1"/>
  <c r="K7" i="1" s="1"/>
  <c r="L9" i="1"/>
  <c r="AI8" i="5"/>
  <c r="F3" i="3"/>
  <c r="L13" i="1" l="1"/>
  <c r="L15" i="1"/>
  <c r="L12" i="1"/>
  <c r="L14" i="1"/>
  <c r="L17" i="1"/>
  <c r="L19" i="1"/>
  <c r="L16" i="1"/>
  <c r="L18" i="1"/>
  <c r="L21" i="1"/>
  <c r="L23" i="1"/>
  <c r="L25" i="1"/>
  <c r="L20" i="1"/>
  <c r="L22" i="1"/>
  <c r="L24" i="1"/>
  <c r="L26" i="1"/>
  <c r="L27" i="1"/>
  <c r="L11" i="1"/>
  <c r="L6" i="1"/>
  <c r="M9" i="1"/>
  <c r="L8" i="1"/>
  <c r="L7" i="1" s="1"/>
  <c r="G9" i="13"/>
  <c r="G8" i="13"/>
  <c r="G7" i="13"/>
  <c r="M12" i="1" l="1"/>
  <c r="M14" i="1"/>
  <c r="M13" i="1"/>
  <c r="M15" i="1"/>
  <c r="M16" i="1"/>
  <c r="M18" i="1"/>
  <c r="M17" i="1"/>
  <c r="M19" i="1"/>
  <c r="M20" i="1"/>
  <c r="M22" i="1"/>
  <c r="M24" i="1"/>
  <c r="M26" i="1"/>
  <c r="M21" i="1"/>
  <c r="M23" i="1"/>
  <c r="M25" i="1"/>
  <c r="M27" i="1"/>
  <c r="M11" i="1"/>
  <c r="M6" i="1"/>
  <c r="M8" i="1"/>
  <c r="M7" i="1" s="1"/>
  <c r="N9" i="1"/>
  <c r="A72" i="2"/>
  <c r="E72" i="2"/>
  <c r="F72" i="2"/>
  <c r="N13" i="1" l="1"/>
  <c r="N15" i="1"/>
  <c r="N12" i="1"/>
  <c r="N14" i="1"/>
  <c r="N17" i="1"/>
  <c r="N19" i="1"/>
  <c r="N16" i="1"/>
  <c r="N18" i="1"/>
  <c r="N21" i="1"/>
  <c r="N23" i="1"/>
  <c r="N25" i="1"/>
  <c r="N20" i="1"/>
  <c r="N22" i="1"/>
  <c r="N24" i="1"/>
  <c r="N26" i="1"/>
  <c r="N27" i="1"/>
  <c r="N11" i="1"/>
  <c r="C11" i="1"/>
  <c r="N8" i="1"/>
  <c r="N7" i="1" s="1"/>
  <c r="N6" i="1"/>
  <c r="O9" i="1"/>
  <c r="F11" i="5"/>
  <c r="B20" i="5"/>
  <c r="D10" i="5"/>
  <c r="B21" i="5"/>
  <c r="D9" i="5"/>
  <c r="L10" i="5"/>
  <c r="B22" i="5"/>
  <c r="O12" i="1" l="1"/>
  <c r="O14" i="1"/>
  <c r="O13" i="1"/>
  <c r="O15" i="1"/>
  <c r="O16" i="1"/>
  <c r="O18" i="1"/>
  <c r="O17" i="1"/>
  <c r="O19" i="1"/>
  <c r="O20" i="1"/>
  <c r="O22" i="1"/>
  <c r="O24" i="1"/>
  <c r="O26" i="1"/>
  <c r="O21" i="1"/>
  <c r="O23" i="1"/>
  <c r="O25" i="1"/>
  <c r="O27" i="1"/>
  <c r="O11" i="1"/>
  <c r="O6" i="1"/>
  <c r="O8" i="1"/>
  <c r="O7" i="1" s="1"/>
  <c r="P9" i="1"/>
  <c r="G10" i="13"/>
  <c r="P13" i="1" l="1"/>
  <c r="P15" i="1"/>
  <c r="P12" i="1"/>
  <c r="P14" i="1"/>
  <c r="P17" i="1"/>
  <c r="P19" i="1"/>
  <c r="P16" i="1"/>
  <c r="P18" i="1"/>
  <c r="P21" i="1"/>
  <c r="P23" i="1"/>
  <c r="P25" i="1"/>
  <c r="P20" i="1"/>
  <c r="P22" i="1"/>
  <c r="P24" i="1"/>
  <c r="P26" i="1"/>
  <c r="P27" i="1"/>
  <c r="P11" i="1"/>
  <c r="P6" i="1"/>
  <c r="Q9" i="1"/>
  <c r="P8" i="1"/>
  <c r="P7" i="1" s="1"/>
  <c r="A2" i="11"/>
  <c r="Q12" i="1" l="1"/>
  <c r="Q14" i="1"/>
  <c r="Q13" i="1"/>
  <c r="Q15" i="1"/>
  <c r="Q16" i="1"/>
  <c r="Q18" i="1"/>
  <c r="Q17" i="1"/>
  <c r="Q19" i="1"/>
  <c r="Q20" i="1"/>
  <c r="Q22" i="1"/>
  <c r="Q24" i="1"/>
  <c r="Q26" i="1"/>
  <c r="Q21" i="1"/>
  <c r="Q23" i="1"/>
  <c r="Q25" i="1"/>
  <c r="Q27" i="1"/>
  <c r="Q11" i="1"/>
  <c r="Q6" i="1"/>
  <c r="Q8" i="1"/>
  <c r="Q7" i="1" s="1"/>
  <c r="R9" i="1"/>
  <c r="N2" i="11"/>
  <c r="M2" i="11"/>
  <c r="L2" i="11"/>
  <c r="K2" i="11"/>
  <c r="J2" i="11"/>
  <c r="I2" i="11"/>
  <c r="H2" i="11"/>
  <c r="G2" i="11"/>
  <c r="F2" i="11"/>
  <c r="E2" i="11"/>
  <c r="D2" i="11"/>
  <c r="C2" i="11"/>
  <c r="B2" i="11"/>
  <c r="R13" i="1" l="1"/>
  <c r="R15" i="1"/>
  <c r="R12" i="1"/>
  <c r="R14" i="1"/>
  <c r="R17" i="1"/>
  <c r="R19" i="1"/>
  <c r="R16" i="1"/>
  <c r="R18" i="1"/>
  <c r="R21" i="1"/>
  <c r="R23" i="1"/>
  <c r="R25" i="1"/>
  <c r="R20" i="1"/>
  <c r="R22" i="1"/>
  <c r="R24" i="1"/>
  <c r="R26" i="1"/>
  <c r="R27" i="1"/>
  <c r="R11" i="1"/>
  <c r="R8" i="1"/>
  <c r="R7" i="1" s="1"/>
  <c r="R6" i="1"/>
  <c r="S9" i="1"/>
  <c r="C5" i="8"/>
  <c r="S12" i="1" l="1"/>
  <c r="S14" i="1"/>
  <c r="S13" i="1"/>
  <c r="S15" i="1"/>
  <c r="S16" i="1"/>
  <c r="S18" i="1"/>
  <c r="S17" i="1"/>
  <c r="S19" i="1"/>
  <c r="S20" i="1"/>
  <c r="S22" i="1"/>
  <c r="S24" i="1"/>
  <c r="S26" i="1"/>
  <c r="S21" i="1"/>
  <c r="S23" i="1"/>
  <c r="S25" i="1"/>
  <c r="S27" i="1"/>
  <c r="S11" i="1"/>
  <c r="S6" i="1"/>
  <c r="S8" i="1"/>
  <c r="S7" i="1" s="1"/>
  <c r="T9" i="1"/>
  <c r="C7" i="8"/>
  <c r="B3" i="8"/>
  <c r="D5" i="8"/>
  <c r="T13" i="1" l="1"/>
  <c r="T15" i="1"/>
  <c r="T12" i="1"/>
  <c r="T14" i="1"/>
  <c r="T17" i="1"/>
  <c r="T19" i="1"/>
  <c r="T16" i="1"/>
  <c r="T18" i="1"/>
  <c r="T21" i="1"/>
  <c r="T23" i="1"/>
  <c r="T25" i="1"/>
  <c r="T20" i="1"/>
  <c r="T22" i="1"/>
  <c r="T24" i="1"/>
  <c r="T26" i="1"/>
  <c r="T27" i="1"/>
  <c r="T11" i="1"/>
  <c r="T6" i="1"/>
  <c r="U9" i="1"/>
  <c r="T8" i="1"/>
  <c r="T7" i="1" s="1"/>
  <c r="D7" i="8"/>
  <c r="E5" i="8"/>
  <c r="U12" i="1" l="1"/>
  <c r="U14" i="1"/>
  <c r="U13" i="1"/>
  <c r="U15" i="1"/>
  <c r="U16" i="1"/>
  <c r="U18" i="1"/>
  <c r="U17" i="1"/>
  <c r="U19" i="1"/>
  <c r="U20" i="1"/>
  <c r="U22" i="1"/>
  <c r="U24" i="1"/>
  <c r="U26" i="1"/>
  <c r="U21" i="1"/>
  <c r="U23" i="1"/>
  <c r="U25" i="1"/>
  <c r="U27" i="1"/>
  <c r="U11" i="1"/>
  <c r="U6" i="1"/>
  <c r="U8" i="1"/>
  <c r="U7" i="1" s="1"/>
  <c r="V9" i="1"/>
  <c r="E7" i="8"/>
  <c r="F5" i="8"/>
  <c r="H12" i="3"/>
  <c r="H11" i="3"/>
  <c r="H9" i="3"/>
  <c r="H8" i="3"/>
  <c r="H6" i="3"/>
  <c r="H5" i="3"/>
  <c r="H14" i="3"/>
  <c r="H15" i="3"/>
  <c r="V13" i="1" l="1"/>
  <c r="V15" i="1"/>
  <c r="V12" i="1"/>
  <c r="V14" i="1"/>
  <c r="V17" i="1"/>
  <c r="V19" i="1"/>
  <c r="V16" i="1"/>
  <c r="V18" i="1"/>
  <c r="V21" i="1"/>
  <c r="V23" i="1"/>
  <c r="V25" i="1"/>
  <c r="V20" i="1"/>
  <c r="V22" i="1"/>
  <c r="V24" i="1"/>
  <c r="V26" i="1"/>
  <c r="V27" i="1"/>
  <c r="V11" i="1"/>
  <c r="V8" i="1"/>
  <c r="V7" i="1" s="1"/>
  <c r="V6" i="1"/>
  <c r="W9" i="1"/>
  <c r="F7" i="8"/>
  <c r="G5" i="8"/>
  <c r="W12" i="1" l="1"/>
  <c r="W14" i="1"/>
  <c r="W13" i="1"/>
  <c r="W15" i="1"/>
  <c r="W16" i="1"/>
  <c r="W18" i="1"/>
  <c r="W17" i="1"/>
  <c r="W19" i="1"/>
  <c r="W20" i="1"/>
  <c r="W22" i="1"/>
  <c r="W24" i="1"/>
  <c r="W26" i="1"/>
  <c r="W21" i="1"/>
  <c r="W23" i="1"/>
  <c r="W25" i="1"/>
  <c r="W27" i="1"/>
  <c r="W11" i="1"/>
  <c r="W6" i="1"/>
  <c r="W8" i="1"/>
  <c r="W7" i="1" s="1"/>
  <c r="X9" i="1"/>
  <c r="G7" i="8"/>
  <c r="E3" i="8"/>
  <c r="B53" i="5"/>
  <c r="X13" i="1" l="1"/>
  <c r="X15" i="1"/>
  <c r="X12" i="1"/>
  <c r="X14" i="1"/>
  <c r="X17" i="1"/>
  <c r="X19" i="1"/>
  <c r="X16" i="1"/>
  <c r="X18" i="1"/>
  <c r="X21" i="1"/>
  <c r="X23" i="1"/>
  <c r="X25" i="1"/>
  <c r="X20" i="1"/>
  <c r="X22" i="1"/>
  <c r="X24" i="1"/>
  <c r="X26" i="1"/>
  <c r="X27" i="1"/>
  <c r="X11" i="1"/>
  <c r="X6" i="1"/>
  <c r="Y9" i="1"/>
  <c r="X8" i="1"/>
  <c r="X7" i="1" s="1"/>
  <c r="D41" i="5"/>
  <c r="D40" i="5"/>
  <c r="W15" i="3"/>
  <c r="V15" i="3"/>
  <c r="U15" i="3"/>
  <c r="T15" i="3"/>
  <c r="S15" i="3"/>
  <c r="R15" i="3"/>
  <c r="J15" i="3"/>
  <c r="K15" i="3" s="1"/>
  <c r="G15" i="3"/>
  <c r="J14" i="3"/>
  <c r="K14" i="3" s="1"/>
  <c r="G14" i="3"/>
  <c r="W12" i="3"/>
  <c r="V12" i="3"/>
  <c r="U12" i="3"/>
  <c r="T12" i="3"/>
  <c r="S12" i="3"/>
  <c r="R12" i="3"/>
  <c r="J12" i="3"/>
  <c r="K12" i="3" s="1"/>
  <c r="G12" i="3"/>
  <c r="J11" i="3"/>
  <c r="K11" i="3" s="1"/>
  <c r="G11" i="3"/>
  <c r="W9" i="3"/>
  <c r="V9" i="3"/>
  <c r="U9" i="3"/>
  <c r="T9" i="3"/>
  <c r="S9" i="3"/>
  <c r="R9" i="3"/>
  <c r="J9" i="3"/>
  <c r="K9" i="3" s="1"/>
  <c r="AD4" i="3" s="1"/>
  <c r="G9" i="3"/>
  <c r="J8" i="3"/>
  <c r="K8" i="3" s="1"/>
  <c r="G8" i="3"/>
  <c r="W6" i="3"/>
  <c r="V6" i="3"/>
  <c r="U6" i="3"/>
  <c r="T6" i="3"/>
  <c r="S6" i="3"/>
  <c r="R6" i="3"/>
  <c r="J6" i="3"/>
  <c r="K6" i="3" s="1"/>
  <c r="G6" i="3"/>
  <c r="J5" i="3"/>
  <c r="K5" i="3" s="1"/>
  <c r="AD3" i="3" s="1"/>
  <c r="G5" i="3"/>
  <c r="F42" i="5"/>
  <c r="Q59" i="5"/>
  <c r="Q58" i="5"/>
  <c r="I58" i="5"/>
  <c r="Q57" i="5"/>
  <c r="I55" i="5"/>
  <c r="Q52" i="5"/>
  <c r="Q51" i="5"/>
  <c r="L49" i="5"/>
  <c r="L48" i="5"/>
  <c r="L40" i="5"/>
  <c r="I27" i="5"/>
  <c r="B52" i="5"/>
  <c r="B51" i="5"/>
  <c r="L18" i="5"/>
  <c r="K18" i="5" s="1"/>
  <c r="K49" i="5" s="1"/>
  <c r="H18" i="5"/>
  <c r="H49" i="5" s="1"/>
  <c r="L17" i="5"/>
  <c r="K17" i="5" s="1"/>
  <c r="K48" i="5" s="1"/>
  <c r="H17" i="5"/>
  <c r="H48" i="5" s="1"/>
  <c r="G15" i="5"/>
  <c r="G46" i="5" s="1"/>
  <c r="L9" i="3"/>
  <c r="L8" i="3"/>
  <c r="Q12" i="3"/>
  <c r="Q15" i="3"/>
  <c r="P15" i="3"/>
  <c r="L15" i="3"/>
  <c r="L5" i="3"/>
  <c r="P6" i="3"/>
  <c r="Q9" i="3"/>
  <c r="L14" i="3"/>
  <c r="L12" i="3"/>
  <c r="N13" i="3"/>
  <c r="L11" i="3"/>
  <c r="L6" i="3"/>
  <c r="P9" i="3"/>
  <c r="Q6" i="3"/>
  <c r="P12" i="3"/>
  <c r="Y12" i="1" l="1"/>
  <c r="Y14" i="1"/>
  <c r="Y13" i="1"/>
  <c r="Y15" i="1"/>
  <c r="Y16" i="1"/>
  <c r="Y18" i="1"/>
  <c r="Y17" i="1"/>
  <c r="Y19" i="1"/>
  <c r="Y20" i="1"/>
  <c r="Y22" i="1"/>
  <c r="Y24" i="1"/>
  <c r="Y26" i="1"/>
  <c r="Y21" i="1"/>
  <c r="Y23" i="1"/>
  <c r="Y25" i="1"/>
  <c r="Y27" i="1"/>
  <c r="Y11" i="1"/>
  <c r="Y6" i="1"/>
  <c r="Y8" i="1"/>
  <c r="Y7" i="1" s="1"/>
  <c r="Z9" i="1"/>
  <c r="AC6" i="3"/>
  <c r="Z6" i="3"/>
  <c r="M8" i="3"/>
  <c r="O7" i="3"/>
  <c r="AC9" i="3"/>
  <c r="Z9" i="3"/>
  <c r="M11" i="3"/>
  <c r="O10" i="3"/>
  <c r="AC12" i="3"/>
  <c r="Z12" i="3"/>
  <c r="M14" i="3"/>
  <c r="O13" i="3"/>
  <c r="AC15" i="3"/>
  <c r="Z15" i="3"/>
  <c r="M5" i="3"/>
  <c r="O4" i="3"/>
  <c r="M6" i="3"/>
  <c r="AA6" i="3"/>
  <c r="M9" i="3"/>
  <c r="AA9" i="3"/>
  <c r="M12" i="3"/>
  <c r="AA12" i="3"/>
  <c r="M15" i="3"/>
  <c r="AA15" i="3"/>
  <c r="L15" i="5"/>
  <c r="L46" i="5" s="1"/>
  <c r="H15" i="5"/>
  <c r="H46" i="5" s="1"/>
  <c r="N10" i="3"/>
  <c r="N4" i="3"/>
  <c r="Z13" i="1" l="1"/>
  <c r="Z15" i="1"/>
  <c r="Z12" i="1"/>
  <c r="Z14" i="1"/>
  <c r="Z17" i="1"/>
  <c r="Z19" i="1"/>
  <c r="Z16" i="1"/>
  <c r="Z18" i="1"/>
  <c r="Z21" i="1"/>
  <c r="Z23" i="1"/>
  <c r="Z25" i="1"/>
  <c r="Z20" i="1"/>
  <c r="Z22" i="1"/>
  <c r="Z24" i="1"/>
  <c r="Z26" i="1"/>
  <c r="Z27" i="1"/>
  <c r="Z11" i="1"/>
  <c r="Z8" i="1"/>
  <c r="Z7" i="1" s="1"/>
  <c r="Z6" i="1"/>
  <c r="AA9" i="1"/>
  <c r="N14" i="3"/>
  <c r="N11" i="3"/>
  <c r="AB15" i="3"/>
  <c r="AB12" i="3"/>
  <c r="AB9" i="3"/>
  <c r="N8" i="3"/>
  <c r="AB6" i="3"/>
  <c r="N7" i="3"/>
  <c r="O9" i="3"/>
  <c r="O6" i="3"/>
  <c r="O15" i="3"/>
  <c r="O12" i="3"/>
  <c r="AA12" i="1" l="1"/>
  <c r="AA14" i="1"/>
  <c r="AA13" i="1"/>
  <c r="AA15" i="1"/>
  <c r="AA16" i="1"/>
  <c r="AA18" i="1"/>
  <c r="AA17" i="1"/>
  <c r="AA19" i="1"/>
  <c r="AA20" i="1"/>
  <c r="AA22" i="1"/>
  <c r="AA24" i="1"/>
  <c r="AA26" i="1"/>
  <c r="AA21" i="1"/>
  <c r="AA23" i="1"/>
  <c r="AA25" i="1"/>
  <c r="AA27" i="1"/>
  <c r="AA11" i="1"/>
  <c r="AA6" i="1"/>
  <c r="AA8" i="1"/>
  <c r="AA7" i="1" s="1"/>
  <c r="AB9" i="1"/>
  <c r="J14" i="5"/>
  <c r="O3" i="3"/>
  <c r="AB13" i="1" l="1"/>
  <c r="AB15" i="1"/>
  <c r="AB12" i="1"/>
  <c r="AB14" i="1"/>
  <c r="AB17" i="1"/>
  <c r="AB16" i="1"/>
  <c r="AB18" i="1"/>
  <c r="AB19" i="1"/>
  <c r="AB21" i="1"/>
  <c r="AB23" i="1"/>
  <c r="AB25" i="1"/>
  <c r="AB20" i="1"/>
  <c r="AB22" i="1"/>
  <c r="AB24" i="1"/>
  <c r="AB26" i="1"/>
  <c r="AB27" i="1"/>
  <c r="AB11" i="1"/>
  <c r="AB6" i="1"/>
  <c r="AC9" i="1"/>
  <c r="AB8" i="1"/>
  <c r="AB7" i="1" s="1"/>
  <c r="O2" i="3"/>
  <c r="D16" i="5" s="1"/>
  <c r="F12" i="5"/>
  <c r="AC12" i="1" l="1"/>
  <c r="AC14" i="1"/>
  <c r="AC13" i="1"/>
  <c r="AC15" i="1"/>
  <c r="AC16" i="1"/>
  <c r="AC18" i="1"/>
  <c r="AC17" i="1"/>
  <c r="AC20" i="1"/>
  <c r="AC22" i="1"/>
  <c r="AC24" i="1"/>
  <c r="AC26" i="1"/>
  <c r="AC19" i="1"/>
  <c r="AC21" i="1"/>
  <c r="AC23" i="1"/>
  <c r="AC25" i="1"/>
  <c r="AC27" i="1"/>
  <c r="AC11" i="1"/>
  <c r="AC6" i="1"/>
  <c r="AC8" i="1"/>
  <c r="AC7" i="1" s="1"/>
  <c r="AD9" i="1"/>
  <c r="J44" i="5"/>
  <c r="AD13" i="1" l="1"/>
  <c r="AD15" i="1"/>
  <c r="AD12" i="1"/>
  <c r="AD14" i="1"/>
  <c r="AD17" i="1"/>
  <c r="AD16" i="1"/>
  <c r="AD18" i="1"/>
  <c r="AD19" i="1"/>
  <c r="AD21" i="1"/>
  <c r="AD23" i="1"/>
  <c r="AD25" i="1"/>
  <c r="AD20" i="1"/>
  <c r="AD22" i="1"/>
  <c r="AD24" i="1"/>
  <c r="AD26" i="1"/>
  <c r="AD27" i="1"/>
  <c r="AD11" i="1"/>
  <c r="AD8" i="1"/>
  <c r="AD7" i="1" s="1"/>
  <c r="AD6" i="1"/>
  <c r="AE9" i="1"/>
  <c r="H12" i="5"/>
  <c r="H43" i="5" s="1"/>
  <c r="F43" i="5"/>
  <c r="AE12" i="1" l="1"/>
  <c r="AE14" i="1"/>
  <c r="AE13" i="1"/>
  <c r="AE15" i="1"/>
  <c r="AE16" i="1"/>
  <c r="AE18" i="1"/>
  <c r="AE17" i="1"/>
  <c r="AE20" i="1"/>
  <c r="AE22" i="1"/>
  <c r="AE24" i="1"/>
  <c r="AE26" i="1"/>
  <c r="AE19" i="1"/>
  <c r="AE21" i="1"/>
  <c r="AE23" i="1"/>
  <c r="AE25" i="1"/>
  <c r="AE27" i="1"/>
  <c r="AE11" i="1"/>
  <c r="AE6" i="1"/>
  <c r="AE8" i="1"/>
  <c r="AE7" i="1" s="1"/>
  <c r="AF9" i="1"/>
  <c r="F16" i="5"/>
  <c r="F47" i="5" s="1"/>
  <c r="D47" i="5"/>
  <c r="AF13" i="1" l="1"/>
  <c r="AF15" i="1"/>
  <c r="AF12" i="1"/>
  <c r="AF14" i="1"/>
  <c r="AF17" i="1"/>
  <c r="AF16" i="1"/>
  <c r="AF18" i="1"/>
  <c r="AF19" i="1"/>
  <c r="AF21" i="1"/>
  <c r="AF23" i="1"/>
  <c r="AF25" i="1"/>
  <c r="AF20" i="1"/>
  <c r="AF22" i="1"/>
  <c r="AF24" i="1"/>
  <c r="AF26" i="1"/>
  <c r="AF27" i="1"/>
  <c r="AF11" i="1"/>
  <c r="AF6" i="1"/>
  <c r="AG9" i="1"/>
  <c r="AF8" i="1"/>
  <c r="AF7" i="1" s="1"/>
  <c r="A8" i="3"/>
  <c r="A9" i="3" s="1"/>
  <c r="AG12" i="1" l="1"/>
  <c r="AG14" i="1"/>
  <c r="AG13" i="1"/>
  <c r="AG15" i="1"/>
  <c r="AG16" i="1"/>
  <c r="AG18" i="1"/>
  <c r="AG17" i="1"/>
  <c r="AG20" i="1"/>
  <c r="AG22" i="1"/>
  <c r="AG24" i="1"/>
  <c r="AG26" i="1"/>
  <c r="AG19" i="1"/>
  <c r="AG21" i="1"/>
  <c r="AG23" i="1"/>
  <c r="AG25" i="1"/>
  <c r="AG27" i="1"/>
  <c r="AG11" i="1"/>
  <c r="AG6" i="1"/>
  <c r="AG8" i="1"/>
  <c r="AG7" i="1" s="1"/>
  <c r="AH9" i="1"/>
  <c r="B8" i="3" a="1"/>
  <c r="AH13" i="1" l="1"/>
  <c r="AH15" i="1"/>
  <c r="AH12" i="1"/>
  <c r="AH14" i="1"/>
  <c r="AH17" i="1"/>
  <c r="AH16" i="1"/>
  <c r="AH18" i="1"/>
  <c r="AH19" i="1"/>
  <c r="AH21" i="1"/>
  <c r="AH23" i="1"/>
  <c r="AH25" i="1"/>
  <c r="AH20" i="1"/>
  <c r="AH22" i="1"/>
  <c r="AH24" i="1"/>
  <c r="AH26" i="1"/>
  <c r="AH27" i="1"/>
  <c r="AH11" i="1"/>
  <c r="AH8" i="1"/>
  <c r="AH7" i="1" s="1"/>
  <c r="AH6" i="1"/>
  <c r="AI9" i="1"/>
  <c r="B8" i="3"/>
  <c r="B9" i="3"/>
  <c r="B11" i="3"/>
  <c r="B12" i="3"/>
  <c r="B10" i="3"/>
  <c r="AI12" i="1" l="1"/>
  <c r="AI14" i="1"/>
  <c r="AI13" i="1"/>
  <c r="AI15" i="1"/>
  <c r="AI16" i="1"/>
  <c r="AI18" i="1"/>
  <c r="AI17" i="1"/>
  <c r="AI20" i="1"/>
  <c r="AI22" i="1"/>
  <c r="AI24" i="1"/>
  <c r="AI26" i="1"/>
  <c r="AI19" i="1"/>
  <c r="AI21" i="1"/>
  <c r="AI23" i="1"/>
  <c r="AI25" i="1"/>
  <c r="AI27" i="1"/>
  <c r="AI11" i="1"/>
  <c r="AI6" i="1"/>
  <c r="AI8" i="1"/>
  <c r="AI7" i="1" s="1"/>
  <c r="AJ9" i="1"/>
  <c r="B19" i="3"/>
  <c r="B17" i="3"/>
  <c r="B16" i="3"/>
  <c r="B15" i="3"/>
  <c r="B14" i="3" s="1"/>
  <c r="B18" i="3"/>
  <c r="AJ13" i="1" l="1"/>
  <c r="AJ15" i="1"/>
  <c r="AJ12" i="1"/>
  <c r="AJ14" i="1"/>
  <c r="AJ17" i="1"/>
  <c r="AJ16" i="1"/>
  <c r="AJ18" i="1"/>
  <c r="AJ19" i="1"/>
  <c r="AJ21" i="1"/>
  <c r="AJ23" i="1"/>
  <c r="AJ25" i="1"/>
  <c r="AJ20" i="1"/>
  <c r="AJ22" i="1"/>
  <c r="AJ24" i="1"/>
  <c r="AJ26" i="1"/>
  <c r="AJ27" i="1"/>
  <c r="AJ11" i="1"/>
  <c r="AJ6" i="1"/>
  <c r="AK9" i="1"/>
  <c r="AJ8" i="1"/>
  <c r="AJ7" i="1" s="1"/>
  <c r="AK12" i="1" l="1"/>
  <c r="AK14" i="1"/>
  <c r="AK13" i="1"/>
  <c r="AK15" i="1"/>
  <c r="AK16" i="1"/>
  <c r="AK18" i="1"/>
  <c r="AK17" i="1"/>
  <c r="AK20" i="1"/>
  <c r="AK22" i="1"/>
  <c r="AK24" i="1"/>
  <c r="AK26" i="1"/>
  <c r="AK19" i="1"/>
  <c r="AK21" i="1"/>
  <c r="AK23" i="1"/>
  <c r="AK25" i="1"/>
  <c r="AK27" i="1"/>
  <c r="AK11" i="1"/>
  <c r="AK6" i="1"/>
  <c r="AK8" i="1"/>
  <c r="AK7" i="1" s="1"/>
  <c r="AL9" i="1"/>
  <c r="A5" i="3"/>
  <c r="A4" i="3"/>
  <c r="A3" i="3"/>
  <c r="A1" i="3"/>
  <c r="A2" i="3"/>
  <c r="AL13" i="1" l="1"/>
  <c r="AL12" i="1"/>
  <c r="AL14" i="1"/>
  <c r="AL15" i="1"/>
  <c r="AL17" i="1"/>
  <c r="AL16" i="1"/>
  <c r="AL18" i="1"/>
  <c r="AL19" i="1"/>
  <c r="AL21" i="1"/>
  <c r="AL23" i="1"/>
  <c r="AL25" i="1"/>
  <c r="AL20" i="1"/>
  <c r="AL22" i="1"/>
  <c r="AL24" i="1"/>
  <c r="AL26" i="1"/>
  <c r="AL27" i="1"/>
  <c r="AL11" i="1"/>
  <c r="AL8" i="1"/>
  <c r="AL7" i="1" s="1"/>
  <c r="AM9" i="1"/>
  <c r="AL6" i="1"/>
  <c r="AM12" i="1" l="1"/>
  <c r="AM14" i="1"/>
  <c r="AM13" i="1"/>
  <c r="AM16" i="1"/>
  <c r="AM18" i="1"/>
  <c r="AM15" i="1"/>
  <c r="AM17" i="1"/>
  <c r="AM20" i="1"/>
  <c r="AM22" i="1"/>
  <c r="AM24" i="1"/>
  <c r="AM26" i="1"/>
  <c r="AM19" i="1"/>
  <c r="AM21" i="1"/>
  <c r="AM23" i="1"/>
  <c r="AM25" i="1"/>
  <c r="AM27" i="1"/>
  <c r="AM11" i="1"/>
  <c r="AM6" i="1"/>
  <c r="AM8" i="1"/>
  <c r="AM7" i="1" s="1"/>
  <c r="AN9" i="1"/>
  <c r="AN13" i="1" l="1"/>
  <c r="AN12" i="1"/>
  <c r="AN14" i="1"/>
  <c r="AN15" i="1"/>
  <c r="AN17" i="1"/>
  <c r="AN16" i="1"/>
  <c r="AN18" i="1"/>
  <c r="AN19" i="1"/>
  <c r="AN21" i="1"/>
  <c r="AN23" i="1"/>
  <c r="AN25" i="1"/>
  <c r="AN20" i="1"/>
  <c r="AN22" i="1"/>
  <c r="AN24" i="1"/>
  <c r="AN26" i="1"/>
  <c r="AN27" i="1"/>
  <c r="AN11" i="1"/>
  <c r="AN6" i="1"/>
  <c r="AO9" i="1"/>
  <c r="AN8" i="1"/>
  <c r="AN7" i="1" s="1"/>
  <c r="AO12" i="1" l="1"/>
  <c r="AO14" i="1"/>
  <c r="AO13" i="1"/>
  <c r="AO16" i="1"/>
  <c r="AO18" i="1"/>
  <c r="AO15" i="1"/>
  <c r="AO17" i="1"/>
  <c r="AO20" i="1"/>
  <c r="AO22" i="1"/>
  <c r="AO24" i="1"/>
  <c r="AO26" i="1"/>
  <c r="AO19" i="1"/>
  <c r="AO21" i="1"/>
  <c r="AO23" i="1"/>
  <c r="AO25" i="1"/>
  <c r="AO27" i="1"/>
  <c r="AO11" i="1"/>
  <c r="AO6" i="1"/>
  <c r="AO8" i="1"/>
  <c r="AO7" i="1" s="1"/>
  <c r="AP9" i="1"/>
  <c r="AP13" i="1" l="1"/>
  <c r="AP12" i="1"/>
  <c r="AP14" i="1"/>
  <c r="AP15" i="1"/>
  <c r="AP17" i="1"/>
  <c r="AP16" i="1"/>
  <c r="AP18" i="1"/>
  <c r="AP19" i="1"/>
  <c r="AP21" i="1"/>
  <c r="AP23" i="1"/>
  <c r="AP25" i="1"/>
  <c r="AP20" i="1"/>
  <c r="AP22" i="1"/>
  <c r="AP24" i="1"/>
  <c r="AP26" i="1"/>
  <c r="AP27" i="1"/>
  <c r="AP11" i="1"/>
  <c r="AP8" i="1"/>
  <c r="AP7" i="1" s="1"/>
  <c r="AQ9" i="1"/>
  <c r="AP6" i="1"/>
  <c r="AQ12" i="1" l="1"/>
  <c r="AQ14" i="1"/>
  <c r="AQ13" i="1"/>
  <c r="AQ16" i="1"/>
  <c r="AQ18" i="1"/>
  <c r="AQ15" i="1"/>
  <c r="AQ17" i="1"/>
  <c r="AQ20" i="1"/>
  <c r="AQ22" i="1"/>
  <c r="AQ24" i="1"/>
  <c r="AQ26" i="1"/>
  <c r="AQ19" i="1"/>
  <c r="AQ21" i="1"/>
  <c r="AQ23" i="1"/>
  <c r="AQ25" i="1"/>
  <c r="AQ27" i="1"/>
  <c r="AQ11" i="1"/>
  <c r="AQ6" i="1"/>
  <c r="AQ8" i="1"/>
  <c r="AQ7" i="1" s="1"/>
  <c r="AR9" i="1"/>
  <c r="AR13" i="1" l="1"/>
  <c r="AR12" i="1"/>
  <c r="AR14" i="1"/>
  <c r="AR15" i="1"/>
  <c r="AR17" i="1"/>
  <c r="AR16" i="1"/>
  <c r="AR18" i="1"/>
  <c r="AR19" i="1"/>
  <c r="AR21" i="1"/>
  <c r="AR23" i="1"/>
  <c r="AR25" i="1"/>
  <c r="AR20" i="1"/>
  <c r="AR22" i="1"/>
  <c r="AR24" i="1"/>
  <c r="AR26" i="1"/>
  <c r="AR27" i="1"/>
  <c r="AR11" i="1"/>
  <c r="AR6" i="1"/>
  <c r="AS9" i="1"/>
  <c r="AR8" i="1"/>
  <c r="AR7" i="1" s="1"/>
  <c r="AS12" i="1" l="1"/>
  <c r="AS14" i="1"/>
  <c r="AS13" i="1"/>
  <c r="AS16" i="1"/>
  <c r="AS18" i="1"/>
  <c r="AS15" i="1"/>
  <c r="AS17" i="1"/>
  <c r="AS20" i="1"/>
  <c r="AS22" i="1"/>
  <c r="AS24" i="1"/>
  <c r="AS26" i="1"/>
  <c r="AS19" i="1"/>
  <c r="AS21" i="1"/>
  <c r="AS23" i="1"/>
  <c r="AS25" i="1"/>
  <c r="AS27" i="1"/>
  <c r="AS11" i="1"/>
  <c r="AS6" i="1"/>
  <c r="AS8" i="1"/>
  <c r="AS7" i="1" s="1"/>
  <c r="AT9" i="1"/>
  <c r="AT13" i="1" l="1"/>
  <c r="AT12" i="1"/>
  <c r="AT14" i="1"/>
  <c r="AT15" i="1"/>
  <c r="AT17" i="1"/>
  <c r="AT16" i="1"/>
  <c r="AT18" i="1"/>
  <c r="AT19" i="1"/>
  <c r="AT21" i="1"/>
  <c r="AT23" i="1"/>
  <c r="AT25" i="1"/>
  <c r="AT20" i="1"/>
  <c r="AT22" i="1"/>
  <c r="AT24" i="1"/>
  <c r="AT26" i="1"/>
  <c r="AT27" i="1"/>
  <c r="AT11" i="1"/>
  <c r="AT8" i="1"/>
  <c r="AT7" i="1" s="1"/>
  <c r="AU9" i="1"/>
  <c r="AT6" i="1"/>
  <c r="AU12" i="1" l="1"/>
  <c r="AU14" i="1"/>
  <c r="AU13" i="1"/>
  <c r="AU16" i="1"/>
  <c r="AU18" i="1"/>
  <c r="AU15" i="1"/>
  <c r="AU17" i="1"/>
  <c r="AU20" i="1"/>
  <c r="AU22" i="1"/>
  <c r="AU24" i="1"/>
  <c r="AU26" i="1"/>
  <c r="AU19" i="1"/>
  <c r="AU21" i="1"/>
  <c r="AU23" i="1"/>
  <c r="AU25" i="1"/>
  <c r="AU27" i="1"/>
  <c r="AU11" i="1"/>
  <c r="AU6" i="1"/>
  <c r="AU8" i="1"/>
  <c r="AU7" i="1" s="1"/>
  <c r="W9" i="6"/>
  <c r="W3" i="6"/>
  <c r="P9" i="6"/>
  <c r="Q9" i="6" s="1"/>
  <c r="P3" i="6"/>
  <c r="Q3" i="6" s="1"/>
  <c r="W5" i="6" l="1"/>
  <c r="P4" i="6"/>
  <c r="Q4" i="6" s="1"/>
  <c r="W4" i="6"/>
  <c r="P5" i="6" l="1"/>
  <c r="Q5" i="6" s="1"/>
</calcChain>
</file>

<file path=xl/comments1.xml><?xml version="1.0" encoding="utf-8"?>
<comments xmlns="http://schemas.openxmlformats.org/spreadsheetml/2006/main">
  <authors>
    <author>regis</author>
  </authors>
  <commentList>
    <comment ref="AE18" authorId="0" shapeId="0">
      <text>
        <r>
          <rPr>
            <sz val="12"/>
            <color indexed="81"/>
            <rFont val="Tahoma"/>
            <family val="2"/>
          </rPr>
          <t xml:space="preserve">Mettre adresse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19" authorId="0" shapeId="0">
      <text>
        <r>
          <rPr>
            <sz val="12"/>
            <color indexed="81"/>
            <rFont val="Tahoma"/>
            <family val="2"/>
          </rPr>
          <t>Code postale et ville</t>
        </r>
      </text>
    </comment>
  </commentList>
</comments>
</file>

<file path=xl/sharedStrings.xml><?xml version="1.0" encoding="utf-8"?>
<sst xmlns="http://schemas.openxmlformats.org/spreadsheetml/2006/main" count="545" uniqueCount="203">
  <si>
    <t>NOM</t>
  </si>
  <si>
    <t>DATE</t>
  </si>
  <si>
    <t>MOTIF</t>
  </si>
  <si>
    <t>NOM DATE</t>
  </si>
  <si>
    <t>CHEVRONS</t>
  </si>
  <si>
    <t>N°</t>
  </si>
  <si>
    <t>A3</t>
  </si>
  <si>
    <t>ARMEE DE L'AIR</t>
  </si>
  <si>
    <t>TITRE</t>
  </si>
  <si>
    <t xml:space="preserve">BASE AERIENNE </t>
  </si>
  <si>
    <t>DEMANDE</t>
  </si>
  <si>
    <t>DEMANDE DE PERMISSION</t>
  </si>
  <si>
    <r>
      <t>(1)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OFFICIER - SOUS-OFFICIER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-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MILITAIRE DU RANG</t>
    </r>
  </si>
  <si>
    <r>
      <t>(1)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PERSONNEL CADR</t>
    </r>
    <r>
      <rPr>
        <strike/>
        <sz val="10"/>
        <rFont val="Arial"/>
        <family val="2"/>
      </rPr>
      <t xml:space="preserve">E </t>
    </r>
    <r>
      <rPr>
        <sz val="10"/>
        <rFont val="Arial"/>
        <family val="2"/>
      </rPr>
      <t xml:space="preserve">- </t>
    </r>
    <r>
      <rPr>
        <strike/>
        <sz val="10"/>
        <rFont val="Arial"/>
        <family val="2"/>
      </rPr>
      <t>CONTINGENT</t>
    </r>
  </si>
  <si>
    <t xml:space="preserve">                                                                                                                                               MODELE N 722/32</t>
  </si>
  <si>
    <t>PARTIE A COMPLETER PAR L'INTERESSE</t>
  </si>
  <si>
    <t>DECOMPTE DU B.P.M.</t>
  </si>
  <si>
    <t>UNITE :</t>
  </si>
  <si>
    <t xml:space="preserve"> /</t>
  </si>
  <si>
    <t>N° TEL. :</t>
  </si>
  <si>
    <t>DROITS OUVERTS :</t>
  </si>
  <si>
    <t>GRADE :</t>
  </si>
  <si>
    <t>N.I.A. :</t>
  </si>
  <si>
    <t>DROITS UTILISES :</t>
  </si>
  <si>
    <t>NOM - PRENOM :</t>
  </si>
  <si>
    <t>DROITS DEMANDES :</t>
  </si>
  <si>
    <t xml:space="preserve"> + Except. :</t>
  </si>
  <si>
    <t>DROITS RESTANTS :</t>
  </si>
  <si>
    <t>SAMEDI - DIMANCHE - JOURS FERIES :</t>
  </si>
  <si>
    <t>VISA DECOMPTEUR</t>
  </si>
  <si>
    <t>DROITS CERTIFIES
PAR LE CHEF DU B.P.M.</t>
  </si>
  <si>
    <t>JOURS EXCEPTIONNELS :</t>
  </si>
  <si>
    <t>MOTIF :</t>
  </si>
  <si>
    <t>TOTAL :</t>
  </si>
  <si>
    <t>DATE ET HEURE DE DEPART :</t>
  </si>
  <si>
    <t>Adresse de vacances</t>
  </si>
  <si>
    <t>Jour à récupérer</t>
  </si>
  <si>
    <t>DATE ET HEURE DE RETOUR :</t>
  </si>
  <si>
    <t>AVIS HIERARCHIQUES</t>
  </si>
  <si>
    <t>Nombre</t>
  </si>
  <si>
    <t>ADRESSE DU LIEU DE PERMISSION :</t>
  </si>
  <si>
    <t>Motif</t>
  </si>
  <si>
    <t>DECISION DE L'AUTORITE HABILITEE :</t>
  </si>
  <si>
    <t>Résidence habituelle (localité)</t>
  </si>
  <si>
    <t>Idem</t>
  </si>
  <si>
    <t>DATE et SIGNATURE
OBLIGATOIRE de l'intéressé</t>
  </si>
  <si>
    <t>Grade</t>
  </si>
  <si>
    <t>Nom</t>
  </si>
  <si>
    <t>Prénom</t>
  </si>
  <si>
    <t>nom prenom</t>
  </si>
  <si>
    <t>GRADE NOM</t>
  </si>
  <si>
    <t>GRADE NOM PRENOM</t>
  </si>
  <si>
    <t>Age</t>
  </si>
  <si>
    <t>Date de Naissance</t>
  </si>
  <si>
    <t>Situation 
familiale</t>
  </si>
  <si>
    <t>N° Badge</t>
  </si>
  <si>
    <t>NIA</t>
  </si>
  <si>
    <t>NID</t>
  </si>
  <si>
    <t>N° portable</t>
  </si>
  <si>
    <t xml:space="preserve">Adresse </t>
  </si>
  <si>
    <t>Code postale</t>
  </si>
  <si>
    <t>Ville</t>
  </si>
  <si>
    <t>Unité</t>
  </si>
  <si>
    <t>Date du dernier tir</t>
  </si>
  <si>
    <t>Date limite du tir </t>
  </si>
  <si>
    <t>Validite du tir </t>
  </si>
  <si>
    <t>Jours ouvrés</t>
  </si>
  <si>
    <t>jf</t>
  </si>
  <si>
    <t>Samedis</t>
  </si>
  <si>
    <t>Dimanche</t>
  </si>
  <si>
    <t>taopm</t>
  </si>
  <si>
    <t>AK 96912 Q</t>
  </si>
  <si>
    <t>CP Ville</t>
  </si>
  <si>
    <t>EFFACER</t>
  </si>
  <si>
    <t>FERIE</t>
  </si>
  <si>
    <t>TAOPM</t>
  </si>
  <si>
    <t>PO</t>
  </si>
  <si>
    <t>DATE MOTIF</t>
  </si>
  <si>
    <t>COMMENTAIRE</t>
  </si>
  <si>
    <t>NOMS</t>
  </si>
  <si>
    <t>LUNDI</t>
  </si>
  <si>
    <t xml:space="preserve">MARDI             </t>
  </si>
  <si>
    <t xml:space="preserve">MERCREDI                        </t>
  </si>
  <si>
    <t xml:space="preserve">JEUDI           </t>
  </si>
  <si>
    <t xml:space="preserve">VENDREDI        </t>
  </si>
  <si>
    <t>IS</t>
  </si>
  <si>
    <t>WPO</t>
  </si>
  <si>
    <t>OPEX</t>
  </si>
  <si>
    <t>PATC</t>
  </si>
  <si>
    <t>TN / E / TIR</t>
  </si>
  <si>
    <t>RS</t>
  </si>
  <si>
    <t>E</t>
  </si>
  <si>
    <t>STG</t>
  </si>
  <si>
    <t>TAP</t>
  </si>
  <si>
    <t>MIS</t>
  </si>
  <si>
    <t xml:space="preserve">Grade Nom </t>
  </si>
  <si>
    <t>PLD</t>
  </si>
  <si>
    <t>OPIN</t>
  </si>
  <si>
    <t>TOTAL</t>
  </si>
  <si>
    <t>Date de naissance</t>
  </si>
  <si>
    <t>Situation familiale</t>
  </si>
  <si>
    <t>N° Portable</t>
  </si>
  <si>
    <t>Adresse</t>
  </si>
  <si>
    <t>Code postal</t>
  </si>
  <si>
    <t xml:space="preserve">NE   PAS  </t>
  </si>
  <si>
    <t>!!!!</t>
  </si>
  <si>
    <t>NE PAS EFFACER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</si>
  <si>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</si>
  <si>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</si>
  <si>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</si>
  <si>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</si>
  <si>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</si>
  <si>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</si>
  <si>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</si>
  <si>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</si>
  <si>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</si>
  <si>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</si>
  <si>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</si>
  <si>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</si>
  <si>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</si>
  <si>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</si>
  <si>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</si>
  <si>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</si>
  <si>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</si>
  <si>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</si>
  <si>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</si>
  <si>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</si>
  <si>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</si>
  <si>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</si>
  <si>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</si>
  <si>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</si>
  <si>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</si>
  <si>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</si>
  <si>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</si>
  <si>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</si>
  <si>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</si>
  <si>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</si>
  <si>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</si>
  <si>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</si>
  <si>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</si>
  <si>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</si>
  <si>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</si>
  <si>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</si>
  <si>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</si>
  <si>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</si>
  <si>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</si>
  <si>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</si>
  <si>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</si>
  <si>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</si>
  <si>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</si>
  <si>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</si>
  <si>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</si>
  <si>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/>
  </si>
  <si>
    <t>SGC LAFONT</t>
  </si>
  <si>
    <t>ANCIEN</t>
  </si>
  <si>
    <t>NOUVEAU</t>
  </si>
  <si>
    <t>TIR</t>
  </si>
  <si>
    <t>Colonne46</t>
  </si>
  <si>
    <t>Colonne47</t>
  </si>
  <si>
    <t>Validité de TIR</t>
  </si>
  <si>
    <t>Dernier TIR inf AUJOURD'HUI</t>
  </si>
  <si>
    <t>SGT FROISSARD</t>
  </si>
  <si>
    <t>AVT ROBERT</t>
  </si>
  <si>
    <t>CYNO</t>
  </si>
  <si>
    <t>CLC BARBAY</t>
  </si>
  <si>
    <t>CLC MACHARD</t>
  </si>
  <si>
    <t>CLC DOUCET</t>
  </si>
  <si>
    <t>CLC FREMONT</t>
  </si>
  <si>
    <t>CLC GRANDADAM</t>
  </si>
  <si>
    <t>CAL CARRE</t>
  </si>
  <si>
    <t>AVT LAURENT</t>
  </si>
  <si>
    <t>AVT BOST</t>
  </si>
  <si>
    <t>AVT HEROUART</t>
  </si>
  <si>
    <t>AVT HERREMAN</t>
  </si>
  <si>
    <t>AVT JEANNENOT</t>
  </si>
  <si>
    <t>AVT LEFEUVRE</t>
  </si>
  <si>
    <t>CLC CARLIER</t>
  </si>
  <si>
    <t>P</t>
  </si>
  <si>
    <t>A</t>
  </si>
  <si>
    <t>AA</t>
  </si>
  <si>
    <t>A GUILLEMET</t>
  </si>
  <si>
    <t>B</t>
  </si>
  <si>
    <t>BB</t>
  </si>
  <si>
    <t>B MADI</t>
  </si>
  <si>
    <t>C</t>
  </si>
  <si>
    <t>CC</t>
  </si>
  <si>
    <t>C MOLIA</t>
  </si>
  <si>
    <t>D</t>
  </si>
  <si>
    <t>DD</t>
  </si>
  <si>
    <t>D PERDEREAU</t>
  </si>
  <si>
    <t>EE</t>
  </si>
  <si>
    <t>F</t>
  </si>
  <si>
    <t>FF</t>
  </si>
  <si>
    <t>F VINCENT</t>
  </si>
  <si>
    <t>G</t>
  </si>
  <si>
    <t>GG</t>
  </si>
  <si>
    <t>A AA</t>
  </si>
  <si>
    <t>B BB</t>
  </si>
  <si>
    <t>C CC</t>
  </si>
  <si>
    <t>D DD</t>
  </si>
  <si>
    <t>E EE</t>
  </si>
  <si>
    <t>F FF</t>
  </si>
  <si>
    <t>G 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</si>
</sst>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dd"/>
    <numFmt numFmtId="165" formatCode="dd\ mmm"/>
    <numFmt numFmtId="166" formatCode="[$-F800]dddd\,\ mmmm\ dd\,\ yyyy"/>
    <numFmt numFmtId="167" formatCode="00,000"/>
    <numFmt numFmtId="168" formatCode="[$-F400]h:mm:ss\ AM/PM"/>
    <numFmt numFmtId="169" formatCode="h:mm;@"/>
    <numFmt numFmtId="170" formatCode="0#&quot; &quot;##&quot; &quot;##&quot; &quot;##&quot; &quot;##"/>
    <numFmt numFmtId="171" formatCode="0.0"/>
    <numFmt numFmtId="172" formatCode="&quot;Tél n°&quot;\ 0#&quot; &quot;##&quot; &quot;##&quot; &quot;##&quot; &quot;##"/>
    <numFmt numFmtId="173" formatCode="\d\u\ dd/mm/yyyy\ &quot;au&quot;"/>
    <numFmt numFmtId="174" formatCode="&quot;au   &quot;\ dd/mm/yyyy"/>
    <numFmt numFmtId="175" formatCode="&quot;du    &quot;\ dd/mm/yyyy"/>
    <numFmt numFmtId="176" formatCode="m/d/yyyy"/>
  </numFmts>
  <fonts count="4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.5"/>
      <name val="Arial"/>
      <family val="2"/>
    </font>
    <font>
      <sz val="10"/>
      <name val="Arial"/>
      <family val="2"/>
    </font>
    <font>
      <strike/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name val="Calibri"/>
      <family val="2"/>
      <scheme val="minor"/>
    </font>
    <font>
      <sz val="7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8"/>
      <name val="Arial"/>
      <family val="2"/>
    </font>
    <font>
      <sz val="5"/>
      <name val="Arial"/>
      <family val="2"/>
    </font>
    <font>
      <sz val="12"/>
      <color indexed="81"/>
      <name val="Tahoma"/>
      <family val="2"/>
    </font>
    <font>
      <sz val="9"/>
      <color indexed="81"/>
      <name val="Tahoma"/>
      <family val="2"/>
    </font>
    <font>
      <sz val="8"/>
      <color theme="0"/>
      <name val="Arial"/>
      <family val="2"/>
    </font>
    <font>
      <sz val="11"/>
      <color theme="0"/>
      <name val="Calibri"/>
      <family val="2"/>
      <scheme val="minor"/>
    </font>
    <font>
      <b/>
      <sz val="20"/>
      <name val="Arial"/>
      <family val="2"/>
    </font>
    <font>
      <sz val="18"/>
      <color theme="0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sz val="16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8"/>
      <color theme="0"/>
      <name val="Arial"/>
      <family val="2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  <font>
      <sz val="14"/>
      <color theme="1"/>
      <name val="Calibri"/>
      <scheme val="minor"/>
    </font>
    <font>
      <sz val="11"/>
      <name val="Calibri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AA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5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A9D08E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/>
      <right style="medium">
        <color rgb="FFD0D0D0"/>
      </right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theme="1"/>
      </right>
      <top/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9">
    <xf numFmtId="0" fontId="0" fillId="0" borderId="0" xfId="0"/>
    <xf numFmtId="0" fontId="1" fillId="3" borderId="0" xfId="0" applyFont="1" applyFill="1" applyAlignment="1">
      <alignment horizontal="center" vertical="center"/>
    </xf>
    <xf numFmtId="14" fontId="0" fillId="0" borderId="0" xfId="0" applyNumberFormat="1"/>
    <xf numFmtId="0" fontId="2" fillId="2" borderId="0" xfId="0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/>
    </xf>
    <xf numFmtId="166" fontId="0" fillId="0" borderId="0" xfId="0" applyNumberFormat="1"/>
    <xf numFmtId="0" fontId="0" fillId="6" borderId="2" xfId="0" applyFill="1" applyBorder="1" applyProtection="1"/>
    <xf numFmtId="0" fontId="0" fillId="6" borderId="3" xfId="0" applyFill="1" applyBorder="1" applyProtection="1"/>
    <xf numFmtId="0" fontId="0" fillId="6" borderId="0" xfId="0" applyFill="1" applyBorder="1" applyAlignment="1" applyProtection="1"/>
    <xf numFmtId="0" fontId="0" fillId="6" borderId="0" xfId="0" applyFill="1" applyBorder="1" applyProtection="1"/>
    <xf numFmtId="0" fontId="0" fillId="6" borderId="19" xfId="0" applyFill="1" applyBorder="1" applyProtection="1"/>
    <xf numFmtId="0" fontId="0" fillId="0" borderId="17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0" xfId="0" applyBorder="1" applyProtection="1"/>
    <xf numFmtId="0" fontId="0" fillId="0" borderId="14" xfId="0" applyBorder="1" applyProtection="1"/>
    <xf numFmtId="0" fontId="0" fillId="0" borderId="19" xfId="0" applyBorder="1" applyProtection="1"/>
    <xf numFmtId="0" fontId="14" fillId="0" borderId="0" xfId="0" applyFont="1" applyBorder="1" applyAlignment="1" applyProtection="1">
      <alignment horizontal="left"/>
    </xf>
    <xf numFmtId="0" fontId="0" fillId="0" borderId="2" xfId="0" applyBorder="1" applyAlignment="1" applyProtection="1"/>
    <xf numFmtId="0" fontId="0" fillId="0" borderId="0" xfId="0" applyBorder="1" applyAlignment="1" applyProtection="1"/>
    <xf numFmtId="0" fontId="0" fillId="0" borderId="11" xfId="0" applyBorder="1" applyProtection="1"/>
    <xf numFmtId="0" fontId="0" fillId="0" borderId="0" xfId="0" applyBorder="1" applyAlignment="1" applyProtection="1">
      <alignment horizontal="left"/>
    </xf>
    <xf numFmtId="0" fontId="15" fillId="0" borderId="19" xfId="0" applyFont="1" applyBorder="1" applyAlignment="1" applyProtection="1">
      <alignment shrinkToFit="1"/>
    </xf>
    <xf numFmtId="0" fontId="12" fillId="0" borderId="18" xfId="0" applyFont="1" applyBorder="1" applyAlignment="1" applyProtection="1"/>
    <xf numFmtId="0" fontId="12" fillId="0" borderId="0" xfId="0" applyFont="1" applyBorder="1" applyAlignment="1" applyProtection="1"/>
    <xf numFmtId="168" fontId="0" fillId="0" borderId="14" xfId="0" applyNumberFormat="1" applyBorder="1" applyAlignment="1" applyProtection="1">
      <alignment horizontal="right"/>
    </xf>
    <xf numFmtId="168" fontId="0" fillId="0" borderId="17" xfId="0" applyNumberFormat="1" applyBorder="1" applyAlignment="1" applyProtection="1">
      <alignment horizontal="right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Protection="1"/>
    <xf numFmtId="0" fontId="0" fillId="0" borderId="18" xfId="0" applyBorder="1" applyProtection="1"/>
    <xf numFmtId="0" fontId="19" fillId="0" borderId="0" xfId="0" applyFont="1" applyBorder="1" applyAlignment="1" applyProtection="1">
      <alignment vertical="center"/>
    </xf>
    <xf numFmtId="0" fontId="0" fillId="0" borderId="13" xfId="0" applyBorder="1" applyProtection="1"/>
    <xf numFmtId="0" fontId="0" fillId="0" borderId="20" xfId="0" applyBorder="1" applyProtection="1"/>
    <xf numFmtId="0" fontId="0" fillId="0" borderId="18" xfId="0" applyBorder="1" applyAlignment="1" applyProtection="1"/>
    <xf numFmtId="0" fontId="0" fillId="0" borderId="19" xfId="0" applyBorder="1" applyAlignment="1" applyProtection="1"/>
    <xf numFmtId="0" fontId="0" fillId="0" borderId="13" xfId="0" applyBorder="1" applyAlignment="1" applyProtection="1"/>
    <xf numFmtId="0" fontId="0" fillId="0" borderId="14" xfId="0" applyBorder="1" applyAlignment="1" applyProtection="1"/>
    <xf numFmtId="0" fontId="0" fillId="0" borderId="11" xfId="0" applyBorder="1" applyAlignment="1" applyProtection="1"/>
    <xf numFmtId="0" fontId="22" fillId="3" borderId="21" xfId="0" applyFont="1" applyFill="1" applyBorder="1" applyAlignment="1">
      <alignment horizontal="center" vertical="center" wrapText="1"/>
    </xf>
    <xf numFmtId="1" fontId="22" fillId="3" borderId="21" xfId="0" applyNumberFormat="1" applyFont="1" applyFill="1" applyBorder="1" applyAlignment="1">
      <alignment horizontal="center" vertical="center" wrapText="1"/>
    </xf>
    <xf numFmtId="170" fontId="22" fillId="3" borderId="21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14" fontId="2" fillId="3" borderId="21" xfId="0" applyNumberFormat="1" applyFont="1" applyFill="1" applyBorder="1" applyAlignment="1">
      <alignment horizontal="center" vertical="center" wrapText="1"/>
    </xf>
    <xf numFmtId="171" fontId="0" fillId="0" borderId="0" xfId="0" applyNumberFormat="1"/>
    <xf numFmtId="2" fontId="0" fillId="0" borderId="0" xfId="0" applyNumberFormat="1"/>
    <xf numFmtId="171" fontId="0" fillId="7" borderId="22" xfId="0" applyNumberFormat="1" applyFill="1" applyBorder="1"/>
    <xf numFmtId="171" fontId="0" fillId="8" borderId="4" xfId="0" applyNumberFormat="1" applyFill="1" applyBorder="1"/>
    <xf numFmtId="171" fontId="0" fillId="9" borderId="4" xfId="0" applyNumberFormat="1" applyFill="1" applyBorder="1"/>
    <xf numFmtId="169" fontId="0" fillId="0" borderId="0" xfId="0" applyNumberFormat="1"/>
    <xf numFmtId="20" fontId="0" fillId="0" borderId="0" xfId="0" applyNumberFormat="1"/>
    <xf numFmtId="0" fontId="0" fillId="8" borderId="4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6" borderId="0" xfId="0" applyFill="1" applyBorder="1"/>
    <xf numFmtId="171" fontId="0" fillId="4" borderId="0" xfId="0" applyNumberFormat="1" applyFill="1" applyBorder="1"/>
    <xf numFmtId="0" fontId="0" fillId="4" borderId="0" xfId="0" applyFill="1" applyBorder="1" applyAlignment="1">
      <alignment horizontal="left"/>
    </xf>
    <xf numFmtId="0" fontId="23" fillId="3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6" fillId="10" borderId="0" xfId="0" applyNumberFormat="1" applyFont="1" applyFill="1" applyAlignment="1">
      <alignment horizontal="center" vertical="center" wrapText="1"/>
    </xf>
    <xf numFmtId="14" fontId="6" fillId="10" borderId="23" xfId="0" applyNumberFormat="1" applyFont="1" applyFill="1" applyBorder="1" applyAlignment="1">
      <alignment horizontal="center" vertical="center" wrapText="1"/>
    </xf>
    <xf numFmtId="14" fontId="6" fillId="10" borderId="24" xfId="0" applyNumberFormat="1" applyFont="1" applyFill="1" applyBorder="1" applyAlignment="1">
      <alignment horizontal="center" vertical="center" wrapText="1"/>
    </xf>
    <xf numFmtId="14" fontId="6" fillId="10" borderId="25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0" fillId="3" borderId="0" xfId="0" applyNumberFormat="1" applyFill="1"/>
    <xf numFmtId="0" fontId="28" fillId="3" borderId="0" xfId="0" applyNumberFormat="1" applyFont="1" applyFill="1"/>
    <xf numFmtId="0" fontId="29" fillId="15" borderId="12" xfId="0" applyFont="1" applyFill="1" applyBorder="1" applyAlignment="1">
      <alignment horizontal="center" vertical="center" wrapText="1"/>
    </xf>
    <xf numFmtId="0" fontId="29" fillId="16" borderId="12" xfId="0" applyFont="1" applyFill="1" applyBorder="1" applyAlignment="1">
      <alignment horizontal="center" vertical="center" wrapText="1"/>
    </xf>
    <xf numFmtId="0" fontId="29" fillId="17" borderId="12" xfId="0" applyFont="1" applyFill="1" applyBorder="1" applyAlignment="1">
      <alignment horizontal="center" vertical="center" wrapText="1"/>
    </xf>
    <xf numFmtId="0" fontId="29" fillId="14" borderId="12" xfId="0" applyFont="1" applyFill="1" applyBorder="1" applyAlignment="1">
      <alignment horizontal="center" vertical="center" wrapText="1"/>
    </xf>
    <xf numFmtId="0" fontId="29" fillId="12" borderId="12" xfId="0" applyFont="1" applyFill="1" applyBorder="1" applyAlignment="1">
      <alignment horizontal="center" vertical="center" wrapText="1"/>
    </xf>
    <xf numFmtId="0" fontId="29" fillId="13" borderId="12" xfId="0" applyFont="1" applyFill="1" applyBorder="1" applyAlignment="1">
      <alignment horizontal="center" vertical="center" wrapText="1"/>
    </xf>
    <xf numFmtId="0" fontId="29" fillId="18" borderId="12" xfId="0" applyFont="1" applyFill="1" applyBorder="1" applyAlignment="1">
      <alignment horizontal="center" vertical="center" wrapText="1"/>
    </xf>
    <xf numFmtId="0" fontId="29" fillId="11" borderId="12" xfId="0" applyFont="1" applyFill="1" applyBorder="1" applyAlignment="1">
      <alignment horizontal="center" vertical="center" wrapText="1"/>
    </xf>
    <xf numFmtId="0" fontId="29" fillId="20" borderId="12" xfId="0" applyFont="1" applyFill="1" applyBorder="1" applyAlignment="1">
      <alignment horizontal="center" vertical="center" wrapText="1"/>
    </xf>
    <xf numFmtId="0" fontId="29" fillId="21" borderId="12" xfId="0" applyFont="1" applyFill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 wrapText="1"/>
    </xf>
    <xf numFmtId="1" fontId="32" fillId="3" borderId="28" xfId="0" applyNumberFormat="1" applyFont="1" applyFill="1" applyBorder="1" applyAlignment="1">
      <alignment horizontal="center" vertical="center" wrapText="1"/>
    </xf>
    <xf numFmtId="170" fontId="32" fillId="3" borderId="28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indent="1"/>
    </xf>
    <xf numFmtId="14" fontId="3" fillId="0" borderId="4" xfId="0" applyNumberFormat="1" applyFont="1" applyBorder="1" applyAlignment="1">
      <alignment horizontal="left" vertical="center" indent="1"/>
    </xf>
    <xf numFmtId="170" fontId="3" fillId="0" borderId="4" xfId="0" applyNumberFormat="1" applyFont="1" applyBorder="1" applyAlignment="1">
      <alignment horizontal="left" vertical="center" indent="1"/>
    </xf>
    <xf numFmtId="167" fontId="3" fillId="0" borderId="4" xfId="0" applyNumberFormat="1" applyFont="1" applyBorder="1" applyAlignment="1">
      <alignment horizontal="left" vertical="center" indent="1"/>
    </xf>
    <xf numFmtId="0" fontId="31" fillId="3" borderId="4" xfId="0" applyFont="1" applyFill="1" applyBorder="1" applyAlignment="1">
      <alignment horizontal="left" vertical="center" indent="1"/>
    </xf>
    <xf numFmtId="0" fontId="32" fillId="4" borderId="0" xfId="0" applyFont="1" applyFill="1" applyBorder="1" applyAlignment="1">
      <alignment horizontal="center" vertical="center" wrapText="1"/>
    </xf>
    <xf numFmtId="1" fontId="32" fillId="4" borderId="0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 indent="1"/>
    </xf>
    <xf numFmtId="0" fontId="6" fillId="4" borderId="0" xfId="0" applyFont="1" applyFill="1"/>
    <xf numFmtId="165" fontId="6" fillId="4" borderId="1" xfId="0" applyNumberFormat="1" applyFont="1" applyFill="1" applyBorder="1" applyAlignment="1">
      <alignment horizontal="center" vertical="center" textRotation="90"/>
    </xf>
    <xf numFmtId="165" fontId="6" fillId="4" borderId="2" xfId="0" applyNumberFormat="1" applyFont="1" applyFill="1" applyBorder="1" applyAlignment="1">
      <alignment horizontal="center" vertical="center" textRotation="90"/>
    </xf>
    <xf numFmtId="165" fontId="6" fillId="4" borderId="3" xfId="0" applyNumberFormat="1" applyFont="1" applyFill="1" applyBorder="1" applyAlignment="1">
      <alignment horizontal="center" vertical="center" textRotation="90"/>
    </xf>
    <xf numFmtId="0" fontId="5" fillId="4" borderId="0" xfId="0" applyFont="1" applyFill="1"/>
    <xf numFmtId="0" fontId="5" fillId="4" borderId="4" xfId="0" applyFont="1" applyFill="1" applyBorder="1" applyAlignment="1">
      <alignment horizontal="center" vertical="center"/>
    </xf>
    <xf numFmtId="164" fontId="5" fillId="4" borderId="4" xfId="0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 shrinkToFit="1"/>
    </xf>
    <xf numFmtId="0" fontId="28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top"/>
    </xf>
    <xf numFmtId="0" fontId="4" fillId="0" borderId="0" xfId="0" applyFont="1"/>
    <xf numFmtId="14" fontId="4" fillId="0" borderId="0" xfId="0" applyNumberFormat="1" applyFont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Font="1"/>
    <xf numFmtId="0" fontId="31" fillId="3" borderId="19" xfId="0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center" vertical="center" shrinkToFit="1"/>
    </xf>
    <xf numFmtId="0" fontId="2" fillId="5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0" fillId="4" borderId="0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31" fillId="3" borderId="0" xfId="0" applyFont="1" applyFill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6" fillId="4" borderId="0" xfId="0" applyNumberFormat="1" applyFont="1" applyFill="1"/>
    <xf numFmtId="14" fontId="6" fillId="4" borderId="0" xfId="0" applyNumberFormat="1" applyFont="1" applyFill="1" applyAlignment="1">
      <alignment horizontal="center" vertical="center" shrinkToFit="1"/>
    </xf>
    <xf numFmtId="0" fontId="36" fillId="4" borderId="0" xfId="0" applyFont="1" applyFill="1" applyAlignment="1">
      <alignment horizontal="center" vertical="top"/>
    </xf>
    <xf numFmtId="0" fontId="36" fillId="4" borderId="0" xfId="0" applyFont="1" applyFill="1" applyAlignment="1">
      <alignment horizontal="center"/>
    </xf>
    <xf numFmtId="14" fontId="36" fillId="4" borderId="0" xfId="0" applyNumberFormat="1" applyFont="1" applyFill="1" applyAlignment="1">
      <alignment horizontal="center"/>
    </xf>
    <xf numFmtId="14" fontId="5" fillId="4" borderId="0" xfId="0" applyNumberFormat="1" applyFont="1" applyFill="1" applyAlignment="1">
      <alignment horizontal="center" vertical="center"/>
    </xf>
    <xf numFmtId="14" fontId="36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37" fillId="0" borderId="0" xfId="0" applyFont="1" applyBorder="1" applyAlignment="1">
      <alignment horizontal="center" vertical="center"/>
    </xf>
    <xf numFmtId="0" fontId="38" fillId="0" borderId="4" xfId="0" applyNumberFormat="1" applyFont="1" applyBorder="1" applyAlignment="1">
      <alignment horizontal="center" vertical="center"/>
    </xf>
    <xf numFmtId="0" fontId="38" fillId="0" borderId="10" xfId="0" applyNumberFormat="1" applyFont="1" applyBorder="1" applyAlignment="1">
      <alignment horizontal="center" vertical="center"/>
    </xf>
    <xf numFmtId="0" fontId="38" fillId="0" borderId="16" xfId="0" applyNumberFormat="1" applyFont="1" applyBorder="1" applyAlignment="1">
      <alignment horizontal="center" vertical="center"/>
    </xf>
    <xf numFmtId="14" fontId="39" fillId="4" borderId="0" xfId="0" applyNumberFormat="1" applyFont="1" applyFill="1" applyAlignment="1">
      <alignment horizontal="center" vertical="center" shrinkToFit="1"/>
    </xf>
    <xf numFmtId="0" fontId="39" fillId="4" borderId="0" xfId="0" applyFont="1" applyFill="1" applyAlignment="1">
      <alignment horizontal="left" vertical="center"/>
    </xf>
    <xf numFmtId="0" fontId="37" fillId="0" borderId="0" xfId="0" applyFont="1" applyAlignment="1">
      <alignment horizontal="center" vertical="center"/>
    </xf>
    <xf numFmtId="0" fontId="38" fillId="0" borderId="21" xfId="0" applyNumberFormat="1" applyFont="1" applyBorder="1" applyAlignment="1">
      <alignment horizontal="center" vertical="center"/>
    </xf>
    <xf numFmtId="0" fontId="38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176" fontId="0" fillId="0" borderId="0" xfId="0" applyNumberFormat="1"/>
    <xf numFmtId="0" fontId="12" fillId="0" borderId="18" xfId="0" applyFont="1" applyBorder="1" applyAlignment="1" applyProtection="1">
      <alignment horizontal="left"/>
    </xf>
    <xf numFmtId="0" fontId="12" fillId="0" borderId="0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left"/>
    </xf>
    <xf numFmtId="0" fontId="12" fillId="0" borderId="2" xfId="0" applyFont="1" applyBorder="1" applyAlignment="1" applyProtection="1">
      <alignment horizontal="left"/>
    </xf>
    <xf numFmtId="0" fontId="0" fillId="0" borderId="2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right"/>
    </xf>
    <xf numFmtId="0" fontId="0" fillId="0" borderId="2" xfId="0" applyBorder="1" applyAlignment="1" applyProtection="1">
      <alignment horizontal="left"/>
    </xf>
    <xf numFmtId="0" fontId="0" fillId="0" borderId="14" xfId="0" applyBorder="1" applyAlignment="1" applyProtection="1">
      <alignment horizontal="right"/>
    </xf>
    <xf numFmtId="0" fontId="2" fillId="0" borderId="0" xfId="0" applyFont="1" applyAlignment="1" applyProtection="1">
      <alignment vertical="top"/>
    </xf>
    <xf numFmtId="0" fontId="0" fillId="0" borderId="0" xfId="0" applyProtection="1"/>
    <xf numFmtId="0" fontId="2" fillId="0" borderId="0" xfId="0" applyFont="1" applyProtection="1"/>
    <xf numFmtId="0" fontId="0" fillId="4" borderId="0" xfId="0" applyFill="1" applyProtection="1"/>
    <xf numFmtId="0" fontId="6" fillId="0" borderId="0" xfId="0" applyFont="1" applyAlignment="1" applyProtection="1">
      <alignment horizontal="center" vertical="center"/>
    </xf>
    <xf numFmtId="0" fontId="0" fillId="4" borderId="0" xfId="0" applyFill="1" applyBorder="1" applyAlignment="1" applyProtection="1"/>
    <xf numFmtId="0" fontId="0" fillId="4" borderId="4" xfId="0" applyFill="1" applyBorder="1" applyAlignment="1" applyProtection="1">
      <alignment horizontal="right"/>
    </xf>
    <xf numFmtId="20" fontId="13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11" fillId="4" borderId="4" xfId="0" applyFont="1" applyFill="1" applyBorder="1" applyAlignment="1" applyProtection="1">
      <alignment horizontal="center" vertical="center" wrapText="1"/>
    </xf>
    <xf numFmtId="164" fontId="11" fillId="4" borderId="10" xfId="0" applyNumberFormat="1" applyFont="1" applyFill="1" applyBorder="1" applyAlignment="1" applyProtection="1">
      <alignment horizontal="center" vertical="center" wrapText="1"/>
    </xf>
    <xf numFmtId="0" fontId="0" fillId="0" borderId="29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14" fontId="6" fillId="1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Border="1"/>
    <xf numFmtId="0" fontId="3" fillId="0" borderId="4" xfId="0" applyFont="1" applyBorder="1" applyAlignment="1" applyProtection="1">
      <alignment horizontal="left" vertical="center" indent="1"/>
      <protection locked="0"/>
    </xf>
    <xf numFmtId="14" fontId="3" fillId="0" borderId="4" xfId="0" applyNumberFormat="1" applyFont="1" applyBorder="1" applyAlignment="1" applyProtection="1">
      <alignment horizontal="left" vertical="center" indent="1"/>
      <protection locked="0"/>
    </xf>
    <xf numFmtId="170" fontId="3" fillId="0" borderId="4" xfId="0" applyNumberFormat="1" applyFont="1" applyBorder="1" applyAlignment="1" applyProtection="1">
      <alignment horizontal="left" vertical="center" indent="1"/>
      <protection locked="0"/>
    </xf>
    <xf numFmtId="167" fontId="3" fillId="0" borderId="4" xfId="0" applyNumberFormat="1" applyFont="1" applyBorder="1" applyAlignment="1" applyProtection="1">
      <alignment horizontal="left" vertical="center" indent="1"/>
      <protection locked="0"/>
    </xf>
    <xf numFmtId="0" fontId="0" fillId="0" borderId="0" xfId="0" applyProtection="1">
      <protection locked="0"/>
    </xf>
    <xf numFmtId="176" fontId="39" fillId="4" borderId="0" xfId="0" applyNumberFormat="1" applyFont="1" applyFill="1" applyAlignment="1">
      <alignment horizontal="center" vertical="center" shrinkToFit="1"/>
    </xf>
    <xf numFmtId="14" fontId="33" fillId="4" borderId="5" xfId="0" applyNumberFormat="1" applyFont="1" applyFill="1" applyBorder="1" applyAlignment="1" applyProtection="1">
      <alignment horizontal="center" vertical="center"/>
      <protection locked="0"/>
    </xf>
    <xf numFmtId="14" fontId="33" fillId="4" borderId="6" xfId="0" applyNumberFormat="1" applyFont="1" applyFill="1" applyBorder="1" applyAlignment="1" applyProtection="1">
      <alignment horizontal="center" vertical="center"/>
      <protection locked="0"/>
    </xf>
    <xf numFmtId="14" fontId="33" fillId="4" borderId="7" xfId="0" applyNumberFormat="1" applyFont="1" applyFill="1" applyBorder="1" applyAlignment="1" applyProtection="1">
      <alignment horizontal="center" vertical="center"/>
      <protection locked="0"/>
    </xf>
    <xf numFmtId="14" fontId="2" fillId="4" borderId="9" xfId="0" applyNumberFormat="1" applyFont="1" applyFill="1" applyBorder="1" applyAlignment="1">
      <alignment horizontal="center"/>
    </xf>
    <xf numFmtId="0" fontId="9" fillId="6" borderId="18" xfId="0" applyFont="1" applyFill="1" applyBorder="1" applyAlignment="1" applyProtection="1">
      <alignment horizontal="center"/>
    </xf>
    <xf numFmtId="0" fontId="9" fillId="6" borderId="0" xfId="0" applyFont="1" applyFill="1" applyBorder="1" applyAlignment="1" applyProtection="1">
      <alignment horizontal="center"/>
    </xf>
    <xf numFmtId="0" fontId="9" fillId="6" borderId="19" xfId="0" applyFont="1" applyFill="1" applyBorder="1" applyAlignment="1" applyProtection="1">
      <alignment horizontal="center"/>
    </xf>
    <xf numFmtId="0" fontId="11" fillId="6" borderId="13" xfId="0" applyFont="1" applyFill="1" applyBorder="1" applyAlignment="1" applyProtection="1">
      <alignment horizontal="right"/>
    </xf>
    <xf numFmtId="0" fontId="11" fillId="6" borderId="14" xfId="0" applyFont="1" applyFill="1" applyBorder="1" applyAlignment="1" applyProtection="1">
      <alignment horizontal="right"/>
    </xf>
    <xf numFmtId="0" fontId="11" fillId="6" borderId="11" xfId="0" applyFont="1" applyFill="1" applyBorder="1" applyAlignment="1" applyProtection="1">
      <alignment horizontal="right"/>
    </xf>
    <xf numFmtId="0" fontId="0" fillId="0" borderId="16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14" fontId="7" fillId="4" borderId="10" xfId="0" applyNumberFormat="1" applyFont="1" applyFill="1" applyBorder="1" applyAlignment="1" applyProtection="1">
      <alignment horizontal="center" vertical="center"/>
      <protection locked="0"/>
    </xf>
    <xf numFmtId="14" fontId="7" fillId="4" borderId="12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/>
    </xf>
    <xf numFmtId="0" fontId="0" fillId="6" borderId="2" xfId="0" applyFill="1" applyBorder="1" applyAlignment="1" applyProtection="1">
      <alignment horizontal="center"/>
    </xf>
    <xf numFmtId="0" fontId="0" fillId="6" borderId="18" xfId="0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14" xfId="0" applyFill="1" applyBorder="1" applyAlignment="1" applyProtection="1">
      <alignment horizontal="center"/>
    </xf>
    <xf numFmtId="0" fontId="8" fillId="6" borderId="18" xfId="0" applyFont="1" applyFill="1" applyBorder="1" applyAlignment="1" applyProtection="1">
      <alignment horizontal="center"/>
    </xf>
    <xf numFmtId="0" fontId="8" fillId="6" borderId="0" xfId="0" applyFont="1" applyFill="1" applyBorder="1" applyAlignment="1" applyProtection="1">
      <alignment horizontal="center"/>
    </xf>
    <xf numFmtId="0" fontId="8" fillId="6" borderId="19" xfId="0" applyFont="1" applyFill="1" applyBorder="1" applyAlignment="1" applyProtection="1">
      <alignment horizontal="center"/>
    </xf>
    <xf numFmtId="0" fontId="12" fillId="0" borderId="18" xfId="0" applyFont="1" applyBorder="1" applyAlignment="1" applyProtection="1">
      <alignment horizontal="left"/>
    </xf>
    <xf numFmtId="0" fontId="12" fillId="0" borderId="0" xfId="0" applyFont="1" applyBorder="1" applyAlignment="1" applyProtection="1">
      <alignment horizontal="left"/>
    </xf>
    <xf numFmtId="0" fontId="0" fillId="0" borderId="14" xfId="0" applyBorder="1" applyAlignment="1" applyProtection="1">
      <alignment horizontal="left"/>
    </xf>
    <xf numFmtId="0" fontId="12" fillId="0" borderId="18" xfId="0" applyFont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0" fillId="0" borderId="17" xfId="0" applyBorder="1" applyAlignment="1" applyProtection="1">
      <alignment horizontal="right" vertical="center"/>
    </xf>
    <xf numFmtId="0" fontId="0" fillId="0" borderId="17" xfId="0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left"/>
    </xf>
    <xf numFmtId="0" fontId="12" fillId="0" borderId="2" xfId="0" applyFont="1" applyBorder="1" applyAlignment="1" applyProtection="1">
      <alignment horizontal="left"/>
    </xf>
    <xf numFmtId="0" fontId="0" fillId="0" borderId="17" xfId="0" applyBorder="1" applyAlignment="1" applyProtection="1">
      <alignment horizontal="left"/>
    </xf>
    <xf numFmtId="0" fontId="12" fillId="0" borderId="2" xfId="0" applyFont="1" applyBorder="1" applyAlignment="1" applyProtection="1">
      <alignment horizontal="center"/>
    </xf>
    <xf numFmtId="167" fontId="0" fillId="0" borderId="17" xfId="0" applyNumberFormat="1" applyBorder="1" applyAlignment="1" applyProtection="1">
      <alignment horizontal="left" indent="1"/>
    </xf>
    <xf numFmtId="0" fontId="0" fillId="0" borderId="17" xfId="0" applyBorder="1" applyAlignment="1" applyProtection="1">
      <alignment horizontal="center"/>
    </xf>
    <xf numFmtId="0" fontId="0" fillId="0" borderId="14" xfId="0" applyNumberFormat="1" applyBorder="1" applyAlignment="1" applyProtection="1">
      <alignment horizontal="right"/>
    </xf>
    <xf numFmtId="0" fontId="16" fillId="0" borderId="0" xfId="0" applyFont="1" applyBorder="1" applyAlignment="1" applyProtection="1">
      <alignment horizontal="center"/>
    </xf>
    <xf numFmtId="0" fontId="16" fillId="0" borderId="19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14" fontId="0" fillId="0" borderId="14" xfId="0" applyNumberFormat="1" applyBorder="1" applyAlignment="1" applyProtection="1">
      <alignment horizontal="right" shrinkToFit="1"/>
    </xf>
    <xf numFmtId="169" fontId="0" fillId="0" borderId="14" xfId="0" applyNumberFormat="1" applyBorder="1" applyAlignment="1" applyProtection="1">
      <alignment horizontal="left"/>
    </xf>
    <xf numFmtId="0" fontId="12" fillId="0" borderId="13" xfId="0" applyFont="1" applyBorder="1" applyAlignment="1" applyProtection="1">
      <alignment horizontal="left"/>
    </xf>
    <xf numFmtId="0" fontId="12" fillId="0" borderId="14" xfId="0" applyFont="1" applyBorder="1" applyAlignment="1" applyProtection="1">
      <alignment horizontal="left"/>
    </xf>
    <xf numFmtId="0" fontId="12" fillId="0" borderId="1" xfId="0" applyFont="1" applyBorder="1" applyAlignment="1" applyProtection="1">
      <alignment horizontal="center" vertical="center"/>
    </xf>
    <xf numFmtId="0" fontId="12" fillId="0" borderId="2" xfId="0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/>
    </xf>
    <xf numFmtId="0" fontId="12" fillId="0" borderId="14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5" fillId="0" borderId="17" xfId="0" applyFont="1" applyBorder="1" applyAlignment="1" applyProtection="1">
      <alignment horizontal="center" shrinkToFit="1"/>
    </xf>
    <xf numFmtId="0" fontId="18" fillId="0" borderId="18" xfId="0" applyFont="1" applyBorder="1" applyAlignment="1" applyProtection="1">
      <alignment horizontal="center"/>
    </xf>
    <xf numFmtId="0" fontId="18" fillId="0" borderId="0" xfId="0" applyFont="1" applyBorder="1" applyAlignment="1" applyProtection="1">
      <alignment horizontal="center"/>
    </xf>
    <xf numFmtId="0" fontId="0" fillId="4" borderId="13" xfId="0" applyFill="1" applyBorder="1" applyAlignment="1" applyProtection="1">
      <alignment horizontal="left" vertical="center"/>
      <protection locked="0"/>
    </xf>
    <xf numFmtId="0" fontId="0" fillId="4" borderId="14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justify"/>
    </xf>
    <xf numFmtId="0" fontId="17" fillId="4" borderId="16" xfId="0" applyFont="1" applyFill="1" applyBorder="1" applyAlignment="1" applyProtection="1">
      <alignment horizontal="center"/>
    </xf>
    <xf numFmtId="0" fontId="17" fillId="4" borderId="17" xfId="0" applyFont="1" applyFill="1" applyBorder="1" applyAlignment="1" applyProtection="1">
      <alignment horizontal="center"/>
    </xf>
    <xf numFmtId="0" fontId="17" fillId="4" borderId="15" xfId="0" applyFont="1" applyFill="1" applyBorder="1" applyAlignment="1" applyProtection="1">
      <alignment horizontal="center"/>
    </xf>
    <xf numFmtId="0" fontId="0" fillId="4" borderId="16" xfId="0" applyFill="1" applyBorder="1" applyAlignment="1" applyProtection="1">
      <alignment horizontal="center"/>
    </xf>
    <xf numFmtId="0" fontId="0" fillId="4" borderId="15" xfId="0" applyFill="1" applyBorder="1" applyAlignment="1" applyProtection="1">
      <alignment horizontal="center"/>
    </xf>
    <xf numFmtId="14" fontId="0" fillId="0" borderId="17" xfId="0" applyNumberFormat="1" applyBorder="1" applyAlignment="1" applyProtection="1">
      <alignment horizontal="right" shrinkToFit="1"/>
    </xf>
    <xf numFmtId="169" fontId="0" fillId="0" borderId="17" xfId="0" applyNumberFormat="1" applyBorder="1" applyAlignment="1" applyProtection="1">
      <alignment horizontal="left"/>
    </xf>
    <xf numFmtId="0" fontId="12" fillId="0" borderId="16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left" vertical="center"/>
      <protection locked="0"/>
    </xf>
    <xf numFmtId="0" fontId="0" fillId="4" borderId="2" xfId="0" applyFill="1" applyBorder="1" applyAlignment="1" applyProtection="1">
      <alignment horizontal="left" vertical="center"/>
      <protection locked="0"/>
    </xf>
    <xf numFmtId="0" fontId="0" fillId="4" borderId="3" xfId="0" applyFill="1" applyBorder="1" applyAlignment="1" applyProtection="1">
      <alignment horizontal="left" vertical="center"/>
      <protection locked="0"/>
    </xf>
    <xf numFmtId="0" fontId="12" fillId="0" borderId="18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19" xfId="0" applyFont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</xf>
    <xf numFmtId="0" fontId="19" fillId="0" borderId="0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172" fontId="0" fillId="0" borderId="16" xfId="0" applyNumberFormat="1" applyBorder="1" applyAlignment="1" applyProtection="1">
      <alignment horizontal="center" vertical="center"/>
    </xf>
    <xf numFmtId="172" fontId="0" fillId="0" borderId="17" xfId="0" applyNumberFormat="1" applyBorder="1" applyAlignment="1" applyProtection="1">
      <alignment horizontal="center" vertical="center"/>
    </xf>
    <xf numFmtId="0" fontId="18" fillId="0" borderId="18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18" fillId="0" borderId="19" xfId="0" applyFont="1" applyBorder="1" applyAlignment="1" applyProtection="1">
      <alignment horizontal="left"/>
    </xf>
    <xf numFmtId="0" fontId="12" fillId="0" borderId="18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shrinkToFit="1"/>
    </xf>
    <xf numFmtId="0" fontId="0" fillId="0" borderId="2" xfId="0" applyBorder="1" applyAlignment="1" applyProtection="1">
      <alignment horizontal="center" vertical="center" shrinkToFit="1"/>
    </xf>
    <xf numFmtId="0" fontId="0" fillId="0" borderId="3" xfId="0" applyBorder="1" applyAlignment="1" applyProtection="1">
      <alignment horizontal="center" vertical="center" shrinkToFit="1"/>
    </xf>
    <xf numFmtId="0" fontId="0" fillId="0" borderId="18" xfId="0" applyBorder="1" applyAlignment="1" applyProtection="1">
      <alignment horizontal="center" vertical="center" shrinkToFit="1"/>
    </xf>
    <xf numFmtId="0" fontId="0" fillId="0" borderId="0" xfId="0" applyBorder="1" applyAlignment="1" applyProtection="1">
      <alignment horizontal="center" vertical="center" shrinkToFit="1"/>
    </xf>
    <xf numFmtId="0" fontId="0" fillId="0" borderId="19" xfId="0" applyBorder="1" applyAlignment="1" applyProtection="1">
      <alignment horizontal="center" vertical="center" shrinkToFit="1"/>
    </xf>
    <xf numFmtId="0" fontId="0" fillId="0" borderId="13" xfId="0" applyBorder="1" applyAlignment="1" applyProtection="1">
      <alignment horizontal="center" vertical="center" shrinkToFit="1"/>
    </xf>
    <xf numFmtId="0" fontId="0" fillId="0" borderId="14" xfId="0" applyBorder="1" applyAlignment="1" applyProtection="1">
      <alignment horizontal="center" vertical="center" shrinkToFit="1"/>
    </xf>
    <xf numFmtId="0" fontId="0" fillId="0" borderId="11" xfId="0" applyBorder="1" applyAlignment="1" applyProtection="1">
      <alignment horizontal="center" vertical="center" shrinkToFit="1"/>
    </xf>
    <xf numFmtId="0" fontId="9" fillId="6" borderId="14" xfId="0" applyFont="1" applyFill="1" applyBorder="1" applyAlignment="1" applyProtection="1">
      <alignment horizontal="center"/>
    </xf>
    <xf numFmtId="0" fontId="0" fillId="0" borderId="17" xfId="0" applyBorder="1" applyAlignment="1" applyProtection="1">
      <alignment horizontal="right"/>
    </xf>
    <xf numFmtId="0" fontId="0" fillId="0" borderId="2" xfId="0" applyBorder="1" applyAlignment="1" applyProtection="1">
      <alignment horizontal="left"/>
    </xf>
    <xf numFmtId="0" fontId="12" fillId="0" borderId="17" xfId="0" applyFont="1" applyBorder="1" applyAlignment="1" applyProtection="1">
      <alignment horizontal="center"/>
    </xf>
    <xf numFmtId="0" fontId="0" fillId="0" borderId="14" xfId="0" applyBorder="1" applyAlignment="1" applyProtection="1">
      <alignment horizontal="right"/>
    </xf>
    <xf numFmtId="14" fontId="0" fillId="0" borderId="14" xfId="0" applyNumberFormat="1" applyBorder="1" applyAlignment="1" applyProtection="1">
      <alignment horizontal="center"/>
    </xf>
    <xf numFmtId="14" fontId="0" fillId="0" borderId="17" xfId="0" applyNumberFormat="1" applyBorder="1" applyAlignment="1" applyProtection="1">
      <alignment horizontal="center"/>
    </xf>
    <xf numFmtId="175" fontId="27" fillId="19" borderId="16" xfId="0" applyNumberFormat="1" applyFont="1" applyFill="1" applyBorder="1" applyAlignment="1" applyProtection="1">
      <alignment horizontal="right" vertical="center" indent="1"/>
      <protection locked="0"/>
    </xf>
    <xf numFmtId="175" fontId="27" fillId="19" borderId="17" xfId="0" applyNumberFormat="1" applyFont="1" applyFill="1" applyBorder="1" applyAlignment="1" applyProtection="1">
      <alignment horizontal="right" vertical="center" indent="1"/>
      <protection locked="0"/>
    </xf>
    <xf numFmtId="174" fontId="27" fillId="19" borderId="17" xfId="0" applyNumberFormat="1" applyFont="1" applyFill="1" applyBorder="1" applyAlignment="1" applyProtection="1">
      <alignment horizontal="left" vertical="center" indent="1"/>
      <protection locked="0"/>
    </xf>
    <xf numFmtId="174" fontId="27" fillId="19" borderId="15" xfId="0" applyNumberFormat="1" applyFont="1" applyFill="1" applyBorder="1" applyAlignment="1" applyProtection="1">
      <alignment horizontal="left" vertical="center" indent="1"/>
      <protection locked="0"/>
    </xf>
    <xf numFmtId="0" fontId="24" fillId="4" borderId="4" xfId="0" applyFont="1" applyFill="1" applyBorder="1" applyAlignment="1" applyProtection="1">
      <alignment horizontal="center" vertical="center" shrinkToFit="1"/>
    </xf>
    <xf numFmtId="14" fontId="26" fillId="0" borderId="14" xfId="0" applyNumberFormat="1" applyFont="1" applyBorder="1" applyAlignment="1" applyProtection="1">
      <alignment horizontal="left" vertical="center"/>
    </xf>
    <xf numFmtId="173" fontId="26" fillId="0" borderId="14" xfId="0" applyNumberFormat="1" applyFont="1" applyBorder="1" applyAlignment="1" applyProtection="1">
      <alignment horizontal="right" vertical="center"/>
    </xf>
    <xf numFmtId="14" fontId="25" fillId="3" borderId="26" xfId="0" applyNumberFormat="1" applyFont="1" applyFill="1" applyBorder="1" applyAlignment="1" applyProtection="1">
      <alignment horizontal="center" vertical="center"/>
      <protection locked="0"/>
    </xf>
    <xf numFmtId="0" fontId="25" fillId="3" borderId="2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01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76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6" formatCode="m/d/yyyy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0"/>
    </dxf>
    <dxf>
      <protection locked="1" hidden="0"/>
    </dxf>
    <dxf>
      <border outline="0">
        <right style="medium">
          <color indexed="64"/>
        </right>
      </border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CC"/>
        </patternFill>
      </fill>
    </dxf>
    <dxf>
      <fill>
        <patternFill>
          <bgColor rgb="FF8497B0"/>
        </patternFill>
      </fill>
    </dxf>
    <dxf>
      <fill>
        <patternFill>
          <bgColor rgb="FFD9D9D9"/>
        </patternFill>
      </fill>
    </dxf>
    <dxf>
      <fill>
        <patternFill>
          <bgColor rgb="FFFFFF99"/>
        </patternFill>
      </fill>
    </dxf>
    <dxf>
      <fill>
        <patternFill>
          <bgColor rgb="FF8497B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/>
        <bottom/>
        <vertical/>
        <horizontal/>
      </border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76" formatCode="m/d/yyyy"/>
      <alignment horizontal="center" vertical="center" textRotation="0" wrapText="0" indent="0" justifyLastLine="0" shrinkToFit="0" readingOrder="0"/>
    </dxf>
    <dxf>
      <numFmt numFmtId="17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7" formatCode="00,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0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6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6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6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rgb="FFD9B3FF"/>
        </patternFill>
      </fill>
    </dxf>
    <dxf>
      <font>
        <color auto="1"/>
      </font>
      <fill>
        <patternFill>
          <bgColor rgb="FFFF9966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0CECE"/>
        </patternFill>
      </fill>
    </dxf>
    <dxf>
      <fill>
        <patternFill>
          <bgColor rgb="FFF4B084"/>
        </patternFill>
      </fill>
    </dxf>
    <dxf>
      <fill>
        <patternFill>
          <bgColor rgb="FFF4B084"/>
        </patternFill>
      </fill>
    </dxf>
    <dxf>
      <fill>
        <patternFill>
          <bgColor rgb="FFD9D9D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BC2E6"/>
        </patternFill>
      </fill>
    </dxf>
    <dxf>
      <fill>
        <patternFill>
          <bgColor rgb="FF2F75B5"/>
        </patternFill>
      </fill>
    </dxf>
    <dxf>
      <fill>
        <patternFill>
          <bgColor rgb="FF996600"/>
        </patternFill>
      </fill>
    </dxf>
    <dxf>
      <fill>
        <patternFill>
          <bgColor rgb="FFFF99CC"/>
        </patternFill>
      </fill>
    </dxf>
    <dxf>
      <fill>
        <patternFill>
          <bgColor rgb="FF99FF99"/>
        </patternFill>
      </fill>
    </dxf>
    <dxf>
      <fill>
        <patternFill>
          <bgColor rgb="FF548235"/>
        </patternFill>
      </fill>
    </dxf>
    <dxf>
      <fill>
        <patternFill>
          <bgColor rgb="FFA9D08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1" tint="0.49998474074526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8497B0"/>
      <color rgb="FFFFFF99"/>
      <color rgb="FFD9D9D9"/>
      <color rgb="FFFFFFCC"/>
      <color rgb="FFD9B3FF"/>
      <color rgb="FFFF9966"/>
      <color rgb="FFA9D08E"/>
      <color rgb="FF548235"/>
      <color rgb="FF99FF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param_no_ligne" fmlaRange="Renseignement!$S$3:$S$9" noThreeD="1" sel="6" val="0"/>
</file>

<file path=xl/ctrlProps/ctrlProp2.xml><?xml version="1.0" encoding="utf-8"?>
<formControlPr xmlns="http://schemas.microsoft.com/office/spreadsheetml/2009/9/main" objectType="Drop" dropLines="20" dropStyle="combo" dx="16" fmlaLink="param_no_ligne" fmlaRange="Renseignement!$T$3:$T$9" noThreeD="1" sel="6" val="0"/>
</file>

<file path=xl/ctrlProps/ctrlProp3.xml><?xml version="1.0" encoding="utf-8"?>
<formControlPr xmlns="http://schemas.microsoft.com/office/spreadsheetml/2009/9/main" objectType="Drop" dropLines="14" dropStyle="combo" dx="16" fmlaLink="param_no_ligne" fmlaRange="Renseignement!$T$3:$T$9" noThreeD="1" sel="6" val="0"/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758623</xdr:colOff>
      <xdr:row>5</xdr:row>
      <xdr:rowOff>28575</xdr:rowOff>
    </xdr:from>
    <xdr:ext cx="6293261" cy="937629"/>
    <xdr:sp macro="" textlink="">
      <xdr:nvSpPr>
        <xdr:cNvPr id="2" name="Rectangle 1"/>
        <xdr:cNvSpPr/>
      </xdr:nvSpPr>
      <xdr:spPr>
        <a:xfrm>
          <a:off x="3044623" y="600075"/>
          <a:ext cx="629326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/>
              <a:pattFill prst="dkUpDiag">
                <a:fgClr>
                  <a:schemeClr val="tx1">
                    <a:lumMod val="85000"/>
                    <a:lumOff val="15000"/>
                  </a:schemeClr>
                </a:fgClr>
                <a:bgClr>
                  <a:schemeClr val="bg1">
                    <a:lumMod val="50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Ajouter un personnel</a:t>
          </a:r>
        </a:p>
      </xdr:txBody>
    </xdr:sp>
    <xdr:clientData/>
  </xdr:oneCellAnchor>
  <xdr:twoCellAnchor>
    <xdr:from>
      <xdr:col>7</xdr:col>
      <xdr:colOff>695325</xdr:colOff>
      <xdr:row>8</xdr:row>
      <xdr:rowOff>47625</xdr:rowOff>
    </xdr:from>
    <xdr:to>
      <xdr:col>9</xdr:col>
      <xdr:colOff>685800</xdr:colOff>
      <xdr:row>9</xdr:row>
      <xdr:rowOff>200025</xdr:rowOff>
    </xdr:to>
    <xdr:sp macro="[0]!Rectangle2_Cliquer" textlink="">
      <xdr:nvSpPr>
        <xdr:cNvPr id="3" name="Rectangle 2"/>
        <xdr:cNvSpPr/>
      </xdr:nvSpPr>
      <xdr:spPr>
        <a:xfrm>
          <a:off x="9401175" y="1771650"/>
          <a:ext cx="1514475" cy="5048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tx1">
                  <a:lumMod val="95000"/>
                  <a:lumOff val="5000"/>
                </a:schemeClr>
              </a:solidFill>
            </a:rPr>
            <a:t>Valider</a:t>
          </a:r>
        </a:p>
      </xdr:txBody>
    </xdr:sp>
    <xdr:clientData/>
  </xdr:twoCellAnchor>
  <xdr:twoCellAnchor>
    <xdr:from>
      <xdr:col>0</xdr:col>
      <xdr:colOff>0</xdr:colOff>
      <xdr:row>4</xdr:row>
      <xdr:rowOff>123825</xdr:rowOff>
    </xdr:from>
    <xdr:to>
      <xdr:col>1</xdr:col>
      <xdr:colOff>581025</xdr:colOff>
      <xdr:row>5</xdr:row>
      <xdr:rowOff>790575</xdr:rowOff>
    </xdr:to>
    <xdr:sp macro="" textlink="">
      <xdr:nvSpPr>
        <xdr:cNvPr id="12" name="Rectangle 11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85725</xdr:colOff>
      <xdr:row>4</xdr:row>
      <xdr:rowOff>123825</xdr:rowOff>
    </xdr:to>
    <xdr:sp macro="" textlink="">
      <xdr:nvSpPr>
        <xdr:cNvPr id="13" name="Rectangle 12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581024</xdr:colOff>
      <xdr:row>2</xdr:row>
      <xdr:rowOff>133350</xdr:rowOff>
    </xdr:from>
    <xdr:to>
      <xdr:col>3</xdr:col>
      <xdr:colOff>410624</xdr:colOff>
      <xdr:row>4</xdr:row>
      <xdr:rowOff>104775</xdr:rowOff>
    </xdr:to>
    <xdr:sp macro="[0]!Rectangleaveccoinarrondi17_Cliquer" textlink="">
      <xdr:nvSpPr>
        <xdr:cNvPr id="15" name="Rectangle avec coin arrondi 14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447675</xdr:colOff>
      <xdr:row>2</xdr:row>
      <xdr:rowOff>133350</xdr:rowOff>
    </xdr:from>
    <xdr:to>
      <xdr:col>5</xdr:col>
      <xdr:colOff>277275</xdr:colOff>
      <xdr:row>4</xdr:row>
      <xdr:rowOff>105150</xdr:rowOff>
    </xdr:to>
    <xdr:sp macro="[0]!Rectangleaveccoinarrondi3_Cliquer" textlink="">
      <xdr:nvSpPr>
        <xdr:cNvPr id="16" name="Rectangle avec coin arrondi 15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5</xdr:col>
      <xdr:colOff>314325</xdr:colOff>
      <xdr:row>2</xdr:row>
      <xdr:rowOff>133350</xdr:rowOff>
    </xdr:from>
    <xdr:to>
      <xdr:col>5</xdr:col>
      <xdr:colOff>1667925</xdr:colOff>
      <xdr:row>4</xdr:row>
      <xdr:rowOff>105150</xdr:rowOff>
    </xdr:to>
    <xdr:sp macro="[0]!Rectangleaveccoinarrondi38_Cliquer" textlink="">
      <xdr:nvSpPr>
        <xdr:cNvPr id="17" name="Rectangle avec coin arrondi 16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5</xdr:col>
      <xdr:colOff>1704975</xdr:colOff>
      <xdr:row>2</xdr:row>
      <xdr:rowOff>133350</xdr:rowOff>
    </xdr:from>
    <xdr:to>
      <xdr:col>6</xdr:col>
      <xdr:colOff>877350</xdr:colOff>
      <xdr:row>4</xdr:row>
      <xdr:rowOff>105150</xdr:rowOff>
    </xdr:to>
    <xdr:sp macro="[0]!Rectangleaveccoinarrondi39_Cliquer" textlink="">
      <xdr:nvSpPr>
        <xdr:cNvPr id="18" name="Rectangle avec coin arrondi 17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6</xdr:col>
      <xdr:colOff>914400</xdr:colOff>
      <xdr:row>2</xdr:row>
      <xdr:rowOff>133350</xdr:rowOff>
    </xdr:from>
    <xdr:to>
      <xdr:col>6</xdr:col>
      <xdr:colOff>2268000</xdr:colOff>
      <xdr:row>4</xdr:row>
      <xdr:rowOff>105150</xdr:rowOff>
    </xdr:to>
    <xdr:sp macro="[0]!Rectangleaveccoinarrondi40_Cliquer" textlink="">
      <xdr:nvSpPr>
        <xdr:cNvPr id="19" name="Rectangle avec coin arrondi 18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absolute">
    <xdr:from>
      <xdr:col>6</xdr:col>
      <xdr:colOff>2305050</xdr:colOff>
      <xdr:row>2</xdr:row>
      <xdr:rowOff>133350</xdr:rowOff>
    </xdr:from>
    <xdr:to>
      <xdr:col>8</xdr:col>
      <xdr:colOff>182025</xdr:colOff>
      <xdr:row>4</xdr:row>
      <xdr:rowOff>105150</xdr:rowOff>
    </xdr:to>
    <xdr:sp macro="[0]!Rectangleaveccoinarrondi41_Cliquer" textlink="">
      <xdr:nvSpPr>
        <xdr:cNvPr id="20" name="Rectangle avec coin arrondi 19"/>
        <xdr:cNvSpPr/>
      </xdr:nvSpPr>
      <xdr:spPr>
        <a:xfrm>
          <a:off x="82962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OJO</a:t>
          </a:r>
        </a:p>
      </xdr:txBody>
    </xdr:sp>
    <xdr:clientData/>
  </xdr:twoCellAnchor>
  <xdr:twoCellAnchor>
    <xdr:from>
      <xdr:col>0</xdr:col>
      <xdr:colOff>419100</xdr:colOff>
      <xdr:row>4</xdr:row>
      <xdr:rowOff>152400</xdr:rowOff>
    </xdr:from>
    <xdr:to>
      <xdr:col>1</xdr:col>
      <xdr:colOff>571500</xdr:colOff>
      <xdr:row>5</xdr:row>
      <xdr:rowOff>180975</xdr:rowOff>
    </xdr:to>
    <xdr:sp macro="[0]!Rectangle9_Cliquer" textlink="">
      <xdr:nvSpPr>
        <xdr:cNvPr id="21" name="Rectangle 20"/>
        <xdr:cNvSpPr/>
      </xdr:nvSpPr>
      <xdr:spPr>
        <a:xfrm>
          <a:off x="419100" y="533400"/>
          <a:ext cx="914400" cy="21907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AJOUTER</a:t>
          </a:r>
        </a:p>
      </xdr:txBody>
    </xdr:sp>
    <xdr:clientData/>
  </xdr:twoCellAnchor>
  <xdr:twoCellAnchor>
    <xdr:from>
      <xdr:col>0</xdr:col>
      <xdr:colOff>123825</xdr:colOff>
      <xdr:row>5</xdr:row>
      <xdr:rowOff>238125</xdr:rowOff>
    </xdr:from>
    <xdr:to>
      <xdr:col>1</xdr:col>
      <xdr:colOff>276225</xdr:colOff>
      <xdr:row>5</xdr:row>
      <xdr:rowOff>457200</xdr:rowOff>
    </xdr:to>
    <xdr:sp macro="[0]!Rectangle42_Cliquer" textlink="">
      <xdr:nvSpPr>
        <xdr:cNvPr id="22" name="Rectangle 2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>
    <xdr:from>
      <xdr:col>0</xdr:col>
      <xdr:colOff>123825</xdr:colOff>
      <xdr:row>5</xdr:row>
      <xdr:rowOff>514350</xdr:rowOff>
    </xdr:from>
    <xdr:to>
      <xdr:col>1</xdr:col>
      <xdr:colOff>276225</xdr:colOff>
      <xdr:row>5</xdr:row>
      <xdr:rowOff>733425</xdr:rowOff>
    </xdr:to>
    <xdr:sp macro="[0]!Rectangle43_Cliquer" textlink="">
      <xdr:nvSpPr>
        <xdr:cNvPr id="23" name="Rectangle 22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  <xdr:twoCellAnchor>
    <xdr:from>
      <xdr:col>0</xdr:col>
      <xdr:colOff>104775</xdr:colOff>
      <xdr:row>2</xdr:row>
      <xdr:rowOff>95250</xdr:rowOff>
    </xdr:from>
    <xdr:to>
      <xdr:col>1</xdr:col>
      <xdr:colOff>314775</xdr:colOff>
      <xdr:row>4</xdr:row>
      <xdr:rowOff>77850</xdr:rowOff>
    </xdr:to>
    <xdr:sp macro="[0]!AJOUTER_Rectangle23_Cliquer" textlink="">
      <xdr:nvSpPr>
        <xdr:cNvPr id="24" name="Rectangle 23"/>
        <xdr:cNvSpPr/>
      </xdr:nvSpPr>
      <xdr:spPr>
        <a:xfrm>
          <a:off x="104775" y="95250"/>
          <a:ext cx="972000" cy="363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504825</xdr:rowOff>
    </xdr:from>
    <xdr:to>
      <xdr:col>0</xdr:col>
      <xdr:colOff>1343025</xdr:colOff>
      <xdr:row>2</xdr:row>
      <xdr:rowOff>314325</xdr:rowOff>
    </xdr:to>
    <xdr:sp macro="" textlink="">
      <xdr:nvSpPr>
        <xdr:cNvPr id="36" name="Rectangle 35" hidden="1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9524</xdr:colOff>
      <xdr:row>1</xdr:row>
      <xdr:rowOff>85725</xdr:rowOff>
    </xdr:from>
    <xdr:to>
      <xdr:col>12</xdr:col>
      <xdr:colOff>171449</xdr:colOff>
      <xdr:row>4</xdr:row>
      <xdr:rowOff>0</xdr:rowOff>
    </xdr:to>
    <xdr:sp macro="" textlink="">
      <xdr:nvSpPr>
        <xdr:cNvPr id="2" name="Rectangle 1"/>
        <xdr:cNvSpPr/>
      </xdr:nvSpPr>
      <xdr:spPr>
        <a:xfrm>
          <a:off x="2781299" y="933450"/>
          <a:ext cx="3019425" cy="781050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19050</xdr:colOff>
      <xdr:row>1</xdr:row>
      <xdr:rowOff>171450</xdr:rowOff>
    </xdr:from>
    <xdr:to>
      <xdr:col>7</xdr:col>
      <xdr:colOff>123825</xdr:colOff>
      <xdr:row>2</xdr:row>
      <xdr:rowOff>238125</xdr:rowOff>
    </xdr:to>
    <xdr:sp macro="" textlink="">
      <xdr:nvSpPr>
        <xdr:cNvPr id="3" name="Rectangle 2"/>
        <xdr:cNvSpPr/>
      </xdr:nvSpPr>
      <xdr:spPr>
        <a:xfrm>
          <a:off x="3362325" y="1019175"/>
          <a:ext cx="962025" cy="2667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JOUR</a:t>
          </a:r>
        </a:p>
      </xdr:txBody>
    </xdr:sp>
    <xdr:clientData/>
  </xdr:twoCellAnchor>
  <xdr:twoCellAnchor editAs="oneCell">
    <xdr:from>
      <xdr:col>7</xdr:col>
      <xdr:colOff>142875</xdr:colOff>
      <xdr:row>1</xdr:row>
      <xdr:rowOff>180975</xdr:rowOff>
    </xdr:from>
    <xdr:to>
      <xdr:col>8</xdr:col>
      <xdr:colOff>95250</xdr:colOff>
      <xdr:row>2</xdr:row>
      <xdr:rowOff>238126</xdr:rowOff>
    </xdr:to>
    <xdr:sp macro="[0]!Chevron8_Cliquer" textlink="">
      <xdr:nvSpPr>
        <xdr:cNvPr id="9" name="Chevron 8"/>
        <xdr:cNvSpPr/>
      </xdr:nvSpPr>
      <xdr:spPr>
        <a:xfrm>
          <a:off x="4343400" y="1028700"/>
          <a:ext cx="238125" cy="257176"/>
        </a:xfrm>
        <a:prstGeom prst="chevron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42</xdr:col>
      <xdr:colOff>9525</xdr:colOff>
      <xdr:row>0</xdr:row>
      <xdr:rowOff>504825</xdr:rowOff>
    </xdr:to>
    <xdr:sp macro="" textlink="">
      <xdr:nvSpPr>
        <xdr:cNvPr id="15" name="Rectangle 14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104775</xdr:colOff>
      <xdr:row>0</xdr:row>
      <xdr:rowOff>85725</xdr:rowOff>
    </xdr:from>
    <xdr:to>
      <xdr:col>0</xdr:col>
      <xdr:colOff>1076325</xdr:colOff>
      <xdr:row>0</xdr:row>
      <xdr:rowOff>447675</xdr:rowOff>
    </xdr:to>
    <xdr:sp macro="[0]!Rectangle15_Cliquer" textlink="">
      <xdr:nvSpPr>
        <xdr:cNvPr id="16" name="Rectangle 15"/>
        <xdr:cNvSpPr/>
      </xdr:nvSpPr>
      <xdr:spPr>
        <a:xfrm>
          <a:off x="104775" y="85725"/>
          <a:ext cx="971550" cy="36195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 w="12700"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  <a:endParaRPr lang="fr-FR" sz="2400" b="1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0</xdr:col>
      <xdr:colOff>1343024</xdr:colOff>
      <xdr:row>0</xdr:row>
      <xdr:rowOff>142875</xdr:rowOff>
    </xdr:from>
    <xdr:to>
      <xdr:col>1</xdr:col>
      <xdr:colOff>1086899</xdr:colOff>
      <xdr:row>0</xdr:row>
      <xdr:rowOff>495300</xdr:rowOff>
    </xdr:to>
    <xdr:sp macro="[0]!Rectangleaveccoinarrondi17_Cliquer" textlink="">
      <xdr:nvSpPr>
        <xdr:cNvPr id="18" name="Rectangle avec coin arrondi 17"/>
        <xdr:cNvSpPr/>
      </xdr:nvSpPr>
      <xdr:spPr>
        <a:xfrm>
          <a:off x="1343024" y="142875"/>
          <a:ext cx="1353600" cy="352425"/>
        </a:xfrm>
        <a:prstGeom prst="round1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95000"/>
                  <a:lumOff val="5000"/>
                </a:schemeClr>
              </a:solidFill>
            </a:rPr>
            <a:t>Planning</a:t>
          </a:r>
        </a:p>
      </xdr:txBody>
    </xdr:sp>
    <xdr:clientData/>
  </xdr:twoCellAnchor>
  <xdr:twoCellAnchor>
    <xdr:from>
      <xdr:col>19</xdr:col>
      <xdr:colOff>85725</xdr:colOff>
      <xdr:row>1</xdr:row>
      <xdr:rowOff>76200</xdr:rowOff>
    </xdr:from>
    <xdr:to>
      <xdr:col>22</xdr:col>
      <xdr:colOff>27675</xdr:colOff>
      <xdr:row>2</xdr:row>
      <xdr:rowOff>203775</xdr:rowOff>
    </xdr:to>
    <xdr:sp macro="" textlink="">
      <xdr:nvSpPr>
        <xdr:cNvPr id="19" name="Rectangle 18"/>
        <xdr:cNvSpPr/>
      </xdr:nvSpPr>
      <xdr:spPr>
        <a:xfrm>
          <a:off x="6191250" y="923925"/>
          <a:ext cx="799200" cy="3276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85725</xdr:colOff>
      <xdr:row>2</xdr:row>
      <xdr:rowOff>257175</xdr:rowOff>
    </xdr:from>
    <xdr:to>
      <xdr:col>22</xdr:col>
      <xdr:colOff>27675</xdr:colOff>
      <xdr:row>3</xdr:row>
      <xdr:rowOff>108525</xdr:rowOff>
    </xdr:to>
    <xdr:sp macro="[0]!Rectangle20_Cliquer" textlink="">
      <xdr:nvSpPr>
        <xdr:cNvPr id="21" name="Rectangle 20"/>
        <xdr:cNvSpPr/>
      </xdr:nvSpPr>
      <xdr:spPr>
        <a:xfrm>
          <a:off x="6191250" y="1304925"/>
          <a:ext cx="799200" cy="327600"/>
        </a:xfrm>
        <a:prstGeom prst="rect">
          <a:avLst/>
        </a:prstGeom>
        <a:solidFill>
          <a:srgbClr val="F4B084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7 GARDES</a:t>
          </a:r>
        </a:p>
      </xdr:txBody>
    </xdr:sp>
    <xdr:clientData/>
  </xdr:twoCellAnchor>
  <xdr:twoCellAnchor>
    <xdr:from>
      <xdr:col>22</xdr:col>
      <xdr:colOff>76200</xdr:colOff>
      <xdr:row>1</xdr:row>
      <xdr:rowOff>76200</xdr:rowOff>
    </xdr:from>
    <xdr:to>
      <xdr:col>25</xdr:col>
      <xdr:colOff>18150</xdr:colOff>
      <xdr:row>2</xdr:row>
      <xdr:rowOff>203775</xdr:rowOff>
    </xdr:to>
    <xdr:sp macro="[0]!Rectangle21_Cliquer" textlink="">
      <xdr:nvSpPr>
        <xdr:cNvPr id="22" name="Rectangle 21"/>
        <xdr:cNvSpPr/>
      </xdr:nvSpPr>
      <xdr:spPr>
        <a:xfrm>
          <a:off x="7038975" y="923925"/>
          <a:ext cx="799200" cy="327600"/>
        </a:xfrm>
        <a:prstGeom prst="rect">
          <a:avLst/>
        </a:prstGeom>
        <a:solidFill>
          <a:srgbClr val="F4B084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GARDE</a:t>
          </a:r>
        </a:p>
      </xdr:txBody>
    </xdr:sp>
    <xdr:clientData/>
  </xdr:twoCellAnchor>
  <xdr:twoCellAnchor>
    <xdr:from>
      <xdr:col>22</xdr:col>
      <xdr:colOff>76200</xdr:colOff>
      <xdr:row>2</xdr:row>
      <xdr:rowOff>257175</xdr:rowOff>
    </xdr:from>
    <xdr:to>
      <xdr:col>25</xdr:col>
      <xdr:colOff>18150</xdr:colOff>
      <xdr:row>3</xdr:row>
      <xdr:rowOff>108525</xdr:rowOff>
    </xdr:to>
    <xdr:sp macro="[0]!Rectangle22_Cliquer" textlink="">
      <xdr:nvSpPr>
        <xdr:cNvPr id="23" name="Rectangle 22"/>
        <xdr:cNvSpPr/>
      </xdr:nvSpPr>
      <xdr:spPr>
        <a:xfrm>
          <a:off x="7038975" y="1304925"/>
          <a:ext cx="799200" cy="327600"/>
        </a:xfrm>
        <a:prstGeom prst="rect">
          <a:avLst/>
        </a:prstGeom>
        <a:solidFill>
          <a:srgbClr val="FF99CC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MISSION</a:t>
          </a:r>
        </a:p>
      </xdr:txBody>
    </xdr:sp>
    <xdr:clientData/>
  </xdr:twoCellAnchor>
  <xdr:twoCellAnchor>
    <xdr:from>
      <xdr:col>25</xdr:col>
      <xdr:colOff>66675</xdr:colOff>
      <xdr:row>1</xdr:row>
      <xdr:rowOff>76200</xdr:rowOff>
    </xdr:from>
    <xdr:to>
      <xdr:col>28</xdr:col>
      <xdr:colOff>8625</xdr:colOff>
      <xdr:row>2</xdr:row>
      <xdr:rowOff>203775</xdr:rowOff>
    </xdr:to>
    <xdr:sp macro="[0]!Rectangle23_Cliquer" textlink="">
      <xdr:nvSpPr>
        <xdr:cNvPr id="24" name="Rectangle 23"/>
        <xdr:cNvSpPr/>
      </xdr:nvSpPr>
      <xdr:spPr>
        <a:xfrm>
          <a:off x="7886700" y="923925"/>
          <a:ext cx="799200" cy="327600"/>
        </a:xfrm>
        <a:prstGeom prst="rect">
          <a:avLst/>
        </a:prstGeom>
        <a:solidFill>
          <a:srgbClr val="F4B084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chemeClr val="tx1"/>
              </a:solidFill>
            </a:rPr>
            <a:t>GARDE WE</a:t>
          </a:r>
        </a:p>
      </xdr:txBody>
    </xdr:sp>
    <xdr:clientData/>
  </xdr:twoCellAnchor>
  <xdr:twoCellAnchor>
    <xdr:from>
      <xdr:col>25</xdr:col>
      <xdr:colOff>66675</xdr:colOff>
      <xdr:row>2</xdr:row>
      <xdr:rowOff>257175</xdr:rowOff>
    </xdr:from>
    <xdr:to>
      <xdr:col>28</xdr:col>
      <xdr:colOff>8625</xdr:colOff>
      <xdr:row>3</xdr:row>
      <xdr:rowOff>108525</xdr:rowOff>
    </xdr:to>
    <xdr:sp macro="[0]!Rectangle24_Cliquer" textlink="">
      <xdr:nvSpPr>
        <xdr:cNvPr id="25" name="Rectangle 24"/>
        <xdr:cNvSpPr/>
      </xdr:nvSpPr>
      <xdr:spPr>
        <a:xfrm>
          <a:off x="7886700" y="1304925"/>
          <a:ext cx="799200" cy="327600"/>
        </a:xfrm>
        <a:prstGeom prst="rect">
          <a:avLst/>
        </a:prstGeom>
        <a:solidFill>
          <a:srgbClr val="5FFF99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STAGE</a:t>
          </a:r>
        </a:p>
      </xdr:txBody>
    </xdr:sp>
    <xdr:clientData/>
  </xdr:twoCellAnchor>
  <xdr:twoCellAnchor>
    <xdr:from>
      <xdr:col>28</xdr:col>
      <xdr:colOff>57150</xdr:colOff>
      <xdr:row>1</xdr:row>
      <xdr:rowOff>76200</xdr:rowOff>
    </xdr:from>
    <xdr:to>
      <xdr:col>30</xdr:col>
      <xdr:colOff>284850</xdr:colOff>
      <xdr:row>2</xdr:row>
      <xdr:rowOff>203775</xdr:rowOff>
    </xdr:to>
    <xdr:sp macro="[0]!Rectangle25_Cliquer" textlink="">
      <xdr:nvSpPr>
        <xdr:cNvPr id="26" name="Rectangle 25"/>
        <xdr:cNvSpPr/>
      </xdr:nvSpPr>
      <xdr:spPr>
        <a:xfrm>
          <a:off x="8734425" y="923925"/>
          <a:ext cx="799200" cy="327600"/>
        </a:xfrm>
        <a:prstGeom prst="rect">
          <a:avLst/>
        </a:prstGeom>
        <a:solidFill>
          <a:srgbClr val="D9D9D9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IS</a:t>
          </a:r>
        </a:p>
      </xdr:txBody>
    </xdr:sp>
    <xdr:clientData/>
  </xdr:twoCellAnchor>
  <xdr:twoCellAnchor>
    <xdr:from>
      <xdr:col>28</xdr:col>
      <xdr:colOff>57150</xdr:colOff>
      <xdr:row>2</xdr:row>
      <xdr:rowOff>257175</xdr:rowOff>
    </xdr:from>
    <xdr:to>
      <xdr:col>30</xdr:col>
      <xdr:colOff>284850</xdr:colOff>
      <xdr:row>3</xdr:row>
      <xdr:rowOff>108525</xdr:rowOff>
    </xdr:to>
    <xdr:sp macro="[0]!Rectangle26_Cliquer" textlink="">
      <xdr:nvSpPr>
        <xdr:cNvPr id="27" name="Rectangle 26"/>
        <xdr:cNvSpPr/>
      </xdr:nvSpPr>
      <xdr:spPr>
        <a:xfrm>
          <a:off x="8734425" y="1304925"/>
          <a:ext cx="799200" cy="327600"/>
        </a:xfrm>
        <a:prstGeom prst="rect">
          <a:avLst/>
        </a:prstGeom>
        <a:solidFill>
          <a:srgbClr val="548235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OPEX</a:t>
          </a:r>
        </a:p>
      </xdr:txBody>
    </xdr:sp>
    <xdr:clientData/>
  </xdr:twoCellAnchor>
  <xdr:twoCellAnchor>
    <xdr:from>
      <xdr:col>31</xdr:col>
      <xdr:colOff>47625</xdr:colOff>
      <xdr:row>1</xdr:row>
      <xdr:rowOff>76200</xdr:rowOff>
    </xdr:from>
    <xdr:to>
      <xdr:col>33</xdr:col>
      <xdr:colOff>275325</xdr:colOff>
      <xdr:row>2</xdr:row>
      <xdr:rowOff>203775</xdr:rowOff>
    </xdr:to>
    <xdr:sp macro="[0]!Rectangle27_Cliquer" textlink="">
      <xdr:nvSpPr>
        <xdr:cNvPr id="28" name="Rectangle 27"/>
        <xdr:cNvSpPr/>
      </xdr:nvSpPr>
      <xdr:spPr>
        <a:xfrm>
          <a:off x="9582150" y="923925"/>
          <a:ext cx="799200" cy="327600"/>
        </a:xfrm>
        <a:prstGeom prst="rect">
          <a:avLst/>
        </a:prstGeom>
        <a:solidFill>
          <a:srgbClr val="FFAA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A3</a:t>
          </a:r>
        </a:p>
      </xdr:txBody>
    </xdr:sp>
    <xdr:clientData/>
  </xdr:twoCellAnchor>
  <xdr:twoCellAnchor>
    <xdr:from>
      <xdr:col>31</xdr:col>
      <xdr:colOff>47625</xdr:colOff>
      <xdr:row>2</xdr:row>
      <xdr:rowOff>257175</xdr:rowOff>
    </xdr:from>
    <xdr:to>
      <xdr:col>33</xdr:col>
      <xdr:colOff>275325</xdr:colOff>
      <xdr:row>3</xdr:row>
      <xdr:rowOff>108525</xdr:rowOff>
    </xdr:to>
    <xdr:sp macro="[0]!Rectangle28_Cliquer" textlink="">
      <xdr:nvSpPr>
        <xdr:cNvPr id="29" name="Rectangle 28"/>
        <xdr:cNvSpPr/>
      </xdr:nvSpPr>
      <xdr:spPr>
        <a:xfrm>
          <a:off x="9582150" y="1304925"/>
          <a:ext cx="799200" cy="327600"/>
        </a:xfrm>
        <a:prstGeom prst="rect">
          <a:avLst/>
        </a:prstGeom>
        <a:solidFill>
          <a:srgbClr val="A9D08E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OPIN</a:t>
          </a:r>
        </a:p>
      </xdr:txBody>
    </xdr:sp>
    <xdr:clientData/>
  </xdr:twoCellAnchor>
  <xdr:twoCellAnchor>
    <xdr:from>
      <xdr:col>34</xdr:col>
      <xdr:colOff>38100</xdr:colOff>
      <xdr:row>1</xdr:row>
      <xdr:rowOff>76200</xdr:rowOff>
    </xdr:from>
    <xdr:to>
      <xdr:col>36</xdr:col>
      <xdr:colOff>265800</xdr:colOff>
      <xdr:row>2</xdr:row>
      <xdr:rowOff>203775</xdr:rowOff>
    </xdr:to>
    <xdr:sp macro="[0]!Rectangle29_Cliquer" textlink="">
      <xdr:nvSpPr>
        <xdr:cNvPr id="30" name="Rectangle 29"/>
        <xdr:cNvSpPr/>
      </xdr:nvSpPr>
      <xdr:spPr>
        <a:xfrm>
          <a:off x="10429875" y="923925"/>
          <a:ext cx="799200" cy="327600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PATC</a:t>
          </a:r>
        </a:p>
      </xdr:txBody>
    </xdr:sp>
    <xdr:clientData/>
  </xdr:twoCellAnchor>
  <xdr:twoCellAnchor>
    <xdr:from>
      <xdr:col>34</xdr:col>
      <xdr:colOff>38100</xdr:colOff>
      <xdr:row>2</xdr:row>
      <xdr:rowOff>257175</xdr:rowOff>
    </xdr:from>
    <xdr:to>
      <xdr:col>36</xdr:col>
      <xdr:colOff>265800</xdr:colOff>
      <xdr:row>3</xdr:row>
      <xdr:rowOff>108525</xdr:rowOff>
    </xdr:to>
    <xdr:sp macro="[0]!Rectangle30_Cliquer" textlink="">
      <xdr:nvSpPr>
        <xdr:cNvPr id="31" name="Rectangle 30"/>
        <xdr:cNvSpPr/>
      </xdr:nvSpPr>
      <xdr:spPr>
        <a:xfrm>
          <a:off x="10429875" y="1304925"/>
          <a:ext cx="799200" cy="3276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TN</a:t>
          </a:r>
        </a:p>
      </xdr:txBody>
    </xdr:sp>
    <xdr:clientData/>
  </xdr:twoCellAnchor>
  <xdr:twoCellAnchor>
    <xdr:from>
      <xdr:col>37</xdr:col>
      <xdr:colOff>28575</xdr:colOff>
      <xdr:row>1</xdr:row>
      <xdr:rowOff>76200</xdr:rowOff>
    </xdr:from>
    <xdr:to>
      <xdr:col>39</xdr:col>
      <xdr:colOff>256275</xdr:colOff>
      <xdr:row>2</xdr:row>
      <xdr:rowOff>203775</xdr:rowOff>
    </xdr:to>
    <xdr:sp macro="[0]!Rectangle31_Cliquer" textlink="">
      <xdr:nvSpPr>
        <xdr:cNvPr id="32" name="Rectangle 31"/>
        <xdr:cNvSpPr/>
      </xdr:nvSpPr>
      <xdr:spPr>
        <a:xfrm>
          <a:off x="11277600" y="923925"/>
          <a:ext cx="799200" cy="327600"/>
        </a:xfrm>
        <a:prstGeom prst="rect">
          <a:avLst/>
        </a:prstGeom>
        <a:solidFill>
          <a:srgbClr val="9BC2E6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chemeClr val="tx1"/>
              </a:solidFill>
            </a:rPr>
            <a:t>Prévision PLD</a:t>
          </a:r>
        </a:p>
      </xdr:txBody>
    </xdr:sp>
    <xdr:clientData/>
  </xdr:twoCellAnchor>
  <xdr:twoCellAnchor>
    <xdr:from>
      <xdr:col>37</xdr:col>
      <xdr:colOff>28575</xdr:colOff>
      <xdr:row>2</xdr:row>
      <xdr:rowOff>257175</xdr:rowOff>
    </xdr:from>
    <xdr:to>
      <xdr:col>39</xdr:col>
      <xdr:colOff>256275</xdr:colOff>
      <xdr:row>3</xdr:row>
      <xdr:rowOff>108525</xdr:rowOff>
    </xdr:to>
    <xdr:sp macro="[0]!Rectangle32_Cliquer" textlink="">
      <xdr:nvSpPr>
        <xdr:cNvPr id="33" name="Rectangle 32"/>
        <xdr:cNvSpPr/>
      </xdr:nvSpPr>
      <xdr:spPr>
        <a:xfrm>
          <a:off x="11277600" y="1304925"/>
          <a:ext cx="799200" cy="3276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50" b="1">
              <a:solidFill>
                <a:schemeClr val="tx1"/>
              </a:solidFill>
            </a:rPr>
            <a:t>Entrainement</a:t>
          </a:r>
        </a:p>
      </xdr:txBody>
    </xdr:sp>
    <xdr:clientData/>
  </xdr:twoCellAnchor>
  <xdr:twoCellAnchor>
    <xdr:from>
      <xdr:col>40</xdr:col>
      <xdr:colOff>19050</xdr:colOff>
      <xdr:row>1</xdr:row>
      <xdr:rowOff>76200</xdr:rowOff>
    </xdr:from>
    <xdr:to>
      <xdr:col>42</xdr:col>
      <xdr:colOff>246750</xdr:colOff>
      <xdr:row>2</xdr:row>
      <xdr:rowOff>203775</xdr:rowOff>
    </xdr:to>
    <xdr:sp macro="[0]!Rectangle33_Cliquer" textlink="">
      <xdr:nvSpPr>
        <xdr:cNvPr id="34" name="Rectangle 33"/>
        <xdr:cNvSpPr/>
      </xdr:nvSpPr>
      <xdr:spPr>
        <a:xfrm>
          <a:off x="12125325" y="923925"/>
          <a:ext cx="799200" cy="327600"/>
        </a:xfrm>
        <a:prstGeom prst="rect">
          <a:avLst/>
        </a:prstGeom>
        <a:solidFill>
          <a:srgbClr val="9966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TAP</a:t>
          </a:r>
        </a:p>
      </xdr:txBody>
    </xdr:sp>
    <xdr:clientData/>
  </xdr:twoCellAnchor>
  <xdr:twoCellAnchor>
    <xdr:from>
      <xdr:col>40</xdr:col>
      <xdr:colOff>19050</xdr:colOff>
      <xdr:row>2</xdr:row>
      <xdr:rowOff>257175</xdr:rowOff>
    </xdr:from>
    <xdr:to>
      <xdr:col>42</xdr:col>
      <xdr:colOff>246750</xdr:colOff>
      <xdr:row>3</xdr:row>
      <xdr:rowOff>108525</xdr:rowOff>
    </xdr:to>
    <xdr:sp macro="[0]!Rectangle34_Cliquer" textlink="">
      <xdr:nvSpPr>
        <xdr:cNvPr id="35" name="Rectangle 34"/>
        <xdr:cNvSpPr/>
      </xdr:nvSpPr>
      <xdr:spPr>
        <a:xfrm>
          <a:off x="12125325" y="1304925"/>
          <a:ext cx="799200" cy="327600"/>
        </a:xfrm>
        <a:prstGeom prst="rect">
          <a:avLst/>
        </a:prstGeom>
        <a:solidFill>
          <a:srgbClr val="FFFF00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TIR</a:t>
          </a:r>
        </a:p>
      </xdr:txBody>
    </xdr:sp>
    <xdr:clientData/>
  </xdr:twoCellAnchor>
  <xdr:twoCellAnchor editAs="oneCell">
    <xdr:from>
      <xdr:col>19</xdr:col>
      <xdr:colOff>127996</xdr:colOff>
      <xdr:row>1</xdr:row>
      <xdr:rowOff>104777</xdr:rowOff>
    </xdr:from>
    <xdr:to>
      <xdr:col>21</xdr:col>
      <xdr:colOff>266699</xdr:colOff>
      <xdr:row>2</xdr:row>
      <xdr:rowOff>174153</xdr:rowOff>
    </xdr:to>
    <xdr:pic macro="[0]!Image19_Cliquer"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53922" y="732101"/>
          <a:ext cx="269401" cy="710203"/>
        </a:xfrm>
        <a:prstGeom prst="rect">
          <a:avLst/>
        </a:prstGeom>
      </xdr:spPr>
    </xdr:pic>
    <xdr:clientData/>
  </xdr:twoCellAnchor>
  <xdr:twoCellAnchor editAs="absolute">
    <xdr:from>
      <xdr:col>1</xdr:col>
      <xdr:colOff>1123950</xdr:colOff>
      <xdr:row>0</xdr:row>
      <xdr:rowOff>133350</xdr:rowOff>
    </xdr:from>
    <xdr:to>
      <xdr:col>6</xdr:col>
      <xdr:colOff>172500</xdr:colOff>
      <xdr:row>0</xdr:row>
      <xdr:rowOff>486150</xdr:rowOff>
    </xdr:to>
    <xdr:sp macro="[0]!Rectangleaveccoinarrondi3_Cliquer" textlink="">
      <xdr:nvSpPr>
        <xdr:cNvPr id="4" name="Rectangle avec coin arrondi 3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6</xdr:col>
      <xdr:colOff>209550</xdr:colOff>
      <xdr:row>0</xdr:row>
      <xdr:rowOff>133350</xdr:rowOff>
    </xdr:from>
    <xdr:to>
      <xdr:col>11</xdr:col>
      <xdr:colOff>134400</xdr:colOff>
      <xdr:row>0</xdr:row>
      <xdr:rowOff>486150</xdr:rowOff>
    </xdr:to>
    <xdr:sp macro="[0]!Rectangleaveccoinarrondi38_Cliquer" textlink="">
      <xdr:nvSpPr>
        <xdr:cNvPr id="39" name="Rectangle avec coin arrondi 38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11</xdr:col>
      <xdr:colOff>171450</xdr:colOff>
      <xdr:row>0</xdr:row>
      <xdr:rowOff>133350</xdr:rowOff>
    </xdr:from>
    <xdr:to>
      <xdr:col>16</xdr:col>
      <xdr:colOff>96300</xdr:colOff>
      <xdr:row>0</xdr:row>
      <xdr:rowOff>486150</xdr:rowOff>
    </xdr:to>
    <xdr:sp macro="[0]!Rectangleaveccoinarrondi39_Cliquer" textlink="">
      <xdr:nvSpPr>
        <xdr:cNvPr id="40" name="Rectangle avec coin arrondi 39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16</xdr:col>
      <xdr:colOff>133350</xdr:colOff>
      <xdr:row>0</xdr:row>
      <xdr:rowOff>133350</xdr:rowOff>
    </xdr:from>
    <xdr:to>
      <xdr:col>21</xdr:col>
      <xdr:colOff>58200</xdr:colOff>
      <xdr:row>0</xdr:row>
      <xdr:rowOff>486150</xdr:rowOff>
    </xdr:to>
    <xdr:sp macro="[0]!Rectangleaveccoinarrondi40_Cliquer" textlink="">
      <xdr:nvSpPr>
        <xdr:cNvPr id="41" name="Rectangle avec coin arrondi 40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oneCell">
    <xdr:from>
      <xdr:col>3</xdr:col>
      <xdr:colOff>56532</xdr:colOff>
      <xdr:row>1</xdr:row>
      <xdr:rowOff>181407</xdr:rowOff>
    </xdr:from>
    <xdr:to>
      <xdr:col>4</xdr:col>
      <xdr:colOff>8382</xdr:colOff>
      <xdr:row>2</xdr:row>
      <xdr:rowOff>236982</xdr:rowOff>
    </xdr:to>
    <xdr:sp macro="[0]!Chevron4_Cliquer" textlink="">
      <xdr:nvSpPr>
        <xdr:cNvPr id="5" name="Chevron 4"/>
        <xdr:cNvSpPr/>
      </xdr:nvSpPr>
      <xdr:spPr>
        <a:xfrm rot="10800000">
          <a:off x="3114057" y="1029132"/>
          <a:ext cx="237600" cy="255600"/>
        </a:xfrm>
        <a:prstGeom prst="chevron">
          <a:avLst/>
        </a:prstGeom>
        <a:solidFill>
          <a:schemeClr val="bg1"/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9</xdr:col>
      <xdr:colOff>161925</xdr:colOff>
      <xdr:row>1</xdr:row>
      <xdr:rowOff>85725</xdr:rowOff>
    </xdr:from>
    <xdr:to>
      <xdr:col>12</xdr:col>
      <xdr:colOff>171450</xdr:colOff>
      <xdr:row>3</xdr:row>
      <xdr:rowOff>100473</xdr:rowOff>
    </xdr:to>
    <xdr:pic macro="[0]!Image16_Cliquer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4046" b="96532" l="9217" r="930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3950" y="933450"/>
          <a:ext cx="866775" cy="691023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54000">
              <a:srgbClr val="1A1A1A"/>
            </a:gs>
            <a:gs pos="100000">
              <a:schemeClr val="tx1">
                <a:lumMod val="75000"/>
                <a:lumOff val="25000"/>
              </a:schemeClr>
            </a:gs>
          </a:gsLst>
          <a:lin ang="5400000" scaled="1"/>
        </a:gradFill>
        <a:ln>
          <a:solidFill>
            <a:schemeClr val="bg1"/>
          </a:solidFill>
        </a:ln>
      </xdr:spPr>
    </xdr:pic>
    <xdr:clientData/>
  </xdr:twoCellAnchor>
  <xdr:twoCellAnchor editAs="absolute">
    <xdr:from>
      <xdr:col>0</xdr:col>
      <xdr:colOff>123825</xdr:colOff>
      <xdr:row>0</xdr:row>
      <xdr:rowOff>533400</xdr:rowOff>
    </xdr:from>
    <xdr:to>
      <xdr:col>0</xdr:col>
      <xdr:colOff>1038225</xdr:colOff>
      <xdr:row>0</xdr:row>
      <xdr:rowOff>752475</xdr:rowOff>
    </xdr:to>
    <xdr:sp macro="[0]!Rectangle9_Cliquer" textlink="">
      <xdr:nvSpPr>
        <xdr:cNvPr id="10" name="Rectangle 9" hidden="1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809625</xdr:rowOff>
    </xdr:from>
    <xdr:to>
      <xdr:col>0</xdr:col>
      <xdr:colOff>1038225</xdr:colOff>
      <xdr:row>1</xdr:row>
      <xdr:rowOff>180975</xdr:rowOff>
    </xdr:to>
    <xdr:sp macro="[0]!Rectangle42_Cliquer" textlink="">
      <xdr:nvSpPr>
        <xdr:cNvPr id="43" name="Rectangle 42" hidden="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123825</xdr:colOff>
      <xdr:row>2</xdr:row>
      <xdr:rowOff>38100</xdr:rowOff>
    </xdr:from>
    <xdr:to>
      <xdr:col>0</xdr:col>
      <xdr:colOff>1038225</xdr:colOff>
      <xdr:row>2</xdr:row>
      <xdr:rowOff>257175</xdr:rowOff>
    </xdr:to>
    <xdr:sp macro="[0]!Rectangle43_Cliquer" textlink="">
      <xdr:nvSpPr>
        <xdr:cNvPr id="44" name="Rectangle 43" hidden="1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  <xdr:twoCellAnchor editAs="oneCell">
    <xdr:from>
      <xdr:col>3</xdr:col>
      <xdr:colOff>66675</xdr:colOff>
      <xdr:row>2</xdr:row>
      <xdr:rowOff>285750</xdr:rowOff>
    </xdr:from>
    <xdr:to>
      <xdr:col>8</xdr:col>
      <xdr:colOff>85725</xdr:colOff>
      <xdr:row>3</xdr:row>
      <xdr:rowOff>104775</xdr:rowOff>
    </xdr:to>
    <xdr:sp macro="[0]!Rectangle36_Cliquer" textlink="">
      <xdr:nvSpPr>
        <xdr:cNvPr id="37" name="Rectangle 36"/>
        <xdr:cNvSpPr/>
      </xdr:nvSpPr>
      <xdr:spPr>
        <a:xfrm>
          <a:off x="3124200" y="1333500"/>
          <a:ext cx="1447800" cy="2952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AUJOURD'HUI</a:t>
          </a:r>
        </a:p>
      </xdr:txBody>
    </xdr:sp>
    <xdr:clientData/>
  </xdr:twoCellAnchor>
  <xdr:oneCellAnchor>
    <xdr:from>
      <xdr:col>9</xdr:col>
      <xdr:colOff>114300</xdr:colOff>
      <xdr:row>28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3457575" y="490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270755</xdr:colOff>
      <xdr:row>4</xdr:row>
      <xdr:rowOff>114300</xdr:rowOff>
    </xdr:from>
    <xdr:ext cx="6621300" cy="937629"/>
    <xdr:sp macro="" textlink="">
      <xdr:nvSpPr>
        <xdr:cNvPr id="2" name="Rectangle 1"/>
        <xdr:cNvSpPr/>
      </xdr:nvSpPr>
      <xdr:spPr>
        <a:xfrm>
          <a:off x="2556755" y="495300"/>
          <a:ext cx="662130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/>
              <a:pattFill prst="dkUpDiag">
                <a:fgClr>
                  <a:schemeClr val="tx1">
                    <a:lumMod val="85000"/>
                    <a:lumOff val="15000"/>
                  </a:schemeClr>
                </a:fgClr>
                <a:bgClr>
                  <a:schemeClr val="bg1">
                    <a:lumMod val="50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Modifier un personnel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8</xdr:row>
          <xdr:rowOff>0</xdr:rowOff>
        </xdr:from>
        <xdr:to>
          <xdr:col>7</xdr:col>
          <xdr:colOff>9525</xdr:colOff>
          <xdr:row>9</xdr:row>
          <xdr:rowOff>95250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742950</xdr:colOff>
      <xdr:row>10</xdr:row>
      <xdr:rowOff>9525</xdr:rowOff>
    </xdr:from>
    <xdr:to>
      <xdr:col>6</xdr:col>
      <xdr:colOff>2181226</xdr:colOff>
      <xdr:row>11</xdr:row>
      <xdr:rowOff>104775</xdr:rowOff>
    </xdr:to>
    <xdr:sp macro="[0]!MODIFIER_Rectangle2_Cliquer" textlink="">
      <xdr:nvSpPr>
        <xdr:cNvPr id="3" name="Rectangle 2"/>
        <xdr:cNvSpPr/>
      </xdr:nvSpPr>
      <xdr:spPr>
        <a:xfrm>
          <a:off x="10048875" y="3438525"/>
          <a:ext cx="1438276" cy="4476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0</xdr:colOff>
      <xdr:row>4</xdr:row>
      <xdr:rowOff>123825</xdr:rowOff>
    </xdr:from>
    <xdr:to>
      <xdr:col>1</xdr:col>
      <xdr:colOff>581025</xdr:colOff>
      <xdr:row>5</xdr:row>
      <xdr:rowOff>790575</xdr:rowOff>
    </xdr:to>
    <xdr:sp macro="" textlink="">
      <xdr:nvSpPr>
        <xdr:cNvPr id="5" name="Rectangle 4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2019300</xdr:colOff>
      <xdr:row>4</xdr:row>
      <xdr:rowOff>123825</xdr:rowOff>
    </xdr:to>
    <xdr:sp macro="" textlink="">
      <xdr:nvSpPr>
        <xdr:cNvPr id="6" name="Rectangle 5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581024</xdr:colOff>
      <xdr:row>2</xdr:row>
      <xdr:rowOff>133350</xdr:rowOff>
    </xdr:from>
    <xdr:to>
      <xdr:col>3</xdr:col>
      <xdr:colOff>410624</xdr:colOff>
      <xdr:row>4</xdr:row>
      <xdr:rowOff>104775</xdr:rowOff>
    </xdr:to>
    <xdr:sp macro="[0]!Rectangleaveccoinarrondi17_Cliquer" textlink="">
      <xdr:nvSpPr>
        <xdr:cNvPr id="8" name="Rectangle avec coin arrondi 7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447675</xdr:colOff>
      <xdr:row>2</xdr:row>
      <xdr:rowOff>133350</xdr:rowOff>
    </xdr:from>
    <xdr:to>
      <xdr:col>3</xdr:col>
      <xdr:colOff>1801275</xdr:colOff>
      <xdr:row>4</xdr:row>
      <xdr:rowOff>105150</xdr:rowOff>
    </xdr:to>
    <xdr:sp macro="[0]!Rectangleaveccoinarrondi3_Cliquer" textlink="">
      <xdr:nvSpPr>
        <xdr:cNvPr id="9" name="Rectangle avec coin arrondi 8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3</xdr:col>
      <xdr:colOff>1838325</xdr:colOff>
      <xdr:row>2</xdr:row>
      <xdr:rowOff>133350</xdr:rowOff>
    </xdr:from>
    <xdr:to>
      <xdr:col>4</xdr:col>
      <xdr:colOff>1010700</xdr:colOff>
      <xdr:row>4</xdr:row>
      <xdr:rowOff>105150</xdr:rowOff>
    </xdr:to>
    <xdr:sp macro="[0]!Rectangleaveccoinarrondi38_Cliquer" textlink="">
      <xdr:nvSpPr>
        <xdr:cNvPr id="10" name="Rectangle avec coin arrondi 9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4</xdr:col>
      <xdr:colOff>1047750</xdr:colOff>
      <xdr:row>2</xdr:row>
      <xdr:rowOff>133350</xdr:rowOff>
    </xdr:from>
    <xdr:to>
      <xdr:col>5</xdr:col>
      <xdr:colOff>48675</xdr:colOff>
      <xdr:row>4</xdr:row>
      <xdr:rowOff>105150</xdr:rowOff>
    </xdr:to>
    <xdr:sp macro="[0]!Rectangleaveccoinarrondi39_Cliquer" textlink="">
      <xdr:nvSpPr>
        <xdr:cNvPr id="11" name="Rectangle avec coin arrondi 10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5</xdr:col>
      <xdr:colOff>85725</xdr:colOff>
      <xdr:row>2</xdr:row>
      <xdr:rowOff>133350</xdr:rowOff>
    </xdr:from>
    <xdr:to>
      <xdr:col>5</xdr:col>
      <xdr:colOff>1439325</xdr:colOff>
      <xdr:row>4</xdr:row>
      <xdr:rowOff>105150</xdr:rowOff>
    </xdr:to>
    <xdr:sp macro="[0]!Rectangleaveccoinarrondi40_Cliquer" textlink="">
      <xdr:nvSpPr>
        <xdr:cNvPr id="12" name="Rectangle avec coin arrondi 11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absolute">
    <xdr:from>
      <xdr:col>5</xdr:col>
      <xdr:colOff>1476375</xdr:colOff>
      <xdr:row>2</xdr:row>
      <xdr:rowOff>133350</xdr:rowOff>
    </xdr:from>
    <xdr:to>
      <xdr:col>6</xdr:col>
      <xdr:colOff>172500</xdr:colOff>
      <xdr:row>4</xdr:row>
      <xdr:rowOff>105150</xdr:rowOff>
    </xdr:to>
    <xdr:sp macro="[0]!Rectangleaveccoinarrondi41_Cliquer" textlink="">
      <xdr:nvSpPr>
        <xdr:cNvPr id="13" name="Rectangle avec coin arrondi 12"/>
        <xdr:cNvSpPr/>
      </xdr:nvSpPr>
      <xdr:spPr>
        <a:xfrm>
          <a:off x="82962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OJO</a:t>
          </a:r>
        </a:p>
      </xdr:txBody>
    </xdr:sp>
    <xdr:clientData/>
  </xdr:twoCellAnchor>
  <xdr:twoCellAnchor editAs="absolute">
    <xdr:from>
      <xdr:col>0</xdr:col>
      <xdr:colOff>123825</xdr:colOff>
      <xdr:row>4</xdr:row>
      <xdr:rowOff>152400</xdr:rowOff>
    </xdr:from>
    <xdr:to>
      <xdr:col>1</xdr:col>
      <xdr:colOff>276225</xdr:colOff>
      <xdr:row>5</xdr:row>
      <xdr:rowOff>180975</xdr:rowOff>
    </xdr:to>
    <xdr:sp macro="[0]!Rectangle9_Cliquer" textlink="">
      <xdr:nvSpPr>
        <xdr:cNvPr id="14" name="Rectangle 13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 editAs="absolute">
    <xdr:from>
      <xdr:col>0</xdr:col>
      <xdr:colOff>419100</xdr:colOff>
      <xdr:row>5</xdr:row>
      <xdr:rowOff>238125</xdr:rowOff>
    </xdr:from>
    <xdr:to>
      <xdr:col>1</xdr:col>
      <xdr:colOff>571500</xdr:colOff>
      <xdr:row>5</xdr:row>
      <xdr:rowOff>457200</xdr:rowOff>
    </xdr:to>
    <xdr:sp macro="[0]!Rectangle42_Cliquer" textlink="">
      <xdr:nvSpPr>
        <xdr:cNvPr id="15" name="Rectangle 14"/>
        <xdr:cNvSpPr/>
      </xdr:nvSpPr>
      <xdr:spPr>
        <a:xfrm>
          <a:off x="419100" y="809625"/>
          <a:ext cx="914400" cy="21907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123825</xdr:colOff>
      <xdr:row>5</xdr:row>
      <xdr:rowOff>514350</xdr:rowOff>
    </xdr:from>
    <xdr:to>
      <xdr:col>1</xdr:col>
      <xdr:colOff>276225</xdr:colOff>
      <xdr:row>5</xdr:row>
      <xdr:rowOff>733425</xdr:rowOff>
    </xdr:to>
    <xdr:sp macro="[0]!Rectangle43_Cliquer" textlink="">
      <xdr:nvSpPr>
        <xdr:cNvPr id="16" name="Rectangle 15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  <xdr:twoCellAnchor>
    <xdr:from>
      <xdr:col>0</xdr:col>
      <xdr:colOff>104775</xdr:colOff>
      <xdr:row>2</xdr:row>
      <xdr:rowOff>104775</xdr:rowOff>
    </xdr:from>
    <xdr:to>
      <xdr:col>1</xdr:col>
      <xdr:colOff>312039</xdr:colOff>
      <xdr:row>4</xdr:row>
      <xdr:rowOff>85725</xdr:rowOff>
    </xdr:to>
    <xdr:sp macro="[0]!Rectangle3_Cliquer" textlink="">
      <xdr:nvSpPr>
        <xdr:cNvPr id="4" name="Rectangle 3"/>
        <xdr:cNvSpPr/>
      </xdr:nvSpPr>
      <xdr:spPr>
        <a:xfrm>
          <a:off x="104775" y="104775"/>
          <a:ext cx="969264" cy="36195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2181225</xdr:colOff>
          <xdr:row>11</xdr:row>
          <xdr:rowOff>19050</xdr:rowOff>
        </xdr:from>
        <xdr:to>
          <xdr:col>6</xdr:col>
          <xdr:colOff>2714625</xdr:colOff>
          <xdr:row>13</xdr:row>
          <xdr:rowOff>180975</xdr:rowOff>
        </xdr:to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438150</xdr:colOff>
      <xdr:row>6</xdr:row>
      <xdr:rowOff>428625</xdr:rowOff>
    </xdr:from>
    <xdr:to>
      <xdr:col>9</xdr:col>
      <xdr:colOff>438150</xdr:colOff>
      <xdr:row>7</xdr:row>
      <xdr:rowOff>485775</xdr:rowOff>
    </xdr:to>
    <xdr:sp macro="[0]!Rectangle1_Cliquer" textlink="">
      <xdr:nvSpPr>
        <xdr:cNvPr id="2" name="Rectangle 1"/>
        <xdr:cNvSpPr/>
      </xdr:nvSpPr>
      <xdr:spPr>
        <a:xfrm>
          <a:off x="9144000" y="1571625"/>
          <a:ext cx="1524000" cy="561975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VALIDER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3</xdr:col>
      <xdr:colOff>493676</xdr:colOff>
      <xdr:row>0</xdr:row>
      <xdr:rowOff>1000125</xdr:rowOff>
    </xdr:from>
    <xdr:ext cx="7134710" cy="937629"/>
    <xdr:sp macro="" textlink="">
      <xdr:nvSpPr>
        <xdr:cNvPr id="5" name="Rectangle 4"/>
        <xdr:cNvSpPr/>
      </xdr:nvSpPr>
      <xdr:spPr>
        <a:xfrm>
          <a:off x="2779676" y="1000125"/>
          <a:ext cx="713471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/>
              <a:pattFill prst="dkUpDiag">
                <a:fgClr>
                  <a:schemeClr val="tx1">
                    <a:lumMod val="85000"/>
                    <a:lumOff val="15000"/>
                  </a:schemeClr>
                </a:fgClr>
                <a:bgClr>
                  <a:schemeClr val="bg1">
                    <a:lumMod val="50000"/>
                  </a:schemeClr>
                </a:bgClr>
              </a:patt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</a:rPr>
            <a:t>Supprimer un personnel</a:t>
          </a:r>
        </a:p>
      </xdr:txBody>
    </xdr:sp>
    <xdr:clientData/>
  </xdr:oneCellAnchor>
  <xdr:twoCellAnchor>
    <xdr:from>
      <xdr:col>0</xdr:col>
      <xdr:colOff>0</xdr:colOff>
      <xdr:row>0</xdr:row>
      <xdr:rowOff>504825</xdr:rowOff>
    </xdr:from>
    <xdr:to>
      <xdr:col>1</xdr:col>
      <xdr:colOff>581025</xdr:colOff>
      <xdr:row>2</xdr:row>
      <xdr:rowOff>161925</xdr:rowOff>
    </xdr:to>
    <xdr:sp macro="" textlink="">
      <xdr:nvSpPr>
        <xdr:cNvPr id="6" name="Rectangle 5" hidden="1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14</xdr:col>
      <xdr:colOff>171450</xdr:colOff>
      <xdr:row>0</xdr:row>
      <xdr:rowOff>504825</xdr:rowOff>
    </xdr:to>
    <xdr:sp macro="" textlink="">
      <xdr:nvSpPr>
        <xdr:cNvPr id="7" name="Rectangle 6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581024</xdr:colOff>
      <xdr:row>0</xdr:row>
      <xdr:rowOff>133350</xdr:rowOff>
    </xdr:from>
    <xdr:to>
      <xdr:col>3</xdr:col>
      <xdr:colOff>410624</xdr:colOff>
      <xdr:row>0</xdr:row>
      <xdr:rowOff>485775</xdr:rowOff>
    </xdr:to>
    <xdr:sp macro="[0]!Rectangleaveccoinarrondi17_Cliquer" textlink="">
      <xdr:nvSpPr>
        <xdr:cNvPr id="9" name="Rectangle avec coin arrondi 8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447675</xdr:colOff>
      <xdr:row>0</xdr:row>
      <xdr:rowOff>133350</xdr:rowOff>
    </xdr:from>
    <xdr:to>
      <xdr:col>5</xdr:col>
      <xdr:colOff>277275</xdr:colOff>
      <xdr:row>0</xdr:row>
      <xdr:rowOff>486150</xdr:rowOff>
    </xdr:to>
    <xdr:sp macro="[0]!Rectangleaveccoinarrondi3_Cliquer" textlink="">
      <xdr:nvSpPr>
        <xdr:cNvPr id="10" name="Rectangle avec coin arrondi 9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5</xdr:col>
      <xdr:colOff>314325</xdr:colOff>
      <xdr:row>0</xdr:row>
      <xdr:rowOff>133350</xdr:rowOff>
    </xdr:from>
    <xdr:to>
      <xdr:col>5</xdr:col>
      <xdr:colOff>1667925</xdr:colOff>
      <xdr:row>0</xdr:row>
      <xdr:rowOff>486150</xdr:rowOff>
    </xdr:to>
    <xdr:sp macro="[0]!Rectangleaveccoinarrondi38_Cliquer" textlink="">
      <xdr:nvSpPr>
        <xdr:cNvPr id="11" name="Rectangle avec coin arrondi 10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5</xdr:col>
      <xdr:colOff>1704975</xdr:colOff>
      <xdr:row>0</xdr:row>
      <xdr:rowOff>133350</xdr:rowOff>
    </xdr:from>
    <xdr:to>
      <xdr:col>6</xdr:col>
      <xdr:colOff>877350</xdr:colOff>
      <xdr:row>0</xdr:row>
      <xdr:rowOff>486150</xdr:rowOff>
    </xdr:to>
    <xdr:sp macro="[0]!Rectangleaveccoinarrondi39_Cliquer" textlink="">
      <xdr:nvSpPr>
        <xdr:cNvPr id="12" name="Rectangle avec coin arrondi 11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6</xdr:col>
      <xdr:colOff>914400</xdr:colOff>
      <xdr:row>0</xdr:row>
      <xdr:rowOff>133350</xdr:rowOff>
    </xdr:from>
    <xdr:to>
      <xdr:col>6</xdr:col>
      <xdr:colOff>2268000</xdr:colOff>
      <xdr:row>0</xdr:row>
      <xdr:rowOff>486150</xdr:rowOff>
    </xdr:to>
    <xdr:sp macro="[0]!Rectangleaveccoinarrondi40_Cliquer" textlink="">
      <xdr:nvSpPr>
        <xdr:cNvPr id="13" name="Rectangle avec coin arrondi 12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absolute">
    <xdr:from>
      <xdr:col>6</xdr:col>
      <xdr:colOff>2305050</xdr:colOff>
      <xdr:row>0</xdr:row>
      <xdr:rowOff>133350</xdr:rowOff>
    </xdr:from>
    <xdr:to>
      <xdr:col>8</xdr:col>
      <xdr:colOff>182025</xdr:colOff>
      <xdr:row>0</xdr:row>
      <xdr:rowOff>486150</xdr:rowOff>
    </xdr:to>
    <xdr:sp macro="[0]!Rectangleaveccoinarrondi41_Cliquer" textlink="">
      <xdr:nvSpPr>
        <xdr:cNvPr id="14" name="Rectangle avec coin arrondi 13"/>
        <xdr:cNvSpPr/>
      </xdr:nvSpPr>
      <xdr:spPr>
        <a:xfrm>
          <a:off x="82962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OJO</a:t>
          </a:r>
        </a:p>
      </xdr:txBody>
    </xdr:sp>
    <xdr:clientData/>
  </xdr:twoCellAnchor>
  <xdr:twoCellAnchor>
    <xdr:from>
      <xdr:col>0</xdr:col>
      <xdr:colOff>123825</xdr:colOff>
      <xdr:row>0</xdr:row>
      <xdr:rowOff>533400</xdr:rowOff>
    </xdr:from>
    <xdr:to>
      <xdr:col>1</xdr:col>
      <xdr:colOff>276225</xdr:colOff>
      <xdr:row>0</xdr:row>
      <xdr:rowOff>752475</xdr:rowOff>
    </xdr:to>
    <xdr:sp macro="[0]!Rectangle9_Cliquer" textlink="">
      <xdr:nvSpPr>
        <xdr:cNvPr id="15" name="Rectangle 14" hidden="1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0</xdr:col>
      <xdr:colOff>123825</xdr:colOff>
      <xdr:row>0</xdr:row>
      <xdr:rowOff>809625</xdr:rowOff>
    </xdr:from>
    <xdr:to>
      <xdr:col>1</xdr:col>
      <xdr:colOff>276225</xdr:colOff>
      <xdr:row>1</xdr:row>
      <xdr:rowOff>19050</xdr:rowOff>
    </xdr:to>
    <xdr:sp macro="[0]!Rectangle42_Cliquer" textlink="">
      <xdr:nvSpPr>
        <xdr:cNvPr id="16" name="Rectangle 15" hidden="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>
    <xdr:from>
      <xdr:col>0</xdr:col>
      <xdr:colOff>419100</xdr:colOff>
      <xdr:row>1</xdr:row>
      <xdr:rowOff>76200</xdr:rowOff>
    </xdr:from>
    <xdr:to>
      <xdr:col>1</xdr:col>
      <xdr:colOff>571500</xdr:colOff>
      <xdr:row>2</xdr:row>
      <xdr:rowOff>104775</xdr:rowOff>
    </xdr:to>
    <xdr:sp macro="[0]!Rectangle43_Cliquer" textlink="">
      <xdr:nvSpPr>
        <xdr:cNvPr id="17" name="Rectangle 16" hidden="1"/>
        <xdr:cNvSpPr/>
      </xdr:nvSpPr>
      <xdr:spPr>
        <a:xfrm>
          <a:off x="419100" y="1085850"/>
          <a:ext cx="914400" cy="21907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SUPPRIMER</a:t>
          </a:r>
        </a:p>
      </xdr:txBody>
    </xdr:sp>
    <xdr:clientData/>
  </xdr:twoCellAnchor>
  <xdr:twoCellAnchor>
    <xdr:from>
      <xdr:col>0</xdr:col>
      <xdr:colOff>104775</xdr:colOff>
      <xdr:row>0</xdr:row>
      <xdr:rowOff>85725</xdr:rowOff>
    </xdr:from>
    <xdr:to>
      <xdr:col>1</xdr:col>
      <xdr:colOff>314775</xdr:colOff>
      <xdr:row>0</xdr:row>
      <xdr:rowOff>449325</xdr:rowOff>
    </xdr:to>
    <xdr:sp macro="[0]!SUPPRIMER_Rectangle2_Cliquer" textlink="">
      <xdr:nvSpPr>
        <xdr:cNvPr id="3" name="Rectangle 2"/>
        <xdr:cNvSpPr/>
      </xdr:nvSpPr>
      <xdr:spPr>
        <a:xfrm>
          <a:off x="104775" y="85725"/>
          <a:ext cx="972000" cy="363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164887</xdr:colOff>
      <xdr:row>2</xdr:row>
      <xdr:rowOff>111101</xdr:rowOff>
    </xdr:from>
    <xdr:to>
      <xdr:col>30</xdr:col>
      <xdr:colOff>891905</xdr:colOff>
      <xdr:row>2</xdr:row>
      <xdr:rowOff>138255</xdr:rowOff>
    </xdr:to>
    <xdr:pic>
      <xdr:nvPicPr>
        <xdr:cNvPr id="26" name="Image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36755">
          <a:off x="7994437" y="444476"/>
          <a:ext cx="727018" cy="579604"/>
        </a:xfrm>
        <a:prstGeom prst="rect">
          <a:avLst/>
        </a:prstGeom>
        <a:ln w="19050">
          <a:noFill/>
        </a:ln>
      </xdr:spPr>
    </xdr:pic>
    <xdr:clientData/>
  </xdr:twoCellAnchor>
  <xdr:twoCellAnchor editAs="oneCell">
    <xdr:from>
      <xdr:col>32</xdr:col>
      <xdr:colOff>194874</xdr:colOff>
      <xdr:row>2</xdr:row>
      <xdr:rowOff>109726</xdr:rowOff>
    </xdr:from>
    <xdr:to>
      <xdr:col>32</xdr:col>
      <xdr:colOff>921889</xdr:colOff>
      <xdr:row>3</xdr:row>
      <xdr:rowOff>3526</xdr:rowOff>
    </xdr:to>
    <xdr:pic>
      <xdr:nvPicPr>
        <xdr:cNvPr id="27" name="Image 2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70819">
          <a:off x="9195999" y="443101"/>
          <a:ext cx="727015" cy="579600"/>
        </a:xfrm>
        <a:prstGeom prst="rect">
          <a:avLst/>
        </a:prstGeom>
        <a:ln w="19050"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285750</xdr:colOff>
          <xdr:row>10</xdr:row>
          <xdr:rowOff>85725</xdr:rowOff>
        </xdr:from>
        <xdr:to>
          <xdr:col>33</xdr:col>
          <xdr:colOff>0</xdr:colOff>
          <xdr:row>13</xdr:row>
          <xdr:rowOff>0</xdr:rowOff>
        </xdr:to>
        <xdr:sp macro="" textlink="">
          <xdr:nvSpPr>
            <xdr:cNvPr id="3082" name="Drop Dow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30</xdr:col>
      <xdr:colOff>164887</xdr:colOff>
      <xdr:row>2</xdr:row>
      <xdr:rowOff>111101</xdr:rowOff>
    </xdr:from>
    <xdr:to>
      <xdr:col>30</xdr:col>
      <xdr:colOff>891905</xdr:colOff>
      <xdr:row>6</xdr:row>
      <xdr:rowOff>100155</xdr:rowOff>
    </xdr:to>
    <xdr:pic macro="[0]!Image29_Cliquer">
      <xdr:nvPicPr>
        <xdr:cNvPr id="30" name="Image 2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36755">
          <a:off x="7994437" y="444476"/>
          <a:ext cx="727018" cy="579604"/>
        </a:xfrm>
        <a:prstGeom prst="rect">
          <a:avLst/>
        </a:prstGeom>
        <a:ln w="19050">
          <a:noFill/>
        </a:ln>
      </xdr:spPr>
    </xdr:pic>
    <xdr:clientData/>
  </xdr:twoCellAnchor>
  <xdr:twoCellAnchor editAs="oneCell">
    <xdr:from>
      <xdr:col>32</xdr:col>
      <xdr:colOff>194874</xdr:colOff>
      <xdr:row>2</xdr:row>
      <xdr:rowOff>109726</xdr:rowOff>
    </xdr:from>
    <xdr:to>
      <xdr:col>32</xdr:col>
      <xdr:colOff>921889</xdr:colOff>
      <xdr:row>6</xdr:row>
      <xdr:rowOff>98776</xdr:rowOff>
    </xdr:to>
    <xdr:pic macro="[0]!Image30_Cliquer"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470819">
          <a:off x="9195999" y="443101"/>
          <a:ext cx="727015" cy="579600"/>
        </a:xfrm>
        <a:prstGeom prst="rect">
          <a:avLst/>
        </a:prstGeom>
        <a:ln w="19050">
          <a:noFill/>
        </a:ln>
      </xdr:spPr>
    </xdr:pic>
    <xdr:clientData/>
  </xdr:twoCellAnchor>
  <xdr:twoCellAnchor editAs="absolute">
    <xdr:from>
      <xdr:col>0</xdr:col>
      <xdr:colOff>0</xdr:colOff>
      <xdr:row>0</xdr:row>
      <xdr:rowOff>504825</xdr:rowOff>
    </xdr:from>
    <xdr:to>
      <xdr:col>3</xdr:col>
      <xdr:colOff>238125</xdr:colOff>
      <xdr:row>4</xdr:row>
      <xdr:rowOff>85725</xdr:rowOff>
    </xdr:to>
    <xdr:sp macro="" textlink="">
      <xdr:nvSpPr>
        <xdr:cNvPr id="15" name="Rectangle 14" hidden="1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38</xdr:col>
      <xdr:colOff>28575</xdr:colOff>
      <xdr:row>0</xdr:row>
      <xdr:rowOff>504825</xdr:rowOff>
    </xdr:to>
    <xdr:sp macro="" textlink="">
      <xdr:nvSpPr>
        <xdr:cNvPr id="16" name="Rectangle 15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238124</xdr:colOff>
      <xdr:row>0</xdr:row>
      <xdr:rowOff>133350</xdr:rowOff>
    </xdr:from>
    <xdr:to>
      <xdr:col>9</xdr:col>
      <xdr:colOff>105824</xdr:colOff>
      <xdr:row>0</xdr:row>
      <xdr:rowOff>485775</xdr:rowOff>
    </xdr:to>
    <xdr:sp macro="[0]!Rectangleaveccoinarrondi17_Cliquer" textlink="">
      <xdr:nvSpPr>
        <xdr:cNvPr id="18" name="Rectangle avec coin arrondi 17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9</xdr:col>
      <xdr:colOff>142875</xdr:colOff>
      <xdr:row>0</xdr:row>
      <xdr:rowOff>142875</xdr:rowOff>
    </xdr:from>
    <xdr:to>
      <xdr:col>15</xdr:col>
      <xdr:colOff>10575</xdr:colOff>
      <xdr:row>0</xdr:row>
      <xdr:rowOff>495675</xdr:rowOff>
    </xdr:to>
    <xdr:sp macro="[0]!Rectangleaveccoinarrondi3_Cliquer" textlink="">
      <xdr:nvSpPr>
        <xdr:cNvPr id="19" name="Rectangle avec coin arrondi 18"/>
        <xdr:cNvSpPr/>
      </xdr:nvSpPr>
      <xdr:spPr>
        <a:xfrm>
          <a:off x="2733675" y="142875"/>
          <a:ext cx="1353600" cy="352800"/>
        </a:xfrm>
        <a:prstGeom prst="round1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85000"/>
                  <a:lumOff val="15000"/>
                </a:schemeClr>
              </a:solidFill>
            </a:rPr>
            <a:t>Permission</a:t>
          </a:r>
        </a:p>
      </xdr:txBody>
    </xdr:sp>
    <xdr:clientData/>
  </xdr:twoCellAnchor>
  <xdr:twoCellAnchor editAs="absolute">
    <xdr:from>
      <xdr:col>15</xdr:col>
      <xdr:colOff>47625</xdr:colOff>
      <xdr:row>0</xdr:row>
      <xdr:rowOff>133350</xdr:rowOff>
    </xdr:from>
    <xdr:to>
      <xdr:col>20</xdr:col>
      <xdr:colOff>162975</xdr:colOff>
      <xdr:row>0</xdr:row>
      <xdr:rowOff>486150</xdr:rowOff>
    </xdr:to>
    <xdr:sp macro="[0]!Rectangleaveccoinarrondi38_Cliquer" textlink="">
      <xdr:nvSpPr>
        <xdr:cNvPr id="20" name="Rectangle avec coin arrondi 19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20</xdr:col>
      <xdr:colOff>200025</xdr:colOff>
      <xdr:row>0</xdr:row>
      <xdr:rowOff>133350</xdr:rowOff>
    </xdr:from>
    <xdr:to>
      <xdr:col>26</xdr:col>
      <xdr:colOff>67725</xdr:colOff>
      <xdr:row>0</xdr:row>
      <xdr:rowOff>486150</xdr:rowOff>
    </xdr:to>
    <xdr:sp macro="[0]!Rectangleaveccoinarrondi39_Cliquer" textlink="">
      <xdr:nvSpPr>
        <xdr:cNvPr id="21" name="Rectangle avec coin arrondi 20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26</xdr:col>
      <xdr:colOff>104775</xdr:colOff>
      <xdr:row>0</xdr:row>
      <xdr:rowOff>133350</xdr:rowOff>
    </xdr:from>
    <xdr:to>
      <xdr:col>30</xdr:col>
      <xdr:colOff>429675</xdr:colOff>
      <xdr:row>0</xdr:row>
      <xdr:rowOff>486150</xdr:rowOff>
    </xdr:to>
    <xdr:sp macro="[0]!Rectangleaveccoinarrondi40_Cliquer" textlink="">
      <xdr:nvSpPr>
        <xdr:cNvPr id="22" name="Rectangle avec coin arrondi 21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533400</xdr:rowOff>
    </xdr:from>
    <xdr:to>
      <xdr:col>2</xdr:col>
      <xdr:colOff>180975</xdr:colOff>
      <xdr:row>0</xdr:row>
      <xdr:rowOff>752475</xdr:rowOff>
    </xdr:to>
    <xdr:sp macro="[0]!Rectangle9_Cliquer" textlink="">
      <xdr:nvSpPr>
        <xdr:cNvPr id="24" name="Rectangle 23" hidden="1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809625</xdr:rowOff>
    </xdr:from>
    <xdr:to>
      <xdr:col>2</xdr:col>
      <xdr:colOff>180975</xdr:colOff>
      <xdr:row>2</xdr:row>
      <xdr:rowOff>38100</xdr:rowOff>
    </xdr:to>
    <xdr:sp macro="[0]!Rectangle42_Cliquer" textlink="">
      <xdr:nvSpPr>
        <xdr:cNvPr id="25" name="Rectangle 24" hidden="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123825</xdr:colOff>
      <xdr:row>2</xdr:row>
      <xdr:rowOff>95250</xdr:rowOff>
    </xdr:from>
    <xdr:to>
      <xdr:col>2</xdr:col>
      <xdr:colOff>180975</xdr:colOff>
      <xdr:row>4</xdr:row>
      <xdr:rowOff>28575</xdr:rowOff>
    </xdr:to>
    <xdr:sp macro="[0]!Rectangle43_Cliquer" textlink="">
      <xdr:nvSpPr>
        <xdr:cNvPr id="28" name="Rectangle 27" hidden="1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  <xdr:twoCellAnchor editAs="absolute">
    <xdr:from>
      <xdr:col>0</xdr:col>
      <xdr:colOff>104775</xdr:colOff>
      <xdr:row>0</xdr:row>
      <xdr:rowOff>85725</xdr:rowOff>
    </xdr:from>
    <xdr:to>
      <xdr:col>2</xdr:col>
      <xdr:colOff>219525</xdr:colOff>
      <xdr:row>0</xdr:row>
      <xdr:rowOff>449325</xdr:rowOff>
    </xdr:to>
    <xdr:sp macro="[0]!Permission_Rectangle1_Cliquer" textlink="">
      <xdr:nvSpPr>
        <xdr:cNvPr id="2" name="Rectangle 1"/>
        <xdr:cNvSpPr/>
      </xdr:nvSpPr>
      <xdr:spPr>
        <a:xfrm>
          <a:off x="104775" y="85725"/>
          <a:ext cx="972000" cy="363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  <xdr:twoCellAnchor>
    <xdr:from>
      <xdr:col>30</xdr:col>
      <xdr:colOff>314325</xdr:colOff>
      <xdr:row>20</xdr:row>
      <xdr:rowOff>123825</xdr:rowOff>
    </xdr:from>
    <xdr:to>
      <xdr:col>32</xdr:col>
      <xdr:colOff>590550</xdr:colOff>
      <xdr:row>23</xdr:row>
      <xdr:rowOff>28575</xdr:rowOff>
    </xdr:to>
    <xdr:sp macro="[0]!Permission_Rectangle2_Cliquer" textlink="">
      <xdr:nvSpPr>
        <xdr:cNvPr id="3" name="Rectangle 2"/>
        <xdr:cNvSpPr/>
      </xdr:nvSpPr>
      <xdr:spPr>
        <a:xfrm>
          <a:off x="8143875" y="4324350"/>
          <a:ext cx="1447800" cy="4762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tx1"/>
              </a:solidFill>
            </a:rPr>
            <a:t>Valider PLD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504824</xdr:rowOff>
    </xdr:from>
    <xdr:to>
      <xdr:col>2</xdr:col>
      <xdr:colOff>95250</xdr:colOff>
      <xdr:row>3</xdr:row>
      <xdr:rowOff>161924</xdr:rowOff>
    </xdr:to>
    <xdr:sp macro="" textlink="">
      <xdr:nvSpPr>
        <xdr:cNvPr id="10" name="Rectangle 9" hidden="1"/>
        <xdr:cNvSpPr/>
      </xdr:nvSpPr>
      <xdr:spPr>
        <a:xfrm>
          <a:off x="0" y="504824"/>
          <a:ext cx="1343025" cy="88582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15</xdr:col>
      <xdr:colOff>1038225</xdr:colOff>
      <xdr:row>0</xdr:row>
      <xdr:rowOff>504825</xdr:rowOff>
    </xdr:to>
    <xdr:sp macro="" textlink="">
      <xdr:nvSpPr>
        <xdr:cNvPr id="11" name="Rectangle 10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95249</xdr:colOff>
      <xdr:row>0</xdr:row>
      <xdr:rowOff>133350</xdr:rowOff>
    </xdr:from>
    <xdr:to>
      <xdr:col>3</xdr:col>
      <xdr:colOff>686849</xdr:colOff>
      <xdr:row>0</xdr:row>
      <xdr:rowOff>485775</xdr:rowOff>
    </xdr:to>
    <xdr:sp macro="[0]!Rectangleaveccoinarrondi17_Cliquer" textlink="">
      <xdr:nvSpPr>
        <xdr:cNvPr id="12" name="Rectangle avec coin arrondi 11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3</xdr:col>
      <xdr:colOff>723900</xdr:colOff>
      <xdr:row>0</xdr:row>
      <xdr:rowOff>133350</xdr:rowOff>
    </xdr:from>
    <xdr:to>
      <xdr:col>5</xdr:col>
      <xdr:colOff>29625</xdr:colOff>
      <xdr:row>0</xdr:row>
      <xdr:rowOff>486150</xdr:rowOff>
    </xdr:to>
    <xdr:sp macro="[0]!Rectangleaveccoinarrondi3_Cliquer" textlink="">
      <xdr:nvSpPr>
        <xdr:cNvPr id="13" name="Rectangle avec coin arrondi 12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5</xdr:col>
      <xdr:colOff>66675</xdr:colOff>
      <xdr:row>0</xdr:row>
      <xdr:rowOff>142875</xdr:rowOff>
    </xdr:from>
    <xdr:to>
      <xdr:col>6</xdr:col>
      <xdr:colOff>591600</xdr:colOff>
      <xdr:row>0</xdr:row>
      <xdr:rowOff>495675</xdr:rowOff>
    </xdr:to>
    <xdr:sp macro="[0]!Rectangleaveccoinarrondi38_Cliquer" textlink="">
      <xdr:nvSpPr>
        <xdr:cNvPr id="14" name="Rectangle avec coin arrondi 13"/>
        <xdr:cNvSpPr/>
      </xdr:nvSpPr>
      <xdr:spPr>
        <a:xfrm>
          <a:off x="4124325" y="142875"/>
          <a:ext cx="1353600" cy="352800"/>
        </a:xfrm>
        <a:prstGeom prst="round1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85000"/>
                  <a:lumOff val="15000"/>
                </a:schemeClr>
              </a:solidFill>
            </a:rPr>
            <a:t>Renseignement</a:t>
          </a:r>
        </a:p>
      </xdr:txBody>
    </xdr:sp>
    <xdr:clientData/>
  </xdr:twoCellAnchor>
  <xdr:twoCellAnchor editAs="absolute">
    <xdr:from>
      <xdr:col>6</xdr:col>
      <xdr:colOff>628650</xdr:colOff>
      <xdr:row>0</xdr:row>
      <xdr:rowOff>133350</xdr:rowOff>
    </xdr:from>
    <xdr:to>
      <xdr:col>8</xdr:col>
      <xdr:colOff>458250</xdr:colOff>
      <xdr:row>0</xdr:row>
      <xdr:rowOff>486150</xdr:rowOff>
    </xdr:to>
    <xdr:sp macro="[0]!Rectangleaveccoinarrondi39_Cliquer" textlink="">
      <xdr:nvSpPr>
        <xdr:cNvPr id="15" name="Rectangle avec coin arrondi 14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8</xdr:col>
      <xdr:colOff>495300</xdr:colOff>
      <xdr:row>0</xdr:row>
      <xdr:rowOff>133350</xdr:rowOff>
    </xdr:from>
    <xdr:to>
      <xdr:col>10</xdr:col>
      <xdr:colOff>143925</xdr:colOff>
      <xdr:row>0</xdr:row>
      <xdr:rowOff>486150</xdr:rowOff>
    </xdr:to>
    <xdr:sp macro="[0]!Rectangleaveccoinarrondi40_Cliquer" textlink="">
      <xdr:nvSpPr>
        <xdr:cNvPr id="16" name="Rectangle avec coin arrondi 15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533400</xdr:rowOff>
    </xdr:from>
    <xdr:to>
      <xdr:col>1</xdr:col>
      <xdr:colOff>523875</xdr:colOff>
      <xdr:row>1</xdr:row>
      <xdr:rowOff>200025</xdr:rowOff>
    </xdr:to>
    <xdr:sp macro="[0]!Rectangle9_Cliquer" textlink="">
      <xdr:nvSpPr>
        <xdr:cNvPr id="18" name="Rectangle 17" hidden="1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 editAs="absolute">
    <xdr:from>
      <xdr:col>0</xdr:col>
      <xdr:colOff>123825</xdr:colOff>
      <xdr:row>1</xdr:row>
      <xdr:rowOff>257175</xdr:rowOff>
    </xdr:from>
    <xdr:to>
      <xdr:col>1</xdr:col>
      <xdr:colOff>523875</xdr:colOff>
      <xdr:row>1</xdr:row>
      <xdr:rowOff>476250</xdr:rowOff>
    </xdr:to>
    <xdr:sp macro="[0]!Rectangle42_Cliquer" textlink="">
      <xdr:nvSpPr>
        <xdr:cNvPr id="19" name="Rectangle 18" hidden="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104774</xdr:colOff>
      <xdr:row>0</xdr:row>
      <xdr:rowOff>104775</xdr:rowOff>
    </xdr:from>
    <xdr:to>
      <xdr:col>1</xdr:col>
      <xdr:colOff>562424</xdr:colOff>
      <xdr:row>0</xdr:row>
      <xdr:rowOff>468375</xdr:rowOff>
    </xdr:to>
    <xdr:sp macro="[0]!Renseignement_Rectangle21_Cliquer" textlink="">
      <xdr:nvSpPr>
        <xdr:cNvPr id="22" name="Rectangle 21"/>
        <xdr:cNvSpPr/>
      </xdr:nvSpPr>
      <xdr:spPr>
        <a:xfrm>
          <a:off x="104774" y="104775"/>
          <a:ext cx="972000" cy="363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0">
              <a:solidFill>
                <a:schemeClr val="bg1"/>
              </a:solidFill>
            </a:rPr>
            <a:t>Menu</a:t>
          </a:r>
        </a:p>
      </xdr:txBody>
    </xdr:sp>
    <xdr:clientData/>
  </xdr:twoCellAnchor>
  <xdr:twoCellAnchor editAs="absolute">
    <xdr:from>
      <xdr:col>0</xdr:col>
      <xdr:colOff>123825</xdr:colOff>
      <xdr:row>2</xdr:row>
      <xdr:rowOff>47625</xdr:rowOff>
    </xdr:from>
    <xdr:to>
      <xdr:col>1</xdr:col>
      <xdr:colOff>523875</xdr:colOff>
      <xdr:row>3</xdr:row>
      <xdr:rowOff>76200</xdr:rowOff>
    </xdr:to>
    <xdr:sp macro="[0]!Rectangle43_Cliquer" textlink="">
      <xdr:nvSpPr>
        <xdr:cNvPr id="20" name="Rectangle 19" hidden="1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504825</xdr:rowOff>
    </xdr:from>
    <xdr:to>
      <xdr:col>0</xdr:col>
      <xdr:colOff>1343025</xdr:colOff>
      <xdr:row>1</xdr:row>
      <xdr:rowOff>514350</xdr:rowOff>
    </xdr:to>
    <xdr:sp macro="" textlink="">
      <xdr:nvSpPr>
        <xdr:cNvPr id="10" name="Rectangle 9" hidden="1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13</xdr:col>
      <xdr:colOff>466725</xdr:colOff>
      <xdr:row>0</xdr:row>
      <xdr:rowOff>504825</xdr:rowOff>
    </xdr:to>
    <xdr:sp macro="" textlink="">
      <xdr:nvSpPr>
        <xdr:cNvPr id="11" name="Rectangle 10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1343024</xdr:colOff>
      <xdr:row>0</xdr:row>
      <xdr:rowOff>133350</xdr:rowOff>
    </xdr:from>
    <xdr:to>
      <xdr:col>1</xdr:col>
      <xdr:colOff>782099</xdr:colOff>
      <xdr:row>0</xdr:row>
      <xdr:rowOff>485775</xdr:rowOff>
    </xdr:to>
    <xdr:sp macro="[0]!Rectangleaveccoinarrondi17_Cliquer" textlink="">
      <xdr:nvSpPr>
        <xdr:cNvPr id="12" name="Rectangle avec coin arrondi 11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1</xdr:col>
      <xdr:colOff>819150</xdr:colOff>
      <xdr:row>0</xdr:row>
      <xdr:rowOff>133350</xdr:rowOff>
    </xdr:from>
    <xdr:to>
      <xdr:col>3</xdr:col>
      <xdr:colOff>210600</xdr:colOff>
      <xdr:row>0</xdr:row>
      <xdr:rowOff>486150</xdr:rowOff>
    </xdr:to>
    <xdr:sp macro="[0]!Rectangleaveccoinarrondi3_Cliquer" textlink="">
      <xdr:nvSpPr>
        <xdr:cNvPr id="13" name="Rectangle avec coin arrondi 12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3</xdr:col>
      <xdr:colOff>247650</xdr:colOff>
      <xdr:row>0</xdr:row>
      <xdr:rowOff>133350</xdr:rowOff>
    </xdr:from>
    <xdr:to>
      <xdr:col>4</xdr:col>
      <xdr:colOff>620175</xdr:colOff>
      <xdr:row>0</xdr:row>
      <xdr:rowOff>486150</xdr:rowOff>
    </xdr:to>
    <xdr:sp macro="[0]!Rectangleaveccoinarrondi38_Cliquer" textlink="">
      <xdr:nvSpPr>
        <xdr:cNvPr id="14" name="Rectangle avec coin arrondi 13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4</xdr:col>
      <xdr:colOff>657225</xdr:colOff>
      <xdr:row>0</xdr:row>
      <xdr:rowOff>142875</xdr:rowOff>
    </xdr:from>
    <xdr:to>
      <xdr:col>6</xdr:col>
      <xdr:colOff>48675</xdr:colOff>
      <xdr:row>0</xdr:row>
      <xdr:rowOff>495675</xdr:rowOff>
    </xdr:to>
    <xdr:sp macro="[0]!Rectangleaveccoinarrondi39_Cliquer" textlink="">
      <xdr:nvSpPr>
        <xdr:cNvPr id="15" name="Rectangle avec coin arrondi 14"/>
        <xdr:cNvSpPr/>
      </xdr:nvSpPr>
      <xdr:spPr>
        <a:xfrm>
          <a:off x="5514975" y="142875"/>
          <a:ext cx="1353600" cy="352800"/>
        </a:xfrm>
        <a:prstGeom prst="round1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85000"/>
                  <a:lumOff val="15000"/>
                </a:schemeClr>
              </a:solidFill>
            </a:rPr>
            <a:t>Récap.</a:t>
          </a:r>
          <a:r>
            <a:rPr lang="fr-FR" sz="1400" baseline="0">
              <a:solidFill>
                <a:schemeClr val="tx1">
                  <a:lumMod val="85000"/>
                  <a:lumOff val="15000"/>
                </a:schemeClr>
              </a:solidFill>
            </a:rPr>
            <a:t> perso</a:t>
          </a:r>
          <a:endParaRPr lang="fr-FR" sz="1400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 editAs="absolute">
    <xdr:from>
      <xdr:col>6</xdr:col>
      <xdr:colOff>85725</xdr:colOff>
      <xdr:row>0</xdr:row>
      <xdr:rowOff>133350</xdr:rowOff>
    </xdr:from>
    <xdr:to>
      <xdr:col>7</xdr:col>
      <xdr:colOff>458250</xdr:colOff>
      <xdr:row>0</xdr:row>
      <xdr:rowOff>486150</xdr:rowOff>
    </xdr:to>
    <xdr:sp macro="[0]!Rectangleaveccoinarrondi40_Cliquer" textlink="">
      <xdr:nvSpPr>
        <xdr:cNvPr id="16" name="Rectangle avec coin arrondi 15"/>
        <xdr:cNvSpPr/>
      </xdr:nvSpPr>
      <xdr:spPr>
        <a:xfrm>
          <a:off x="69056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Bulletin d'appel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533400</xdr:rowOff>
    </xdr:from>
    <xdr:to>
      <xdr:col>0</xdr:col>
      <xdr:colOff>1038225</xdr:colOff>
      <xdr:row>0</xdr:row>
      <xdr:rowOff>752475</xdr:rowOff>
    </xdr:to>
    <xdr:sp macro="[0]!Rectangle9_Cliquer" textlink="">
      <xdr:nvSpPr>
        <xdr:cNvPr id="18" name="Rectangle 17" hidden="1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809625</xdr:rowOff>
    </xdr:from>
    <xdr:to>
      <xdr:col>0</xdr:col>
      <xdr:colOff>1038225</xdr:colOff>
      <xdr:row>1</xdr:row>
      <xdr:rowOff>180975</xdr:rowOff>
    </xdr:to>
    <xdr:sp macro="[0]!Rectangle42_Cliquer" textlink="">
      <xdr:nvSpPr>
        <xdr:cNvPr id="19" name="Rectangle 18" hidden="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123825</xdr:colOff>
      <xdr:row>1</xdr:row>
      <xdr:rowOff>238125</xdr:rowOff>
    </xdr:from>
    <xdr:to>
      <xdr:col>0</xdr:col>
      <xdr:colOff>1038225</xdr:colOff>
      <xdr:row>1</xdr:row>
      <xdr:rowOff>457200</xdr:rowOff>
    </xdr:to>
    <xdr:sp macro="[0]!Rectangle43_Cliquer" textlink="">
      <xdr:nvSpPr>
        <xdr:cNvPr id="20" name="Rectangle 19" hidden="1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  <xdr:twoCellAnchor editAs="absolute">
    <xdr:from>
      <xdr:col>0</xdr:col>
      <xdr:colOff>104774</xdr:colOff>
      <xdr:row>0</xdr:row>
      <xdr:rowOff>104775</xdr:rowOff>
    </xdr:from>
    <xdr:to>
      <xdr:col>0</xdr:col>
      <xdr:colOff>1076774</xdr:colOff>
      <xdr:row>0</xdr:row>
      <xdr:rowOff>468375</xdr:rowOff>
    </xdr:to>
    <xdr:sp macro="[0]!Recap_Rectangle21_Cliquer" textlink="">
      <xdr:nvSpPr>
        <xdr:cNvPr id="22" name="Rectangle 21"/>
        <xdr:cNvSpPr/>
      </xdr:nvSpPr>
      <xdr:spPr>
        <a:xfrm>
          <a:off x="104774" y="104775"/>
          <a:ext cx="972000" cy="363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381000</xdr:colOff>
      <xdr:row>0</xdr:row>
      <xdr:rowOff>504825</xdr:rowOff>
    </xdr:to>
    <xdr:sp macro="" textlink="">
      <xdr:nvSpPr>
        <xdr:cNvPr id="23" name="Rectangle 22"/>
        <xdr:cNvSpPr/>
      </xdr:nvSpPr>
      <xdr:spPr>
        <a:xfrm>
          <a:off x="0" y="0"/>
          <a:ext cx="14211300" cy="504825"/>
        </a:xfrm>
        <a:prstGeom prst="rect">
          <a:avLst/>
        </a:prstGeom>
        <a:gradFill>
          <a:gsLst>
            <a:gs pos="0">
              <a:schemeClr val="tx1">
                <a:lumMod val="95000"/>
                <a:lumOff val="5000"/>
              </a:schemeClr>
            </a:gs>
            <a:gs pos="38000">
              <a:schemeClr val="tx1">
                <a:lumMod val="85000"/>
                <a:lumOff val="15000"/>
              </a:schemeClr>
            </a:gs>
            <a:gs pos="68000">
              <a:schemeClr val="tx1">
                <a:lumMod val="75000"/>
                <a:lumOff val="25000"/>
              </a:schemeClr>
            </a:gs>
            <a:gs pos="100000">
              <a:schemeClr val="tx1">
                <a:lumMod val="50000"/>
                <a:lumOff val="50000"/>
              </a:schemeClr>
            </a:gs>
          </a:gsLst>
          <a:lin ang="5400000" scaled="1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0</xdr:col>
      <xdr:colOff>0</xdr:colOff>
      <xdr:row>0</xdr:row>
      <xdr:rowOff>504825</xdr:rowOff>
    </xdr:from>
    <xdr:to>
      <xdr:col>1</xdr:col>
      <xdr:colOff>581025</xdr:colOff>
      <xdr:row>2</xdr:row>
      <xdr:rowOff>323850</xdr:rowOff>
    </xdr:to>
    <xdr:sp macro="" textlink="">
      <xdr:nvSpPr>
        <xdr:cNvPr id="10" name="Rectangle 9" hidden="1"/>
        <xdr:cNvSpPr/>
      </xdr:nvSpPr>
      <xdr:spPr>
        <a:xfrm>
          <a:off x="0" y="504825"/>
          <a:ext cx="1343025" cy="85725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581024</xdr:colOff>
      <xdr:row>0</xdr:row>
      <xdr:rowOff>133350</xdr:rowOff>
    </xdr:from>
    <xdr:to>
      <xdr:col>1</xdr:col>
      <xdr:colOff>1934624</xdr:colOff>
      <xdr:row>0</xdr:row>
      <xdr:rowOff>485775</xdr:rowOff>
    </xdr:to>
    <xdr:sp macro="[0]!Rectangleaveccoinarrondi17_Cliquer" textlink="">
      <xdr:nvSpPr>
        <xdr:cNvPr id="12" name="Rectangle avec coin arrondi 11"/>
        <xdr:cNvSpPr/>
      </xdr:nvSpPr>
      <xdr:spPr>
        <a:xfrm>
          <a:off x="1343024" y="133350"/>
          <a:ext cx="1353600" cy="352425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Planning</a:t>
          </a:r>
        </a:p>
      </xdr:txBody>
    </xdr:sp>
    <xdr:clientData/>
  </xdr:twoCellAnchor>
  <xdr:twoCellAnchor editAs="absolute">
    <xdr:from>
      <xdr:col>1</xdr:col>
      <xdr:colOff>1971675</xdr:colOff>
      <xdr:row>0</xdr:row>
      <xdr:rowOff>133350</xdr:rowOff>
    </xdr:from>
    <xdr:to>
      <xdr:col>3</xdr:col>
      <xdr:colOff>162975</xdr:colOff>
      <xdr:row>0</xdr:row>
      <xdr:rowOff>486150</xdr:rowOff>
    </xdr:to>
    <xdr:sp macro="[0]!Rectangleaveccoinarrondi3_Cliquer" textlink="">
      <xdr:nvSpPr>
        <xdr:cNvPr id="13" name="Rectangle avec coin arrondi 12"/>
        <xdr:cNvSpPr/>
      </xdr:nvSpPr>
      <xdr:spPr>
        <a:xfrm>
          <a:off x="27336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Permission</a:t>
          </a:r>
        </a:p>
      </xdr:txBody>
    </xdr:sp>
    <xdr:clientData/>
  </xdr:twoCellAnchor>
  <xdr:twoCellAnchor editAs="absolute">
    <xdr:from>
      <xdr:col>3</xdr:col>
      <xdr:colOff>200025</xdr:colOff>
      <xdr:row>0</xdr:row>
      <xdr:rowOff>133350</xdr:rowOff>
    </xdr:from>
    <xdr:to>
      <xdr:col>4</xdr:col>
      <xdr:colOff>582075</xdr:colOff>
      <xdr:row>0</xdr:row>
      <xdr:rowOff>486150</xdr:rowOff>
    </xdr:to>
    <xdr:sp macro="[0]!Rectangleaveccoinarrondi38_Cliquer" textlink="">
      <xdr:nvSpPr>
        <xdr:cNvPr id="14" name="Rectangle avec coin arrondi 13"/>
        <xdr:cNvSpPr/>
      </xdr:nvSpPr>
      <xdr:spPr>
        <a:xfrm>
          <a:off x="412432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Renseignement</a:t>
          </a:r>
        </a:p>
      </xdr:txBody>
    </xdr:sp>
    <xdr:clientData/>
  </xdr:twoCellAnchor>
  <xdr:twoCellAnchor editAs="absolute">
    <xdr:from>
      <xdr:col>4</xdr:col>
      <xdr:colOff>619125</xdr:colOff>
      <xdr:row>0</xdr:row>
      <xdr:rowOff>133350</xdr:rowOff>
    </xdr:from>
    <xdr:to>
      <xdr:col>6</xdr:col>
      <xdr:colOff>29625</xdr:colOff>
      <xdr:row>0</xdr:row>
      <xdr:rowOff>486150</xdr:rowOff>
    </xdr:to>
    <xdr:sp macro="[0]!Rectangleaveccoinarrondi39_Cliquer" textlink="">
      <xdr:nvSpPr>
        <xdr:cNvPr id="15" name="Rectangle avec coin arrondi 14"/>
        <xdr:cNvSpPr/>
      </xdr:nvSpPr>
      <xdr:spPr>
        <a:xfrm>
          <a:off x="5514975" y="133350"/>
          <a:ext cx="1353600" cy="352800"/>
        </a:xfrm>
        <a:prstGeom prst="round1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Récap.</a:t>
          </a:r>
          <a:r>
            <a:rPr lang="fr-FR" sz="1400" baseline="0">
              <a:solidFill>
                <a:schemeClr val="bg1"/>
              </a:solidFill>
            </a:rPr>
            <a:t> perso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6</xdr:col>
      <xdr:colOff>66675</xdr:colOff>
      <xdr:row>0</xdr:row>
      <xdr:rowOff>142875</xdr:rowOff>
    </xdr:from>
    <xdr:to>
      <xdr:col>7</xdr:col>
      <xdr:colOff>448725</xdr:colOff>
      <xdr:row>0</xdr:row>
      <xdr:rowOff>495675</xdr:rowOff>
    </xdr:to>
    <xdr:sp macro="[0]!Rectangleaveccoinarrondi40_Cliquer" textlink="">
      <xdr:nvSpPr>
        <xdr:cNvPr id="16" name="Rectangle avec coin arrondi 15"/>
        <xdr:cNvSpPr/>
      </xdr:nvSpPr>
      <xdr:spPr>
        <a:xfrm>
          <a:off x="6905625" y="142875"/>
          <a:ext cx="1353600" cy="352800"/>
        </a:xfrm>
        <a:prstGeom prst="round1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85000"/>
                  <a:lumOff val="15000"/>
                </a:schemeClr>
              </a:solidFill>
            </a:rPr>
            <a:t>Bulletin d'appel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533400</xdr:rowOff>
    </xdr:from>
    <xdr:to>
      <xdr:col>1</xdr:col>
      <xdr:colOff>276225</xdr:colOff>
      <xdr:row>0</xdr:row>
      <xdr:rowOff>752475</xdr:rowOff>
    </xdr:to>
    <xdr:sp macro="[0]!Rectangle9_Cliquer" textlink="">
      <xdr:nvSpPr>
        <xdr:cNvPr id="18" name="Rectangle 17" hidden="1"/>
        <xdr:cNvSpPr/>
      </xdr:nvSpPr>
      <xdr:spPr>
        <a:xfrm>
          <a:off x="123825" y="53340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 editAs="absolute">
    <xdr:from>
      <xdr:col>0</xdr:col>
      <xdr:colOff>123825</xdr:colOff>
      <xdr:row>0</xdr:row>
      <xdr:rowOff>809625</xdr:rowOff>
    </xdr:from>
    <xdr:to>
      <xdr:col>1</xdr:col>
      <xdr:colOff>276225</xdr:colOff>
      <xdr:row>1</xdr:row>
      <xdr:rowOff>180975</xdr:rowOff>
    </xdr:to>
    <xdr:sp macro="[0]!Rectangle42_Cliquer" textlink="">
      <xdr:nvSpPr>
        <xdr:cNvPr id="19" name="Rectangle 18" hidden="1"/>
        <xdr:cNvSpPr/>
      </xdr:nvSpPr>
      <xdr:spPr>
        <a:xfrm>
          <a:off x="123825" y="809625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MODIFIER</a:t>
          </a:r>
        </a:p>
      </xdr:txBody>
    </xdr:sp>
    <xdr:clientData/>
  </xdr:twoCellAnchor>
  <xdr:twoCellAnchor editAs="absolute">
    <xdr:from>
      <xdr:col>0</xdr:col>
      <xdr:colOff>123825</xdr:colOff>
      <xdr:row>2</xdr:row>
      <xdr:rowOff>47625</xdr:rowOff>
    </xdr:from>
    <xdr:to>
      <xdr:col>1</xdr:col>
      <xdr:colOff>276225</xdr:colOff>
      <xdr:row>2</xdr:row>
      <xdr:rowOff>266700</xdr:rowOff>
    </xdr:to>
    <xdr:sp macro="[0]!Rectangle43_Cliquer" textlink="">
      <xdr:nvSpPr>
        <xdr:cNvPr id="20" name="Rectangle 19" hidden="1"/>
        <xdr:cNvSpPr/>
      </xdr:nvSpPr>
      <xdr:spPr>
        <a:xfrm>
          <a:off x="123825" y="1085850"/>
          <a:ext cx="914400" cy="21907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SUPPRIMER</a:t>
          </a:r>
        </a:p>
      </xdr:txBody>
    </xdr:sp>
    <xdr:clientData/>
  </xdr:twoCellAnchor>
  <xdr:twoCellAnchor editAs="absolute">
    <xdr:from>
      <xdr:col>0</xdr:col>
      <xdr:colOff>104775</xdr:colOff>
      <xdr:row>0</xdr:row>
      <xdr:rowOff>95250</xdr:rowOff>
    </xdr:from>
    <xdr:to>
      <xdr:col>1</xdr:col>
      <xdr:colOff>314775</xdr:colOff>
      <xdr:row>0</xdr:row>
      <xdr:rowOff>458850</xdr:rowOff>
    </xdr:to>
    <xdr:sp macro="[0]!Appel_Rectangle21_Cliquer" textlink="">
      <xdr:nvSpPr>
        <xdr:cNvPr id="22" name="Rectangle 21"/>
        <xdr:cNvSpPr/>
      </xdr:nvSpPr>
      <xdr:spPr>
        <a:xfrm>
          <a:off x="104775" y="95250"/>
          <a:ext cx="972000" cy="3636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Menu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B10:AW27" totalsRowShown="0" headerRowDxfId="123" dataDxfId="122">
  <autoFilter ref="B10:AW27"/>
  <tableColumns count="48">
    <tableColumn id="1" name="NE PAS EFFACER" dataDxfId="121"/>
    <tableColumn id="2" name="Colonne1" dataDxfId="120">
      <calculatedColumnFormula>IFERROR(VLOOKUP($B11&amp;C$9,Tableau1[],4,FALSE),"")</calculatedColumnFormula>
    </tableColumn>
    <tableColumn id="3" name="Colonne2" dataDxfId="119">
      <calculatedColumnFormula>IFERROR(VLOOKUP($B11&amp;D$9,Tableau1[],4,FALSE),"")</calculatedColumnFormula>
    </tableColumn>
    <tableColumn id="4" name="Colonne3" dataDxfId="118">
      <calculatedColumnFormula>IFERROR(VLOOKUP($B11&amp;E$9,Tableau1[],4,FALSE),"")</calculatedColumnFormula>
    </tableColumn>
    <tableColumn id="5" name="Colonne4" dataDxfId="117">
      <calculatedColumnFormula>IFERROR(VLOOKUP($B11&amp;F$9,Tableau1[],4,FALSE),"")</calculatedColumnFormula>
    </tableColumn>
    <tableColumn id="6" name="Colonne5" dataDxfId="116">
      <calculatedColumnFormula>IFERROR(VLOOKUP($B11&amp;G$9,Tableau1[],4,FALSE),"")</calculatedColumnFormula>
    </tableColumn>
    <tableColumn id="7" name="Colonne6" dataDxfId="115">
      <calculatedColumnFormula>IFERROR(VLOOKUP($B11&amp;H$9,Tableau1[],4,FALSE),"")</calculatedColumnFormula>
    </tableColumn>
    <tableColumn id="8" name="Colonne7" dataDxfId="114">
      <calculatedColumnFormula>IFERROR(VLOOKUP($B11&amp;I$9,Tableau1[],4,FALSE),"")</calculatedColumnFormula>
    </tableColumn>
    <tableColumn id="9" name="Colonne8" dataDxfId="113">
      <calculatedColumnFormula>IFERROR(VLOOKUP($B11&amp;J$9,Tableau1[],4,FALSE),"")</calculatedColumnFormula>
    </tableColumn>
    <tableColumn id="10" name="Colonne9" dataDxfId="112">
      <calculatedColumnFormula>IFERROR(VLOOKUP($B11&amp;K$9,Tableau1[],4,FALSE),"")</calculatedColumnFormula>
    </tableColumn>
    <tableColumn id="11" name="Colonne10" dataDxfId="111">
      <calculatedColumnFormula>IFERROR(VLOOKUP($B11&amp;L$9,Tableau1[],4,FALSE),"")</calculatedColumnFormula>
    </tableColumn>
    <tableColumn id="12" name="Colonne11" dataDxfId="110">
      <calculatedColumnFormula>IFERROR(VLOOKUP($B11&amp;M$9,Tableau1[],4,FALSE),"")</calculatedColumnFormula>
    </tableColumn>
    <tableColumn id="13" name="Colonne12" dataDxfId="109">
      <calculatedColumnFormula>IFERROR(VLOOKUP($B11&amp;N$9,Tableau1[],4,FALSE),"")</calculatedColumnFormula>
    </tableColumn>
    <tableColumn id="14" name="Colonne13" dataDxfId="108">
      <calculatedColumnFormula>IFERROR(VLOOKUP($B11&amp;O$9,Tableau1[],4,FALSE),"")</calculatedColumnFormula>
    </tableColumn>
    <tableColumn id="15" name="Colonne14" dataDxfId="107">
      <calculatedColumnFormula>IFERROR(VLOOKUP($B11&amp;P$9,Tableau1[],4,FALSE),"")</calculatedColumnFormula>
    </tableColumn>
    <tableColumn id="16" name="Colonne15" dataDxfId="106">
      <calculatedColumnFormula>IFERROR(VLOOKUP($B11&amp;Q$9,Tableau1[],4,FALSE),"")</calculatedColumnFormula>
    </tableColumn>
    <tableColumn id="17" name="Colonne16" dataDxfId="105">
      <calculatedColumnFormula>IFERROR(VLOOKUP($B11&amp;R$9,Tableau1[],4,FALSE),"")</calculatedColumnFormula>
    </tableColumn>
    <tableColumn id="18" name="Colonne17" dataDxfId="104">
      <calculatedColumnFormula>IFERROR(VLOOKUP($B11&amp;S$9,Tableau1[],4,FALSE),"")</calculatedColumnFormula>
    </tableColumn>
    <tableColumn id="19" name="Colonne18" dataDxfId="103">
      <calculatedColumnFormula>IFERROR(VLOOKUP($B11&amp;T$9,Tableau1[],4,FALSE),"")</calculatedColumnFormula>
    </tableColumn>
    <tableColumn id="20" name="Colonne19" dataDxfId="102">
      <calculatedColumnFormula>IFERROR(VLOOKUP($B11&amp;U$9,Tableau1[],4,FALSE),"")</calculatedColumnFormula>
    </tableColumn>
    <tableColumn id="21" name="Colonne20" dataDxfId="101">
      <calculatedColumnFormula>IFERROR(VLOOKUP($B11&amp;V$9,Tableau1[],4,FALSE),"")</calculatedColumnFormula>
    </tableColumn>
    <tableColumn id="22" name="Colonne21" dataDxfId="100">
      <calculatedColumnFormula>IFERROR(VLOOKUP($B11&amp;W$9,Tableau1[],4,FALSE),"")</calculatedColumnFormula>
    </tableColumn>
    <tableColumn id="23" name="Colonne22" dataDxfId="99">
      <calculatedColumnFormula>IFERROR(VLOOKUP($B11&amp;X$9,Tableau1[],4,FALSE),"")</calculatedColumnFormula>
    </tableColumn>
    <tableColumn id="24" name="Colonne23" dataDxfId="98">
      <calculatedColumnFormula>IFERROR(VLOOKUP($B11&amp;Y$9,Tableau1[],4,FALSE),"")</calculatedColumnFormula>
    </tableColumn>
    <tableColumn id="25" name="Colonne24" dataDxfId="97">
      <calculatedColumnFormula>IFERROR(VLOOKUP($B11&amp;Z$9,Tableau1[],4,FALSE),"")</calculatedColumnFormula>
    </tableColumn>
    <tableColumn id="26" name="Colonne25" dataDxfId="96">
      <calculatedColumnFormula>IFERROR(VLOOKUP($B11&amp;AA$9,Tableau1[],4,FALSE),"")</calculatedColumnFormula>
    </tableColumn>
    <tableColumn id="27" name="Colonne26" dataDxfId="95">
      <calculatedColumnFormula>IFERROR(VLOOKUP($B11&amp;AB$9,Tableau1[],4,FALSE),"")</calculatedColumnFormula>
    </tableColumn>
    <tableColumn id="28" name="Colonne27" dataDxfId="94">
      <calculatedColumnFormula>IFERROR(VLOOKUP($B11&amp;AC$9,Tableau1[],4,FALSE),"")</calculatedColumnFormula>
    </tableColumn>
    <tableColumn id="29" name="Colonne28" dataDxfId="93">
      <calculatedColumnFormula>IFERROR(VLOOKUP($B11&amp;AD$9,Tableau1[],4,FALSE),"")</calculatedColumnFormula>
    </tableColumn>
    <tableColumn id="30" name="Colonne29" dataDxfId="92">
      <calculatedColumnFormula>IFERROR(VLOOKUP($B11&amp;AE$9,Tableau1[],4,FALSE),"")</calculatedColumnFormula>
    </tableColumn>
    <tableColumn id="31" name="Colonne30" dataDxfId="91">
      <calculatedColumnFormula>IFERROR(VLOOKUP($B11&amp;AF$9,Tableau1[],4,FALSE),"")</calculatedColumnFormula>
    </tableColumn>
    <tableColumn id="32" name="Colonne31" dataDxfId="90">
      <calculatedColumnFormula>IFERROR(VLOOKUP($B11&amp;AG$9,Tableau1[],4,FALSE),"")</calculatedColumnFormula>
    </tableColumn>
    <tableColumn id="33" name="Colonne32" dataDxfId="89">
      <calculatedColumnFormula>IFERROR(VLOOKUP($B11&amp;AH$9,Tableau1[],4,FALSE),"")</calculatedColumnFormula>
    </tableColumn>
    <tableColumn id="34" name="Colonne33" dataDxfId="88">
      <calculatedColumnFormula>IFERROR(VLOOKUP($B11&amp;AI$9,Tableau1[],4,FALSE),"")</calculatedColumnFormula>
    </tableColumn>
    <tableColumn id="35" name="Colonne34" dataDxfId="87">
      <calculatedColumnFormula>IFERROR(VLOOKUP($B11&amp;AJ$9,Tableau1[],4,FALSE),"")</calculatedColumnFormula>
    </tableColumn>
    <tableColumn id="36" name="Colonne35" dataDxfId="86">
      <calculatedColumnFormula>IFERROR(VLOOKUP($B11&amp;AK$9,Tableau1[],4,FALSE),"")</calculatedColumnFormula>
    </tableColumn>
    <tableColumn id="37" name="Colonne36" dataDxfId="85">
      <calculatedColumnFormula>IFERROR(VLOOKUP($B11&amp;AL$9,Tableau1[],4,FALSE),"")</calculatedColumnFormula>
    </tableColumn>
    <tableColumn id="38" name="Colonne37" dataDxfId="84">
      <calculatedColumnFormula>IFERROR(VLOOKUP($B11&amp;AM$9,Tableau1[],4,FALSE),"")</calculatedColumnFormula>
    </tableColumn>
    <tableColumn id="39" name="Colonne38" dataDxfId="83">
      <calculatedColumnFormula>IFERROR(VLOOKUP($B11&amp;AN$9,Tableau1[],4,FALSE),"")</calculatedColumnFormula>
    </tableColumn>
    <tableColumn id="40" name="Colonne39" dataDxfId="82">
      <calculatedColumnFormula>IFERROR(VLOOKUP($B11&amp;AO$9,Tableau1[],4,FALSE),"")</calculatedColumnFormula>
    </tableColumn>
    <tableColumn id="41" name="Colonne40" dataDxfId="81">
      <calculatedColumnFormula>IFERROR(VLOOKUP($B11&amp;AP$9,Tableau1[],4,FALSE),"")</calculatedColumnFormula>
    </tableColumn>
    <tableColumn id="42" name="Colonne41" dataDxfId="80">
      <calculatedColumnFormula>IFERROR(VLOOKUP($B11&amp;AQ$9,Tableau1[],4,FALSE),"")</calculatedColumnFormula>
    </tableColumn>
    <tableColumn id="43" name="Colonne42" dataDxfId="79">
      <calculatedColumnFormula>IFERROR(VLOOKUP($B11&amp;AR$9,Tableau1[],4,FALSE),"")</calculatedColumnFormula>
    </tableColumn>
    <tableColumn id="44" name="Colonne43" dataDxfId="78">
      <calculatedColumnFormula>IFERROR(VLOOKUP($B11&amp;AS$9,Tableau1[],4,FALSE),"")</calculatedColumnFormula>
    </tableColumn>
    <tableColumn id="45" name="Colonne44" dataDxfId="77">
      <calculatedColumnFormula>IFERROR(VLOOKUP($B11&amp;AT$9,Tableau1[],4,FALSE),"")</calculatedColumnFormula>
    </tableColumn>
    <tableColumn id="46" name="Colonne45" dataDxfId="76">
      <calculatedColumnFormula>IFERROR(VLOOKUP($B11&amp;AU$9,Tableau1[],4,FALSE),"")</calculatedColumnFormula>
    </tableColumn>
    <tableColumn id="47" name="Colonne46" dataDxfId="75">
      <calculatedColumnFormula array="1">MAX(IF((Tableau1[MOTIF]="TIR")*(Tableau1[NOM]=B11)*(Tableau1[DATE]&lt;=TODAY()),Tableau1[DATE]))</calculatedColumnFormula>
    </tableColumn>
    <tableColumn id="48" name="Colonne47" dataDxfId="74">
      <calculatedColumnFormula>Tableau2[[#This Row],[Colonne46]]+42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W9" totalsRowShown="0" headerRowDxfId="71" dataDxfId="70">
  <autoFilter ref="A2:W9"/>
  <sortState ref="A3:W9">
    <sortCondition ref="B3:B9" customList="CMDT,CNE,LTT,MAJ,ADC,ADJ,SGC,SGT,CLC,CAL,AV1,AVT,RES,RFT"/>
    <sortCondition ref="C3:C9"/>
  </sortState>
  <tableColumns count="23">
    <tableColumn id="1" name="N°" dataDxfId="69"/>
    <tableColumn id="2" name="Grade" dataDxfId="68"/>
    <tableColumn id="3" name="Nom" dataDxfId="67"/>
    <tableColumn id="4" name="Prénom" dataDxfId="66"/>
    <tableColumn id="5" name="Date de Naissance" dataDxfId="65"/>
    <tableColumn id="6" name="Situation _x000a_familiale" dataDxfId="64"/>
    <tableColumn id="7" name="N° Badge" dataDxfId="63"/>
    <tableColumn id="8" name="NIA" dataDxfId="62"/>
    <tableColumn id="9" name="NID" dataDxfId="61"/>
    <tableColumn id="10" name="N° portable" dataDxfId="60"/>
    <tableColumn id="11" name="Adresse " dataDxfId="59"/>
    <tableColumn id="12" name="Code postale" dataDxfId="58"/>
    <tableColumn id="13" name="Ville" dataDxfId="57"/>
    <tableColumn id="14" name="Unité" dataDxfId="56"/>
    <tableColumn id="15" name="Date du dernier tir" dataDxfId="55">
      <calculatedColumnFormula array="1">MAX(IF((Tableau1[MOTIF]="TIR")*(Tableau1[NOM]=S3)*(Tableau1[DATE]&lt;=TODAY()),Tableau1[DATE]))</calculatedColumnFormula>
    </tableColumn>
    <tableColumn id="20" name="Date limite du tir " dataDxfId="54">
      <calculatedColumnFormula>Tableau3[[#This Row],[Date du dernier tir]]+42</calculatedColumnFormula>
    </tableColumn>
    <tableColumn id="21" name="Validite du tir " dataDxfId="53">
      <calculatedColumnFormula>IF(ISERROR(IF(P3&lt;=TODAY(),"Pas à jour depuis "&amp;TRIM(IF(TODAY()-P3,TEXT(DATEDIF(P3,TODAY(),"y"),"[&gt;1]0"" ans"";[&gt;]""1 an"";")&amp;TEXT(DATEDIF(P3,TODAY(),"ym"),"[&gt;] 0"" mois "";")&amp;TEXT(DATEDIF(P3,TODAY(),"md"),"[&gt;1]0"" jours"";[&gt;]""1 jour"";"),"0 jour")),TRIM(IF(P3-TODAY(),TEXT(DATEDIF(TODAY(),P3,"y"),"[&gt;1]0"" ans"";[&gt;]""1 an"";")&amp;TEXT(DATEDIF(TODAY(),P3,"ym"),"[&gt;] 0"" mois "";")&amp;TEXT(DATEDIF(TODAY(),P3,"md"),"[&gt;1]0"" jours"";[&gt;]""1 jour"";"),"0 jour")))),"",IF(O3=0,"",IF(P3&lt;=TODAY(),"Pas à jour depuis "&amp;TRIM(IF(TODAY()-P3,TEXT(DATEDIF(P3,TODAY(),"y"),"[&gt;1]0"" ans"";[&gt;]""1 an"";")&amp;TEXT(DATEDIF(P3,TODAY(),"ym"),"[&gt;] 0"" mois "";")&amp;TEXT(DATEDIF(P3,TODAY(),"md"),"[&gt;1]0"" jours"";[&gt;]""1 jour"";"),"0 jour")),TRIM(IF(P3-TODAY(),TEXT(DATEDIF(TODAY(),P3,"y"),"[&gt;1]0"" ans"";[&gt;]""1 an"";")&amp;TEXT(DATEDIF(TODAY(),P3,"ym"),"[&gt;] 0"" mois "";")&amp;TEXT(DATEDIF(TODAY(),P3,"md"),"[&gt;1]0"" jours"";[&gt;]""1 jour"";"),"0 jour")))))</calculatedColumnFormula>
    </tableColumn>
    <tableColumn id="22" name="nom prenom" dataDxfId="52">
      <calculatedColumnFormula>Tableau3[Nom]&amp;" "&amp;Tableau3[Prénom]</calculatedColumnFormula>
    </tableColumn>
    <tableColumn id="23" name="GRADE NOM" dataDxfId="51">
      <calculatedColumnFormula>Tableau3[Grade]&amp;" "&amp;Tableau3[Nom]</calculatedColumnFormula>
    </tableColumn>
    <tableColumn id="24" name="GRADE NOM PRENOM" dataDxfId="50">
      <calculatedColumnFormula>Tableau3[Grade]&amp;" "&amp;Tableau3[Nom]&amp;" "&amp;Tableau3[Prénom]</calculatedColumnFormula>
    </tableColumn>
    <tableColumn id="25" name="Age" dataDxfId="49">
      <calculatedColumnFormula>IFERROR(DATEDIF(Tableau3[Date de Naissance],TODAY(),"y"),"")</calculatedColumnFormula>
    </tableColumn>
    <tableColumn id="26" name="CP Ville" dataDxfId="48">
      <calculatedColumnFormula>Tableau3[Code postale]&amp;" "&amp;Tableau3[Ville]</calculatedColumnFormula>
    </tableColumn>
    <tableColumn id="16" name="Dernier TIR inf AUJOURD'HUI" dataDxfId="47">
      <calculatedColumnFormula>IF(O3=0,"",IF(O3&lt;=TODAY(),O3))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4:O12" totalsRowShown="0" dataDxfId="43" headerRowBorderDxfId="44" tableBorderDxfId="42" totalsRowBorderDxfId="41">
  <autoFilter ref="A4:O12"/>
  <tableColumns count="15">
    <tableColumn id="1" name="Grade Nom " dataDxfId="40"/>
    <tableColumn id="2" name="PO" dataDxfId="39">
      <calculatedColumnFormula>SUMPRODUCT((TRIM(m)="PO")*(Grade_Nom_Prénom2=$A5)*($C$2&lt;=d)*($E$2&gt;=d))</calculatedColumnFormula>
    </tableColumn>
    <tableColumn id="3" name="WPO" dataDxfId="38">
      <calculatedColumnFormula>SUMPRODUCT((TRIM(m)="WPO")*(Grade_Nom_Prénom2=$A5)*($C$2&lt;=d)*($E$2&gt;=d))</calculatedColumnFormula>
    </tableColumn>
    <tableColumn id="4" name="RS" dataDxfId="37">
      <calculatedColumnFormula>SUMPRODUCT((TRIM(m)="RS")*(Grade_Nom_Prénom2=$A5)*($C$2&lt;=d)*($E$2&gt;=d))</calculatedColumnFormula>
    </tableColumn>
    <tableColumn id="5" name="A3" dataDxfId="36">
      <calculatedColumnFormula>SUMPRODUCT((TRIM(m)="A3")*(Grade_Nom_Prénom2=$A5)*($C$2&lt;=d)*($E$2&gt;=d))</calculatedColumnFormula>
    </tableColumn>
    <tableColumn id="6" name="IS" dataDxfId="35">
      <calculatedColumnFormula>SUMPRODUCT((TRIM(m)="IS")*(Grade_Nom_Prénom2=$A5)*($C$2&lt;=d)*($E$2&gt;=d))</calculatedColumnFormula>
    </tableColumn>
    <tableColumn id="7" name="PLD" dataDxfId="34">
      <calculatedColumnFormula>SUMPRODUCT((TRIM(m)="PLD")*(Grade_Nom_Prénom2=$A5)*($C$2&lt;=d)*($E$2&gt;=d))</calculatedColumnFormula>
    </tableColumn>
    <tableColumn id="8" name="TN / E / TIR" dataDxfId="33">
      <calculatedColumnFormula>SUMPRODUCT((TRIM(m)="TN")*(Grade_Nom_Prénom2=$A5)*($C$2&lt;=d)*($E$2&gt;=d))+SUMPRODUCT((TRIM(m)="E")*(Grade_Nom_Prénom2=$A5)*($C$2&lt;=d)*($E$2&gt;=d))+SUMPRODUCT((TRIM(m)="TIR")*(Grade_Nom_Prénom2=$A5)*($C$2&lt;=d)*($E$2&gt;=d))</calculatedColumnFormula>
    </tableColumn>
    <tableColumn id="9" name="MIS" dataDxfId="32">
      <calculatedColumnFormula>SUMPRODUCT((TRIM(m)="MIS")*(Grade_Nom_Prénom2=$A5)*($C$2&lt;=d)*($E$2&gt;=d))</calculatedColumnFormula>
    </tableColumn>
    <tableColumn id="13" name="STG" dataDxfId="31">
      <calculatedColumnFormula>SUMPRODUCT((TRIM(m)="STG")*(Grade_Nom_Prénom2=$A5)*($C$2&lt;=d)*($E$2&gt;=d))</calculatedColumnFormula>
    </tableColumn>
    <tableColumn id="10" name="PATC" dataDxfId="30">
      <calculatedColumnFormula>SUMPRODUCT((TRIM(m)="PATC")*(Grade_Nom_Prénom2=$A5)*($C$2&lt;=d)*($E$2&gt;=d))</calculatedColumnFormula>
    </tableColumn>
    <tableColumn id="11" name="OPIN" dataDxfId="29">
      <calculatedColumnFormula>SUMPRODUCT((TRIM(m)="OPIN")*(Grade_Nom_Prénom2=$A5)*($C$2&lt;=d)*($E$2&gt;=d))</calculatedColumnFormula>
    </tableColumn>
    <tableColumn id="12" name="OPEX" dataDxfId="28">
      <calculatedColumnFormula>SUMPRODUCT((TRIM(m)="OPEX")*(Grade_Nom_Prénom2=$A5)*($C$2&lt;=d)*($E$2&gt;=d))</calculatedColumnFormula>
    </tableColumn>
    <tableColumn id="14" name="TAP" dataDxfId="27">
      <calculatedColumnFormula>SUMPRODUCT((TRIM(m)="TAP")*(Grade_Nom_Prénom2=$A5)*($C$2&lt;=d)*($E$2&gt;=d))</calculatedColumnFormula>
    </tableColumn>
    <tableColumn id="15" name="TOTAL" dataDxfId="26">
      <calculatedColumnFormula>SUM(Tableau5[[#This Row],[PO]:[TAP]])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B6:G14" totalsRowShown="0" headerRowDxfId="15" dataDxfId="14" tableBorderDxfId="13">
  <autoFilter ref="B6:G14"/>
  <tableColumns count="6">
    <tableColumn id="1" name="Colonne1" dataDxfId="12"/>
    <tableColumn id="2" name="Colonne2" dataDxfId="11">
      <calculatedColumnFormula>IFERROR(VLOOKUP($B7&amp;C$5,Tableau1[],4,FALSE),"")</calculatedColumnFormula>
    </tableColumn>
    <tableColumn id="3" name="Colonne3" dataDxfId="10">
      <calculatedColumnFormula>IFERROR(VLOOKUP($B7&amp;D$5,Tableau1[],4,FALSE),"")</calculatedColumnFormula>
    </tableColumn>
    <tableColumn id="4" name="Colonne4" dataDxfId="9">
      <calculatedColumnFormula>IFERROR(VLOOKUP($B7&amp;E$5,Tableau1[],4,FALSE),"")</calculatedColumnFormula>
    </tableColumn>
    <tableColumn id="5" name="Colonne5" dataDxfId="8">
      <calculatedColumnFormula>IFERROR(VLOOKUP($B7&amp;F$5,Tableau1[],4,FALSE),"")</calculatedColumnFormula>
    </tableColumn>
    <tableColumn id="6" name="Colonne6" dataDxfId="7">
      <calculatedColumnFormula>IFERROR(VLOOKUP($B7&amp;G$5,Tableau1[],4,FALSE),"")</calculatedColumnFormula>
    </tableColumn>
  </tableColumns>
  <tableStyleInfo name="TableStyleMedium2" showFirstColumn="0" showLastColumn="0" showRowStripes="0" showColumnStripes="0"/>
</table>
</file>

<file path=xl/tables/table5.xml><?xml version="1.0" encoding="utf-8"?>
<table xmlns="http://schemas.openxmlformats.org/spreadsheetml/2006/main" id="4" name="Tableau35" displayName="Tableau35" ref="C1:D23" totalsRowShown="0">
  <autoFilter ref="C1:D23"/>
  <tableColumns count="2">
    <tableColumn id="1" name="FERIE" dataDxfId="5"/>
    <tableColumn id="2" name="TAOPM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F1:AF16" totalsRowShown="0" tableBorderDxfId="4">
  <autoFilter ref="AF1:AF16"/>
  <tableColumns count="1">
    <tableColumn id="1" name="CYNO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1:F86" totalsRowShown="0" headerRowDxfId="3">
  <autoFilter ref="A1:F86"/>
  <tableColumns count="6">
    <tableColumn id="4" name="NOM DATE">
      <calculatedColumnFormula>Tableau1[NOM]&amp;Tableau1[DATE]</calculatedColumnFormula>
    </tableColumn>
    <tableColumn id="1" name="NOM"/>
    <tableColumn id="2" name="DATE" dataDxfId="2"/>
    <tableColumn id="3" name="MOTIF"/>
    <tableColumn id="6" name="E" dataDxfId="1">
      <calculatedColumnFormula>TEXT(ROW(),"000")&amp;"_"&amp;Tableau1[[#This Row],[NOM]]</calculatedColumnFormula>
    </tableColumn>
    <tableColumn id="5" name="DATE MOTIF" dataDxfId="0">
      <calculatedColumnFormula>Tableau1[[#This Row],[DATE]]&amp;Tableau1[[#This Row],[MOTIF]]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19"/>
  <sheetViews>
    <sheetView showGridLines="0" topLeftCell="A3" workbookViewId="0">
      <selection activeCell="G8" sqref="G8"/>
    </sheetView>
  </sheetViews>
  <sheetFormatPr baseColWidth="10" defaultRowHeight="15"/>
  <cols>
    <col min="6" max="6" width="32.7109375" customWidth="1"/>
    <col min="7" max="7" width="40.7109375" customWidth="1"/>
    <col min="10" max="10" width="12.7109375" bestFit="1" customWidth="1"/>
  </cols>
  <sheetData>
    <row r="1" spans="1:14" ht="30" hidden="1">
      <c r="A1" s="83" t="s">
        <v>5</v>
      </c>
      <c r="B1" s="83" t="s">
        <v>46</v>
      </c>
      <c r="C1" s="83" t="s">
        <v>47</v>
      </c>
      <c r="D1" s="83" t="s">
        <v>48</v>
      </c>
      <c r="E1" s="83" t="s">
        <v>53</v>
      </c>
      <c r="F1" s="84" t="s">
        <v>54</v>
      </c>
      <c r="G1" s="85" t="s">
        <v>55</v>
      </c>
      <c r="H1" s="84" t="s">
        <v>56</v>
      </c>
      <c r="I1" s="85" t="s">
        <v>57</v>
      </c>
      <c r="J1" s="86" t="s">
        <v>58</v>
      </c>
      <c r="K1" s="83" t="s">
        <v>59</v>
      </c>
      <c r="L1" s="83" t="s">
        <v>103</v>
      </c>
      <c r="M1" s="83" t="s">
        <v>61</v>
      </c>
      <c r="N1" s="83" t="s">
        <v>62</v>
      </c>
    </row>
    <row r="2" spans="1:14" s="60" customFormat="1" ht="148.5" hidden="1" customHeight="1">
      <c r="A2" s="60">
        <f>MAX(Renseignement!A:A)+1</f>
        <v>19</v>
      </c>
      <c r="B2" s="60" t="str">
        <f>IF($G7&gt;0,$G7,"")</f>
        <v/>
      </c>
      <c r="C2" s="60" t="str">
        <f>IF($G8&gt;0,$G8,"")</f>
        <v/>
      </c>
      <c r="D2" s="60" t="str">
        <f>IF($G9&gt;0,$G9,"")</f>
        <v/>
      </c>
      <c r="E2" s="61" t="str">
        <f>IF($G10&gt;0,$G10,"")</f>
        <v/>
      </c>
      <c r="F2" s="60" t="str">
        <f>IF($G11&gt;0,$G11,"")</f>
        <v/>
      </c>
      <c r="G2" s="60" t="str">
        <f>IF($G12&gt;0,$G12,"")</f>
        <v/>
      </c>
      <c r="H2" s="60" t="str">
        <f>IF($G13&gt;0,$G13,"")</f>
        <v/>
      </c>
      <c r="I2" s="60" t="str">
        <f>IF($G14&gt;0,$G14,"")</f>
        <v/>
      </c>
      <c r="J2" s="62" t="str">
        <f>IF($G15&gt;0,$G15,"")</f>
        <v/>
      </c>
      <c r="K2" s="60" t="str">
        <f>IF($G16&gt;0,$G16,"")</f>
        <v/>
      </c>
      <c r="L2" s="63" t="str">
        <f>IF($G17&gt;0,$G17,"")</f>
        <v/>
      </c>
      <c r="M2" s="60" t="str">
        <f>IF($G18&gt;0,$G18,"")</f>
        <v/>
      </c>
      <c r="N2" s="60" t="str">
        <f>IF($G19&gt;0,$G19,"")</f>
        <v/>
      </c>
    </row>
    <row r="3" spans="1:14">
      <c r="A3">
        <v>1</v>
      </c>
    </row>
    <row r="6" spans="1:14" ht="69.75" customHeight="1"/>
    <row r="7" spans="1:14" ht="27.95" customHeight="1">
      <c r="F7" s="91" t="s">
        <v>46</v>
      </c>
      <c r="G7" s="166"/>
    </row>
    <row r="8" spans="1:14" ht="27.95" customHeight="1">
      <c r="F8" s="91" t="s">
        <v>47</v>
      </c>
      <c r="G8" s="166"/>
    </row>
    <row r="9" spans="1:14" ht="27.95" customHeight="1">
      <c r="F9" s="91" t="s">
        <v>48</v>
      </c>
      <c r="G9" s="166"/>
    </row>
    <row r="10" spans="1:14" ht="27.95" customHeight="1">
      <c r="F10" s="91" t="s">
        <v>99</v>
      </c>
      <c r="G10" s="167"/>
    </row>
    <row r="11" spans="1:14" ht="27.95" customHeight="1">
      <c r="F11" s="91" t="s">
        <v>100</v>
      </c>
      <c r="G11" s="166"/>
    </row>
    <row r="12" spans="1:14" ht="27.95" customHeight="1">
      <c r="F12" s="91" t="s">
        <v>55</v>
      </c>
      <c r="G12" s="166"/>
    </row>
    <row r="13" spans="1:14" ht="27.95" customHeight="1">
      <c r="F13" s="91" t="s">
        <v>56</v>
      </c>
      <c r="G13" s="166"/>
    </row>
    <row r="14" spans="1:14" ht="27.95" customHeight="1">
      <c r="F14" s="91" t="s">
        <v>57</v>
      </c>
      <c r="G14" s="166"/>
    </row>
    <row r="15" spans="1:14" ht="27.95" customHeight="1">
      <c r="F15" s="91" t="s">
        <v>101</v>
      </c>
      <c r="G15" s="168"/>
    </row>
    <row r="16" spans="1:14" ht="27.95" customHeight="1">
      <c r="F16" s="91" t="s">
        <v>102</v>
      </c>
      <c r="G16" s="166"/>
    </row>
    <row r="17" spans="6:7" ht="27.95" customHeight="1">
      <c r="F17" s="91" t="s">
        <v>103</v>
      </c>
      <c r="G17" s="169"/>
    </row>
    <row r="18" spans="6:7" ht="27.95" customHeight="1">
      <c r="F18" s="91" t="s">
        <v>61</v>
      </c>
      <c r="G18" s="166"/>
    </row>
    <row r="19" spans="6:7" ht="27.95" customHeight="1">
      <c r="F19" s="91" t="s">
        <v>62</v>
      </c>
      <c r="G19" s="166"/>
    </row>
  </sheetData>
  <sheetProtection formatCells="0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27"/>
  <sheetViews>
    <sheetView showGridLines="0" tabSelected="1" zoomScaleNormal="100" workbookViewId="0">
      <selection activeCell="D3" sqref="D3"/>
    </sheetView>
  </sheetViews>
  <sheetFormatPr baseColWidth="10" defaultColWidth="9.140625" defaultRowHeight="15"/>
  <cols>
    <col min="1" max="1" width="24.140625" style="124" customWidth="1"/>
    <col min="2" max="2" width="17.42578125" style="95" customWidth="1"/>
    <col min="3" max="47" width="4.28515625" style="95" customWidth="1"/>
    <col min="48" max="49" width="9.140625" style="121" hidden="1" customWidth="1"/>
    <col min="50" max="16384" width="9.140625" style="95"/>
  </cols>
  <sheetData>
    <row r="1" spans="1:49" ht="66.75" customHeight="1">
      <c r="A1" s="123">
        <v>0</v>
      </c>
    </row>
    <row r="2" spans="1:49" ht="15.75" thickBot="1">
      <c r="N2" s="175">
        <v>42634</v>
      </c>
      <c r="O2" s="175"/>
      <c r="P2" s="175"/>
      <c r="Q2" s="175"/>
      <c r="R2" s="175"/>
    </row>
    <row r="3" spans="1:49" ht="37.5" customHeight="1" thickBot="1">
      <c r="N3" s="172">
        <v>42634</v>
      </c>
      <c r="O3" s="173"/>
      <c r="P3" s="173"/>
      <c r="Q3" s="173"/>
      <c r="R3" s="174"/>
    </row>
    <row r="6" spans="1:49" ht="42" customHeight="1">
      <c r="C6" s="96">
        <f>C9</f>
        <v>42634</v>
      </c>
      <c r="D6" s="97" t="str">
        <f>IF(DAY(D9)=1,D9,"")</f>
        <v/>
      </c>
      <c r="E6" s="97" t="str">
        <f>IF(DAY(E9)=1,E9,"")</f>
        <v/>
      </c>
      <c r="F6" s="97" t="str">
        <f t="shared" ref="F6:AU6" si="0">IF(DAY(F9)=1,F9,"")</f>
        <v/>
      </c>
      <c r="G6" s="97" t="str">
        <f t="shared" si="0"/>
        <v/>
      </c>
      <c r="H6" s="97" t="str">
        <f t="shared" si="0"/>
        <v/>
      </c>
      <c r="I6" s="97" t="str">
        <f t="shared" si="0"/>
        <v/>
      </c>
      <c r="J6" s="97" t="str">
        <f t="shared" si="0"/>
        <v/>
      </c>
      <c r="K6" s="97" t="str">
        <f t="shared" si="0"/>
        <v/>
      </c>
      <c r="L6" s="97" t="str">
        <f t="shared" si="0"/>
        <v/>
      </c>
      <c r="M6" s="97">
        <f t="shared" si="0"/>
        <v>42644</v>
      </c>
      <c r="N6" s="97" t="str">
        <f t="shared" si="0"/>
        <v/>
      </c>
      <c r="O6" s="97" t="str">
        <f t="shared" si="0"/>
        <v/>
      </c>
      <c r="P6" s="97" t="str">
        <f t="shared" si="0"/>
        <v/>
      </c>
      <c r="Q6" s="97" t="str">
        <f t="shared" si="0"/>
        <v/>
      </c>
      <c r="R6" s="97" t="str">
        <f t="shared" si="0"/>
        <v/>
      </c>
      <c r="S6" s="97" t="str">
        <f t="shared" si="0"/>
        <v/>
      </c>
      <c r="T6" s="97" t="str">
        <f t="shared" si="0"/>
        <v/>
      </c>
      <c r="U6" s="97" t="str">
        <f t="shared" si="0"/>
        <v/>
      </c>
      <c r="V6" s="97" t="str">
        <f t="shared" si="0"/>
        <v/>
      </c>
      <c r="W6" s="97" t="str">
        <f t="shared" si="0"/>
        <v/>
      </c>
      <c r="X6" s="97" t="str">
        <f t="shared" si="0"/>
        <v/>
      </c>
      <c r="Y6" s="97" t="str">
        <f t="shared" si="0"/>
        <v/>
      </c>
      <c r="Z6" s="97" t="str">
        <f t="shared" si="0"/>
        <v/>
      </c>
      <c r="AA6" s="97" t="str">
        <f t="shared" si="0"/>
        <v/>
      </c>
      <c r="AB6" s="97" t="str">
        <f t="shared" si="0"/>
        <v/>
      </c>
      <c r="AC6" s="97" t="str">
        <f t="shared" si="0"/>
        <v/>
      </c>
      <c r="AD6" s="97" t="str">
        <f t="shared" si="0"/>
        <v/>
      </c>
      <c r="AE6" s="97" t="str">
        <f t="shared" si="0"/>
        <v/>
      </c>
      <c r="AF6" s="97" t="str">
        <f t="shared" si="0"/>
        <v/>
      </c>
      <c r="AG6" s="97" t="str">
        <f t="shared" si="0"/>
        <v/>
      </c>
      <c r="AH6" s="97" t="str">
        <f t="shared" si="0"/>
        <v/>
      </c>
      <c r="AI6" s="97" t="str">
        <f t="shared" si="0"/>
        <v/>
      </c>
      <c r="AJ6" s="97" t="str">
        <f t="shared" si="0"/>
        <v/>
      </c>
      <c r="AK6" s="97" t="str">
        <f t="shared" si="0"/>
        <v/>
      </c>
      <c r="AL6" s="97" t="str">
        <f t="shared" si="0"/>
        <v/>
      </c>
      <c r="AM6" s="97" t="str">
        <f t="shared" si="0"/>
        <v/>
      </c>
      <c r="AN6" s="97" t="str">
        <f t="shared" si="0"/>
        <v/>
      </c>
      <c r="AO6" s="97" t="str">
        <f t="shared" si="0"/>
        <v/>
      </c>
      <c r="AP6" s="97" t="str">
        <f t="shared" si="0"/>
        <v/>
      </c>
      <c r="AQ6" s="97" t="str">
        <f t="shared" si="0"/>
        <v/>
      </c>
      <c r="AR6" s="97">
        <f t="shared" si="0"/>
        <v>42675</v>
      </c>
      <c r="AS6" s="97" t="str">
        <f t="shared" si="0"/>
        <v/>
      </c>
      <c r="AT6" s="97" t="str">
        <f t="shared" si="0"/>
        <v/>
      </c>
      <c r="AU6" s="98" t="str">
        <f t="shared" si="0"/>
        <v/>
      </c>
    </row>
    <row r="7" spans="1:49">
      <c r="C7" s="99" t="str">
        <f t="shared" ref="C7:AU7" si="1">IF(C8="L","S "&amp;_xlfn.ISOWEEKNUM(C9),"")</f>
        <v/>
      </c>
      <c r="D7" s="99" t="str">
        <f t="shared" si="1"/>
        <v/>
      </c>
      <c r="E7" s="99" t="str">
        <f t="shared" si="1"/>
        <v/>
      </c>
      <c r="F7" s="99" t="str">
        <f t="shared" si="1"/>
        <v/>
      </c>
      <c r="G7" s="99" t="str">
        <f t="shared" si="1"/>
        <v/>
      </c>
      <c r="H7" s="99" t="str">
        <f t="shared" si="1"/>
        <v>S 39</v>
      </c>
      <c r="I7" s="99" t="str">
        <f t="shared" si="1"/>
        <v/>
      </c>
      <c r="J7" s="99" t="str">
        <f t="shared" si="1"/>
        <v/>
      </c>
      <c r="K7" s="99" t="str">
        <f t="shared" si="1"/>
        <v/>
      </c>
      <c r="L7" s="99" t="str">
        <f t="shared" si="1"/>
        <v/>
      </c>
      <c r="M7" s="99" t="str">
        <f t="shared" si="1"/>
        <v/>
      </c>
      <c r="N7" s="99" t="str">
        <f t="shared" si="1"/>
        <v/>
      </c>
      <c r="O7" s="99" t="str">
        <f t="shared" si="1"/>
        <v>S 40</v>
      </c>
      <c r="P7" s="99" t="str">
        <f t="shared" si="1"/>
        <v/>
      </c>
      <c r="Q7" s="99" t="str">
        <f t="shared" si="1"/>
        <v/>
      </c>
      <c r="R7" s="99" t="str">
        <f t="shared" si="1"/>
        <v/>
      </c>
      <c r="S7" s="99" t="str">
        <f t="shared" si="1"/>
        <v/>
      </c>
      <c r="T7" s="99" t="str">
        <f t="shared" si="1"/>
        <v/>
      </c>
      <c r="U7" s="99" t="str">
        <f t="shared" si="1"/>
        <v/>
      </c>
      <c r="V7" s="99" t="str">
        <f t="shared" si="1"/>
        <v>S 41</v>
      </c>
      <c r="W7" s="99" t="str">
        <f t="shared" si="1"/>
        <v/>
      </c>
      <c r="X7" s="99" t="str">
        <f t="shared" si="1"/>
        <v/>
      </c>
      <c r="Y7" s="99" t="str">
        <f t="shared" si="1"/>
        <v/>
      </c>
      <c r="Z7" s="99" t="str">
        <f t="shared" si="1"/>
        <v/>
      </c>
      <c r="AA7" s="99" t="str">
        <f t="shared" si="1"/>
        <v/>
      </c>
      <c r="AB7" s="99" t="str">
        <f t="shared" si="1"/>
        <v/>
      </c>
      <c r="AC7" s="99" t="str">
        <f t="shared" si="1"/>
        <v>S 42</v>
      </c>
      <c r="AD7" s="99" t="str">
        <f t="shared" si="1"/>
        <v/>
      </c>
      <c r="AE7" s="99" t="str">
        <f t="shared" si="1"/>
        <v/>
      </c>
      <c r="AF7" s="99" t="str">
        <f t="shared" si="1"/>
        <v/>
      </c>
      <c r="AG7" s="99" t="str">
        <f t="shared" si="1"/>
        <v/>
      </c>
      <c r="AH7" s="99" t="str">
        <f t="shared" si="1"/>
        <v/>
      </c>
      <c r="AI7" s="99" t="str">
        <f t="shared" si="1"/>
        <v/>
      </c>
      <c r="AJ7" s="99" t="str">
        <f t="shared" si="1"/>
        <v>S 43</v>
      </c>
      <c r="AK7" s="99" t="str">
        <f t="shared" si="1"/>
        <v/>
      </c>
      <c r="AL7" s="99" t="str">
        <f t="shared" si="1"/>
        <v/>
      </c>
      <c r="AM7" s="99" t="str">
        <f t="shared" si="1"/>
        <v/>
      </c>
      <c r="AN7" s="99" t="str">
        <f t="shared" si="1"/>
        <v/>
      </c>
      <c r="AO7" s="99" t="str">
        <f t="shared" si="1"/>
        <v/>
      </c>
      <c r="AP7" s="99" t="str">
        <f t="shared" si="1"/>
        <v/>
      </c>
      <c r="AQ7" s="99" t="str">
        <f t="shared" si="1"/>
        <v>S 44</v>
      </c>
      <c r="AR7" s="99" t="str">
        <f t="shared" si="1"/>
        <v/>
      </c>
      <c r="AS7" s="99" t="str">
        <f t="shared" si="1"/>
        <v/>
      </c>
      <c r="AT7" s="99" t="str">
        <f t="shared" si="1"/>
        <v/>
      </c>
      <c r="AU7" s="99" t="str">
        <f t="shared" si="1"/>
        <v/>
      </c>
    </row>
    <row r="8" spans="1:49">
      <c r="A8" s="125"/>
      <c r="C8" s="100" t="str">
        <f>UPPER(LEFT(TEXT(C9,"jjj")))</f>
        <v>M</v>
      </c>
      <c r="D8" s="100" t="str">
        <f t="shared" ref="D8:AU8" si="2">UPPER(LEFT(TEXT(D9,"jjj")))</f>
        <v>J</v>
      </c>
      <c r="E8" s="100" t="str">
        <f t="shared" si="2"/>
        <v>V</v>
      </c>
      <c r="F8" s="100" t="str">
        <f t="shared" si="2"/>
        <v>S</v>
      </c>
      <c r="G8" s="100" t="str">
        <f t="shared" si="2"/>
        <v>D</v>
      </c>
      <c r="H8" s="100" t="str">
        <f t="shared" si="2"/>
        <v>L</v>
      </c>
      <c r="I8" s="100" t="str">
        <f t="shared" si="2"/>
        <v>M</v>
      </c>
      <c r="J8" s="100" t="str">
        <f t="shared" si="2"/>
        <v>M</v>
      </c>
      <c r="K8" s="100" t="str">
        <f t="shared" si="2"/>
        <v>J</v>
      </c>
      <c r="L8" s="100" t="str">
        <f t="shared" si="2"/>
        <v>V</v>
      </c>
      <c r="M8" s="100" t="str">
        <f t="shared" si="2"/>
        <v>S</v>
      </c>
      <c r="N8" s="100" t="str">
        <f t="shared" si="2"/>
        <v>D</v>
      </c>
      <c r="O8" s="100" t="str">
        <f t="shared" si="2"/>
        <v>L</v>
      </c>
      <c r="P8" s="100" t="str">
        <f t="shared" si="2"/>
        <v>M</v>
      </c>
      <c r="Q8" s="100" t="str">
        <f t="shared" si="2"/>
        <v>M</v>
      </c>
      <c r="R8" s="100" t="str">
        <f t="shared" si="2"/>
        <v>J</v>
      </c>
      <c r="S8" s="100" t="str">
        <f t="shared" si="2"/>
        <v>V</v>
      </c>
      <c r="T8" s="100" t="str">
        <f t="shared" si="2"/>
        <v>S</v>
      </c>
      <c r="U8" s="100" t="str">
        <f t="shared" si="2"/>
        <v>D</v>
      </c>
      <c r="V8" s="100" t="str">
        <f t="shared" si="2"/>
        <v>L</v>
      </c>
      <c r="W8" s="100" t="str">
        <f t="shared" si="2"/>
        <v>M</v>
      </c>
      <c r="X8" s="100" t="str">
        <f t="shared" si="2"/>
        <v>M</v>
      </c>
      <c r="Y8" s="100" t="str">
        <f t="shared" si="2"/>
        <v>J</v>
      </c>
      <c r="Z8" s="100" t="str">
        <f t="shared" si="2"/>
        <v>V</v>
      </c>
      <c r="AA8" s="100" t="str">
        <f t="shared" si="2"/>
        <v>S</v>
      </c>
      <c r="AB8" s="100" t="str">
        <f t="shared" si="2"/>
        <v>D</v>
      </c>
      <c r="AC8" s="100" t="str">
        <f t="shared" si="2"/>
        <v>L</v>
      </c>
      <c r="AD8" s="100" t="str">
        <f t="shared" si="2"/>
        <v>M</v>
      </c>
      <c r="AE8" s="100" t="str">
        <f t="shared" si="2"/>
        <v>M</v>
      </c>
      <c r="AF8" s="100" t="str">
        <f t="shared" si="2"/>
        <v>J</v>
      </c>
      <c r="AG8" s="100" t="str">
        <f t="shared" si="2"/>
        <v>V</v>
      </c>
      <c r="AH8" s="100" t="str">
        <f t="shared" si="2"/>
        <v>S</v>
      </c>
      <c r="AI8" s="100" t="str">
        <f t="shared" si="2"/>
        <v>D</v>
      </c>
      <c r="AJ8" s="100" t="str">
        <f t="shared" si="2"/>
        <v>L</v>
      </c>
      <c r="AK8" s="100" t="str">
        <f t="shared" si="2"/>
        <v>M</v>
      </c>
      <c r="AL8" s="100" t="str">
        <f t="shared" si="2"/>
        <v>M</v>
      </c>
      <c r="AM8" s="100" t="str">
        <f t="shared" si="2"/>
        <v>J</v>
      </c>
      <c r="AN8" s="100" t="str">
        <f t="shared" si="2"/>
        <v>V</v>
      </c>
      <c r="AO8" s="100" t="str">
        <f t="shared" si="2"/>
        <v>S</v>
      </c>
      <c r="AP8" s="100" t="str">
        <f t="shared" si="2"/>
        <v>D</v>
      </c>
      <c r="AQ8" s="100" t="str">
        <f t="shared" si="2"/>
        <v>L</v>
      </c>
      <c r="AR8" s="100" t="str">
        <f t="shared" si="2"/>
        <v>M</v>
      </c>
      <c r="AS8" s="100" t="str">
        <f t="shared" si="2"/>
        <v>M</v>
      </c>
      <c r="AT8" s="100" t="str">
        <f t="shared" si="2"/>
        <v>J</v>
      </c>
      <c r="AU8" s="100" t="str">
        <f t="shared" si="2"/>
        <v>V</v>
      </c>
    </row>
    <row r="9" spans="1:49">
      <c r="A9" s="126" t="s">
        <v>159</v>
      </c>
      <c r="B9" s="128" t="s">
        <v>50</v>
      </c>
      <c r="C9" s="101">
        <f>N3</f>
        <v>42634</v>
      </c>
      <c r="D9" s="101">
        <f>C9+1</f>
        <v>42635</v>
      </c>
      <c r="E9" s="101">
        <f t="shared" ref="E9:AU9" si="3">D9+1</f>
        <v>42636</v>
      </c>
      <c r="F9" s="101">
        <f t="shared" si="3"/>
        <v>42637</v>
      </c>
      <c r="G9" s="101">
        <f t="shared" si="3"/>
        <v>42638</v>
      </c>
      <c r="H9" s="101">
        <f t="shared" si="3"/>
        <v>42639</v>
      </c>
      <c r="I9" s="101">
        <f t="shared" si="3"/>
        <v>42640</v>
      </c>
      <c r="J9" s="101">
        <f t="shared" si="3"/>
        <v>42641</v>
      </c>
      <c r="K9" s="101">
        <f t="shared" si="3"/>
        <v>42642</v>
      </c>
      <c r="L9" s="101">
        <f t="shared" si="3"/>
        <v>42643</v>
      </c>
      <c r="M9" s="101">
        <f t="shared" si="3"/>
        <v>42644</v>
      </c>
      <c r="N9" s="101">
        <f t="shared" si="3"/>
        <v>42645</v>
      </c>
      <c r="O9" s="101">
        <f t="shared" si="3"/>
        <v>42646</v>
      </c>
      <c r="P9" s="101">
        <f t="shared" si="3"/>
        <v>42647</v>
      </c>
      <c r="Q9" s="101">
        <f t="shared" si="3"/>
        <v>42648</v>
      </c>
      <c r="R9" s="101">
        <f t="shared" si="3"/>
        <v>42649</v>
      </c>
      <c r="S9" s="101">
        <f t="shared" si="3"/>
        <v>42650</v>
      </c>
      <c r="T9" s="101">
        <f t="shared" si="3"/>
        <v>42651</v>
      </c>
      <c r="U9" s="101">
        <f t="shared" si="3"/>
        <v>42652</v>
      </c>
      <c r="V9" s="101">
        <f t="shared" si="3"/>
        <v>42653</v>
      </c>
      <c r="W9" s="101">
        <f t="shared" si="3"/>
        <v>42654</v>
      </c>
      <c r="X9" s="101">
        <f t="shared" si="3"/>
        <v>42655</v>
      </c>
      <c r="Y9" s="101">
        <f t="shared" si="3"/>
        <v>42656</v>
      </c>
      <c r="Z9" s="101">
        <f t="shared" si="3"/>
        <v>42657</v>
      </c>
      <c r="AA9" s="101">
        <f t="shared" si="3"/>
        <v>42658</v>
      </c>
      <c r="AB9" s="101">
        <f t="shared" si="3"/>
        <v>42659</v>
      </c>
      <c r="AC9" s="101">
        <f t="shared" si="3"/>
        <v>42660</v>
      </c>
      <c r="AD9" s="101">
        <f t="shared" si="3"/>
        <v>42661</v>
      </c>
      <c r="AE9" s="101">
        <f t="shared" si="3"/>
        <v>42662</v>
      </c>
      <c r="AF9" s="101">
        <f t="shared" si="3"/>
        <v>42663</v>
      </c>
      <c r="AG9" s="101">
        <f t="shared" si="3"/>
        <v>42664</v>
      </c>
      <c r="AH9" s="101">
        <f t="shared" si="3"/>
        <v>42665</v>
      </c>
      <c r="AI9" s="101">
        <f t="shared" si="3"/>
        <v>42666</v>
      </c>
      <c r="AJ9" s="101">
        <f t="shared" si="3"/>
        <v>42667</v>
      </c>
      <c r="AK9" s="101">
        <f t="shared" si="3"/>
        <v>42668</v>
      </c>
      <c r="AL9" s="101">
        <f t="shared" si="3"/>
        <v>42669</v>
      </c>
      <c r="AM9" s="101">
        <f t="shared" si="3"/>
        <v>42670</v>
      </c>
      <c r="AN9" s="101">
        <f t="shared" si="3"/>
        <v>42671</v>
      </c>
      <c r="AO9" s="101">
        <f t="shared" si="3"/>
        <v>42672</v>
      </c>
      <c r="AP9" s="101">
        <f t="shared" si="3"/>
        <v>42673</v>
      </c>
      <c r="AQ9" s="101">
        <f t="shared" si="3"/>
        <v>42674</v>
      </c>
      <c r="AR9" s="101">
        <f t="shared" si="3"/>
        <v>42675</v>
      </c>
      <c r="AS9" s="101">
        <f t="shared" si="3"/>
        <v>42676</v>
      </c>
      <c r="AT9" s="101">
        <f t="shared" si="3"/>
        <v>42677</v>
      </c>
      <c r="AU9" s="101">
        <f t="shared" si="3"/>
        <v>42678</v>
      </c>
    </row>
    <row r="10" spans="1:49" hidden="1">
      <c r="A10" s="127" t="str">
        <f ca="1">IF(ISERROR(IF(AV10="","",IF(AW10&lt;=TODAY(),"Pas à jour depuis "&amp;TRIM(IF(TODAY()-AW10,TEXT(DATEDIF(AW10,TODAY(),"y"),"[&gt;1]0"" ans"";[&gt;]""1 an"";")&amp;TEXT(DATEDIF(AW10,TODAY(),"ym"),"[&gt;] 0"" mois "";")&amp;TEXT(DATEDIF(AW10,TODAY(),"md"),"[&gt;1]0"" jours"";[&gt;]""1 jour"";"),"0 jour")),TRIM(IF(AW10-TODAY(),TEXT(DATEDIF(TODAY(),AW10,"y"),"[&gt;1]0"" ans"";[&gt;]""1 an"";")&amp;TEXT(DATEDIF(TODAY(),AW10,"ym"),"[&gt;] 0"" mois "";")&amp;TEXT(DATEDIF(TODAY(),AW10,"md"),"[&gt;1]0"" jours"";[&gt;]""1 jour"";"),"0 jour"))))),"",IF(AW10="","",IF(AW10&lt;=TODAY(),"Pas à jour depuis "&amp;TRIM(IF(TODAY()-AW10,TEXT(DATEDIF(AW10,TODAY(),"y"),"[&gt;1]0"" ans"";[&gt;]""1 an"";")&amp;TEXT(DATEDIF(AW10,TODAY(),"ym"),"[&gt;] 0"" mois "";")&amp;TEXT(DATEDIF(AW10,TODAY(),"md"),"[&gt;1]0"" jours"";[&gt;]""1 jour"";"),"0 jour")),TRIM(IF(AW10-TODAY(),TEXT(DATEDIF(TODAY(),AW10,"y"),"[&gt;1]0"" ans"";[&gt;]""1 an"";")&amp;TEXT(DATEDIF(TODAY(),AW10,"ym"),"[&gt;] 0"" mois "";")&amp;TEXT(DATEDIF(TODAY(),AW10,"md"),"[&gt;1]0"" jours"";[&gt;]""1 jour"";"),"0 jour")))))</f>
        <v/>
      </c>
      <c r="B10" s="129" t="s">
        <v>106</v>
      </c>
      <c r="C10" s="102" t="s">
        <v>107</v>
      </c>
      <c r="D10" s="102" t="s">
        <v>108</v>
      </c>
      <c r="E10" s="102" t="s">
        <v>109</v>
      </c>
      <c r="F10" s="102" t="s">
        <v>110</v>
      </c>
      <c r="G10" s="102" t="s">
        <v>111</v>
      </c>
      <c r="H10" s="102" t="s">
        <v>112</v>
      </c>
      <c r="I10" s="102" t="s">
        <v>113</v>
      </c>
      <c r="J10" s="102" t="s">
        <v>114</v>
      </c>
      <c r="K10" s="102" t="s">
        <v>115</v>
      </c>
      <c r="L10" s="102" t="s">
        <v>116</v>
      </c>
      <c r="M10" s="102" t="s">
        <v>117</v>
      </c>
      <c r="N10" s="102" t="s">
        <v>118</v>
      </c>
      <c r="O10" s="102" t="s">
        <v>119</v>
      </c>
      <c r="P10" s="102" t="s">
        <v>120</v>
      </c>
      <c r="Q10" s="102" t="s">
        <v>121</v>
      </c>
      <c r="R10" s="102" t="s">
        <v>122</v>
      </c>
      <c r="S10" s="102" t="s">
        <v>123</v>
      </c>
      <c r="T10" s="102" t="s">
        <v>124</v>
      </c>
      <c r="U10" s="102" t="s">
        <v>125</v>
      </c>
      <c r="V10" s="102" t="s">
        <v>126</v>
      </c>
      <c r="W10" s="102" t="s">
        <v>127</v>
      </c>
      <c r="X10" s="102" t="s">
        <v>128</v>
      </c>
      <c r="Y10" s="102" t="s">
        <v>129</v>
      </c>
      <c r="Z10" s="102" t="s">
        <v>130</v>
      </c>
      <c r="AA10" s="102" t="s">
        <v>131</v>
      </c>
      <c r="AB10" s="102" t="s">
        <v>132</v>
      </c>
      <c r="AC10" s="102" t="s">
        <v>133</v>
      </c>
      <c r="AD10" s="102" t="s">
        <v>134</v>
      </c>
      <c r="AE10" s="102" t="s">
        <v>135</v>
      </c>
      <c r="AF10" s="102" t="s">
        <v>136</v>
      </c>
      <c r="AG10" s="102" t="s">
        <v>137</v>
      </c>
      <c r="AH10" s="102" t="s">
        <v>138</v>
      </c>
      <c r="AI10" s="102" t="s">
        <v>139</v>
      </c>
      <c r="AJ10" s="102" t="s">
        <v>140</v>
      </c>
      <c r="AK10" s="102" t="s">
        <v>141</v>
      </c>
      <c r="AL10" s="102" t="s">
        <v>142</v>
      </c>
      <c r="AM10" s="102" t="s">
        <v>143</v>
      </c>
      <c r="AN10" s="102" t="s">
        <v>144</v>
      </c>
      <c r="AO10" s="102" t="s">
        <v>145</v>
      </c>
      <c r="AP10" s="102" t="s">
        <v>146</v>
      </c>
      <c r="AQ10" s="102" t="s">
        <v>147</v>
      </c>
      <c r="AR10" s="102" t="s">
        <v>148</v>
      </c>
      <c r="AS10" s="102" t="s">
        <v>149</v>
      </c>
      <c r="AT10" s="102" t="s">
        <v>150</v>
      </c>
      <c r="AU10" s="102" t="s">
        <v>151</v>
      </c>
      <c r="AV10" s="122" t="s">
        <v>157</v>
      </c>
      <c r="AW10" s="122" t="s">
        <v>158</v>
      </c>
    </row>
    <row r="11" spans="1:49" ht="15" hidden="1" customHeight="1">
      <c r="A11" s="127" t="str">
        <f t="shared" ref="A11:A27" ca="1" si="4">IF(ISERROR(IF(AV11="","",IF(AW11&lt;=TODAY(),"Pas à jour depuis "&amp;TRIM(IF(TODAY()-AW11,TEXT(DATEDIF(AW11,TODAY(),"y"),"[&gt;1]0"" ans"";[&gt;]""1 an"";")&amp;TEXT(DATEDIF(AW11,TODAY(),"ym"),"[&gt;] 0"" mois "";")&amp;TEXT(DATEDIF(AW11,TODAY(),"md"),"[&gt;1]0"" jours"";[&gt;]""1 jour"";"),"0 jour")),TRIM(IF(AW11-TODAY(),TEXT(DATEDIF(TODAY(),AW11,"y"),"[&gt;1]0"" ans"";[&gt;]""1 an"";")&amp;TEXT(DATEDIF(TODAY(),AW11,"ym"),"[&gt;] 0"" mois "";")&amp;TEXT(DATEDIF(TODAY(),AW11,"md"),"[&gt;1]0"" jours"";[&gt;]""1 jour"";"),"0 jour"))))),"",IF(AW11="","",IF(AW11&lt;=TODAY(),"Pas à jour depuis "&amp;TRIM(IF(TODAY()-AW11,TEXT(DATEDIF(AW11,TODAY(),"y"),"[&gt;1]0"" ans"";[&gt;]""1 an"";")&amp;TEXT(DATEDIF(AW11,TODAY(),"ym"),"[&gt;] 0"" mois "";")&amp;TEXT(DATEDIF(AW11,TODAY(),"md"),"[&gt;1]0"" jours"";[&gt;]""1 jour"";"),"0 jour")),TRIM(IF(AW11-TODAY(),TEXT(DATEDIF(TODAY(),AW11,"y"),"[&gt;1]0"" ans"";[&gt;]""1 an"";")&amp;TEXT(DATEDIF(TODAY(),AW11,"ym"),"[&gt;] 0"" mois "";")&amp;TEXT(DATEDIF(TODAY(),AW11,"md"),"[&gt;1]0"" jours"";[&gt;]""1 jour"";"),"0 jour")))))</f>
        <v>Pas à jour depuis 116 ans 7 mois 11 jours</v>
      </c>
      <c r="B11" s="129" t="s">
        <v>106</v>
      </c>
      <c r="C11" s="112" t="str">
        <f>IFERROR(VLOOKUP($B11&amp;C$9,Tableau1[],4,FALSE),"")</f>
        <v/>
      </c>
      <c r="D11" s="112" t="str">
        <f>IFERROR(VLOOKUP($B11&amp;D$9,Tableau1[],4,FALSE),"")</f>
        <v/>
      </c>
      <c r="E11" s="112" t="str">
        <f>IFERROR(VLOOKUP($B11&amp;E$9,Tableau1[],4,FALSE),"")</f>
        <v/>
      </c>
      <c r="F11" s="112" t="str">
        <f>IFERROR(VLOOKUP($B11&amp;F$9,Tableau1[],4,FALSE),"")</f>
        <v/>
      </c>
      <c r="G11" s="112" t="str">
        <f>IFERROR(VLOOKUP($B11&amp;G$9,Tableau1[],4,FALSE),"")</f>
        <v/>
      </c>
      <c r="H11" s="112" t="str">
        <f>IFERROR(VLOOKUP($B11&amp;H$9,Tableau1[],4,FALSE),"")</f>
        <v/>
      </c>
      <c r="I11" s="112" t="str">
        <f>IFERROR(VLOOKUP($B11&amp;I$9,Tableau1[],4,FALSE),"")</f>
        <v/>
      </c>
      <c r="J11" s="112" t="str">
        <f>IFERROR(VLOOKUP($B11&amp;J$9,Tableau1[],4,FALSE),"")</f>
        <v/>
      </c>
      <c r="K11" s="112" t="str">
        <f>IFERROR(VLOOKUP($B11&amp;K$9,Tableau1[],4,FALSE),"")</f>
        <v/>
      </c>
      <c r="L11" s="112" t="str">
        <f>IFERROR(VLOOKUP($B11&amp;L$9,Tableau1[],4,FALSE),"")</f>
        <v/>
      </c>
      <c r="M11" s="112" t="str">
        <f>IFERROR(VLOOKUP($B11&amp;M$9,Tableau1[],4,FALSE),"")</f>
        <v/>
      </c>
      <c r="N11" s="112" t="str">
        <f>IFERROR(VLOOKUP($B11&amp;N$9,Tableau1[],4,FALSE),"")</f>
        <v/>
      </c>
      <c r="O11" s="112" t="str">
        <f>IFERROR(VLOOKUP($B11&amp;O$9,Tableau1[],4,FALSE),"")</f>
        <v/>
      </c>
      <c r="P11" s="112" t="str">
        <f>IFERROR(VLOOKUP($B11&amp;P$9,Tableau1[],4,FALSE),"")</f>
        <v/>
      </c>
      <c r="Q11" s="112" t="str">
        <f>IFERROR(VLOOKUP($B11&amp;Q$9,Tableau1[],4,FALSE),"")</f>
        <v/>
      </c>
      <c r="R11" s="112" t="str">
        <f>IFERROR(VLOOKUP($B11&amp;R$9,Tableau1[],4,FALSE),"")</f>
        <v/>
      </c>
      <c r="S11" s="112" t="str">
        <f>IFERROR(VLOOKUP($B11&amp;S$9,Tableau1[],4,FALSE),"")</f>
        <v/>
      </c>
      <c r="T11" s="112" t="str">
        <f>IFERROR(VLOOKUP($B11&amp;T$9,Tableau1[],4,FALSE),"")</f>
        <v/>
      </c>
      <c r="U11" s="112" t="str">
        <f>IFERROR(VLOOKUP($B11&amp;U$9,Tableau1[],4,FALSE),"")</f>
        <v/>
      </c>
      <c r="V11" s="112" t="str">
        <f>IFERROR(VLOOKUP($B11&amp;V$9,Tableau1[],4,FALSE),"")</f>
        <v/>
      </c>
      <c r="W11" s="112" t="str">
        <f>IFERROR(VLOOKUP($B11&amp;W$9,Tableau1[],4,FALSE),"")</f>
        <v/>
      </c>
      <c r="X11" s="112" t="str">
        <f>IFERROR(VLOOKUP($B11&amp;X$9,Tableau1[],4,FALSE),"")</f>
        <v/>
      </c>
      <c r="Y11" s="112" t="str">
        <f>IFERROR(VLOOKUP($B11&amp;Y$9,Tableau1[],4,FALSE),"")</f>
        <v/>
      </c>
      <c r="Z11" s="112" t="str">
        <f>IFERROR(VLOOKUP($B11&amp;Z$9,Tableau1[],4,FALSE),"")</f>
        <v/>
      </c>
      <c r="AA11" s="112" t="str">
        <f>IFERROR(VLOOKUP($B11&amp;AA$9,Tableau1[],4,FALSE),"")</f>
        <v/>
      </c>
      <c r="AB11" s="112" t="str">
        <f>IFERROR(VLOOKUP($B11&amp;AB$9,Tableau1[],4,FALSE),"")</f>
        <v/>
      </c>
      <c r="AC11" s="112" t="str">
        <f>IFERROR(VLOOKUP($B11&amp;AC$9,Tableau1[],4,FALSE),"")</f>
        <v/>
      </c>
      <c r="AD11" s="112" t="str">
        <f>IFERROR(VLOOKUP($B11&amp;AD$9,Tableau1[],4,FALSE),"")</f>
        <v/>
      </c>
      <c r="AE11" s="112" t="str">
        <f>IFERROR(VLOOKUP($B11&amp;AE$9,Tableau1[],4,FALSE),"")</f>
        <v/>
      </c>
      <c r="AF11" s="112" t="str">
        <f>IFERROR(VLOOKUP($B11&amp;AF$9,Tableau1[],4,FALSE),"")</f>
        <v/>
      </c>
      <c r="AG11" s="112" t="str">
        <f>IFERROR(VLOOKUP($B11&amp;AG$9,Tableau1[],4,FALSE),"")</f>
        <v/>
      </c>
      <c r="AH11" s="112" t="str">
        <f>IFERROR(VLOOKUP($B11&amp;AH$9,Tableau1[],4,FALSE),"")</f>
        <v/>
      </c>
      <c r="AI11" s="112" t="str">
        <f>IFERROR(VLOOKUP($B11&amp;AI$9,Tableau1[],4,FALSE),"")</f>
        <v/>
      </c>
      <c r="AJ11" s="112" t="str">
        <f>IFERROR(VLOOKUP($B11&amp;AJ$9,Tableau1[],4,FALSE),"")</f>
        <v/>
      </c>
      <c r="AK11" s="112" t="str">
        <f>IFERROR(VLOOKUP($B11&amp;AK$9,Tableau1[],4,FALSE),"")</f>
        <v/>
      </c>
      <c r="AL11" s="112" t="str">
        <f>IFERROR(VLOOKUP($B11&amp;AL$9,Tableau1[],4,FALSE),"")</f>
        <v/>
      </c>
      <c r="AM11" s="112" t="str">
        <f>IFERROR(VLOOKUP($B11&amp;AM$9,Tableau1[],4,FALSE),"")</f>
        <v/>
      </c>
      <c r="AN11" s="112" t="str">
        <f>IFERROR(VLOOKUP($B11&amp;AN$9,Tableau1[],4,FALSE),"")</f>
        <v/>
      </c>
      <c r="AO11" s="112" t="str">
        <f>IFERROR(VLOOKUP($B11&amp;AO$9,Tableau1[],4,FALSE),"")</f>
        <v/>
      </c>
      <c r="AP11" s="112" t="str">
        <f>IFERROR(VLOOKUP($B11&amp;AP$9,Tableau1[],4,FALSE),"")</f>
        <v/>
      </c>
      <c r="AQ11" s="112" t="str">
        <f>IFERROR(VLOOKUP($B11&amp;AQ$9,Tableau1[],4,FALSE),"")</f>
        <v/>
      </c>
      <c r="AR11" s="112" t="str">
        <f>IFERROR(VLOOKUP($B11&amp;AR$9,Tableau1[],4,FALSE),"")</f>
        <v/>
      </c>
      <c r="AS11" s="112" t="str">
        <f>IFERROR(VLOOKUP($B11&amp;AS$9,Tableau1[],4,FALSE),"")</f>
        <v/>
      </c>
      <c r="AT11" s="112" t="str">
        <f>IFERROR(VLOOKUP($B11&amp;AT$9,Tableau1[],4,FALSE),"")</f>
        <v/>
      </c>
      <c r="AU11" s="112" t="str">
        <f>IFERROR(VLOOKUP($B11&amp;AU$9,Tableau1[],4,FALSE),"")</f>
        <v/>
      </c>
      <c r="AV11" s="122">
        <f t="array" aca="1" ref="AV11" ca="1">MAX(IF((Tableau1[MOTIF]="TIR")*(Tableau1[NOM]=B11)*(Tableau1[DATE]&lt;=TODAY()),Tableau1[DATE]))</f>
        <v>0</v>
      </c>
      <c r="AW11" s="122">
        <f ca="1">Tableau2[[#This Row],[Colonne46]]+42</f>
        <v>42</v>
      </c>
    </row>
    <row r="12" spans="1:49">
      <c r="A12" s="127" t="str">
        <f t="shared" ca="1" si="4"/>
        <v>Pas à jour depuis 116 ans 7 mois 11 jours</v>
      </c>
      <c r="B12" s="135" t="s">
        <v>196</v>
      </c>
      <c r="C12" s="112" t="str">
        <f>IFERROR(VLOOKUP($B12&amp;C$9,Tableau1[],4,FALSE),"")</f>
        <v/>
      </c>
      <c r="D12" s="112" t="str">
        <f>IFERROR(VLOOKUP($B12&amp;D$9,Tableau1[],4,FALSE),"")</f>
        <v/>
      </c>
      <c r="E12" s="112" t="str">
        <f>IFERROR(VLOOKUP($B12&amp;E$9,Tableau1[],4,FALSE),"")</f>
        <v/>
      </c>
      <c r="F12" s="112" t="str">
        <f>IFERROR(VLOOKUP($B12&amp;F$9,Tableau1[],4,FALSE),"")</f>
        <v/>
      </c>
      <c r="G12" s="112" t="str">
        <f>IFERROR(VLOOKUP($B12&amp;G$9,Tableau1[],4,FALSE),"")</f>
        <v/>
      </c>
      <c r="H12" s="112" t="str">
        <f>IFERROR(VLOOKUP($B12&amp;H$9,Tableau1[],4,FALSE),"")</f>
        <v/>
      </c>
      <c r="I12" s="112" t="str">
        <f>IFERROR(VLOOKUP($B12&amp;I$9,Tableau1[],4,FALSE),"")</f>
        <v/>
      </c>
      <c r="J12" s="112" t="str">
        <f>IFERROR(VLOOKUP($B12&amp;J$9,Tableau1[],4,FALSE),"")</f>
        <v/>
      </c>
      <c r="K12" s="112" t="str">
        <f>IFERROR(VLOOKUP($B12&amp;K$9,Tableau1[],4,FALSE),"")</f>
        <v/>
      </c>
      <c r="L12" s="112" t="str">
        <f>IFERROR(VLOOKUP($B12&amp;L$9,Tableau1[],4,FALSE),"")</f>
        <v/>
      </c>
      <c r="M12" s="112" t="str">
        <f>IFERROR(VLOOKUP($B12&amp;M$9,Tableau1[],4,FALSE),"")</f>
        <v/>
      </c>
      <c r="N12" s="112" t="str">
        <f>IFERROR(VLOOKUP($B12&amp;N$9,Tableau1[],4,FALSE),"")</f>
        <v/>
      </c>
      <c r="O12" s="112" t="str">
        <f>IFERROR(VLOOKUP($B12&amp;O$9,Tableau1[],4,FALSE),"")</f>
        <v/>
      </c>
      <c r="P12" s="112" t="str">
        <f>IFERROR(VLOOKUP($B12&amp;P$9,Tableau1[],4,FALSE),"")</f>
        <v/>
      </c>
      <c r="Q12" s="112" t="str">
        <f>IFERROR(VLOOKUP($B12&amp;Q$9,Tableau1[],4,FALSE),"")</f>
        <v/>
      </c>
      <c r="R12" s="112" t="str">
        <f>IFERROR(VLOOKUP($B12&amp;R$9,Tableau1[],4,FALSE),"")</f>
        <v/>
      </c>
      <c r="S12" s="112" t="str">
        <f>IFERROR(VLOOKUP($B12&amp;S$9,Tableau1[],4,FALSE),"")</f>
        <v/>
      </c>
      <c r="T12" s="112" t="str">
        <f>IFERROR(VLOOKUP($B12&amp;T$9,Tableau1[],4,FALSE),"")</f>
        <v/>
      </c>
      <c r="U12" s="112" t="str">
        <f>IFERROR(VLOOKUP($B12&amp;U$9,Tableau1[],4,FALSE),"")</f>
        <v/>
      </c>
      <c r="V12" s="112" t="str">
        <f>IFERROR(VLOOKUP($B12&amp;V$9,Tableau1[],4,FALSE),"")</f>
        <v/>
      </c>
      <c r="W12" s="112" t="str">
        <f>IFERROR(VLOOKUP($B12&amp;W$9,Tableau1[],4,FALSE),"")</f>
        <v/>
      </c>
      <c r="X12" s="112" t="str">
        <f>IFERROR(VLOOKUP($B12&amp;X$9,Tableau1[],4,FALSE),"")</f>
        <v/>
      </c>
      <c r="Y12" s="112" t="str">
        <f>IFERROR(VLOOKUP($B12&amp;Y$9,Tableau1[],4,FALSE),"")</f>
        <v/>
      </c>
      <c r="Z12" s="112" t="str">
        <f>IFERROR(VLOOKUP($B12&amp;Z$9,Tableau1[],4,FALSE),"")</f>
        <v/>
      </c>
      <c r="AA12" s="112" t="str">
        <f>IFERROR(VLOOKUP($B12&amp;AA$9,Tableau1[],4,FALSE),"")</f>
        <v/>
      </c>
      <c r="AB12" s="112" t="str">
        <f>IFERROR(VLOOKUP($B12&amp;AB$9,Tableau1[],4,FALSE),"")</f>
        <v/>
      </c>
      <c r="AC12" s="112" t="str">
        <f>IFERROR(VLOOKUP($B12&amp;AC$9,Tableau1[],4,FALSE),"")</f>
        <v/>
      </c>
      <c r="AD12" s="112" t="str">
        <f>IFERROR(VLOOKUP($B12&amp;AD$9,Tableau1[],4,FALSE),"")</f>
        <v/>
      </c>
      <c r="AE12" s="112" t="str">
        <f>IFERROR(VLOOKUP($B12&amp;AE$9,Tableau1[],4,FALSE),"")</f>
        <v/>
      </c>
      <c r="AF12" s="112" t="str">
        <f>IFERROR(VLOOKUP($B12&amp;AF$9,Tableau1[],4,FALSE),"")</f>
        <v/>
      </c>
      <c r="AG12" s="112" t="str">
        <f>IFERROR(VLOOKUP($B12&amp;AG$9,Tableau1[],4,FALSE),"")</f>
        <v/>
      </c>
      <c r="AH12" s="112" t="str">
        <f>IFERROR(VLOOKUP($B12&amp;AH$9,Tableau1[],4,FALSE),"")</f>
        <v/>
      </c>
      <c r="AI12" s="112" t="str">
        <f>IFERROR(VLOOKUP($B12&amp;AI$9,Tableau1[],4,FALSE),"")</f>
        <v/>
      </c>
      <c r="AJ12" s="112" t="str">
        <f>IFERROR(VLOOKUP($B12&amp;AJ$9,Tableau1[],4,FALSE),"")</f>
        <v/>
      </c>
      <c r="AK12" s="112" t="str">
        <f>IFERROR(VLOOKUP($B12&amp;AK$9,Tableau1[],4,FALSE),"")</f>
        <v/>
      </c>
      <c r="AL12" s="112" t="str">
        <f>IFERROR(VLOOKUP($B12&amp;AL$9,Tableau1[],4,FALSE),"")</f>
        <v/>
      </c>
      <c r="AM12" s="112" t="str">
        <f>IFERROR(VLOOKUP($B12&amp;AM$9,Tableau1[],4,FALSE),"")</f>
        <v/>
      </c>
      <c r="AN12" s="112" t="str">
        <f>IFERROR(VLOOKUP($B12&amp;AN$9,Tableau1[],4,FALSE),"")</f>
        <v/>
      </c>
      <c r="AO12" s="112" t="str">
        <f>IFERROR(VLOOKUP($B12&amp;AO$9,Tableau1[],4,FALSE),"")</f>
        <v/>
      </c>
      <c r="AP12" s="112" t="str">
        <f>IFERROR(VLOOKUP($B12&amp;AP$9,Tableau1[],4,FALSE),"")</f>
        <v/>
      </c>
      <c r="AQ12" s="112" t="str">
        <f>IFERROR(VLOOKUP($B12&amp;AQ$9,Tableau1[],4,FALSE),"")</f>
        <v/>
      </c>
      <c r="AR12" s="112" t="str">
        <f>IFERROR(VLOOKUP($B12&amp;AR$9,Tableau1[],4,FALSE),"")</f>
        <v/>
      </c>
      <c r="AS12" s="112" t="str">
        <f>IFERROR(VLOOKUP($B12&amp;AS$9,Tableau1[],4,FALSE),"")</f>
        <v/>
      </c>
      <c r="AT12" s="112" t="str">
        <f>IFERROR(VLOOKUP($B12&amp;AT$9,Tableau1[],4,FALSE),"")</f>
        <v/>
      </c>
      <c r="AU12" s="112" t="str">
        <f>IFERROR(VLOOKUP($B12&amp;AU$9,Tableau1[],4,FALSE),"")</f>
        <v/>
      </c>
      <c r="AV12" s="134">
        <f t="array" aca="1" ref="AV12" ca="1">MAX(IF((Tableau1[MOTIF]="TIR")*(Tableau1[NOM]=B12)*(Tableau1[DATE]&lt;=TODAY()),Tableau1[DATE]))</f>
        <v>0</v>
      </c>
      <c r="AW12" s="134">
        <f ca="1">Tableau2[[#This Row],[Colonne46]]+42</f>
        <v>42</v>
      </c>
    </row>
    <row r="13" spans="1:49">
      <c r="A13" s="127" t="str">
        <f t="shared" ca="1" si="4"/>
        <v>Pas à jour depuis 116 ans 7 mois 11 jours</v>
      </c>
      <c r="B13" s="135" t="s">
        <v>197</v>
      </c>
      <c r="C13" s="112" t="str">
        <f>IFERROR(VLOOKUP($B13&amp;C$9,Tableau1[],4,FALSE),"")</f>
        <v/>
      </c>
      <c r="D13" s="112" t="str">
        <f>IFERROR(VLOOKUP($B13&amp;D$9,Tableau1[],4,FALSE),"")</f>
        <v/>
      </c>
      <c r="E13" s="112" t="str">
        <f>IFERROR(VLOOKUP($B13&amp;E$9,Tableau1[],4,FALSE),"")</f>
        <v/>
      </c>
      <c r="F13" s="112" t="str">
        <f>IFERROR(VLOOKUP($B13&amp;F$9,Tableau1[],4,FALSE),"")</f>
        <v/>
      </c>
      <c r="G13" s="112" t="str">
        <f>IFERROR(VLOOKUP($B13&amp;G$9,Tableau1[],4,FALSE),"")</f>
        <v/>
      </c>
      <c r="H13" s="112" t="str">
        <f>IFERROR(VLOOKUP($B13&amp;H$9,Tableau1[],4,FALSE),"")</f>
        <v/>
      </c>
      <c r="I13" s="112" t="str">
        <f>IFERROR(VLOOKUP($B13&amp;I$9,Tableau1[],4,FALSE),"")</f>
        <v/>
      </c>
      <c r="J13" s="112" t="str">
        <f>IFERROR(VLOOKUP($B13&amp;J$9,Tableau1[],4,FALSE),"")</f>
        <v/>
      </c>
      <c r="K13" s="112" t="str">
        <f>IFERROR(VLOOKUP($B13&amp;K$9,Tableau1[],4,FALSE),"")</f>
        <v/>
      </c>
      <c r="L13" s="112" t="str">
        <f>IFERROR(VLOOKUP($B13&amp;L$9,Tableau1[],4,FALSE),"")</f>
        <v/>
      </c>
      <c r="M13" s="112" t="str">
        <f>IFERROR(VLOOKUP($B13&amp;M$9,Tableau1[],4,FALSE),"")</f>
        <v/>
      </c>
      <c r="N13" s="112" t="str">
        <f>IFERROR(VLOOKUP($B13&amp;N$9,Tableau1[],4,FALSE),"")</f>
        <v/>
      </c>
      <c r="O13" s="112" t="str">
        <f>IFERROR(VLOOKUP($B13&amp;O$9,Tableau1[],4,FALSE),"")</f>
        <v/>
      </c>
      <c r="P13" s="112" t="str">
        <f>IFERROR(VLOOKUP($B13&amp;P$9,Tableau1[],4,FALSE),"")</f>
        <v/>
      </c>
      <c r="Q13" s="112" t="str">
        <f>IFERROR(VLOOKUP($B13&amp;Q$9,Tableau1[],4,FALSE),"")</f>
        <v/>
      </c>
      <c r="R13" s="112" t="str">
        <f>IFERROR(VLOOKUP($B13&amp;R$9,Tableau1[],4,FALSE),"")</f>
        <v/>
      </c>
      <c r="S13" s="112" t="str">
        <f>IFERROR(VLOOKUP($B13&amp;S$9,Tableau1[],4,FALSE),"")</f>
        <v/>
      </c>
      <c r="T13" s="112" t="str">
        <f>IFERROR(VLOOKUP($B13&amp;T$9,Tableau1[],4,FALSE),"")</f>
        <v/>
      </c>
      <c r="U13" s="112" t="str">
        <f>IFERROR(VLOOKUP($B13&amp;U$9,Tableau1[],4,FALSE),"")</f>
        <v/>
      </c>
      <c r="V13" s="112" t="str">
        <f>IFERROR(VLOOKUP($B13&amp;V$9,Tableau1[],4,FALSE),"")</f>
        <v/>
      </c>
      <c r="W13" s="112" t="str">
        <f>IFERROR(VLOOKUP($B13&amp;W$9,Tableau1[],4,FALSE),"")</f>
        <v/>
      </c>
      <c r="X13" s="112" t="str">
        <f>IFERROR(VLOOKUP($B13&amp;X$9,Tableau1[],4,FALSE),"")</f>
        <v/>
      </c>
      <c r="Y13" s="112" t="str">
        <f>IFERROR(VLOOKUP($B13&amp;Y$9,Tableau1[],4,FALSE),"")</f>
        <v/>
      </c>
      <c r="Z13" s="112" t="str">
        <f>IFERROR(VLOOKUP($B13&amp;Z$9,Tableau1[],4,FALSE),"")</f>
        <v/>
      </c>
      <c r="AA13" s="112" t="str">
        <f>IFERROR(VLOOKUP($B13&amp;AA$9,Tableau1[],4,FALSE),"")</f>
        <v/>
      </c>
      <c r="AB13" s="112" t="str">
        <f>IFERROR(VLOOKUP($B13&amp;AB$9,Tableau1[],4,FALSE),"")</f>
        <v/>
      </c>
      <c r="AC13" s="112" t="str">
        <f>IFERROR(VLOOKUP($B13&amp;AC$9,Tableau1[],4,FALSE),"")</f>
        <v/>
      </c>
      <c r="AD13" s="112" t="str">
        <f>IFERROR(VLOOKUP($B13&amp;AD$9,Tableau1[],4,FALSE),"")</f>
        <v/>
      </c>
      <c r="AE13" s="112" t="str">
        <f>IFERROR(VLOOKUP($B13&amp;AE$9,Tableau1[],4,FALSE),"")</f>
        <v/>
      </c>
      <c r="AF13" s="112" t="str">
        <f>IFERROR(VLOOKUP($B13&amp;AF$9,Tableau1[],4,FALSE),"")</f>
        <v/>
      </c>
      <c r="AG13" s="112" t="str">
        <f>IFERROR(VLOOKUP($B13&amp;AG$9,Tableau1[],4,FALSE),"")</f>
        <v/>
      </c>
      <c r="AH13" s="112" t="str">
        <f>IFERROR(VLOOKUP($B13&amp;AH$9,Tableau1[],4,FALSE),"")</f>
        <v/>
      </c>
      <c r="AI13" s="112" t="str">
        <f>IFERROR(VLOOKUP($B13&amp;AI$9,Tableau1[],4,FALSE),"")</f>
        <v/>
      </c>
      <c r="AJ13" s="112" t="str">
        <f>IFERROR(VLOOKUP($B13&amp;AJ$9,Tableau1[],4,FALSE),"")</f>
        <v/>
      </c>
      <c r="AK13" s="112" t="str">
        <f>IFERROR(VLOOKUP($B13&amp;AK$9,Tableau1[],4,FALSE),"")</f>
        <v/>
      </c>
      <c r="AL13" s="112" t="str">
        <f>IFERROR(VLOOKUP($B13&amp;AL$9,Tableau1[],4,FALSE),"")</f>
        <v/>
      </c>
      <c r="AM13" s="112" t="str">
        <f>IFERROR(VLOOKUP($B13&amp;AM$9,Tableau1[],4,FALSE),"")</f>
        <v/>
      </c>
      <c r="AN13" s="112" t="str">
        <f>IFERROR(VLOOKUP($B13&amp;AN$9,Tableau1[],4,FALSE),"")</f>
        <v/>
      </c>
      <c r="AO13" s="112" t="str">
        <f>IFERROR(VLOOKUP($B13&amp;AO$9,Tableau1[],4,FALSE),"")</f>
        <v/>
      </c>
      <c r="AP13" s="112" t="str">
        <f>IFERROR(VLOOKUP($B13&amp;AP$9,Tableau1[],4,FALSE),"")</f>
        <v/>
      </c>
      <c r="AQ13" s="112" t="str">
        <f>IFERROR(VLOOKUP($B13&amp;AQ$9,Tableau1[],4,FALSE),"")</f>
        <v/>
      </c>
      <c r="AR13" s="112" t="str">
        <f>IFERROR(VLOOKUP($B13&amp;AR$9,Tableau1[],4,FALSE),"")</f>
        <v/>
      </c>
      <c r="AS13" s="112" t="str">
        <f>IFERROR(VLOOKUP($B13&amp;AS$9,Tableau1[],4,FALSE),"")</f>
        <v/>
      </c>
      <c r="AT13" s="112" t="str">
        <f>IFERROR(VLOOKUP($B13&amp;AT$9,Tableau1[],4,FALSE),"")</f>
        <v/>
      </c>
      <c r="AU13" s="112" t="str">
        <f>IFERROR(VLOOKUP($B13&amp;AU$9,Tableau1[],4,FALSE),"")</f>
        <v/>
      </c>
      <c r="AV13" s="134">
        <f t="array" aca="1" ref="AV13" ca="1">MAX(IF((Tableau1[MOTIF]="TIR")*(Tableau1[NOM]=B13)*(Tableau1[DATE]&lt;=TODAY()),Tableau1[DATE]))</f>
        <v>0</v>
      </c>
      <c r="AW13" s="134">
        <f ca="1">Tableau2[[#This Row],[Colonne46]]+42</f>
        <v>42</v>
      </c>
    </row>
    <row r="14" spans="1:49">
      <c r="A14" s="127" t="str">
        <f t="shared" ca="1" si="4"/>
        <v>Pas à jour depuis 116 ans 7 mois 11 jours</v>
      </c>
      <c r="B14" s="135" t="s">
        <v>198</v>
      </c>
      <c r="C14" s="112" t="str">
        <f>IFERROR(VLOOKUP($B14&amp;C$9,Tableau1[],4,FALSE),"")</f>
        <v/>
      </c>
      <c r="D14" s="112" t="str">
        <f>IFERROR(VLOOKUP($B14&amp;D$9,Tableau1[],4,FALSE),"")</f>
        <v/>
      </c>
      <c r="E14" s="112" t="str">
        <f>IFERROR(VLOOKUP($B14&amp;E$9,Tableau1[],4,FALSE),"")</f>
        <v/>
      </c>
      <c r="F14" s="112" t="str">
        <f>IFERROR(VLOOKUP($B14&amp;F$9,Tableau1[],4,FALSE),"")</f>
        <v/>
      </c>
      <c r="G14" s="112" t="str">
        <f>IFERROR(VLOOKUP($B14&amp;G$9,Tableau1[],4,FALSE),"")</f>
        <v/>
      </c>
      <c r="H14" s="112" t="str">
        <f>IFERROR(VLOOKUP($B14&amp;H$9,Tableau1[],4,FALSE),"")</f>
        <v/>
      </c>
      <c r="I14" s="112" t="str">
        <f>IFERROR(VLOOKUP($B14&amp;I$9,Tableau1[],4,FALSE),"")</f>
        <v/>
      </c>
      <c r="J14" s="112" t="str">
        <f>IFERROR(VLOOKUP($B14&amp;J$9,Tableau1[],4,FALSE),"")</f>
        <v/>
      </c>
      <c r="K14" s="112" t="str">
        <f>IFERROR(VLOOKUP($B14&amp;K$9,Tableau1[],4,FALSE),"")</f>
        <v/>
      </c>
      <c r="L14" s="112" t="str">
        <f>IFERROR(VLOOKUP($B14&amp;L$9,Tableau1[],4,FALSE),"")</f>
        <v/>
      </c>
      <c r="M14" s="112" t="str">
        <f>IFERROR(VLOOKUP($B14&amp;M$9,Tableau1[],4,FALSE),"")</f>
        <v/>
      </c>
      <c r="N14" s="112" t="str">
        <f>IFERROR(VLOOKUP($B14&amp;N$9,Tableau1[],4,FALSE),"")</f>
        <v/>
      </c>
      <c r="O14" s="112" t="str">
        <f>IFERROR(VLOOKUP($B14&amp;O$9,Tableau1[],4,FALSE),"")</f>
        <v/>
      </c>
      <c r="P14" s="112" t="str">
        <f>IFERROR(VLOOKUP($B14&amp;P$9,Tableau1[],4,FALSE),"")</f>
        <v/>
      </c>
      <c r="Q14" s="112" t="str">
        <f>IFERROR(VLOOKUP($B14&amp;Q$9,Tableau1[],4,FALSE),"")</f>
        <v/>
      </c>
      <c r="R14" s="112" t="str">
        <f>IFERROR(VLOOKUP($B14&amp;R$9,Tableau1[],4,FALSE),"")</f>
        <v/>
      </c>
      <c r="S14" s="112" t="str">
        <f>IFERROR(VLOOKUP($B14&amp;S$9,Tableau1[],4,FALSE),"")</f>
        <v/>
      </c>
      <c r="T14" s="112" t="str">
        <f>IFERROR(VLOOKUP($B14&amp;T$9,Tableau1[],4,FALSE),"")</f>
        <v/>
      </c>
      <c r="U14" s="112" t="str">
        <f>IFERROR(VLOOKUP($B14&amp;U$9,Tableau1[],4,FALSE),"")</f>
        <v/>
      </c>
      <c r="V14" s="112" t="str">
        <f>IFERROR(VLOOKUP($B14&amp;V$9,Tableau1[],4,FALSE),"")</f>
        <v/>
      </c>
      <c r="W14" s="112" t="str">
        <f>IFERROR(VLOOKUP($B14&amp;W$9,Tableau1[],4,FALSE),"")</f>
        <v/>
      </c>
      <c r="X14" s="112" t="str">
        <f>IFERROR(VLOOKUP($B14&amp;X$9,Tableau1[],4,FALSE),"")</f>
        <v/>
      </c>
      <c r="Y14" s="112" t="str">
        <f>IFERROR(VLOOKUP($B14&amp;Y$9,Tableau1[],4,FALSE),"")</f>
        <v/>
      </c>
      <c r="Z14" s="112" t="str">
        <f>IFERROR(VLOOKUP($B14&amp;Z$9,Tableau1[],4,FALSE),"")</f>
        <v/>
      </c>
      <c r="AA14" s="112" t="str">
        <f>IFERROR(VLOOKUP($B14&amp;AA$9,Tableau1[],4,FALSE),"")</f>
        <v/>
      </c>
      <c r="AB14" s="112" t="str">
        <f>IFERROR(VLOOKUP($B14&amp;AB$9,Tableau1[],4,FALSE),"")</f>
        <v/>
      </c>
      <c r="AC14" s="112" t="str">
        <f>IFERROR(VLOOKUP($B14&amp;AC$9,Tableau1[],4,FALSE),"")</f>
        <v/>
      </c>
      <c r="AD14" s="112" t="str">
        <f>IFERROR(VLOOKUP($B14&amp;AD$9,Tableau1[],4,FALSE),"")</f>
        <v/>
      </c>
      <c r="AE14" s="112" t="str">
        <f>IFERROR(VLOOKUP($B14&amp;AE$9,Tableau1[],4,FALSE),"")</f>
        <v/>
      </c>
      <c r="AF14" s="112" t="str">
        <f>IFERROR(VLOOKUP($B14&amp;AF$9,Tableau1[],4,FALSE),"")</f>
        <v/>
      </c>
      <c r="AG14" s="112" t="str">
        <f>IFERROR(VLOOKUP($B14&amp;AG$9,Tableau1[],4,FALSE),"")</f>
        <v/>
      </c>
      <c r="AH14" s="112" t="str">
        <f>IFERROR(VLOOKUP($B14&amp;AH$9,Tableau1[],4,FALSE),"")</f>
        <v/>
      </c>
      <c r="AI14" s="112" t="str">
        <f>IFERROR(VLOOKUP($B14&amp;AI$9,Tableau1[],4,FALSE),"")</f>
        <v/>
      </c>
      <c r="AJ14" s="112" t="str">
        <f>IFERROR(VLOOKUP($B14&amp;AJ$9,Tableau1[],4,FALSE),"")</f>
        <v/>
      </c>
      <c r="AK14" s="112" t="str">
        <f>IFERROR(VLOOKUP($B14&amp;AK$9,Tableau1[],4,FALSE),"")</f>
        <v/>
      </c>
      <c r="AL14" s="112" t="str">
        <f>IFERROR(VLOOKUP($B14&amp;AL$9,Tableau1[],4,FALSE),"")</f>
        <v/>
      </c>
      <c r="AM14" s="112" t="str">
        <f>IFERROR(VLOOKUP($B14&amp;AM$9,Tableau1[],4,FALSE),"")</f>
        <v/>
      </c>
      <c r="AN14" s="112" t="str">
        <f>IFERROR(VLOOKUP($B14&amp;AN$9,Tableau1[],4,FALSE),"")</f>
        <v/>
      </c>
      <c r="AO14" s="112" t="str">
        <f>IFERROR(VLOOKUP($B14&amp;AO$9,Tableau1[],4,FALSE),"")</f>
        <v/>
      </c>
      <c r="AP14" s="112" t="str">
        <f>IFERROR(VLOOKUP($B14&amp;AP$9,Tableau1[],4,FALSE),"")</f>
        <v/>
      </c>
      <c r="AQ14" s="112" t="str">
        <f>IFERROR(VLOOKUP($B14&amp;AQ$9,Tableau1[],4,FALSE),"")</f>
        <v/>
      </c>
      <c r="AR14" s="112" t="str">
        <f>IFERROR(VLOOKUP($B14&amp;AR$9,Tableau1[],4,FALSE),"")</f>
        <v/>
      </c>
      <c r="AS14" s="112" t="str">
        <f>IFERROR(VLOOKUP($B14&amp;AS$9,Tableau1[],4,FALSE),"")</f>
        <v/>
      </c>
      <c r="AT14" s="112" t="str">
        <f>IFERROR(VLOOKUP($B14&amp;AT$9,Tableau1[],4,FALSE),"")</f>
        <v/>
      </c>
      <c r="AU14" s="112" t="str">
        <f>IFERROR(VLOOKUP($B14&amp;AU$9,Tableau1[],4,FALSE),"")</f>
        <v/>
      </c>
      <c r="AV14" s="134">
        <f t="array" aca="1" ref="AV14" ca="1">MAX(IF((Tableau1[MOTIF]="TIR")*(Tableau1[NOM]=B14)*(Tableau1[DATE]&lt;=TODAY()),Tableau1[DATE]))</f>
        <v>0</v>
      </c>
      <c r="AW14" s="134">
        <f ca="1">Tableau2[[#This Row],[Colonne46]]+42</f>
        <v>42</v>
      </c>
    </row>
    <row r="15" spans="1:49">
      <c r="A15" s="127" t="str">
        <f t="shared" ca="1" si="4"/>
        <v>Pas à jour depuis 116 ans 7 mois 11 jours</v>
      </c>
      <c r="B15" s="135" t="s">
        <v>199</v>
      </c>
      <c r="C15" s="112" t="str">
        <f>IFERROR(VLOOKUP($B15&amp;C$9,Tableau1[],4,FALSE),"")</f>
        <v/>
      </c>
      <c r="D15" s="112" t="str">
        <f>IFERROR(VLOOKUP($B15&amp;D$9,Tableau1[],4,FALSE),"")</f>
        <v/>
      </c>
      <c r="E15" s="112" t="str">
        <f>IFERROR(VLOOKUP($B15&amp;E$9,Tableau1[],4,FALSE),"")</f>
        <v/>
      </c>
      <c r="F15" s="112" t="str">
        <f>IFERROR(VLOOKUP($B15&amp;F$9,Tableau1[],4,FALSE),"")</f>
        <v/>
      </c>
      <c r="G15" s="112" t="str">
        <f>IFERROR(VLOOKUP($B15&amp;G$9,Tableau1[],4,FALSE),"")</f>
        <v/>
      </c>
      <c r="H15" s="112" t="str">
        <f>IFERROR(VLOOKUP($B15&amp;H$9,Tableau1[],4,FALSE),"")</f>
        <v/>
      </c>
      <c r="I15" s="112" t="str">
        <f>IFERROR(VLOOKUP($B15&amp;I$9,Tableau1[],4,FALSE),"")</f>
        <v/>
      </c>
      <c r="J15" s="112" t="str">
        <f>IFERROR(VLOOKUP($B15&amp;J$9,Tableau1[],4,FALSE),"")</f>
        <v/>
      </c>
      <c r="K15" s="112" t="str">
        <f>IFERROR(VLOOKUP($B15&amp;K$9,Tableau1[],4,FALSE),"")</f>
        <v/>
      </c>
      <c r="L15" s="112" t="str">
        <f>IFERROR(VLOOKUP($B15&amp;L$9,Tableau1[],4,FALSE),"")</f>
        <v/>
      </c>
      <c r="M15" s="112" t="str">
        <f>IFERROR(VLOOKUP($B15&amp;M$9,Tableau1[],4,FALSE),"")</f>
        <v/>
      </c>
      <c r="N15" s="112" t="str">
        <f>IFERROR(VLOOKUP($B15&amp;N$9,Tableau1[],4,FALSE),"")</f>
        <v/>
      </c>
      <c r="O15" s="112" t="str">
        <f>IFERROR(VLOOKUP($B15&amp;O$9,Tableau1[],4,FALSE),"")</f>
        <v/>
      </c>
      <c r="P15" s="112" t="str">
        <f>IFERROR(VLOOKUP($B15&amp;P$9,Tableau1[],4,FALSE),"")</f>
        <v/>
      </c>
      <c r="Q15" s="112" t="str">
        <f>IFERROR(VLOOKUP($B15&amp;Q$9,Tableau1[],4,FALSE),"")</f>
        <v/>
      </c>
      <c r="R15" s="112" t="str">
        <f>IFERROR(VLOOKUP($B15&amp;R$9,Tableau1[],4,FALSE),"")</f>
        <v/>
      </c>
      <c r="S15" s="112" t="str">
        <f>IFERROR(VLOOKUP($B15&amp;S$9,Tableau1[],4,FALSE),"")</f>
        <v/>
      </c>
      <c r="T15" s="112" t="str">
        <f>IFERROR(VLOOKUP($B15&amp;T$9,Tableau1[],4,FALSE),"")</f>
        <v/>
      </c>
      <c r="U15" s="112" t="str">
        <f>IFERROR(VLOOKUP($B15&amp;U$9,Tableau1[],4,FALSE),"")</f>
        <v/>
      </c>
      <c r="V15" s="112" t="str">
        <f>IFERROR(VLOOKUP($B15&amp;V$9,Tableau1[],4,FALSE),"")</f>
        <v/>
      </c>
      <c r="W15" s="112" t="str">
        <f>IFERROR(VLOOKUP($B15&amp;W$9,Tableau1[],4,FALSE),"")</f>
        <v/>
      </c>
      <c r="X15" s="112" t="str">
        <f>IFERROR(VLOOKUP($B15&amp;X$9,Tableau1[],4,FALSE),"")</f>
        <v/>
      </c>
      <c r="Y15" s="112" t="str">
        <f>IFERROR(VLOOKUP($B15&amp;Y$9,Tableau1[],4,FALSE),"")</f>
        <v/>
      </c>
      <c r="Z15" s="112" t="str">
        <f>IFERROR(VLOOKUP($B15&amp;Z$9,Tableau1[],4,FALSE),"")</f>
        <v/>
      </c>
      <c r="AA15" s="112" t="str">
        <f>IFERROR(VLOOKUP($B15&amp;AA$9,Tableau1[],4,FALSE),"")</f>
        <v/>
      </c>
      <c r="AB15" s="112" t="str">
        <f>IFERROR(VLOOKUP($B15&amp;AB$9,Tableau1[],4,FALSE),"")</f>
        <v/>
      </c>
      <c r="AC15" s="112" t="str">
        <f>IFERROR(VLOOKUP($B15&amp;AC$9,Tableau1[],4,FALSE),"")</f>
        <v/>
      </c>
      <c r="AD15" s="112" t="str">
        <f>IFERROR(VLOOKUP($B15&amp;AD$9,Tableau1[],4,FALSE),"")</f>
        <v/>
      </c>
      <c r="AE15" s="112" t="str">
        <f>IFERROR(VLOOKUP($B15&amp;AE$9,Tableau1[],4,FALSE),"")</f>
        <v/>
      </c>
      <c r="AF15" s="112" t="str">
        <f>IFERROR(VLOOKUP($B15&amp;AF$9,Tableau1[],4,FALSE),"")</f>
        <v/>
      </c>
      <c r="AG15" s="112" t="str">
        <f>IFERROR(VLOOKUP($B15&amp;AG$9,Tableau1[],4,FALSE),"")</f>
        <v/>
      </c>
      <c r="AH15" s="112" t="str">
        <f>IFERROR(VLOOKUP($B15&amp;AH$9,Tableau1[],4,FALSE),"")</f>
        <v/>
      </c>
      <c r="AI15" s="112" t="str">
        <f>IFERROR(VLOOKUP($B15&amp;AI$9,Tableau1[],4,FALSE),"")</f>
        <v/>
      </c>
      <c r="AJ15" s="112" t="str">
        <f>IFERROR(VLOOKUP($B15&amp;AJ$9,Tableau1[],4,FALSE),"")</f>
        <v/>
      </c>
      <c r="AK15" s="112" t="str">
        <f>IFERROR(VLOOKUP($B15&amp;AK$9,Tableau1[],4,FALSE),"")</f>
        <v/>
      </c>
      <c r="AL15" s="112" t="str">
        <f>IFERROR(VLOOKUP($B15&amp;AL$9,Tableau1[],4,FALSE),"")</f>
        <v/>
      </c>
      <c r="AM15" s="112" t="str">
        <f>IFERROR(VLOOKUP($B15&amp;AM$9,Tableau1[],4,FALSE),"")</f>
        <v/>
      </c>
      <c r="AN15" s="112" t="str">
        <f>IFERROR(VLOOKUP($B15&amp;AN$9,Tableau1[],4,FALSE),"")</f>
        <v/>
      </c>
      <c r="AO15" s="112" t="str">
        <f>IFERROR(VLOOKUP($B15&amp;AO$9,Tableau1[],4,FALSE),"")</f>
        <v/>
      </c>
      <c r="AP15" s="112" t="str">
        <f>IFERROR(VLOOKUP($B15&amp;AP$9,Tableau1[],4,FALSE),"")</f>
        <v/>
      </c>
      <c r="AQ15" s="112" t="str">
        <f>IFERROR(VLOOKUP($B15&amp;AQ$9,Tableau1[],4,FALSE),"")</f>
        <v/>
      </c>
      <c r="AR15" s="112" t="str">
        <f>IFERROR(VLOOKUP($B15&amp;AR$9,Tableau1[],4,FALSE),"")</f>
        <v/>
      </c>
      <c r="AS15" s="112" t="str">
        <f>IFERROR(VLOOKUP($B15&amp;AS$9,Tableau1[],4,FALSE),"")</f>
        <v/>
      </c>
      <c r="AT15" s="112" t="str">
        <f>IFERROR(VLOOKUP($B15&amp;AT$9,Tableau1[],4,FALSE),"")</f>
        <v/>
      </c>
      <c r="AU15" s="112" t="str">
        <f>IFERROR(VLOOKUP($B15&amp;AU$9,Tableau1[],4,FALSE),"")</f>
        <v/>
      </c>
      <c r="AV15" s="134">
        <f t="array" aca="1" ref="AV15" ca="1">MAX(IF((Tableau1[MOTIF]="TIR")*(Tableau1[NOM]=B15)*(Tableau1[DATE]&lt;=TODAY()),Tableau1[DATE]))</f>
        <v>0</v>
      </c>
      <c r="AW15" s="134">
        <f ca="1">Tableau2[[#This Row],[Colonne46]]+42</f>
        <v>42</v>
      </c>
    </row>
    <row r="16" spans="1:49">
      <c r="A16" s="127" t="str">
        <f t="shared" ca="1" si="4"/>
        <v>Pas à jour depuis 116 ans 7 mois 11 jours</v>
      </c>
      <c r="B16" s="135" t="s">
        <v>200</v>
      </c>
      <c r="C16" s="112" t="str">
        <f>IFERROR(VLOOKUP($B16&amp;C$9,Tableau1[],4,FALSE),"")</f>
        <v/>
      </c>
      <c r="D16" s="112" t="str">
        <f>IFERROR(VLOOKUP($B16&amp;D$9,Tableau1[],4,FALSE),"")</f>
        <v/>
      </c>
      <c r="E16" s="112" t="str">
        <f>IFERROR(VLOOKUP($B16&amp;E$9,Tableau1[],4,FALSE),"")</f>
        <v/>
      </c>
      <c r="F16" s="112" t="str">
        <f>IFERROR(VLOOKUP($B16&amp;F$9,Tableau1[],4,FALSE),"")</f>
        <v/>
      </c>
      <c r="G16" s="112" t="str">
        <f>IFERROR(VLOOKUP($B16&amp;G$9,Tableau1[],4,FALSE),"")</f>
        <v/>
      </c>
      <c r="H16" s="112" t="str">
        <f>IFERROR(VLOOKUP($B16&amp;H$9,Tableau1[],4,FALSE),"")</f>
        <v/>
      </c>
      <c r="I16" s="112" t="str">
        <f>IFERROR(VLOOKUP($B16&amp;I$9,Tableau1[],4,FALSE),"")</f>
        <v/>
      </c>
      <c r="J16" s="112" t="str">
        <f>IFERROR(VLOOKUP($B16&amp;J$9,Tableau1[],4,FALSE),"")</f>
        <v/>
      </c>
      <c r="K16" s="112" t="str">
        <f>IFERROR(VLOOKUP($B16&amp;K$9,Tableau1[],4,FALSE),"")</f>
        <v/>
      </c>
      <c r="L16" s="112" t="str">
        <f>IFERROR(VLOOKUP($B16&amp;L$9,Tableau1[],4,FALSE),"")</f>
        <v/>
      </c>
      <c r="M16" s="112" t="str">
        <f>IFERROR(VLOOKUP($B16&amp;M$9,Tableau1[],4,FALSE),"")</f>
        <v/>
      </c>
      <c r="N16" s="112" t="str">
        <f>IFERROR(VLOOKUP($B16&amp;N$9,Tableau1[],4,FALSE),"")</f>
        <v/>
      </c>
      <c r="O16" s="112" t="str">
        <f>IFERROR(VLOOKUP($B16&amp;O$9,Tableau1[],4,FALSE),"")</f>
        <v/>
      </c>
      <c r="P16" s="112" t="str">
        <f>IFERROR(VLOOKUP($B16&amp;P$9,Tableau1[],4,FALSE),"")</f>
        <v/>
      </c>
      <c r="Q16" s="112" t="str">
        <f>IFERROR(VLOOKUP($B16&amp;Q$9,Tableau1[],4,FALSE),"")</f>
        <v/>
      </c>
      <c r="R16" s="112" t="str">
        <f>IFERROR(VLOOKUP($B16&amp;R$9,Tableau1[],4,FALSE),"")</f>
        <v/>
      </c>
      <c r="S16" s="112" t="str">
        <f>IFERROR(VLOOKUP($B16&amp;S$9,Tableau1[],4,FALSE),"")</f>
        <v/>
      </c>
      <c r="T16" s="112" t="str">
        <f>IFERROR(VLOOKUP($B16&amp;T$9,Tableau1[],4,FALSE),"")</f>
        <v/>
      </c>
      <c r="U16" s="112" t="str">
        <f>IFERROR(VLOOKUP($B16&amp;U$9,Tableau1[],4,FALSE),"")</f>
        <v/>
      </c>
      <c r="V16" s="112" t="str">
        <f>IFERROR(VLOOKUP($B16&amp;V$9,Tableau1[],4,FALSE),"")</f>
        <v/>
      </c>
      <c r="W16" s="112" t="str">
        <f>IFERROR(VLOOKUP($B16&amp;W$9,Tableau1[],4,FALSE),"")</f>
        <v/>
      </c>
      <c r="X16" s="112" t="str">
        <f>IFERROR(VLOOKUP($B16&amp;X$9,Tableau1[],4,FALSE),"")</f>
        <v/>
      </c>
      <c r="Y16" s="112" t="str">
        <f>IFERROR(VLOOKUP($B16&amp;Y$9,Tableau1[],4,FALSE),"")</f>
        <v/>
      </c>
      <c r="Z16" s="112" t="str">
        <f>IFERROR(VLOOKUP($B16&amp;Z$9,Tableau1[],4,FALSE),"")</f>
        <v/>
      </c>
      <c r="AA16" s="112" t="str">
        <f>IFERROR(VLOOKUP($B16&amp;AA$9,Tableau1[],4,FALSE),"")</f>
        <v/>
      </c>
      <c r="AB16" s="112" t="str">
        <f>IFERROR(VLOOKUP($B16&amp;AB$9,Tableau1[],4,FALSE),"")</f>
        <v/>
      </c>
      <c r="AC16" s="112" t="str">
        <f>IFERROR(VLOOKUP($B16&amp;AC$9,Tableau1[],4,FALSE),"")</f>
        <v/>
      </c>
      <c r="AD16" s="112" t="str">
        <f>IFERROR(VLOOKUP($B16&amp;AD$9,Tableau1[],4,FALSE),"")</f>
        <v/>
      </c>
      <c r="AE16" s="112" t="str">
        <f>IFERROR(VLOOKUP($B16&amp;AE$9,Tableau1[],4,FALSE),"")</f>
        <v/>
      </c>
      <c r="AF16" s="112" t="str">
        <f>IFERROR(VLOOKUP($B16&amp;AF$9,Tableau1[],4,FALSE),"")</f>
        <v/>
      </c>
      <c r="AG16" s="112" t="str">
        <f>IFERROR(VLOOKUP($B16&amp;AG$9,Tableau1[],4,FALSE),"")</f>
        <v/>
      </c>
      <c r="AH16" s="112" t="str">
        <f>IFERROR(VLOOKUP($B16&amp;AH$9,Tableau1[],4,FALSE),"")</f>
        <v/>
      </c>
      <c r="AI16" s="112" t="str">
        <f>IFERROR(VLOOKUP($B16&amp;AI$9,Tableau1[],4,FALSE),"")</f>
        <v/>
      </c>
      <c r="AJ16" s="112" t="str">
        <f>IFERROR(VLOOKUP($B16&amp;AJ$9,Tableau1[],4,FALSE),"")</f>
        <v/>
      </c>
      <c r="AK16" s="112" t="str">
        <f>IFERROR(VLOOKUP($B16&amp;AK$9,Tableau1[],4,FALSE),"")</f>
        <v/>
      </c>
      <c r="AL16" s="112" t="str">
        <f>IFERROR(VLOOKUP($B16&amp;AL$9,Tableau1[],4,FALSE),"")</f>
        <v/>
      </c>
      <c r="AM16" s="112" t="str">
        <f>IFERROR(VLOOKUP($B16&amp;AM$9,Tableau1[],4,FALSE),"")</f>
        <v/>
      </c>
      <c r="AN16" s="112" t="str">
        <f>IFERROR(VLOOKUP($B16&amp;AN$9,Tableau1[],4,FALSE),"")</f>
        <v/>
      </c>
      <c r="AO16" s="112" t="str">
        <f>IFERROR(VLOOKUP($B16&amp;AO$9,Tableau1[],4,FALSE),"")</f>
        <v/>
      </c>
      <c r="AP16" s="112" t="str">
        <f>IFERROR(VLOOKUP($B16&amp;AP$9,Tableau1[],4,FALSE),"")</f>
        <v/>
      </c>
      <c r="AQ16" s="112" t="str">
        <f>IFERROR(VLOOKUP($B16&amp;AQ$9,Tableau1[],4,FALSE),"")</f>
        <v/>
      </c>
      <c r="AR16" s="112" t="str">
        <f>IFERROR(VLOOKUP($B16&amp;AR$9,Tableau1[],4,FALSE),"")</f>
        <v/>
      </c>
      <c r="AS16" s="112" t="str">
        <f>IFERROR(VLOOKUP($B16&amp;AS$9,Tableau1[],4,FALSE),"")</f>
        <v/>
      </c>
      <c r="AT16" s="112" t="str">
        <f>IFERROR(VLOOKUP($B16&amp;AT$9,Tableau1[],4,FALSE),"")</f>
        <v/>
      </c>
      <c r="AU16" s="112" t="str">
        <f>IFERROR(VLOOKUP($B16&amp;AU$9,Tableau1[],4,FALSE),"")</f>
        <v/>
      </c>
      <c r="AV16" s="134">
        <f t="array" aca="1" ref="AV16" ca="1">MAX(IF((Tableau1[MOTIF]="TIR")*(Tableau1[NOM]=B16)*(Tableau1[DATE]&lt;=TODAY()),Tableau1[DATE]))</f>
        <v>0</v>
      </c>
      <c r="AW16" s="134">
        <f ca="1">Tableau2[[#This Row],[Colonne46]]+42</f>
        <v>42</v>
      </c>
    </row>
    <row r="17" spans="1:49">
      <c r="A17" s="127" t="str">
        <f t="shared" ca="1" si="4"/>
        <v>Pas à jour depuis 116 ans 7 mois 11 jours</v>
      </c>
      <c r="B17" s="135" t="s">
        <v>201</v>
      </c>
      <c r="C17" s="112" t="str">
        <f>IFERROR(VLOOKUP($B17&amp;C$9,Tableau1[],4,FALSE),"")</f>
        <v/>
      </c>
      <c r="D17" s="112" t="str">
        <f>IFERROR(VLOOKUP($B17&amp;D$9,Tableau1[],4,FALSE),"")</f>
        <v/>
      </c>
      <c r="E17" s="112" t="str">
        <f>IFERROR(VLOOKUP($B17&amp;E$9,Tableau1[],4,FALSE),"")</f>
        <v/>
      </c>
      <c r="F17" s="112" t="str">
        <f>IFERROR(VLOOKUP($B17&amp;F$9,Tableau1[],4,FALSE),"")</f>
        <v/>
      </c>
      <c r="G17" s="112" t="str">
        <f>IFERROR(VLOOKUP($B17&amp;G$9,Tableau1[],4,FALSE),"")</f>
        <v/>
      </c>
      <c r="H17" s="112" t="str">
        <f>IFERROR(VLOOKUP($B17&amp;H$9,Tableau1[],4,FALSE),"")</f>
        <v/>
      </c>
      <c r="I17" s="112" t="str">
        <f>IFERROR(VLOOKUP($B17&amp;I$9,Tableau1[],4,FALSE),"")</f>
        <v/>
      </c>
      <c r="J17" s="112" t="str">
        <f>IFERROR(VLOOKUP($B17&amp;J$9,Tableau1[],4,FALSE),"")</f>
        <v/>
      </c>
      <c r="K17" s="112" t="str">
        <f>IFERROR(VLOOKUP($B17&amp;K$9,Tableau1[],4,FALSE),"")</f>
        <v/>
      </c>
      <c r="L17" s="112" t="str">
        <f>IFERROR(VLOOKUP($B17&amp;L$9,Tableau1[],4,FALSE),"")</f>
        <v/>
      </c>
      <c r="M17" s="112" t="str">
        <f>IFERROR(VLOOKUP($B17&amp;M$9,Tableau1[],4,FALSE),"")</f>
        <v/>
      </c>
      <c r="N17" s="112" t="str">
        <f>IFERROR(VLOOKUP($B17&amp;N$9,Tableau1[],4,FALSE),"")</f>
        <v/>
      </c>
      <c r="O17" s="112" t="str">
        <f>IFERROR(VLOOKUP($B17&amp;O$9,Tableau1[],4,FALSE),"")</f>
        <v/>
      </c>
      <c r="P17" s="112" t="str">
        <f>IFERROR(VLOOKUP($B17&amp;P$9,Tableau1[],4,FALSE),"")</f>
        <v/>
      </c>
      <c r="Q17" s="112" t="str">
        <f>IFERROR(VLOOKUP($B17&amp;Q$9,Tableau1[],4,FALSE),"")</f>
        <v/>
      </c>
      <c r="R17" s="112" t="str">
        <f>IFERROR(VLOOKUP($B17&amp;R$9,Tableau1[],4,FALSE),"")</f>
        <v/>
      </c>
      <c r="S17" s="112" t="str">
        <f>IFERROR(VLOOKUP($B17&amp;S$9,Tableau1[],4,FALSE),"")</f>
        <v/>
      </c>
      <c r="T17" s="112" t="str">
        <f>IFERROR(VLOOKUP($B17&amp;T$9,Tableau1[],4,FALSE),"")</f>
        <v/>
      </c>
      <c r="U17" s="112" t="str">
        <f>IFERROR(VLOOKUP($B17&amp;U$9,Tableau1[],4,FALSE),"")</f>
        <v/>
      </c>
      <c r="V17" s="112" t="str">
        <f>IFERROR(VLOOKUP($B17&amp;V$9,Tableau1[],4,FALSE),"")</f>
        <v/>
      </c>
      <c r="W17" s="112" t="str">
        <f>IFERROR(VLOOKUP($B17&amp;W$9,Tableau1[],4,FALSE),"")</f>
        <v/>
      </c>
      <c r="X17" s="112" t="str">
        <f>IFERROR(VLOOKUP($B17&amp;X$9,Tableau1[],4,FALSE),"")</f>
        <v/>
      </c>
      <c r="Y17" s="112" t="str">
        <f>IFERROR(VLOOKUP($B17&amp;Y$9,Tableau1[],4,FALSE),"")</f>
        <v/>
      </c>
      <c r="Z17" s="112" t="str">
        <f>IFERROR(VLOOKUP($B17&amp;Z$9,Tableau1[],4,FALSE),"")</f>
        <v/>
      </c>
      <c r="AA17" s="112" t="str">
        <f>IFERROR(VLOOKUP($B17&amp;AA$9,Tableau1[],4,FALSE),"")</f>
        <v/>
      </c>
      <c r="AB17" s="112" t="str">
        <f>IFERROR(VLOOKUP($B17&amp;AB$9,Tableau1[],4,FALSE),"")</f>
        <v/>
      </c>
      <c r="AC17" s="112" t="str">
        <f>IFERROR(VLOOKUP($B17&amp;AC$9,Tableau1[],4,FALSE),"")</f>
        <v/>
      </c>
      <c r="AD17" s="112" t="str">
        <f>IFERROR(VLOOKUP($B17&amp;AD$9,Tableau1[],4,FALSE),"")</f>
        <v/>
      </c>
      <c r="AE17" s="112" t="str">
        <f>IFERROR(VLOOKUP($B17&amp;AE$9,Tableau1[],4,FALSE),"")</f>
        <v/>
      </c>
      <c r="AF17" s="112" t="str">
        <f>IFERROR(VLOOKUP($B17&amp;AF$9,Tableau1[],4,FALSE),"")</f>
        <v/>
      </c>
      <c r="AG17" s="112" t="str">
        <f>IFERROR(VLOOKUP($B17&amp;AG$9,Tableau1[],4,FALSE),"")</f>
        <v/>
      </c>
      <c r="AH17" s="112" t="str">
        <f>IFERROR(VLOOKUP($B17&amp;AH$9,Tableau1[],4,FALSE),"")</f>
        <v/>
      </c>
      <c r="AI17" s="112" t="str">
        <f>IFERROR(VLOOKUP($B17&amp;AI$9,Tableau1[],4,FALSE),"")</f>
        <v/>
      </c>
      <c r="AJ17" s="112" t="str">
        <f>IFERROR(VLOOKUP($B17&amp;AJ$9,Tableau1[],4,FALSE),"")</f>
        <v/>
      </c>
      <c r="AK17" s="112" t="str">
        <f>IFERROR(VLOOKUP($B17&amp;AK$9,Tableau1[],4,FALSE),"")</f>
        <v/>
      </c>
      <c r="AL17" s="112" t="str">
        <f>IFERROR(VLOOKUP($B17&amp;AL$9,Tableau1[],4,FALSE),"")</f>
        <v/>
      </c>
      <c r="AM17" s="112" t="str">
        <f>IFERROR(VLOOKUP($B17&amp;AM$9,Tableau1[],4,FALSE),"")</f>
        <v/>
      </c>
      <c r="AN17" s="112" t="str">
        <f>IFERROR(VLOOKUP($B17&amp;AN$9,Tableau1[],4,FALSE),"")</f>
        <v/>
      </c>
      <c r="AO17" s="112" t="str">
        <f>IFERROR(VLOOKUP($B17&amp;AO$9,Tableau1[],4,FALSE),"")</f>
        <v/>
      </c>
      <c r="AP17" s="112" t="str">
        <f>IFERROR(VLOOKUP($B17&amp;AP$9,Tableau1[],4,FALSE),"")</f>
        <v/>
      </c>
      <c r="AQ17" s="112" t="str">
        <f>IFERROR(VLOOKUP($B17&amp;AQ$9,Tableau1[],4,FALSE),"")</f>
        <v/>
      </c>
      <c r="AR17" s="112" t="str">
        <f>IFERROR(VLOOKUP($B17&amp;AR$9,Tableau1[],4,FALSE),"")</f>
        <v/>
      </c>
      <c r="AS17" s="112" t="str">
        <f>IFERROR(VLOOKUP($B17&amp;AS$9,Tableau1[],4,FALSE),"")</f>
        <v/>
      </c>
      <c r="AT17" s="112" t="str">
        <f>IFERROR(VLOOKUP($B17&amp;AT$9,Tableau1[],4,FALSE),"")</f>
        <v/>
      </c>
      <c r="AU17" s="112" t="str">
        <f>IFERROR(VLOOKUP($B17&amp;AU$9,Tableau1[],4,FALSE),"")</f>
        <v/>
      </c>
      <c r="AV17" s="134">
        <f t="array" aca="1" ref="AV17" ca="1">MAX(IF((Tableau1[MOTIF]="TIR")*(Tableau1[NOM]=B17)*(Tableau1[DATE]&lt;=TODAY()),Tableau1[DATE]))</f>
        <v>0</v>
      </c>
      <c r="AW17" s="134">
        <f ca="1">Tableau2[[#This Row],[Colonne46]]+42</f>
        <v>42</v>
      </c>
    </row>
    <row r="18" spans="1:49">
      <c r="A18" s="127" t="str">
        <f t="shared" ca="1" si="4"/>
        <v>Pas à jour depuis 116 ans 7 mois 11 jours</v>
      </c>
      <c r="B18" s="135" t="s">
        <v>202</v>
      </c>
      <c r="C18" s="112" t="str">
        <f>IFERROR(VLOOKUP($B18&amp;C$9,Tableau1[],4,FALSE),"")</f>
        <v/>
      </c>
      <c r="D18" s="112" t="str">
        <f>IFERROR(VLOOKUP($B18&amp;D$9,Tableau1[],4,FALSE),"")</f>
        <v/>
      </c>
      <c r="E18" s="112" t="str">
        <f>IFERROR(VLOOKUP($B18&amp;E$9,Tableau1[],4,FALSE),"")</f>
        <v/>
      </c>
      <c r="F18" s="112" t="str">
        <f>IFERROR(VLOOKUP($B18&amp;F$9,Tableau1[],4,FALSE),"")</f>
        <v/>
      </c>
      <c r="G18" s="112" t="str">
        <f>IFERROR(VLOOKUP($B18&amp;G$9,Tableau1[],4,FALSE),"")</f>
        <v/>
      </c>
      <c r="H18" s="112" t="str">
        <f>IFERROR(VLOOKUP($B18&amp;H$9,Tableau1[],4,FALSE),"")</f>
        <v/>
      </c>
      <c r="I18" s="112" t="str">
        <f>IFERROR(VLOOKUP($B18&amp;I$9,Tableau1[],4,FALSE),"")</f>
        <v/>
      </c>
      <c r="J18" s="112" t="str">
        <f>IFERROR(VLOOKUP($B18&amp;J$9,Tableau1[],4,FALSE),"")</f>
        <v/>
      </c>
      <c r="K18" s="112" t="str">
        <f>IFERROR(VLOOKUP($B18&amp;K$9,Tableau1[],4,FALSE),"")</f>
        <v/>
      </c>
      <c r="L18" s="112" t="str">
        <f>IFERROR(VLOOKUP($B18&amp;L$9,Tableau1[],4,FALSE),"")</f>
        <v/>
      </c>
      <c r="M18" s="112" t="str">
        <f>IFERROR(VLOOKUP($B18&amp;M$9,Tableau1[],4,FALSE),"")</f>
        <v/>
      </c>
      <c r="N18" s="112" t="str">
        <f>IFERROR(VLOOKUP($B18&amp;N$9,Tableau1[],4,FALSE),"")</f>
        <v/>
      </c>
      <c r="O18" s="112" t="str">
        <f>IFERROR(VLOOKUP($B18&amp;O$9,Tableau1[],4,FALSE),"")</f>
        <v/>
      </c>
      <c r="P18" s="112" t="str">
        <f>IFERROR(VLOOKUP($B18&amp;P$9,Tableau1[],4,FALSE),"")</f>
        <v/>
      </c>
      <c r="Q18" s="112" t="str">
        <f>IFERROR(VLOOKUP($B18&amp;Q$9,Tableau1[],4,FALSE),"")</f>
        <v/>
      </c>
      <c r="R18" s="112" t="str">
        <f>IFERROR(VLOOKUP($B18&amp;R$9,Tableau1[],4,FALSE),"")</f>
        <v/>
      </c>
      <c r="S18" s="112" t="str">
        <f>IFERROR(VLOOKUP($B18&amp;S$9,Tableau1[],4,FALSE),"")</f>
        <v/>
      </c>
      <c r="T18" s="112" t="str">
        <f>IFERROR(VLOOKUP($B18&amp;T$9,Tableau1[],4,FALSE),"")</f>
        <v/>
      </c>
      <c r="U18" s="112" t="str">
        <f>IFERROR(VLOOKUP($B18&amp;U$9,Tableau1[],4,FALSE),"")</f>
        <v/>
      </c>
      <c r="V18" s="112" t="str">
        <f>IFERROR(VLOOKUP($B18&amp;V$9,Tableau1[],4,FALSE),"")</f>
        <v/>
      </c>
      <c r="W18" s="112" t="str">
        <f>IFERROR(VLOOKUP($B18&amp;W$9,Tableau1[],4,FALSE),"")</f>
        <v/>
      </c>
      <c r="X18" s="112" t="str">
        <f>IFERROR(VLOOKUP($B18&amp;X$9,Tableau1[],4,FALSE),"")</f>
        <v/>
      </c>
      <c r="Y18" s="112" t="str">
        <f>IFERROR(VLOOKUP($B18&amp;Y$9,Tableau1[],4,FALSE),"")</f>
        <v/>
      </c>
      <c r="Z18" s="112" t="str">
        <f>IFERROR(VLOOKUP($B18&amp;Z$9,Tableau1[],4,FALSE),"")</f>
        <v/>
      </c>
      <c r="AA18" s="112" t="str">
        <f>IFERROR(VLOOKUP($B18&amp;AA$9,Tableau1[],4,FALSE),"")</f>
        <v/>
      </c>
      <c r="AB18" s="112" t="str">
        <f>IFERROR(VLOOKUP($B18&amp;AB$9,Tableau1[],4,FALSE),"")</f>
        <v/>
      </c>
      <c r="AC18" s="112" t="str">
        <f>IFERROR(VLOOKUP($B18&amp;AC$9,Tableau1[],4,FALSE),"")</f>
        <v/>
      </c>
      <c r="AD18" s="112" t="str">
        <f>IFERROR(VLOOKUP($B18&amp;AD$9,Tableau1[],4,FALSE),"")</f>
        <v/>
      </c>
      <c r="AE18" s="112" t="str">
        <f>IFERROR(VLOOKUP($B18&amp;AE$9,Tableau1[],4,FALSE),"")</f>
        <v/>
      </c>
      <c r="AF18" s="112" t="str">
        <f>IFERROR(VLOOKUP($B18&amp;AF$9,Tableau1[],4,FALSE),"")</f>
        <v/>
      </c>
      <c r="AG18" s="112" t="str">
        <f>IFERROR(VLOOKUP($B18&amp;AG$9,Tableau1[],4,FALSE),"")</f>
        <v/>
      </c>
      <c r="AH18" s="112" t="str">
        <f>IFERROR(VLOOKUP($B18&amp;AH$9,Tableau1[],4,FALSE),"")</f>
        <v/>
      </c>
      <c r="AI18" s="112" t="str">
        <f>IFERROR(VLOOKUP($B18&amp;AI$9,Tableau1[],4,FALSE),"")</f>
        <v/>
      </c>
      <c r="AJ18" s="112" t="str">
        <f>IFERROR(VLOOKUP($B18&amp;AJ$9,Tableau1[],4,FALSE),"")</f>
        <v/>
      </c>
      <c r="AK18" s="112" t="str">
        <f>IFERROR(VLOOKUP($B18&amp;AK$9,Tableau1[],4,FALSE),"")</f>
        <v/>
      </c>
      <c r="AL18" s="112" t="str">
        <f>IFERROR(VLOOKUP($B18&amp;AL$9,Tableau1[],4,FALSE),"")</f>
        <v/>
      </c>
      <c r="AM18" s="112" t="str">
        <f>IFERROR(VLOOKUP($B18&amp;AM$9,Tableau1[],4,FALSE),"")</f>
        <v/>
      </c>
      <c r="AN18" s="112" t="str">
        <f>IFERROR(VLOOKUP($B18&amp;AN$9,Tableau1[],4,FALSE),"")</f>
        <v/>
      </c>
      <c r="AO18" s="112" t="str">
        <f>IFERROR(VLOOKUP($B18&amp;AO$9,Tableau1[],4,FALSE),"")</f>
        <v/>
      </c>
      <c r="AP18" s="112" t="str">
        <f>IFERROR(VLOOKUP($B18&amp;AP$9,Tableau1[],4,FALSE),"")</f>
        <v/>
      </c>
      <c r="AQ18" s="112" t="str">
        <f>IFERROR(VLOOKUP($B18&amp;AQ$9,Tableau1[],4,FALSE),"")</f>
        <v/>
      </c>
      <c r="AR18" s="112" t="str">
        <f>IFERROR(VLOOKUP($B18&amp;AR$9,Tableau1[],4,FALSE),"")</f>
        <v/>
      </c>
      <c r="AS18" s="112" t="str">
        <f>IFERROR(VLOOKUP($B18&amp;AS$9,Tableau1[],4,FALSE),"")</f>
        <v/>
      </c>
      <c r="AT18" s="112" t="str">
        <f>IFERROR(VLOOKUP($B18&amp;AT$9,Tableau1[],4,FALSE),"")</f>
        <v/>
      </c>
      <c r="AU18" s="112" t="str">
        <f>IFERROR(VLOOKUP($B18&amp;AU$9,Tableau1[],4,FALSE),"")</f>
        <v/>
      </c>
      <c r="AV18" s="171">
        <f t="array" aca="1" ref="AV18" ca="1">MAX(IF((Tableau1[MOTIF]="TIR")*(Tableau1[NOM]=B18)*(Tableau1[DATE]&lt;=TODAY()),Tableau1[DATE]))</f>
        <v>0</v>
      </c>
      <c r="AW18" s="171">
        <f ca="1">Tableau2[[#This Row],[Colonne46]]+42</f>
        <v>42</v>
      </c>
    </row>
    <row r="19" spans="1:49" hidden="1">
      <c r="A19" s="127" t="str">
        <f t="shared" ca="1" si="4"/>
        <v>Pas à jour depuis 116 ans 7 mois 11 jours</v>
      </c>
      <c r="B19" s="135"/>
      <c r="C19" s="112" t="str">
        <f>IFERROR(VLOOKUP($B19&amp;C$9,Tableau1[],4,FALSE),"")</f>
        <v/>
      </c>
      <c r="D19" s="112" t="str">
        <f>IFERROR(VLOOKUP($B19&amp;D$9,Tableau1[],4,FALSE),"")</f>
        <v/>
      </c>
      <c r="E19" s="112" t="str">
        <f>IFERROR(VLOOKUP($B19&amp;E$9,Tableau1[],4,FALSE),"")</f>
        <v/>
      </c>
      <c r="F19" s="112" t="str">
        <f>IFERROR(VLOOKUP($B19&amp;F$9,Tableau1[],4,FALSE),"")</f>
        <v/>
      </c>
      <c r="G19" s="112" t="str">
        <f>IFERROR(VLOOKUP($B19&amp;G$9,Tableau1[],4,FALSE),"")</f>
        <v/>
      </c>
      <c r="H19" s="112" t="str">
        <f>IFERROR(VLOOKUP($B19&amp;H$9,Tableau1[],4,FALSE),"")</f>
        <v/>
      </c>
      <c r="I19" s="112" t="str">
        <f>IFERROR(VLOOKUP($B19&amp;I$9,Tableau1[],4,FALSE),"")</f>
        <v/>
      </c>
      <c r="J19" s="112" t="str">
        <f>IFERROR(VLOOKUP($B19&amp;J$9,Tableau1[],4,FALSE),"")</f>
        <v/>
      </c>
      <c r="K19" s="112" t="str">
        <f>IFERROR(VLOOKUP($B19&amp;K$9,Tableau1[],4,FALSE),"")</f>
        <v/>
      </c>
      <c r="L19" s="112" t="str">
        <f>IFERROR(VLOOKUP($B19&amp;L$9,Tableau1[],4,FALSE),"")</f>
        <v/>
      </c>
      <c r="M19" s="112" t="str">
        <f>IFERROR(VLOOKUP($B19&amp;M$9,Tableau1[],4,FALSE),"")</f>
        <v/>
      </c>
      <c r="N19" s="112" t="str">
        <f>IFERROR(VLOOKUP($B19&amp;N$9,Tableau1[],4,FALSE),"")</f>
        <v/>
      </c>
      <c r="O19" s="112" t="str">
        <f>IFERROR(VLOOKUP($B19&amp;O$9,Tableau1[],4,FALSE),"")</f>
        <v/>
      </c>
      <c r="P19" s="112" t="str">
        <f>IFERROR(VLOOKUP($B19&amp;P$9,Tableau1[],4,FALSE),"")</f>
        <v/>
      </c>
      <c r="Q19" s="112" t="str">
        <f>IFERROR(VLOOKUP($B19&amp;Q$9,Tableau1[],4,FALSE),"")</f>
        <v/>
      </c>
      <c r="R19" s="112" t="str">
        <f>IFERROR(VLOOKUP($B19&amp;R$9,Tableau1[],4,FALSE),"")</f>
        <v/>
      </c>
      <c r="S19" s="112" t="str">
        <f>IFERROR(VLOOKUP($B19&amp;S$9,Tableau1[],4,FALSE),"")</f>
        <v/>
      </c>
      <c r="T19" s="112" t="str">
        <f>IFERROR(VLOOKUP($B19&amp;T$9,Tableau1[],4,FALSE),"")</f>
        <v/>
      </c>
      <c r="U19" s="112" t="str">
        <f>IFERROR(VLOOKUP($B19&amp;U$9,Tableau1[],4,FALSE),"")</f>
        <v/>
      </c>
      <c r="V19" s="112" t="str">
        <f>IFERROR(VLOOKUP($B19&amp;V$9,Tableau1[],4,FALSE),"")</f>
        <v/>
      </c>
      <c r="W19" s="112" t="str">
        <f>IFERROR(VLOOKUP($B19&amp;W$9,Tableau1[],4,FALSE),"")</f>
        <v/>
      </c>
      <c r="X19" s="112" t="str">
        <f>IFERROR(VLOOKUP($B19&amp;X$9,Tableau1[],4,FALSE),"")</f>
        <v/>
      </c>
      <c r="Y19" s="112" t="str">
        <f>IFERROR(VLOOKUP($B19&amp;Y$9,Tableau1[],4,FALSE),"")</f>
        <v/>
      </c>
      <c r="Z19" s="112" t="str">
        <f>IFERROR(VLOOKUP($B19&amp;Z$9,Tableau1[],4,FALSE),"")</f>
        <v/>
      </c>
      <c r="AA19" s="112" t="str">
        <f>IFERROR(VLOOKUP($B19&amp;AA$9,Tableau1[],4,FALSE),"")</f>
        <v/>
      </c>
      <c r="AB19" s="112" t="str">
        <f>IFERROR(VLOOKUP($B19&amp;AB$9,Tableau1[],4,FALSE),"")</f>
        <v/>
      </c>
      <c r="AC19" s="112" t="str">
        <f>IFERROR(VLOOKUP($B19&amp;AC$9,Tableau1[],4,FALSE),"")</f>
        <v/>
      </c>
      <c r="AD19" s="112" t="str">
        <f>IFERROR(VLOOKUP($B19&amp;AD$9,Tableau1[],4,FALSE),"")</f>
        <v/>
      </c>
      <c r="AE19" s="112" t="str">
        <f>IFERROR(VLOOKUP($B19&amp;AE$9,Tableau1[],4,FALSE),"")</f>
        <v/>
      </c>
      <c r="AF19" s="112" t="str">
        <f>IFERROR(VLOOKUP($B19&amp;AF$9,Tableau1[],4,FALSE),"")</f>
        <v/>
      </c>
      <c r="AG19" s="112" t="str">
        <f>IFERROR(VLOOKUP($B19&amp;AG$9,Tableau1[],4,FALSE),"")</f>
        <v/>
      </c>
      <c r="AH19" s="112" t="str">
        <f>IFERROR(VLOOKUP($B19&amp;AH$9,Tableau1[],4,FALSE),"")</f>
        <v/>
      </c>
      <c r="AI19" s="112" t="str">
        <f>IFERROR(VLOOKUP($B19&amp;AI$9,Tableau1[],4,FALSE),"")</f>
        <v/>
      </c>
      <c r="AJ19" s="112" t="str">
        <f>IFERROR(VLOOKUP($B19&amp;AJ$9,Tableau1[],4,FALSE),"")</f>
        <v/>
      </c>
      <c r="AK19" s="112" t="str">
        <f>IFERROR(VLOOKUP($B19&amp;AK$9,Tableau1[],4,FALSE),"")</f>
        <v/>
      </c>
      <c r="AL19" s="112" t="str">
        <f>IFERROR(VLOOKUP($B19&amp;AL$9,Tableau1[],4,FALSE),"")</f>
        <v/>
      </c>
      <c r="AM19" s="112" t="str">
        <f>IFERROR(VLOOKUP($B19&amp;AM$9,Tableau1[],4,FALSE),"")</f>
        <v/>
      </c>
      <c r="AN19" s="112" t="str">
        <f>IFERROR(VLOOKUP($B19&amp;AN$9,Tableau1[],4,FALSE),"")</f>
        <v/>
      </c>
      <c r="AO19" s="112" t="str">
        <f>IFERROR(VLOOKUP($B19&amp;AO$9,Tableau1[],4,FALSE),"")</f>
        <v/>
      </c>
      <c r="AP19" s="112" t="str">
        <f>IFERROR(VLOOKUP($B19&amp;AP$9,Tableau1[],4,FALSE),"")</f>
        <v/>
      </c>
      <c r="AQ19" s="112" t="str">
        <f>IFERROR(VLOOKUP($B19&amp;AQ$9,Tableau1[],4,FALSE),"")</f>
        <v/>
      </c>
      <c r="AR19" s="112" t="str">
        <f>IFERROR(VLOOKUP($B19&amp;AR$9,Tableau1[],4,FALSE),"")</f>
        <v/>
      </c>
      <c r="AS19" s="112" t="str">
        <f>IFERROR(VLOOKUP($B19&amp;AS$9,Tableau1[],4,FALSE),"")</f>
        <v/>
      </c>
      <c r="AT19" s="112" t="str">
        <f>IFERROR(VLOOKUP($B19&amp;AT$9,Tableau1[],4,FALSE),"")</f>
        <v/>
      </c>
      <c r="AU19" s="112" t="str">
        <f>IFERROR(VLOOKUP($B19&amp;AU$9,Tableau1[],4,FALSE),"")</f>
        <v/>
      </c>
      <c r="AV19" s="171">
        <f t="array" aca="1" ref="AV19" ca="1">MAX(IF((Tableau1[MOTIF]="TIR")*(Tableau1[NOM]=B19)*(Tableau1[DATE]&lt;=TODAY()),Tableau1[DATE]))</f>
        <v>0</v>
      </c>
      <c r="AW19" s="171">
        <f ca="1">Tableau2[[#This Row],[Colonne46]]+42</f>
        <v>42</v>
      </c>
    </row>
    <row r="20" spans="1:49" hidden="1">
      <c r="A20" s="127" t="str">
        <f t="shared" ca="1" si="4"/>
        <v>Pas à jour depuis 116 ans 7 mois 11 jours</v>
      </c>
      <c r="B20" s="135"/>
      <c r="C20" s="112" t="str">
        <f>IFERROR(VLOOKUP($B20&amp;C$9,Tableau1[],4,FALSE),"")</f>
        <v/>
      </c>
      <c r="D20" s="112" t="str">
        <f>IFERROR(VLOOKUP($B20&amp;D$9,Tableau1[],4,FALSE),"")</f>
        <v/>
      </c>
      <c r="E20" s="112" t="str">
        <f>IFERROR(VLOOKUP($B20&amp;E$9,Tableau1[],4,FALSE),"")</f>
        <v/>
      </c>
      <c r="F20" s="112" t="str">
        <f>IFERROR(VLOOKUP($B20&amp;F$9,Tableau1[],4,FALSE),"")</f>
        <v/>
      </c>
      <c r="G20" s="112" t="str">
        <f>IFERROR(VLOOKUP($B20&amp;G$9,Tableau1[],4,FALSE),"")</f>
        <v/>
      </c>
      <c r="H20" s="112" t="str">
        <f>IFERROR(VLOOKUP($B20&amp;H$9,Tableau1[],4,FALSE),"")</f>
        <v/>
      </c>
      <c r="I20" s="112" t="str">
        <f>IFERROR(VLOOKUP($B20&amp;I$9,Tableau1[],4,FALSE),"")</f>
        <v/>
      </c>
      <c r="J20" s="112" t="str">
        <f>IFERROR(VLOOKUP($B20&amp;J$9,Tableau1[],4,FALSE),"")</f>
        <v/>
      </c>
      <c r="K20" s="112" t="str">
        <f>IFERROR(VLOOKUP($B20&amp;K$9,Tableau1[],4,FALSE),"")</f>
        <v/>
      </c>
      <c r="L20" s="112" t="str">
        <f>IFERROR(VLOOKUP($B20&amp;L$9,Tableau1[],4,FALSE),"")</f>
        <v/>
      </c>
      <c r="M20" s="112" t="str">
        <f>IFERROR(VLOOKUP($B20&amp;M$9,Tableau1[],4,FALSE),"")</f>
        <v/>
      </c>
      <c r="N20" s="112" t="str">
        <f>IFERROR(VLOOKUP($B20&amp;N$9,Tableau1[],4,FALSE),"")</f>
        <v/>
      </c>
      <c r="O20" s="112" t="str">
        <f>IFERROR(VLOOKUP($B20&amp;O$9,Tableau1[],4,FALSE),"")</f>
        <v/>
      </c>
      <c r="P20" s="112" t="str">
        <f>IFERROR(VLOOKUP($B20&amp;P$9,Tableau1[],4,FALSE),"")</f>
        <v/>
      </c>
      <c r="Q20" s="112" t="str">
        <f>IFERROR(VLOOKUP($B20&amp;Q$9,Tableau1[],4,FALSE),"")</f>
        <v/>
      </c>
      <c r="R20" s="112" t="str">
        <f>IFERROR(VLOOKUP($B20&amp;R$9,Tableau1[],4,FALSE),"")</f>
        <v/>
      </c>
      <c r="S20" s="112" t="str">
        <f>IFERROR(VLOOKUP($B20&amp;S$9,Tableau1[],4,FALSE),"")</f>
        <v/>
      </c>
      <c r="T20" s="112" t="str">
        <f>IFERROR(VLOOKUP($B20&amp;T$9,Tableau1[],4,FALSE),"")</f>
        <v/>
      </c>
      <c r="U20" s="112" t="str">
        <f>IFERROR(VLOOKUP($B20&amp;U$9,Tableau1[],4,FALSE),"")</f>
        <v/>
      </c>
      <c r="V20" s="112" t="str">
        <f>IFERROR(VLOOKUP($B20&amp;V$9,Tableau1[],4,FALSE),"")</f>
        <v/>
      </c>
      <c r="W20" s="112" t="str">
        <f>IFERROR(VLOOKUP($B20&amp;W$9,Tableau1[],4,FALSE),"")</f>
        <v/>
      </c>
      <c r="X20" s="112" t="str">
        <f>IFERROR(VLOOKUP($B20&amp;X$9,Tableau1[],4,FALSE),"")</f>
        <v/>
      </c>
      <c r="Y20" s="112" t="str">
        <f>IFERROR(VLOOKUP($B20&amp;Y$9,Tableau1[],4,FALSE),"")</f>
        <v/>
      </c>
      <c r="Z20" s="112" t="str">
        <f>IFERROR(VLOOKUP($B20&amp;Z$9,Tableau1[],4,FALSE),"")</f>
        <v/>
      </c>
      <c r="AA20" s="112" t="str">
        <f>IFERROR(VLOOKUP($B20&amp;AA$9,Tableau1[],4,FALSE),"")</f>
        <v/>
      </c>
      <c r="AB20" s="112" t="str">
        <f>IFERROR(VLOOKUP($B20&amp;AB$9,Tableau1[],4,FALSE),"")</f>
        <v/>
      </c>
      <c r="AC20" s="112" t="str">
        <f>IFERROR(VLOOKUP($B20&amp;AC$9,Tableau1[],4,FALSE),"")</f>
        <v/>
      </c>
      <c r="AD20" s="112" t="str">
        <f>IFERROR(VLOOKUP($B20&amp;AD$9,Tableau1[],4,FALSE),"")</f>
        <v/>
      </c>
      <c r="AE20" s="112" t="str">
        <f>IFERROR(VLOOKUP($B20&amp;AE$9,Tableau1[],4,FALSE),"")</f>
        <v/>
      </c>
      <c r="AF20" s="112" t="str">
        <f>IFERROR(VLOOKUP($B20&amp;AF$9,Tableau1[],4,FALSE),"")</f>
        <v/>
      </c>
      <c r="AG20" s="112" t="str">
        <f>IFERROR(VLOOKUP($B20&amp;AG$9,Tableau1[],4,FALSE),"")</f>
        <v/>
      </c>
      <c r="AH20" s="112" t="str">
        <f>IFERROR(VLOOKUP($B20&amp;AH$9,Tableau1[],4,FALSE),"")</f>
        <v/>
      </c>
      <c r="AI20" s="112" t="str">
        <f>IFERROR(VLOOKUP($B20&amp;AI$9,Tableau1[],4,FALSE),"")</f>
        <v/>
      </c>
      <c r="AJ20" s="112" t="str">
        <f>IFERROR(VLOOKUP($B20&amp;AJ$9,Tableau1[],4,FALSE),"")</f>
        <v/>
      </c>
      <c r="AK20" s="112" t="str">
        <f>IFERROR(VLOOKUP($B20&amp;AK$9,Tableau1[],4,FALSE),"")</f>
        <v/>
      </c>
      <c r="AL20" s="112" t="str">
        <f>IFERROR(VLOOKUP($B20&amp;AL$9,Tableau1[],4,FALSE),"")</f>
        <v/>
      </c>
      <c r="AM20" s="112" t="str">
        <f>IFERROR(VLOOKUP($B20&amp;AM$9,Tableau1[],4,FALSE),"")</f>
        <v/>
      </c>
      <c r="AN20" s="112" t="str">
        <f>IFERROR(VLOOKUP($B20&amp;AN$9,Tableau1[],4,FALSE),"")</f>
        <v/>
      </c>
      <c r="AO20" s="112" t="str">
        <f>IFERROR(VLOOKUP($B20&amp;AO$9,Tableau1[],4,FALSE),"")</f>
        <v/>
      </c>
      <c r="AP20" s="112" t="str">
        <f>IFERROR(VLOOKUP($B20&amp;AP$9,Tableau1[],4,FALSE),"")</f>
        <v/>
      </c>
      <c r="AQ20" s="112" t="str">
        <f>IFERROR(VLOOKUP($B20&amp;AQ$9,Tableau1[],4,FALSE),"")</f>
        <v/>
      </c>
      <c r="AR20" s="112" t="str">
        <f>IFERROR(VLOOKUP($B20&amp;AR$9,Tableau1[],4,FALSE),"")</f>
        <v/>
      </c>
      <c r="AS20" s="112" t="str">
        <f>IFERROR(VLOOKUP($B20&amp;AS$9,Tableau1[],4,FALSE),"")</f>
        <v/>
      </c>
      <c r="AT20" s="112" t="str">
        <f>IFERROR(VLOOKUP($B20&amp;AT$9,Tableau1[],4,FALSE),"")</f>
        <v/>
      </c>
      <c r="AU20" s="112" t="str">
        <f>IFERROR(VLOOKUP($B20&amp;AU$9,Tableau1[],4,FALSE),"")</f>
        <v/>
      </c>
      <c r="AV20" s="171">
        <f t="array" aca="1" ref="AV20" ca="1">MAX(IF((Tableau1[MOTIF]="TIR")*(Tableau1[NOM]=B20)*(Tableau1[DATE]&lt;=TODAY()),Tableau1[DATE]))</f>
        <v>0</v>
      </c>
      <c r="AW20" s="171">
        <f ca="1">Tableau2[[#This Row],[Colonne46]]+42</f>
        <v>42</v>
      </c>
    </row>
    <row r="21" spans="1:49" hidden="1">
      <c r="A21" s="127" t="str">
        <f t="shared" ca="1" si="4"/>
        <v>Pas à jour depuis 116 ans 7 mois 11 jours</v>
      </c>
      <c r="B21" s="135"/>
      <c r="C21" s="112" t="str">
        <f>IFERROR(VLOOKUP($B21&amp;C$9,Tableau1[],4,FALSE),"")</f>
        <v/>
      </c>
      <c r="D21" s="112" t="str">
        <f>IFERROR(VLOOKUP($B21&amp;D$9,Tableau1[],4,FALSE),"")</f>
        <v/>
      </c>
      <c r="E21" s="112" t="str">
        <f>IFERROR(VLOOKUP($B21&amp;E$9,Tableau1[],4,FALSE),"")</f>
        <v/>
      </c>
      <c r="F21" s="112" t="str">
        <f>IFERROR(VLOOKUP($B21&amp;F$9,Tableau1[],4,FALSE),"")</f>
        <v/>
      </c>
      <c r="G21" s="112" t="str">
        <f>IFERROR(VLOOKUP($B21&amp;G$9,Tableau1[],4,FALSE),"")</f>
        <v/>
      </c>
      <c r="H21" s="112" t="str">
        <f>IFERROR(VLOOKUP($B21&amp;H$9,Tableau1[],4,FALSE),"")</f>
        <v/>
      </c>
      <c r="I21" s="112" t="str">
        <f>IFERROR(VLOOKUP($B21&amp;I$9,Tableau1[],4,FALSE),"")</f>
        <v/>
      </c>
      <c r="J21" s="112" t="str">
        <f>IFERROR(VLOOKUP($B21&amp;J$9,Tableau1[],4,FALSE),"")</f>
        <v/>
      </c>
      <c r="K21" s="112" t="str">
        <f>IFERROR(VLOOKUP($B21&amp;K$9,Tableau1[],4,FALSE),"")</f>
        <v/>
      </c>
      <c r="L21" s="112" t="str">
        <f>IFERROR(VLOOKUP($B21&amp;L$9,Tableau1[],4,FALSE),"")</f>
        <v/>
      </c>
      <c r="M21" s="112" t="str">
        <f>IFERROR(VLOOKUP($B21&amp;M$9,Tableau1[],4,FALSE),"")</f>
        <v/>
      </c>
      <c r="N21" s="112" t="str">
        <f>IFERROR(VLOOKUP($B21&amp;N$9,Tableau1[],4,FALSE),"")</f>
        <v/>
      </c>
      <c r="O21" s="112" t="str">
        <f>IFERROR(VLOOKUP($B21&amp;O$9,Tableau1[],4,FALSE),"")</f>
        <v/>
      </c>
      <c r="P21" s="112" t="str">
        <f>IFERROR(VLOOKUP($B21&amp;P$9,Tableau1[],4,FALSE),"")</f>
        <v/>
      </c>
      <c r="Q21" s="112" t="str">
        <f>IFERROR(VLOOKUP($B21&amp;Q$9,Tableau1[],4,FALSE),"")</f>
        <v/>
      </c>
      <c r="R21" s="112" t="str">
        <f>IFERROR(VLOOKUP($B21&amp;R$9,Tableau1[],4,FALSE),"")</f>
        <v/>
      </c>
      <c r="S21" s="112" t="str">
        <f>IFERROR(VLOOKUP($B21&amp;S$9,Tableau1[],4,FALSE),"")</f>
        <v/>
      </c>
      <c r="T21" s="112" t="str">
        <f>IFERROR(VLOOKUP($B21&amp;T$9,Tableau1[],4,FALSE),"")</f>
        <v/>
      </c>
      <c r="U21" s="112" t="str">
        <f>IFERROR(VLOOKUP($B21&amp;U$9,Tableau1[],4,FALSE),"")</f>
        <v/>
      </c>
      <c r="V21" s="112" t="str">
        <f>IFERROR(VLOOKUP($B21&amp;V$9,Tableau1[],4,FALSE),"")</f>
        <v/>
      </c>
      <c r="W21" s="112" t="str">
        <f>IFERROR(VLOOKUP($B21&amp;W$9,Tableau1[],4,FALSE),"")</f>
        <v/>
      </c>
      <c r="X21" s="112" t="str">
        <f>IFERROR(VLOOKUP($B21&amp;X$9,Tableau1[],4,FALSE),"")</f>
        <v/>
      </c>
      <c r="Y21" s="112" t="str">
        <f>IFERROR(VLOOKUP($B21&amp;Y$9,Tableau1[],4,FALSE),"")</f>
        <v/>
      </c>
      <c r="Z21" s="112" t="str">
        <f>IFERROR(VLOOKUP($B21&amp;Z$9,Tableau1[],4,FALSE),"")</f>
        <v/>
      </c>
      <c r="AA21" s="112" t="str">
        <f>IFERROR(VLOOKUP($B21&amp;AA$9,Tableau1[],4,FALSE),"")</f>
        <v/>
      </c>
      <c r="AB21" s="112" t="str">
        <f>IFERROR(VLOOKUP($B21&amp;AB$9,Tableau1[],4,FALSE),"")</f>
        <v/>
      </c>
      <c r="AC21" s="112" t="str">
        <f>IFERROR(VLOOKUP($B21&amp;AC$9,Tableau1[],4,FALSE),"")</f>
        <v/>
      </c>
      <c r="AD21" s="112" t="str">
        <f>IFERROR(VLOOKUP($B21&amp;AD$9,Tableau1[],4,FALSE),"")</f>
        <v/>
      </c>
      <c r="AE21" s="112" t="str">
        <f>IFERROR(VLOOKUP($B21&amp;AE$9,Tableau1[],4,FALSE),"")</f>
        <v/>
      </c>
      <c r="AF21" s="112" t="str">
        <f>IFERROR(VLOOKUP($B21&amp;AF$9,Tableau1[],4,FALSE),"")</f>
        <v/>
      </c>
      <c r="AG21" s="112" t="str">
        <f>IFERROR(VLOOKUP($B21&amp;AG$9,Tableau1[],4,FALSE),"")</f>
        <v/>
      </c>
      <c r="AH21" s="112" t="str">
        <f>IFERROR(VLOOKUP($B21&amp;AH$9,Tableau1[],4,FALSE),"")</f>
        <v/>
      </c>
      <c r="AI21" s="112" t="str">
        <f>IFERROR(VLOOKUP($B21&amp;AI$9,Tableau1[],4,FALSE),"")</f>
        <v/>
      </c>
      <c r="AJ21" s="112" t="str">
        <f>IFERROR(VLOOKUP($B21&amp;AJ$9,Tableau1[],4,FALSE),"")</f>
        <v/>
      </c>
      <c r="AK21" s="112" t="str">
        <f>IFERROR(VLOOKUP($B21&amp;AK$9,Tableau1[],4,FALSE),"")</f>
        <v/>
      </c>
      <c r="AL21" s="112" t="str">
        <f>IFERROR(VLOOKUP($B21&amp;AL$9,Tableau1[],4,FALSE),"")</f>
        <v/>
      </c>
      <c r="AM21" s="112" t="str">
        <f>IFERROR(VLOOKUP($B21&amp;AM$9,Tableau1[],4,FALSE),"")</f>
        <v/>
      </c>
      <c r="AN21" s="112" t="str">
        <f>IFERROR(VLOOKUP($B21&amp;AN$9,Tableau1[],4,FALSE),"")</f>
        <v/>
      </c>
      <c r="AO21" s="112" t="str">
        <f>IFERROR(VLOOKUP($B21&amp;AO$9,Tableau1[],4,FALSE),"")</f>
        <v/>
      </c>
      <c r="AP21" s="112" t="str">
        <f>IFERROR(VLOOKUP($B21&amp;AP$9,Tableau1[],4,FALSE),"")</f>
        <v/>
      </c>
      <c r="AQ21" s="112" t="str">
        <f>IFERROR(VLOOKUP($B21&amp;AQ$9,Tableau1[],4,FALSE),"")</f>
        <v/>
      </c>
      <c r="AR21" s="112" t="str">
        <f>IFERROR(VLOOKUP($B21&amp;AR$9,Tableau1[],4,FALSE),"")</f>
        <v/>
      </c>
      <c r="AS21" s="112" t="str">
        <f>IFERROR(VLOOKUP($B21&amp;AS$9,Tableau1[],4,FALSE),"")</f>
        <v/>
      </c>
      <c r="AT21" s="112" t="str">
        <f>IFERROR(VLOOKUP($B21&amp;AT$9,Tableau1[],4,FALSE),"")</f>
        <v/>
      </c>
      <c r="AU21" s="112" t="str">
        <f>IFERROR(VLOOKUP($B21&amp;AU$9,Tableau1[],4,FALSE),"")</f>
        <v/>
      </c>
      <c r="AV21" s="171">
        <f t="array" aca="1" ref="AV21" ca="1">MAX(IF((Tableau1[MOTIF]="TIR")*(Tableau1[NOM]=B21)*(Tableau1[DATE]&lt;=TODAY()),Tableau1[DATE]))</f>
        <v>0</v>
      </c>
      <c r="AW21" s="171">
        <f ca="1">Tableau2[[#This Row],[Colonne46]]+42</f>
        <v>42</v>
      </c>
    </row>
    <row r="22" spans="1:49" hidden="1">
      <c r="A22" s="127" t="str">
        <f t="shared" ca="1" si="4"/>
        <v>Pas à jour depuis 116 ans 7 mois 11 jours</v>
      </c>
      <c r="B22" s="135"/>
      <c r="C22" s="112" t="str">
        <f>IFERROR(VLOOKUP($B22&amp;C$9,Tableau1[],4,FALSE),"")</f>
        <v/>
      </c>
      <c r="D22" s="112" t="str">
        <f>IFERROR(VLOOKUP($B22&amp;D$9,Tableau1[],4,FALSE),"")</f>
        <v/>
      </c>
      <c r="E22" s="112" t="str">
        <f>IFERROR(VLOOKUP($B22&amp;E$9,Tableau1[],4,FALSE),"")</f>
        <v/>
      </c>
      <c r="F22" s="112" t="str">
        <f>IFERROR(VLOOKUP($B22&amp;F$9,Tableau1[],4,FALSE),"")</f>
        <v/>
      </c>
      <c r="G22" s="112" t="str">
        <f>IFERROR(VLOOKUP($B22&amp;G$9,Tableau1[],4,FALSE),"")</f>
        <v/>
      </c>
      <c r="H22" s="112" t="str">
        <f>IFERROR(VLOOKUP($B22&amp;H$9,Tableau1[],4,FALSE),"")</f>
        <v/>
      </c>
      <c r="I22" s="112" t="str">
        <f>IFERROR(VLOOKUP($B22&amp;I$9,Tableau1[],4,FALSE),"")</f>
        <v/>
      </c>
      <c r="J22" s="112" t="str">
        <f>IFERROR(VLOOKUP($B22&amp;J$9,Tableau1[],4,FALSE),"")</f>
        <v/>
      </c>
      <c r="K22" s="112" t="str">
        <f>IFERROR(VLOOKUP($B22&amp;K$9,Tableau1[],4,FALSE),"")</f>
        <v/>
      </c>
      <c r="L22" s="112" t="str">
        <f>IFERROR(VLOOKUP($B22&amp;L$9,Tableau1[],4,FALSE),"")</f>
        <v/>
      </c>
      <c r="M22" s="112" t="str">
        <f>IFERROR(VLOOKUP($B22&amp;M$9,Tableau1[],4,FALSE),"")</f>
        <v/>
      </c>
      <c r="N22" s="112" t="str">
        <f>IFERROR(VLOOKUP($B22&amp;N$9,Tableau1[],4,FALSE),"")</f>
        <v/>
      </c>
      <c r="O22" s="112" t="str">
        <f>IFERROR(VLOOKUP($B22&amp;O$9,Tableau1[],4,FALSE),"")</f>
        <v/>
      </c>
      <c r="P22" s="112" t="str">
        <f>IFERROR(VLOOKUP($B22&amp;P$9,Tableau1[],4,FALSE),"")</f>
        <v/>
      </c>
      <c r="Q22" s="112" t="str">
        <f>IFERROR(VLOOKUP($B22&amp;Q$9,Tableau1[],4,FALSE),"")</f>
        <v/>
      </c>
      <c r="R22" s="112" t="str">
        <f>IFERROR(VLOOKUP($B22&amp;R$9,Tableau1[],4,FALSE),"")</f>
        <v/>
      </c>
      <c r="S22" s="112" t="str">
        <f>IFERROR(VLOOKUP($B22&amp;S$9,Tableau1[],4,FALSE),"")</f>
        <v/>
      </c>
      <c r="T22" s="112" t="str">
        <f>IFERROR(VLOOKUP($B22&amp;T$9,Tableau1[],4,FALSE),"")</f>
        <v/>
      </c>
      <c r="U22" s="112" t="str">
        <f>IFERROR(VLOOKUP($B22&amp;U$9,Tableau1[],4,FALSE),"")</f>
        <v/>
      </c>
      <c r="V22" s="112" t="str">
        <f>IFERROR(VLOOKUP($B22&amp;V$9,Tableau1[],4,FALSE),"")</f>
        <v/>
      </c>
      <c r="W22" s="112" t="str">
        <f>IFERROR(VLOOKUP($B22&amp;W$9,Tableau1[],4,FALSE),"")</f>
        <v/>
      </c>
      <c r="X22" s="112" t="str">
        <f>IFERROR(VLOOKUP($B22&amp;X$9,Tableau1[],4,FALSE),"")</f>
        <v/>
      </c>
      <c r="Y22" s="112" t="str">
        <f>IFERROR(VLOOKUP($B22&amp;Y$9,Tableau1[],4,FALSE),"")</f>
        <v/>
      </c>
      <c r="Z22" s="112" t="str">
        <f>IFERROR(VLOOKUP($B22&amp;Z$9,Tableau1[],4,FALSE),"")</f>
        <v/>
      </c>
      <c r="AA22" s="112" t="str">
        <f>IFERROR(VLOOKUP($B22&amp;AA$9,Tableau1[],4,FALSE),"")</f>
        <v/>
      </c>
      <c r="AB22" s="112" t="str">
        <f>IFERROR(VLOOKUP($B22&amp;AB$9,Tableau1[],4,FALSE),"")</f>
        <v/>
      </c>
      <c r="AC22" s="112" t="str">
        <f>IFERROR(VLOOKUP($B22&amp;AC$9,Tableau1[],4,FALSE),"")</f>
        <v/>
      </c>
      <c r="AD22" s="112" t="str">
        <f>IFERROR(VLOOKUP($B22&amp;AD$9,Tableau1[],4,FALSE),"")</f>
        <v/>
      </c>
      <c r="AE22" s="112" t="str">
        <f>IFERROR(VLOOKUP($B22&amp;AE$9,Tableau1[],4,FALSE),"")</f>
        <v/>
      </c>
      <c r="AF22" s="112" t="str">
        <f>IFERROR(VLOOKUP($B22&amp;AF$9,Tableau1[],4,FALSE),"")</f>
        <v/>
      </c>
      <c r="AG22" s="112" t="str">
        <f>IFERROR(VLOOKUP($B22&amp;AG$9,Tableau1[],4,FALSE),"")</f>
        <v/>
      </c>
      <c r="AH22" s="112" t="str">
        <f>IFERROR(VLOOKUP($B22&amp;AH$9,Tableau1[],4,FALSE),"")</f>
        <v/>
      </c>
      <c r="AI22" s="112" t="str">
        <f>IFERROR(VLOOKUP($B22&amp;AI$9,Tableau1[],4,FALSE),"")</f>
        <v/>
      </c>
      <c r="AJ22" s="112" t="str">
        <f>IFERROR(VLOOKUP($B22&amp;AJ$9,Tableau1[],4,FALSE),"")</f>
        <v/>
      </c>
      <c r="AK22" s="112" t="str">
        <f>IFERROR(VLOOKUP($B22&amp;AK$9,Tableau1[],4,FALSE),"")</f>
        <v/>
      </c>
      <c r="AL22" s="112" t="str">
        <f>IFERROR(VLOOKUP($B22&amp;AL$9,Tableau1[],4,FALSE),"")</f>
        <v/>
      </c>
      <c r="AM22" s="112" t="str">
        <f>IFERROR(VLOOKUP($B22&amp;AM$9,Tableau1[],4,FALSE),"")</f>
        <v/>
      </c>
      <c r="AN22" s="112" t="str">
        <f>IFERROR(VLOOKUP($B22&amp;AN$9,Tableau1[],4,FALSE),"")</f>
        <v/>
      </c>
      <c r="AO22" s="112" t="str">
        <f>IFERROR(VLOOKUP($B22&amp;AO$9,Tableau1[],4,FALSE),"")</f>
        <v/>
      </c>
      <c r="AP22" s="112" t="str">
        <f>IFERROR(VLOOKUP($B22&amp;AP$9,Tableau1[],4,FALSE),"")</f>
        <v/>
      </c>
      <c r="AQ22" s="112" t="str">
        <f>IFERROR(VLOOKUP($B22&amp;AQ$9,Tableau1[],4,FALSE),"")</f>
        <v/>
      </c>
      <c r="AR22" s="112" t="str">
        <f>IFERROR(VLOOKUP($B22&amp;AR$9,Tableau1[],4,FALSE),"")</f>
        <v/>
      </c>
      <c r="AS22" s="112" t="str">
        <f>IFERROR(VLOOKUP($B22&amp;AS$9,Tableau1[],4,FALSE),"")</f>
        <v/>
      </c>
      <c r="AT22" s="112" t="str">
        <f>IFERROR(VLOOKUP($B22&amp;AT$9,Tableau1[],4,FALSE),"")</f>
        <v/>
      </c>
      <c r="AU22" s="112" t="str">
        <f>IFERROR(VLOOKUP($B22&amp;AU$9,Tableau1[],4,FALSE),"")</f>
        <v/>
      </c>
      <c r="AV22" s="171">
        <f t="array" aca="1" ref="AV22" ca="1">MAX(IF((Tableau1[MOTIF]="TIR")*(Tableau1[NOM]=B22)*(Tableau1[DATE]&lt;=TODAY()),Tableau1[DATE]))</f>
        <v>0</v>
      </c>
      <c r="AW22" s="171">
        <f ca="1">Tableau2[[#This Row],[Colonne46]]+42</f>
        <v>42</v>
      </c>
    </row>
    <row r="23" spans="1:49" hidden="1">
      <c r="A23" s="127" t="str">
        <f t="shared" ca="1" si="4"/>
        <v>Pas à jour depuis 116 ans 7 mois 11 jours</v>
      </c>
      <c r="B23" s="135"/>
      <c r="C23" s="112" t="str">
        <f>IFERROR(VLOOKUP($B23&amp;C$9,Tableau1[],4,FALSE),"")</f>
        <v/>
      </c>
      <c r="D23" s="112" t="str">
        <f>IFERROR(VLOOKUP($B23&amp;D$9,Tableau1[],4,FALSE),"")</f>
        <v/>
      </c>
      <c r="E23" s="112" t="str">
        <f>IFERROR(VLOOKUP($B23&amp;E$9,Tableau1[],4,FALSE),"")</f>
        <v/>
      </c>
      <c r="F23" s="112" t="str">
        <f>IFERROR(VLOOKUP($B23&amp;F$9,Tableau1[],4,FALSE),"")</f>
        <v/>
      </c>
      <c r="G23" s="112" t="str">
        <f>IFERROR(VLOOKUP($B23&amp;G$9,Tableau1[],4,FALSE),"")</f>
        <v/>
      </c>
      <c r="H23" s="112" t="str">
        <f>IFERROR(VLOOKUP($B23&amp;H$9,Tableau1[],4,FALSE),"")</f>
        <v/>
      </c>
      <c r="I23" s="112" t="str">
        <f>IFERROR(VLOOKUP($B23&amp;I$9,Tableau1[],4,FALSE),"")</f>
        <v/>
      </c>
      <c r="J23" s="112" t="str">
        <f>IFERROR(VLOOKUP($B23&amp;J$9,Tableau1[],4,FALSE),"")</f>
        <v/>
      </c>
      <c r="K23" s="112" t="str">
        <f>IFERROR(VLOOKUP($B23&amp;K$9,Tableau1[],4,FALSE),"")</f>
        <v/>
      </c>
      <c r="L23" s="112" t="str">
        <f>IFERROR(VLOOKUP($B23&amp;L$9,Tableau1[],4,FALSE),"")</f>
        <v/>
      </c>
      <c r="M23" s="112" t="str">
        <f>IFERROR(VLOOKUP($B23&amp;M$9,Tableau1[],4,FALSE),"")</f>
        <v/>
      </c>
      <c r="N23" s="112" t="str">
        <f>IFERROR(VLOOKUP($B23&amp;N$9,Tableau1[],4,FALSE),"")</f>
        <v/>
      </c>
      <c r="O23" s="112" t="str">
        <f>IFERROR(VLOOKUP($B23&amp;O$9,Tableau1[],4,FALSE),"")</f>
        <v/>
      </c>
      <c r="P23" s="112" t="str">
        <f>IFERROR(VLOOKUP($B23&amp;P$9,Tableau1[],4,FALSE),"")</f>
        <v/>
      </c>
      <c r="Q23" s="112" t="str">
        <f>IFERROR(VLOOKUP($B23&amp;Q$9,Tableau1[],4,FALSE),"")</f>
        <v/>
      </c>
      <c r="R23" s="112" t="str">
        <f>IFERROR(VLOOKUP($B23&amp;R$9,Tableau1[],4,FALSE),"")</f>
        <v/>
      </c>
      <c r="S23" s="112" t="str">
        <f>IFERROR(VLOOKUP($B23&amp;S$9,Tableau1[],4,FALSE),"")</f>
        <v/>
      </c>
      <c r="T23" s="112" t="str">
        <f>IFERROR(VLOOKUP($B23&amp;T$9,Tableau1[],4,FALSE),"")</f>
        <v/>
      </c>
      <c r="U23" s="112" t="str">
        <f>IFERROR(VLOOKUP($B23&amp;U$9,Tableau1[],4,FALSE),"")</f>
        <v/>
      </c>
      <c r="V23" s="112" t="str">
        <f>IFERROR(VLOOKUP($B23&amp;V$9,Tableau1[],4,FALSE),"")</f>
        <v/>
      </c>
      <c r="W23" s="112" t="str">
        <f>IFERROR(VLOOKUP($B23&amp;W$9,Tableau1[],4,FALSE),"")</f>
        <v/>
      </c>
      <c r="X23" s="112" t="str">
        <f>IFERROR(VLOOKUP($B23&amp;X$9,Tableau1[],4,FALSE),"")</f>
        <v/>
      </c>
      <c r="Y23" s="112" t="str">
        <f>IFERROR(VLOOKUP($B23&amp;Y$9,Tableau1[],4,FALSE),"")</f>
        <v/>
      </c>
      <c r="Z23" s="112" t="str">
        <f>IFERROR(VLOOKUP($B23&amp;Z$9,Tableau1[],4,FALSE),"")</f>
        <v/>
      </c>
      <c r="AA23" s="112" t="str">
        <f>IFERROR(VLOOKUP($B23&amp;AA$9,Tableau1[],4,FALSE),"")</f>
        <v/>
      </c>
      <c r="AB23" s="112" t="str">
        <f>IFERROR(VLOOKUP($B23&amp;AB$9,Tableau1[],4,FALSE),"")</f>
        <v/>
      </c>
      <c r="AC23" s="112" t="str">
        <f>IFERROR(VLOOKUP($B23&amp;AC$9,Tableau1[],4,FALSE),"")</f>
        <v/>
      </c>
      <c r="AD23" s="112" t="str">
        <f>IFERROR(VLOOKUP($B23&amp;AD$9,Tableau1[],4,FALSE),"")</f>
        <v/>
      </c>
      <c r="AE23" s="112" t="str">
        <f>IFERROR(VLOOKUP($B23&amp;AE$9,Tableau1[],4,FALSE),"")</f>
        <v/>
      </c>
      <c r="AF23" s="112" t="str">
        <f>IFERROR(VLOOKUP($B23&amp;AF$9,Tableau1[],4,FALSE),"")</f>
        <v/>
      </c>
      <c r="AG23" s="112" t="str">
        <f>IFERROR(VLOOKUP($B23&amp;AG$9,Tableau1[],4,FALSE),"")</f>
        <v/>
      </c>
      <c r="AH23" s="112" t="str">
        <f>IFERROR(VLOOKUP($B23&amp;AH$9,Tableau1[],4,FALSE),"")</f>
        <v/>
      </c>
      <c r="AI23" s="112" t="str">
        <f>IFERROR(VLOOKUP($B23&amp;AI$9,Tableau1[],4,FALSE),"")</f>
        <v/>
      </c>
      <c r="AJ23" s="112" t="str">
        <f>IFERROR(VLOOKUP($B23&amp;AJ$9,Tableau1[],4,FALSE),"")</f>
        <v/>
      </c>
      <c r="AK23" s="112" t="str">
        <f>IFERROR(VLOOKUP($B23&amp;AK$9,Tableau1[],4,FALSE),"")</f>
        <v/>
      </c>
      <c r="AL23" s="112" t="str">
        <f>IFERROR(VLOOKUP($B23&amp;AL$9,Tableau1[],4,FALSE),"")</f>
        <v/>
      </c>
      <c r="AM23" s="112" t="str">
        <f>IFERROR(VLOOKUP($B23&amp;AM$9,Tableau1[],4,FALSE),"")</f>
        <v/>
      </c>
      <c r="AN23" s="112" t="str">
        <f>IFERROR(VLOOKUP($B23&amp;AN$9,Tableau1[],4,FALSE),"")</f>
        <v/>
      </c>
      <c r="AO23" s="112" t="str">
        <f>IFERROR(VLOOKUP($B23&amp;AO$9,Tableau1[],4,FALSE),"")</f>
        <v/>
      </c>
      <c r="AP23" s="112" t="str">
        <f>IFERROR(VLOOKUP($B23&amp;AP$9,Tableau1[],4,FALSE),"")</f>
        <v/>
      </c>
      <c r="AQ23" s="112" t="str">
        <f>IFERROR(VLOOKUP($B23&amp;AQ$9,Tableau1[],4,FALSE),"")</f>
        <v/>
      </c>
      <c r="AR23" s="112" t="str">
        <f>IFERROR(VLOOKUP($B23&amp;AR$9,Tableau1[],4,FALSE),"")</f>
        <v/>
      </c>
      <c r="AS23" s="112" t="str">
        <f>IFERROR(VLOOKUP($B23&amp;AS$9,Tableau1[],4,FALSE),"")</f>
        <v/>
      </c>
      <c r="AT23" s="112" t="str">
        <f>IFERROR(VLOOKUP($B23&amp;AT$9,Tableau1[],4,FALSE),"")</f>
        <v/>
      </c>
      <c r="AU23" s="112" t="str">
        <f>IFERROR(VLOOKUP($B23&amp;AU$9,Tableau1[],4,FALSE),"")</f>
        <v/>
      </c>
      <c r="AV23" s="171">
        <f t="array" aca="1" ref="AV23" ca="1">MAX(IF((Tableau1[MOTIF]="TIR")*(Tableau1[NOM]=B23)*(Tableau1[DATE]&lt;=TODAY()),Tableau1[DATE]))</f>
        <v>0</v>
      </c>
      <c r="AW23" s="171">
        <f ca="1">Tableau2[[#This Row],[Colonne46]]+42</f>
        <v>42</v>
      </c>
    </row>
    <row r="24" spans="1:49" hidden="1">
      <c r="A24" s="127" t="str">
        <f t="shared" ca="1" si="4"/>
        <v>Pas à jour depuis 116 ans 7 mois 11 jours</v>
      </c>
      <c r="B24" s="135"/>
      <c r="C24" s="112" t="str">
        <f>IFERROR(VLOOKUP($B24&amp;C$9,Tableau1[],4,FALSE),"")</f>
        <v/>
      </c>
      <c r="D24" s="112" t="str">
        <f>IFERROR(VLOOKUP($B24&amp;D$9,Tableau1[],4,FALSE),"")</f>
        <v/>
      </c>
      <c r="E24" s="112" t="str">
        <f>IFERROR(VLOOKUP($B24&amp;E$9,Tableau1[],4,FALSE),"")</f>
        <v/>
      </c>
      <c r="F24" s="112" t="str">
        <f>IFERROR(VLOOKUP($B24&amp;F$9,Tableau1[],4,FALSE),"")</f>
        <v/>
      </c>
      <c r="G24" s="112" t="str">
        <f>IFERROR(VLOOKUP($B24&amp;G$9,Tableau1[],4,FALSE),"")</f>
        <v/>
      </c>
      <c r="H24" s="112" t="str">
        <f>IFERROR(VLOOKUP($B24&amp;H$9,Tableau1[],4,FALSE),"")</f>
        <v/>
      </c>
      <c r="I24" s="112" t="str">
        <f>IFERROR(VLOOKUP($B24&amp;I$9,Tableau1[],4,FALSE),"")</f>
        <v/>
      </c>
      <c r="J24" s="112" t="str">
        <f>IFERROR(VLOOKUP($B24&amp;J$9,Tableau1[],4,FALSE),"")</f>
        <v/>
      </c>
      <c r="K24" s="112" t="str">
        <f>IFERROR(VLOOKUP($B24&amp;K$9,Tableau1[],4,FALSE),"")</f>
        <v/>
      </c>
      <c r="L24" s="112" t="str">
        <f>IFERROR(VLOOKUP($B24&amp;L$9,Tableau1[],4,FALSE),"")</f>
        <v/>
      </c>
      <c r="M24" s="112" t="str">
        <f>IFERROR(VLOOKUP($B24&amp;M$9,Tableau1[],4,FALSE),"")</f>
        <v/>
      </c>
      <c r="N24" s="112" t="str">
        <f>IFERROR(VLOOKUP($B24&amp;N$9,Tableau1[],4,FALSE),"")</f>
        <v/>
      </c>
      <c r="O24" s="112" t="str">
        <f>IFERROR(VLOOKUP($B24&amp;O$9,Tableau1[],4,FALSE),"")</f>
        <v/>
      </c>
      <c r="P24" s="112" t="str">
        <f>IFERROR(VLOOKUP($B24&amp;P$9,Tableau1[],4,FALSE),"")</f>
        <v/>
      </c>
      <c r="Q24" s="112" t="str">
        <f>IFERROR(VLOOKUP($B24&amp;Q$9,Tableau1[],4,FALSE),"")</f>
        <v/>
      </c>
      <c r="R24" s="112" t="str">
        <f>IFERROR(VLOOKUP($B24&amp;R$9,Tableau1[],4,FALSE),"")</f>
        <v/>
      </c>
      <c r="S24" s="112" t="str">
        <f>IFERROR(VLOOKUP($B24&amp;S$9,Tableau1[],4,FALSE),"")</f>
        <v/>
      </c>
      <c r="T24" s="112" t="str">
        <f>IFERROR(VLOOKUP($B24&amp;T$9,Tableau1[],4,FALSE),"")</f>
        <v/>
      </c>
      <c r="U24" s="112" t="str">
        <f>IFERROR(VLOOKUP($B24&amp;U$9,Tableau1[],4,FALSE),"")</f>
        <v/>
      </c>
      <c r="V24" s="112" t="str">
        <f>IFERROR(VLOOKUP($B24&amp;V$9,Tableau1[],4,FALSE),"")</f>
        <v/>
      </c>
      <c r="W24" s="112" t="str">
        <f>IFERROR(VLOOKUP($B24&amp;W$9,Tableau1[],4,FALSE),"")</f>
        <v/>
      </c>
      <c r="X24" s="112" t="str">
        <f>IFERROR(VLOOKUP($B24&amp;X$9,Tableau1[],4,FALSE),"")</f>
        <v/>
      </c>
      <c r="Y24" s="112" t="str">
        <f>IFERROR(VLOOKUP($B24&amp;Y$9,Tableau1[],4,FALSE),"")</f>
        <v/>
      </c>
      <c r="Z24" s="112" t="str">
        <f>IFERROR(VLOOKUP($B24&amp;Z$9,Tableau1[],4,FALSE),"")</f>
        <v/>
      </c>
      <c r="AA24" s="112" t="str">
        <f>IFERROR(VLOOKUP($B24&amp;AA$9,Tableau1[],4,FALSE),"")</f>
        <v/>
      </c>
      <c r="AB24" s="112" t="str">
        <f>IFERROR(VLOOKUP($B24&amp;AB$9,Tableau1[],4,FALSE),"")</f>
        <v/>
      </c>
      <c r="AC24" s="112" t="str">
        <f>IFERROR(VLOOKUP($B24&amp;AC$9,Tableau1[],4,FALSE),"")</f>
        <v/>
      </c>
      <c r="AD24" s="112" t="str">
        <f>IFERROR(VLOOKUP($B24&amp;AD$9,Tableau1[],4,FALSE),"")</f>
        <v/>
      </c>
      <c r="AE24" s="112" t="str">
        <f>IFERROR(VLOOKUP($B24&amp;AE$9,Tableau1[],4,FALSE),"")</f>
        <v/>
      </c>
      <c r="AF24" s="112" t="str">
        <f>IFERROR(VLOOKUP($B24&amp;AF$9,Tableau1[],4,FALSE),"")</f>
        <v/>
      </c>
      <c r="AG24" s="112" t="str">
        <f>IFERROR(VLOOKUP($B24&amp;AG$9,Tableau1[],4,FALSE),"")</f>
        <v/>
      </c>
      <c r="AH24" s="112" t="str">
        <f>IFERROR(VLOOKUP($B24&amp;AH$9,Tableau1[],4,FALSE),"")</f>
        <v/>
      </c>
      <c r="AI24" s="112" t="str">
        <f>IFERROR(VLOOKUP($B24&amp;AI$9,Tableau1[],4,FALSE),"")</f>
        <v/>
      </c>
      <c r="AJ24" s="112" t="str">
        <f>IFERROR(VLOOKUP($B24&amp;AJ$9,Tableau1[],4,FALSE),"")</f>
        <v/>
      </c>
      <c r="AK24" s="112" t="str">
        <f>IFERROR(VLOOKUP($B24&amp;AK$9,Tableau1[],4,FALSE),"")</f>
        <v/>
      </c>
      <c r="AL24" s="112" t="str">
        <f>IFERROR(VLOOKUP($B24&amp;AL$9,Tableau1[],4,FALSE),"")</f>
        <v/>
      </c>
      <c r="AM24" s="112" t="str">
        <f>IFERROR(VLOOKUP($B24&amp;AM$9,Tableau1[],4,FALSE),"")</f>
        <v/>
      </c>
      <c r="AN24" s="112" t="str">
        <f>IFERROR(VLOOKUP($B24&amp;AN$9,Tableau1[],4,FALSE),"")</f>
        <v/>
      </c>
      <c r="AO24" s="112" t="str">
        <f>IFERROR(VLOOKUP($B24&amp;AO$9,Tableau1[],4,FALSE),"")</f>
        <v/>
      </c>
      <c r="AP24" s="112" t="str">
        <f>IFERROR(VLOOKUP($B24&amp;AP$9,Tableau1[],4,FALSE),"")</f>
        <v/>
      </c>
      <c r="AQ24" s="112" t="str">
        <f>IFERROR(VLOOKUP($B24&amp;AQ$9,Tableau1[],4,FALSE),"")</f>
        <v/>
      </c>
      <c r="AR24" s="112" t="str">
        <f>IFERROR(VLOOKUP($B24&amp;AR$9,Tableau1[],4,FALSE),"")</f>
        <v/>
      </c>
      <c r="AS24" s="112" t="str">
        <f>IFERROR(VLOOKUP($B24&amp;AS$9,Tableau1[],4,FALSE),"")</f>
        <v/>
      </c>
      <c r="AT24" s="112" t="str">
        <f>IFERROR(VLOOKUP($B24&amp;AT$9,Tableau1[],4,FALSE),"")</f>
        <v/>
      </c>
      <c r="AU24" s="112" t="str">
        <f>IFERROR(VLOOKUP($B24&amp;AU$9,Tableau1[],4,FALSE),"")</f>
        <v/>
      </c>
      <c r="AV24" s="171">
        <f t="array" aca="1" ref="AV24" ca="1">MAX(IF((Tableau1[MOTIF]="TIR")*(Tableau1[NOM]=B24)*(Tableau1[DATE]&lt;=TODAY()),Tableau1[DATE]))</f>
        <v>0</v>
      </c>
      <c r="AW24" s="171">
        <f ca="1">Tableau2[[#This Row],[Colonne46]]+42</f>
        <v>42</v>
      </c>
    </row>
    <row r="25" spans="1:49" hidden="1">
      <c r="A25" s="127" t="str">
        <f t="shared" ca="1" si="4"/>
        <v>Pas à jour depuis 116 ans 7 mois 11 jours</v>
      </c>
      <c r="B25" s="135"/>
      <c r="C25" s="112" t="str">
        <f>IFERROR(VLOOKUP($B25&amp;C$9,Tableau1[],4,FALSE),"")</f>
        <v/>
      </c>
      <c r="D25" s="112" t="str">
        <f>IFERROR(VLOOKUP($B25&amp;D$9,Tableau1[],4,FALSE),"")</f>
        <v/>
      </c>
      <c r="E25" s="112" t="str">
        <f>IFERROR(VLOOKUP($B25&amp;E$9,Tableau1[],4,FALSE),"")</f>
        <v/>
      </c>
      <c r="F25" s="112" t="str">
        <f>IFERROR(VLOOKUP($B25&amp;F$9,Tableau1[],4,FALSE),"")</f>
        <v/>
      </c>
      <c r="G25" s="112" t="str">
        <f>IFERROR(VLOOKUP($B25&amp;G$9,Tableau1[],4,FALSE),"")</f>
        <v/>
      </c>
      <c r="H25" s="112" t="str">
        <f>IFERROR(VLOOKUP($B25&amp;H$9,Tableau1[],4,FALSE),"")</f>
        <v/>
      </c>
      <c r="I25" s="112" t="str">
        <f>IFERROR(VLOOKUP($B25&amp;I$9,Tableau1[],4,FALSE),"")</f>
        <v/>
      </c>
      <c r="J25" s="112" t="str">
        <f>IFERROR(VLOOKUP($B25&amp;J$9,Tableau1[],4,FALSE),"")</f>
        <v/>
      </c>
      <c r="K25" s="112" t="str">
        <f>IFERROR(VLOOKUP($B25&amp;K$9,Tableau1[],4,FALSE),"")</f>
        <v/>
      </c>
      <c r="L25" s="112" t="str">
        <f>IFERROR(VLOOKUP($B25&amp;L$9,Tableau1[],4,FALSE),"")</f>
        <v/>
      </c>
      <c r="M25" s="112" t="str">
        <f>IFERROR(VLOOKUP($B25&amp;M$9,Tableau1[],4,FALSE),"")</f>
        <v/>
      </c>
      <c r="N25" s="112" t="str">
        <f>IFERROR(VLOOKUP($B25&amp;N$9,Tableau1[],4,FALSE),"")</f>
        <v/>
      </c>
      <c r="O25" s="112" t="str">
        <f>IFERROR(VLOOKUP($B25&amp;O$9,Tableau1[],4,FALSE),"")</f>
        <v/>
      </c>
      <c r="P25" s="112" t="str">
        <f>IFERROR(VLOOKUP($B25&amp;P$9,Tableau1[],4,FALSE),"")</f>
        <v/>
      </c>
      <c r="Q25" s="112" t="str">
        <f>IFERROR(VLOOKUP($B25&amp;Q$9,Tableau1[],4,FALSE),"")</f>
        <v/>
      </c>
      <c r="R25" s="112" t="str">
        <f>IFERROR(VLOOKUP($B25&amp;R$9,Tableau1[],4,FALSE),"")</f>
        <v/>
      </c>
      <c r="S25" s="112" t="str">
        <f>IFERROR(VLOOKUP($B25&amp;S$9,Tableau1[],4,FALSE),"")</f>
        <v/>
      </c>
      <c r="T25" s="112" t="str">
        <f>IFERROR(VLOOKUP($B25&amp;T$9,Tableau1[],4,FALSE),"")</f>
        <v/>
      </c>
      <c r="U25" s="112" t="str">
        <f>IFERROR(VLOOKUP($B25&amp;U$9,Tableau1[],4,FALSE),"")</f>
        <v/>
      </c>
      <c r="V25" s="112" t="str">
        <f>IFERROR(VLOOKUP($B25&amp;V$9,Tableau1[],4,FALSE),"")</f>
        <v/>
      </c>
      <c r="W25" s="112" t="str">
        <f>IFERROR(VLOOKUP($B25&amp;W$9,Tableau1[],4,FALSE),"")</f>
        <v/>
      </c>
      <c r="X25" s="112" t="str">
        <f>IFERROR(VLOOKUP($B25&amp;X$9,Tableau1[],4,FALSE),"")</f>
        <v/>
      </c>
      <c r="Y25" s="112" t="str">
        <f>IFERROR(VLOOKUP($B25&amp;Y$9,Tableau1[],4,FALSE),"")</f>
        <v/>
      </c>
      <c r="Z25" s="112" t="str">
        <f>IFERROR(VLOOKUP($B25&amp;Z$9,Tableau1[],4,FALSE),"")</f>
        <v/>
      </c>
      <c r="AA25" s="112" t="str">
        <f>IFERROR(VLOOKUP($B25&amp;AA$9,Tableau1[],4,FALSE),"")</f>
        <v/>
      </c>
      <c r="AB25" s="112" t="str">
        <f>IFERROR(VLOOKUP($B25&amp;AB$9,Tableau1[],4,FALSE),"")</f>
        <v/>
      </c>
      <c r="AC25" s="112" t="str">
        <f>IFERROR(VLOOKUP($B25&amp;AC$9,Tableau1[],4,FALSE),"")</f>
        <v/>
      </c>
      <c r="AD25" s="112" t="str">
        <f>IFERROR(VLOOKUP($B25&amp;AD$9,Tableau1[],4,FALSE),"")</f>
        <v/>
      </c>
      <c r="AE25" s="112" t="str">
        <f>IFERROR(VLOOKUP($B25&amp;AE$9,Tableau1[],4,FALSE),"")</f>
        <v/>
      </c>
      <c r="AF25" s="112" t="str">
        <f>IFERROR(VLOOKUP($B25&amp;AF$9,Tableau1[],4,FALSE),"")</f>
        <v/>
      </c>
      <c r="AG25" s="112" t="str">
        <f>IFERROR(VLOOKUP($B25&amp;AG$9,Tableau1[],4,FALSE),"")</f>
        <v/>
      </c>
      <c r="AH25" s="112" t="str">
        <f>IFERROR(VLOOKUP($B25&amp;AH$9,Tableau1[],4,FALSE),"")</f>
        <v/>
      </c>
      <c r="AI25" s="112" t="str">
        <f>IFERROR(VLOOKUP($B25&amp;AI$9,Tableau1[],4,FALSE),"")</f>
        <v/>
      </c>
      <c r="AJ25" s="112" t="str">
        <f>IFERROR(VLOOKUP($B25&amp;AJ$9,Tableau1[],4,FALSE),"")</f>
        <v/>
      </c>
      <c r="AK25" s="112" t="str">
        <f>IFERROR(VLOOKUP($B25&amp;AK$9,Tableau1[],4,FALSE),"")</f>
        <v/>
      </c>
      <c r="AL25" s="112" t="str">
        <f>IFERROR(VLOOKUP($B25&amp;AL$9,Tableau1[],4,FALSE),"")</f>
        <v/>
      </c>
      <c r="AM25" s="112" t="str">
        <f>IFERROR(VLOOKUP($B25&amp;AM$9,Tableau1[],4,FALSE),"")</f>
        <v/>
      </c>
      <c r="AN25" s="112" t="str">
        <f>IFERROR(VLOOKUP($B25&amp;AN$9,Tableau1[],4,FALSE),"")</f>
        <v/>
      </c>
      <c r="AO25" s="112" t="str">
        <f>IFERROR(VLOOKUP($B25&amp;AO$9,Tableau1[],4,FALSE),"")</f>
        <v/>
      </c>
      <c r="AP25" s="112" t="str">
        <f>IFERROR(VLOOKUP($B25&amp;AP$9,Tableau1[],4,FALSE),"")</f>
        <v/>
      </c>
      <c r="AQ25" s="112" t="str">
        <f>IFERROR(VLOOKUP($B25&amp;AQ$9,Tableau1[],4,FALSE),"")</f>
        <v/>
      </c>
      <c r="AR25" s="112" t="str">
        <f>IFERROR(VLOOKUP($B25&amp;AR$9,Tableau1[],4,FALSE),"")</f>
        <v/>
      </c>
      <c r="AS25" s="112" t="str">
        <f>IFERROR(VLOOKUP($B25&amp;AS$9,Tableau1[],4,FALSE),"")</f>
        <v/>
      </c>
      <c r="AT25" s="112" t="str">
        <f>IFERROR(VLOOKUP($B25&amp;AT$9,Tableau1[],4,FALSE),"")</f>
        <v/>
      </c>
      <c r="AU25" s="112" t="str">
        <f>IFERROR(VLOOKUP($B25&amp;AU$9,Tableau1[],4,FALSE),"")</f>
        <v/>
      </c>
      <c r="AV25" s="171">
        <f t="array" aca="1" ref="AV25" ca="1">MAX(IF((Tableau1[MOTIF]="TIR")*(Tableau1[NOM]=B25)*(Tableau1[DATE]&lt;=TODAY()),Tableau1[DATE]))</f>
        <v>0</v>
      </c>
      <c r="AW25" s="171">
        <f ca="1">Tableau2[[#This Row],[Colonne46]]+42</f>
        <v>42</v>
      </c>
    </row>
    <row r="26" spans="1:49" hidden="1">
      <c r="A26" s="127" t="str">
        <f t="shared" ca="1" si="4"/>
        <v>Pas à jour depuis 116 ans 7 mois 11 jours</v>
      </c>
      <c r="B26" s="135"/>
      <c r="C26" s="112" t="str">
        <f>IFERROR(VLOOKUP($B26&amp;C$9,Tableau1[],4,FALSE),"")</f>
        <v/>
      </c>
      <c r="D26" s="112" t="str">
        <f>IFERROR(VLOOKUP($B26&amp;D$9,Tableau1[],4,FALSE),"")</f>
        <v/>
      </c>
      <c r="E26" s="112" t="str">
        <f>IFERROR(VLOOKUP($B26&amp;E$9,Tableau1[],4,FALSE),"")</f>
        <v/>
      </c>
      <c r="F26" s="112" t="str">
        <f>IFERROR(VLOOKUP($B26&amp;F$9,Tableau1[],4,FALSE),"")</f>
        <v/>
      </c>
      <c r="G26" s="112" t="str">
        <f>IFERROR(VLOOKUP($B26&amp;G$9,Tableau1[],4,FALSE),"")</f>
        <v/>
      </c>
      <c r="H26" s="112" t="str">
        <f>IFERROR(VLOOKUP($B26&amp;H$9,Tableau1[],4,FALSE),"")</f>
        <v/>
      </c>
      <c r="I26" s="112" t="str">
        <f>IFERROR(VLOOKUP($B26&amp;I$9,Tableau1[],4,FALSE),"")</f>
        <v/>
      </c>
      <c r="J26" s="112" t="str">
        <f>IFERROR(VLOOKUP($B26&amp;J$9,Tableau1[],4,FALSE),"")</f>
        <v/>
      </c>
      <c r="K26" s="112" t="str">
        <f>IFERROR(VLOOKUP($B26&amp;K$9,Tableau1[],4,FALSE),"")</f>
        <v/>
      </c>
      <c r="L26" s="112" t="str">
        <f>IFERROR(VLOOKUP($B26&amp;L$9,Tableau1[],4,FALSE),"")</f>
        <v/>
      </c>
      <c r="M26" s="112" t="str">
        <f>IFERROR(VLOOKUP($B26&amp;M$9,Tableau1[],4,FALSE),"")</f>
        <v/>
      </c>
      <c r="N26" s="112" t="str">
        <f>IFERROR(VLOOKUP($B26&amp;N$9,Tableau1[],4,FALSE),"")</f>
        <v/>
      </c>
      <c r="O26" s="112" t="str">
        <f>IFERROR(VLOOKUP($B26&amp;O$9,Tableau1[],4,FALSE),"")</f>
        <v/>
      </c>
      <c r="P26" s="112" t="str">
        <f>IFERROR(VLOOKUP($B26&amp;P$9,Tableau1[],4,FALSE),"")</f>
        <v/>
      </c>
      <c r="Q26" s="112" t="str">
        <f>IFERROR(VLOOKUP($B26&amp;Q$9,Tableau1[],4,FALSE),"")</f>
        <v/>
      </c>
      <c r="R26" s="112" t="str">
        <f>IFERROR(VLOOKUP($B26&amp;R$9,Tableau1[],4,FALSE),"")</f>
        <v/>
      </c>
      <c r="S26" s="112" t="str">
        <f>IFERROR(VLOOKUP($B26&amp;S$9,Tableau1[],4,FALSE),"")</f>
        <v/>
      </c>
      <c r="T26" s="112" t="str">
        <f>IFERROR(VLOOKUP($B26&amp;T$9,Tableau1[],4,FALSE),"")</f>
        <v/>
      </c>
      <c r="U26" s="112" t="str">
        <f>IFERROR(VLOOKUP($B26&amp;U$9,Tableau1[],4,FALSE),"")</f>
        <v/>
      </c>
      <c r="V26" s="112" t="str">
        <f>IFERROR(VLOOKUP($B26&amp;V$9,Tableau1[],4,FALSE),"")</f>
        <v/>
      </c>
      <c r="W26" s="112" t="str">
        <f>IFERROR(VLOOKUP($B26&amp;W$9,Tableau1[],4,FALSE),"")</f>
        <v/>
      </c>
      <c r="X26" s="112" t="str">
        <f>IFERROR(VLOOKUP($B26&amp;X$9,Tableau1[],4,FALSE),"")</f>
        <v/>
      </c>
      <c r="Y26" s="112" t="str">
        <f>IFERROR(VLOOKUP($B26&amp;Y$9,Tableau1[],4,FALSE),"")</f>
        <v/>
      </c>
      <c r="Z26" s="112" t="str">
        <f>IFERROR(VLOOKUP($B26&amp;Z$9,Tableau1[],4,FALSE),"")</f>
        <v/>
      </c>
      <c r="AA26" s="112" t="str">
        <f>IFERROR(VLOOKUP($B26&amp;AA$9,Tableau1[],4,FALSE),"")</f>
        <v/>
      </c>
      <c r="AB26" s="112" t="str">
        <f>IFERROR(VLOOKUP($B26&amp;AB$9,Tableau1[],4,FALSE),"")</f>
        <v/>
      </c>
      <c r="AC26" s="112" t="str">
        <f>IFERROR(VLOOKUP($B26&amp;AC$9,Tableau1[],4,FALSE),"")</f>
        <v/>
      </c>
      <c r="AD26" s="112" t="str">
        <f>IFERROR(VLOOKUP($B26&amp;AD$9,Tableau1[],4,FALSE),"")</f>
        <v/>
      </c>
      <c r="AE26" s="112" t="str">
        <f>IFERROR(VLOOKUP($B26&amp;AE$9,Tableau1[],4,FALSE),"")</f>
        <v/>
      </c>
      <c r="AF26" s="112" t="str">
        <f>IFERROR(VLOOKUP($B26&amp;AF$9,Tableau1[],4,FALSE),"")</f>
        <v/>
      </c>
      <c r="AG26" s="112" t="str">
        <f>IFERROR(VLOOKUP($B26&amp;AG$9,Tableau1[],4,FALSE),"")</f>
        <v/>
      </c>
      <c r="AH26" s="112" t="str">
        <f>IFERROR(VLOOKUP($B26&amp;AH$9,Tableau1[],4,FALSE),"")</f>
        <v/>
      </c>
      <c r="AI26" s="112" t="str">
        <f>IFERROR(VLOOKUP($B26&amp;AI$9,Tableau1[],4,FALSE),"")</f>
        <v/>
      </c>
      <c r="AJ26" s="112" t="str">
        <f>IFERROR(VLOOKUP($B26&amp;AJ$9,Tableau1[],4,FALSE),"")</f>
        <v/>
      </c>
      <c r="AK26" s="112" t="str">
        <f>IFERROR(VLOOKUP($B26&amp;AK$9,Tableau1[],4,FALSE),"")</f>
        <v/>
      </c>
      <c r="AL26" s="112" t="str">
        <f>IFERROR(VLOOKUP($B26&amp;AL$9,Tableau1[],4,FALSE),"")</f>
        <v/>
      </c>
      <c r="AM26" s="112" t="str">
        <f>IFERROR(VLOOKUP($B26&amp;AM$9,Tableau1[],4,FALSE),"")</f>
        <v/>
      </c>
      <c r="AN26" s="112" t="str">
        <f>IFERROR(VLOOKUP($B26&amp;AN$9,Tableau1[],4,FALSE),"")</f>
        <v/>
      </c>
      <c r="AO26" s="112" t="str">
        <f>IFERROR(VLOOKUP($B26&amp;AO$9,Tableau1[],4,FALSE),"")</f>
        <v/>
      </c>
      <c r="AP26" s="112" t="str">
        <f>IFERROR(VLOOKUP($B26&amp;AP$9,Tableau1[],4,FALSE),"")</f>
        <v/>
      </c>
      <c r="AQ26" s="112" t="str">
        <f>IFERROR(VLOOKUP($B26&amp;AQ$9,Tableau1[],4,FALSE),"")</f>
        <v/>
      </c>
      <c r="AR26" s="112" t="str">
        <f>IFERROR(VLOOKUP($B26&amp;AR$9,Tableau1[],4,FALSE),"")</f>
        <v/>
      </c>
      <c r="AS26" s="112" t="str">
        <f>IFERROR(VLOOKUP($B26&amp;AS$9,Tableau1[],4,FALSE),"")</f>
        <v/>
      </c>
      <c r="AT26" s="112" t="str">
        <f>IFERROR(VLOOKUP($B26&amp;AT$9,Tableau1[],4,FALSE),"")</f>
        <v/>
      </c>
      <c r="AU26" s="112" t="str">
        <f>IFERROR(VLOOKUP($B26&amp;AU$9,Tableau1[],4,FALSE),"")</f>
        <v/>
      </c>
      <c r="AV26" s="171">
        <f t="array" aca="1" ref="AV26" ca="1">MAX(IF((Tableau1[MOTIF]="TIR")*(Tableau1[NOM]=B26)*(Tableau1[DATE]&lt;=TODAY()),Tableau1[DATE]))</f>
        <v>0</v>
      </c>
      <c r="AW26" s="171">
        <f ca="1">Tableau2[[#This Row],[Colonne46]]+42</f>
        <v>42</v>
      </c>
    </row>
    <row r="27" spans="1:49" hidden="1">
      <c r="A27" s="127" t="str">
        <f t="shared" ca="1" si="4"/>
        <v>Pas à jour depuis 116 ans 7 mois 11 jours</v>
      </c>
      <c r="B27" s="135"/>
      <c r="C27" s="112" t="str">
        <f>IFERROR(VLOOKUP($B27&amp;C$9,Tableau1[],4,FALSE),"")</f>
        <v/>
      </c>
      <c r="D27" s="112" t="str">
        <f>IFERROR(VLOOKUP($B27&amp;D$9,Tableau1[],4,FALSE),"")</f>
        <v/>
      </c>
      <c r="E27" s="112" t="str">
        <f>IFERROR(VLOOKUP($B27&amp;E$9,Tableau1[],4,FALSE),"")</f>
        <v/>
      </c>
      <c r="F27" s="112" t="str">
        <f>IFERROR(VLOOKUP($B27&amp;F$9,Tableau1[],4,FALSE),"")</f>
        <v/>
      </c>
      <c r="G27" s="112" t="str">
        <f>IFERROR(VLOOKUP($B27&amp;G$9,Tableau1[],4,FALSE),"")</f>
        <v/>
      </c>
      <c r="H27" s="112" t="str">
        <f>IFERROR(VLOOKUP($B27&amp;H$9,Tableau1[],4,FALSE),"")</f>
        <v/>
      </c>
      <c r="I27" s="112" t="str">
        <f>IFERROR(VLOOKUP($B27&amp;I$9,Tableau1[],4,FALSE),"")</f>
        <v/>
      </c>
      <c r="J27" s="112" t="str">
        <f>IFERROR(VLOOKUP($B27&amp;J$9,Tableau1[],4,FALSE),"")</f>
        <v/>
      </c>
      <c r="K27" s="112" t="str">
        <f>IFERROR(VLOOKUP($B27&amp;K$9,Tableau1[],4,FALSE),"")</f>
        <v/>
      </c>
      <c r="L27" s="112" t="str">
        <f>IFERROR(VLOOKUP($B27&amp;L$9,Tableau1[],4,FALSE),"")</f>
        <v/>
      </c>
      <c r="M27" s="112" t="str">
        <f>IFERROR(VLOOKUP($B27&amp;M$9,Tableau1[],4,FALSE),"")</f>
        <v/>
      </c>
      <c r="N27" s="112" t="str">
        <f>IFERROR(VLOOKUP($B27&amp;N$9,Tableau1[],4,FALSE),"")</f>
        <v/>
      </c>
      <c r="O27" s="112" t="str">
        <f>IFERROR(VLOOKUP($B27&amp;O$9,Tableau1[],4,FALSE),"")</f>
        <v/>
      </c>
      <c r="P27" s="112" t="str">
        <f>IFERROR(VLOOKUP($B27&amp;P$9,Tableau1[],4,FALSE),"")</f>
        <v/>
      </c>
      <c r="Q27" s="112" t="str">
        <f>IFERROR(VLOOKUP($B27&amp;Q$9,Tableau1[],4,FALSE),"")</f>
        <v/>
      </c>
      <c r="R27" s="112" t="str">
        <f>IFERROR(VLOOKUP($B27&amp;R$9,Tableau1[],4,FALSE),"")</f>
        <v/>
      </c>
      <c r="S27" s="112" t="str">
        <f>IFERROR(VLOOKUP($B27&amp;S$9,Tableau1[],4,FALSE),"")</f>
        <v/>
      </c>
      <c r="T27" s="112" t="str">
        <f>IFERROR(VLOOKUP($B27&amp;T$9,Tableau1[],4,FALSE),"")</f>
        <v/>
      </c>
      <c r="U27" s="112" t="str">
        <f>IFERROR(VLOOKUP($B27&amp;U$9,Tableau1[],4,FALSE),"")</f>
        <v/>
      </c>
      <c r="V27" s="112" t="str">
        <f>IFERROR(VLOOKUP($B27&amp;V$9,Tableau1[],4,FALSE),"")</f>
        <v/>
      </c>
      <c r="W27" s="112" t="str">
        <f>IFERROR(VLOOKUP($B27&amp;W$9,Tableau1[],4,FALSE),"")</f>
        <v/>
      </c>
      <c r="X27" s="112" t="str">
        <f>IFERROR(VLOOKUP($B27&amp;X$9,Tableau1[],4,FALSE),"")</f>
        <v/>
      </c>
      <c r="Y27" s="112" t="str">
        <f>IFERROR(VLOOKUP($B27&amp;Y$9,Tableau1[],4,FALSE),"")</f>
        <v/>
      </c>
      <c r="Z27" s="112" t="str">
        <f>IFERROR(VLOOKUP($B27&amp;Z$9,Tableau1[],4,FALSE),"")</f>
        <v/>
      </c>
      <c r="AA27" s="112" t="str">
        <f>IFERROR(VLOOKUP($B27&amp;AA$9,Tableau1[],4,FALSE),"")</f>
        <v/>
      </c>
      <c r="AB27" s="112" t="str">
        <f>IFERROR(VLOOKUP($B27&amp;AB$9,Tableau1[],4,FALSE),"")</f>
        <v/>
      </c>
      <c r="AC27" s="112" t="str">
        <f>IFERROR(VLOOKUP($B27&amp;AC$9,Tableau1[],4,FALSE),"")</f>
        <v/>
      </c>
      <c r="AD27" s="112" t="str">
        <f>IFERROR(VLOOKUP($B27&amp;AD$9,Tableau1[],4,FALSE),"")</f>
        <v/>
      </c>
      <c r="AE27" s="112" t="str">
        <f>IFERROR(VLOOKUP($B27&amp;AE$9,Tableau1[],4,FALSE),"")</f>
        <v/>
      </c>
      <c r="AF27" s="112" t="str">
        <f>IFERROR(VLOOKUP($B27&amp;AF$9,Tableau1[],4,FALSE),"")</f>
        <v/>
      </c>
      <c r="AG27" s="112" t="str">
        <f>IFERROR(VLOOKUP($B27&amp;AG$9,Tableau1[],4,FALSE),"")</f>
        <v/>
      </c>
      <c r="AH27" s="112" t="str">
        <f>IFERROR(VLOOKUP($B27&amp;AH$9,Tableau1[],4,FALSE),"")</f>
        <v/>
      </c>
      <c r="AI27" s="112" t="str">
        <f>IFERROR(VLOOKUP($B27&amp;AI$9,Tableau1[],4,FALSE),"")</f>
        <v/>
      </c>
      <c r="AJ27" s="112" t="str">
        <f>IFERROR(VLOOKUP($B27&amp;AJ$9,Tableau1[],4,FALSE),"")</f>
        <v/>
      </c>
      <c r="AK27" s="112" t="str">
        <f>IFERROR(VLOOKUP($B27&amp;AK$9,Tableau1[],4,FALSE),"")</f>
        <v/>
      </c>
      <c r="AL27" s="112" t="str">
        <f>IFERROR(VLOOKUP($B27&amp;AL$9,Tableau1[],4,FALSE),"")</f>
        <v/>
      </c>
      <c r="AM27" s="112" t="str">
        <f>IFERROR(VLOOKUP($B27&amp;AM$9,Tableau1[],4,FALSE),"")</f>
        <v/>
      </c>
      <c r="AN27" s="112" t="str">
        <f>IFERROR(VLOOKUP($B27&amp;AN$9,Tableau1[],4,FALSE),"")</f>
        <v/>
      </c>
      <c r="AO27" s="112" t="str">
        <f>IFERROR(VLOOKUP($B27&amp;AO$9,Tableau1[],4,FALSE),"")</f>
        <v/>
      </c>
      <c r="AP27" s="112" t="str">
        <f>IFERROR(VLOOKUP($B27&amp;AP$9,Tableau1[],4,FALSE),"")</f>
        <v/>
      </c>
      <c r="AQ27" s="112" t="str">
        <f>IFERROR(VLOOKUP($B27&amp;AQ$9,Tableau1[],4,FALSE),"")</f>
        <v/>
      </c>
      <c r="AR27" s="112" t="str">
        <f>IFERROR(VLOOKUP($B27&amp;AR$9,Tableau1[],4,FALSE),"")</f>
        <v/>
      </c>
      <c r="AS27" s="112" t="str">
        <f>IFERROR(VLOOKUP($B27&amp;AS$9,Tableau1[],4,FALSE),"")</f>
        <v/>
      </c>
      <c r="AT27" s="112" t="str">
        <f>IFERROR(VLOOKUP($B27&amp;AT$9,Tableau1[],4,FALSE),"")</f>
        <v/>
      </c>
      <c r="AU27" s="112" t="str">
        <f>IFERROR(VLOOKUP($B27&amp;AU$9,Tableau1[],4,FALSE),"")</f>
        <v/>
      </c>
      <c r="AV27" s="171">
        <f t="array" aca="1" ref="AV27" ca="1">MAX(IF((Tableau1[MOTIF]="TIR")*(Tableau1[NOM]=B27)*(Tableau1[DATE]&lt;=TODAY()),Tableau1[DATE]))</f>
        <v>0</v>
      </c>
      <c r="AW27" s="171">
        <f ca="1">Tableau2[[#This Row],[Colonne46]]+42</f>
        <v>42</v>
      </c>
    </row>
  </sheetData>
  <sheetProtection formatCells="0" selectLockedCells="1"/>
  <mergeCells count="2">
    <mergeCell ref="N3:R3"/>
    <mergeCell ref="N2:R2"/>
  </mergeCells>
  <conditionalFormatting sqref="C6:AU6">
    <cfRule type="notContainsBlanks" dxfId="200" priority="58">
      <formula>LEN(TRIM(C6))&gt;0</formula>
    </cfRule>
    <cfRule type="containsBlanks" dxfId="199" priority="60">
      <formula>LEN(TRIM(C6))=0</formula>
    </cfRule>
  </conditionalFormatting>
  <conditionalFormatting sqref="C7:AU7">
    <cfRule type="notContainsBlanks" dxfId="198" priority="56">
      <formula>LEN(TRIM(C7))&gt;0</formula>
    </cfRule>
  </conditionalFormatting>
  <conditionalFormatting sqref="C8:AU8">
    <cfRule type="containsText" dxfId="197" priority="55" operator="containsText" text="S">
      <formula>NOT(ISERROR(SEARCH("S",C8)))</formula>
    </cfRule>
  </conditionalFormatting>
  <conditionalFormatting sqref="B1:B1048576 A2:A1048576">
    <cfRule type="notContainsBlanks" dxfId="196" priority="48">
      <formula>LEN(TRIM(A1))&gt;0</formula>
    </cfRule>
  </conditionalFormatting>
  <conditionalFormatting sqref="C10:AU861">
    <cfRule type="cellIs" dxfId="195" priority="8" operator="equal">
      <formula>"E"</formula>
    </cfRule>
    <cfRule type="cellIs" dxfId="194" priority="9" operator="equal">
      <formula>"TIR"</formula>
    </cfRule>
    <cfRule type="cellIs" dxfId="193" priority="10" operator="equal">
      <formula>"TN"</formula>
    </cfRule>
    <cfRule type="cellIs" dxfId="192" priority="11" operator="equal">
      <formula>"OPIN"</formula>
    </cfRule>
    <cfRule type="cellIs" dxfId="191" priority="12" operator="equal">
      <formula>"OPEX"</formula>
    </cfRule>
    <cfRule type="cellIs" dxfId="190" priority="13" operator="equal">
      <formula>"STG"</formula>
    </cfRule>
    <cfRule type="cellIs" dxfId="189" priority="14" operator="equal">
      <formula>"MIS"</formula>
    </cfRule>
    <cfRule type="cellIs" dxfId="188" priority="15" operator="equal">
      <formula>"TAP"</formula>
    </cfRule>
    <cfRule type="cellIs" dxfId="187" priority="16" operator="equal">
      <formula>"PLD"</formula>
    </cfRule>
    <cfRule type="cellIs" dxfId="186" priority="17" operator="equal">
      <formula>"P"</formula>
    </cfRule>
    <cfRule type="cellIs" dxfId="185" priority="18" operator="equal">
      <formula>"PATC"</formula>
    </cfRule>
    <cfRule type="cellIs" dxfId="184" priority="19" operator="equal">
      <formula>"A3"</formula>
    </cfRule>
    <cfRule type="cellIs" dxfId="183" priority="20" operator="equal">
      <formula>"IS"</formula>
    </cfRule>
    <cfRule type="cellIs" dxfId="182" priority="21" operator="equal">
      <formula>"WPO"</formula>
    </cfRule>
    <cfRule type="cellIs" dxfId="181" priority="22" operator="equal">
      <formula>"PO"</formula>
    </cfRule>
    <cfRule type="cellIs" dxfId="180" priority="23" operator="equal">
      <formula>"RS"</formula>
    </cfRule>
    <cfRule type="expression" dxfId="179" priority="24">
      <formula>NOT(ISBLANK($B10))</formula>
    </cfRule>
    <cfRule type="expression" dxfId="178" priority="25">
      <formula>"NON(ESTVIDE($B12))"</formula>
    </cfRule>
  </conditionalFormatting>
  <conditionalFormatting sqref="C8:AU949">
    <cfRule type="expression" dxfId="177" priority="26">
      <formula>MATCH(C$9,TAOPM,0)&gt;0</formula>
    </cfRule>
    <cfRule type="expression" dxfId="176" priority="27">
      <formula>MATCH(C$9,FERIE,0)&gt;0</formula>
    </cfRule>
    <cfRule type="containsText" dxfId="175" priority="54" operator="containsText" text="D">
      <formula>NOT(ISERROR(SEARCH("D",C8)))</formula>
    </cfRule>
  </conditionalFormatting>
  <conditionalFormatting sqref="C9:AU949">
    <cfRule type="expression" dxfId="174" priority="50">
      <formula>C$8="S"</formula>
    </cfRule>
    <cfRule type="expression" dxfId="173" priority="51">
      <formula>C$8="D"</formula>
    </cfRule>
  </conditionalFormatting>
  <conditionalFormatting sqref="C28:AU949">
    <cfRule type="expression" dxfId="172" priority="7">
      <formula>ISBLANK($B28)</formula>
    </cfRule>
  </conditionalFormatting>
  <conditionalFormatting sqref="A11:A27">
    <cfRule type="expression" dxfId="171" priority="1">
      <formula>ISBLANK($B11)</formula>
    </cfRule>
    <cfRule type="expression" dxfId="170" priority="2">
      <formula>$AW11=TODAY()</formula>
    </cfRule>
    <cfRule type="expression" dxfId="169" priority="4">
      <formula>$AW11&lt;TODAY()</formula>
    </cfRule>
    <cfRule type="expression" dxfId="168" priority="5">
      <formula>$AW11&gt;TODAY()</formula>
    </cfRule>
  </conditionalFormatting>
  <conditionalFormatting sqref="A28:A985">
    <cfRule type="expression" dxfId="167" priority="196">
      <formula>ISBLANK($B40)</formula>
    </cfRule>
    <cfRule type="expression" dxfId="166" priority="197">
      <formula>$AW40=TODAY()</formula>
    </cfRule>
    <cfRule type="expression" dxfId="165" priority="198">
      <formula>$AW40&lt;TODAY()</formula>
    </cfRule>
    <cfRule type="expression" dxfId="164" priority="199">
      <formula>$AW40&gt;TODAY()</formula>
    </cfRule>
  </conditionalFormatting>
  <conditionalFormatting sqref="A18">
    <cfRule type="expression" dxfId="163" priority="378">
      <formula>ISBLANK(#REF!)</formula>
    </cfRule>
    <cfRule type="expression" dxfId="162" priority="379">
      <formula>#REF!=TODAY()</formula>
    </cfRule>
    <cfRule type="expression" dxfId="161" priority="380">
      <formula>#REF!&lt;TODAY()</formula>
    </cfRule>
    <cfRule type="expression" dxfId="160" priority="381">
      <formula>#REF!&gt;TODAY()</formula>
    </cfRule>
  </conditionalFormatting>
  <conditionalFormatting sqref="A19">
    <cfRule type="expression" dxfId="159" priority="502">
      <formula>ISBLANK(#REF!)</formula>
    </cfRule>
    <cfRule type="expression" dxfId="158" priority="503">
      <formula>#REF!=TODAY()</formula>
    </cfRule>
    <cfRule type="expression" dxfId="157" priority="504">
      <formula>#REF!&lt;TODAY()</formula>
    </cfRule>
    <cfRule type="expression" dxfId="156" priority="505">
      <formula>#REF!&gt;TODAY()</formula>
    </cfRule>
  </conditionalFormatting>
  <conditionalFormatting sqref="A23">
    <cfRule type="expression" dxfId="155" priority="618">
      <formula>ISBLANK($B30)</formula>
    </cfRule>
    <cfRule type="expression" dxfId="154" priority="619">
      <formula>$AW30=TODAY()</formula>
    </cfRule>
    <cfRule type="expression" dxfId="153" priority="620">
      <formula>$AW30&lt;TODAY()</formula>
    </cfRule>
    <cfRule type="expression" dxfId="152" priority="621">
      <formula>$AW30&gt;TODAY()</formula>
    </cfRule>
  </conditionalFormatting>
  <conditionalFormatting sqref="A20">
    <cfRule type="expression" dxfId="151" priority="626">
      <formula>ISBLANK(#REF!)</formula>
    </cfRule>
    <cfRule type="expression" dxfId="150" priority="627">
      <formula>#REF!=TODAY()</formula>
    </cfRule>
    <cfRule type="expression" dxfId="149" priority="628">
      <formula>#REF!&lt;TODAY()</formula>
    </cfRule>
    <cfRule type="expression" dxfId="148" priority="629">
      <formula>#REF!&gt;TODAY()</formula>
    </cfRule>
  </conditionalFormatting>
  <conditionalFormatting sqref="A24">
    <cfRule type="expression" dxfId="147" priority="684">
      <formula>ISBLANK($B32)</formula>
    </cfRule>
    <cfRule type="expression" dxfId="146" priority="685">
      <formula>$AW32=TODAY()</formula>
    </cfRule>
    <cfRule type="expression" dxfId="145" priority="686">
      <formula>$AW32&lt;TODAY()</formula>
    </cfRule>
    <cfRule type="expression" dxfId="144" priority="687">
      <formula>$AW32&gt;TODAY()</formula>
    </cfRule>
  </conditionalFormatting>
  <conditionalFormatting sqref="A25">
    <cfRule type="expression" dxfId="143" priority="742">
      <formula>ISBLANK($B34)</formula>
    </cfRule>
    <cfRule type="expression" dxfId="142" priority="743">
      <formula>$AW34=TODAY()</formula>
    </cfRule>
    <cfRule type="expression" dxfId="141" priority="744">
      <formula>$AW34&lt;TODAY()</formula>
    </cfRule>
    <cfRule type="expression" dxfId="140" priority="745">
      <formula>$AW34&gt;TODAY()</formula>
    </cfRule>
  </conditionalFormatting>
  <conditionalFormatting sqref="A21">
    <cfRule type="expression" dxfId="139" priority="750">
      <formula>ISBLANK(#REF!)</formula>
    </cfRule>
    <cfRule type="expression" dxfId="138" priority="751">
      <formula>#REF!=TODAY()</formula>
    </cfRule>
    <cfRule type="expression" dxfId="137" priority="752">
      <formula>#REF!&lt;TODAY()</formula>
    </cfRule>
    <cfRule type="expression" dxfId="136" priority="753">
      <formula>#REF!&gt;TODAY()</formula>
    </cfRule>
  </conditionalFormatting>
  <conditionalFormatting sqref="A26">
    <cfRule type="expression" dxfId="135" priority="808">
      <formula>ISBLANK($B36)</formula>
    </cfRule>
    <cfRule type="expression" dxfId="134" priority="809">
      <formula>$AW36=TODAY()</formula>
    </cfRule>
    <cfRule type="expression" dxfId="133" priority="810">
      <formula>$AW36&lt;TODAY()</formula>
    </cfRule>
    <cfRule type="expression" dxfId="132" priority="811">
      <formula>$AW36&gt;TODAY()</formula>
    </cfRule>
  </conditionalFormatting>
  <conditionalFormatting sqref="A27">
    <cfRule type="expression" dxfId="131" priority="866">
      <formula>ISBLANK($B38)</formula>
    </cfRule>
    <cfRule type="expression" dxfId="130" priority="867">
      <formula>$AW38=TODAY()</formula>
    </cfRule>
    <cfRule type="expression" dxfId="129" priority="868">
      <formula>$AW38&lt;TODAY()</formula>
    </cfRule>
    <cfRule type="expression" dxfId="128" priority="869">
      <formula>$AW38&gt;TODAY()</formula>
    </cfRule>
  </conditionalFormatting>
  <conditionalFormatting sqref="A22">
    <cfRule type="expression" dxfId="127" priority="874">
      <formula>ISBLANK(#REF!)</formula>
    </cfRule>
    <cfRule type="expression" dxfId="126" priority="875">
      <formula>#REF!=TODAY()</formula>
    </cfRule>
    <cfRule type="expression" dxfId="125" priority="876">
      <formula>#REF!&lt;TODAY()</formula>
    </cfRule>
    <cfRule type="expression" dxfId="124" priority="877">
      <formula>#REF!&gt;TODAY()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20"/>
  <sheetViews>
    <sheetView showGridLines="0" topLeftCell="A3" zoomScaleNormal="100" workbookViewId="0"/>
  </sheetViews>
  <sheetFormatPr baseColWidth="10" defaultRowHeight="15"/>
  <cols>
    <col min="4" max="4" width="32.7109375" customWidth="1"/>
    <col min="5" max="5" width="35.28515625" customWidth="1"/>
    <col min="6" max="6" width="39.85546875" customWidth="1"/>
    <col min="7" max="8" width="40.7109375" customWidth="1"/>
    <col min="10" max="10" width="12.7109375" bestFit="1" customWidth="1"/>
  </cols>
  <sheetData>
    <row r="1" spans="1:14" ht="17.25" hidden="1" customHeight="1">
      <c r="A1" s="83" t="s">
        <v>5</v>
      </c>
      <c r="B1" s="83" t="s">
        <v>46</v>
      </c>
      <c r="C1" s="83" t="s">
        <v>47</v>
      </c>
      <c r="D1" s="83" t="s">
        <v>48</v>
      </c>
      <c r="E1" s="83" t="s">
        <v>53</v>
      </c>
      <c r="F1" s="84" t="s">
        <v>54</v>
      </c>
      <c r="G1" s="85" t="s">
        <v>55</v>
      </c>
      <c r="H1" s="85" t="s">
        <v>56</v>
      </c>
      <c r="I1" s="85" t="s">
        <v>57</v>
      </c>
      <c r="J1" s="86" t="s">
        <v>58</v>
      </c>
      <c r="K1" s="83" t="s">
        <v>59</v>
      </c>
      <c r="L1" s="83" t="s">
        <v>103</v>
      </c>
      <c r="M1" s="83" t="s">
        <v>61</v>
      </c>
      <c r="N1" s="83" t="s">
        <v>62</v>
      </c>
    </row>
    <row r="2" spans="1:14" s="60" customFormat="1" ht="24" hidden="1" customHeight="1">
      <c r="A2" s="60">
        <f>INDEX(Renseignement!A:A,param_no_ligne+2)</f>
        <v>18</v>
      </c>
      <c r="B2" s="60" t="str">
        <f>IF($F8&gt;0,$F8,$E8)</f>
        <v>F</v>
      </c>
      <c r="C2" s="60" t="str">
        <f>IF($E9&gt;0,$E9,"")</f>
        <v>FF</v>
      </c>
      <c r="D2" s="60" t="str">
        <f>IF($F10&gt;0,$F10,$E10)</f>
        <v/>
      </c>
      <c r="E2" s="61" t="str">
        <f>IF($F11&gt;0,$F11,$E11)</f>
        <v/>
      </c>
      <c r="F2" s="60" t="str">
        <f>IF($F12&gt;0,$F12,$E12)</f>
        <v/>
      </c>
      <c r="G2" s="60" t="str">
        <f>IF($F13&gt;0,$F13,$E13)</f>
        <v/>
      </c>
      <c r="H2" s="60" t="str">
        <f>IF($F14&gt;0,$F14,$E14)</f>
        <v/>
      </c>
      <c r="I2" s="60" t="str">
        <f>IF($F15&gt;0,$F15,$E15)</f>
        <v/>
      </c>
      <c r="J2" s="62" t="str">
        <f>IF($F16&gt;0,$F16,$E16)</f>
        <v/>
      </c>
      <c r="K2" s="60" t="str">
        <f>IF($F17&gt;0,$F17,$E17)</f>
        <v/>
      </c>
      <c r="L2" s="63" t="str">
        <f>IF($F18&gt;0,$F18,$E18)</f>
        <v/>
      </c>
      <c r="M2" s="60" t="str">
        <f>IF($F19&gt;0,$F19,$E19)</f>
        <v/>
      </c>
      <c r="N2" s="60" t="str">
        <f>IF($F20&gt;0,$F20,$E20)</f>
        <v/>
      </c>
    </row>
    <row r="3" spans="1:14">
      <c r="A3">
        <v>1</v>
      </c>
    </row>
    <row r="6" spans="1:14" ht="69.75" customHeight="1">
      <c r="D6" s="5" t="str">
        <f>E8 &amp; " " &amp; E9</f>
        <v>F FF</v>
      </c>
    </row>
    <row r="7" spans="1:14" ht="30.75" customHeight="1">
      <c r="D7" s="118" t="str">
        <f>B2 &amp; " " &amp; C2</f>
        <v>F FF</v>
      </c>
      <c r="E7" s="117" t="s">
        <v>154</v>
      </c>
      <c r="F7" s="117" t="s">
        <v>155</v>
      </c>
      <c r="G7" s="5" t="s">
        <v>180</v>
      </c>
    </row>
    <row r="8" spans="1:14" ht="27.95" customHeight="1">
      <c r="D8" s="91" t="s">
        <v>46</v>
      </c>
      <c r="E8" s="87" t="str">
        <f>INDEX(Tableau3[Grade],IFERROR(param_no_ligne,param_no_ligne-1))</f>
        <v>F</v>
      </c>
      <c r="F8" s="166"/>
      <c r="G8" s="5" t="s">
        <v>180</v>
      </c>
    </row>
    <row r="9" spans="1:14" ht="27.95" customHeight="1">
      <c r="D9" s="91" t="s">
        <v>47</v>
      </c>
      <c r="E9" s="87" t="str">
        <f>INDEX(Tableau3[Nom],IFERROR(param_no_ligne,param_no_ligne-1))</f>
        <v>FF</v>
      </c>
      <c r="F9" s="166"/>
    </row>
    <row r="10" spans="1:14" ht="27.95" customHeight="1">
      <c r="D10" s="91" t="s">
        <v>48</v>
      </c>
      <c r="E10" s="87" t="str">
        <f>INDEX(Tableau3[Prénom],IFERROR(param_no_ligne,param_no_ligne-1))</f>
        <v/>
      </c>
      <c r="F10" s="166"/>
    </row>
    <row r="11" spans="1:14" ht="27.95" customHeight="1">
      <c r="D11" s="91" t="s">
        <v>99</v>
      </c>
      <c r="E11" s="88" t="str">
        <f>INDEX(Tableau3[Date de Naissance],IFERROR(param_no_ligne,param_no_ligne-1))</f>
        <v/>
      </c>
      <c r="F11" s="167"/>
    </row>
    <row r="12" spans="1:14" ht="27.95" customHeight="1">
      <c r="D12" s="91" t="s">
        <v>100</v>
      </c>
      <c r="E12" s="87" t="str">
        <f>INDEX(Tableau3[Situation 
familiale],IFERROR(param_no_ligne,param_no_ligne-1))</f>
        <v/>
      </c>
      <c r="F12" s="166"/>
    </row>
    <row r="13" spans="1:14" ht="27.95" customHeight="1">
      <c r="D13" s="91" t="s">
        <v>55</v>
      </c>
      <c r="E13" s="87" t="str">
        <f>INDEX(Tableau3[N° Badge],IFERROR(param_no_ligne,param_no_ligne-1))</f>
        <v/>
      </c>
      <c r="F13" s="166"/>
    </row>
    <row r="14" spans="1:14" ht="27.95" customHeight="1">
      <c r="D14" s="91" t="s">
        <v>56</v>
      </c>
      <c r="E14" s="87" t="str">
        <f>INDEX(Tableau3[NIA],IFERROR(param_no_ligne,param_no_ligne-1))</f>
        <v/>
      </c>
      <c r="F14" s="166"/>
    </row>
    <row r="15" spans="1:14" ht="26.25">
      <c r="D15" s="91" t="s">
        <v>57</v>
      </c>
      <c r="E15" s="87" t="str">
        <f>INDEX(Tableau3[NID],IFERROR(param_no_ligne,param_no_ligne-1))</f>
        <v/>
      </c>
      <c r="F15" s="166"/>
    </row>
    <row r="16" spans="1:14" ht="27.95" customHeight="1">
      <c r="D16" s="91" t="s">
        <v>101</v>
      </c>
      <c r="E16" s="89" t="str">
        <f>INDEX(Tableau3[N° portable],IFERROR(param_no_ligne,param_no_ligne-1))</f>
        <v/>
      </c>
      <c r="F16" s="168"/>
    </row>
    <row r="17" spans="4:6" ht="27.95" customHeight="1">
      <c r="D17" s="91" t="s">
        <v>102</v>
      </c>
      <c r="E17" s="87" t="str">
        <f>INDEX(Tableau3[[Adresse ]],IFERROR(param_no_ligne,param_no_ligne-1))</f>
        <v/>
      </c>
      <c r="F17" s="166"/>
    </row>
    <row r="18" spans="4:6" ht="27.95" customHeight="1">
      <c r="D18" s="91" t="s">
        <v>103</v>
      </c>
      <c r="E18" s="90" t="str">
        <f>INDEX(Tableau3[Code postale],IFERROR(param_no_ligne,param_no_ligne-1))</f>
        <v/>
      </c>
      <c r="F18" s="169"/>
    </row>
    <row r="19" spans="4:6" ht="27.95" customHeight="1">
      <c r="D19" s="91" t="s">
        <v>61</v>
      </c>
      <c r="E19" s="87" t="str">
        <f>INDEX(Tableau3[Ville],IFERROR(param_no_ligne,param_no_ligne-1))</f>
        <v/>
      </c>
      <c r="F19" s="166"/>
    </row>
    <row r="20" spans="4:6" ht="27.95" customHeight="1">
      <c r="D20" s="91" t="s">
        <v>62</v>
      </c>
      <c r="E20" s="87" t="str">
        <f>INDEX(Tableau3[Unité],IFERROR(param_no_ligne,param_no_ligne-1))</f>
        <v/>
      </c>
      <c r="F20" s="166"/>
    </row>
  </sheetData>
  <sheetProtection formatCell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>
                <anchor moveWithCells="1">
                  <from>
                    <xdr:col>6</xdr:col>
                    <xdr:colOff>361950</xdr:colOff>
                    <xdr:row>8</xdr:row>
                    <xdr:rowOff>0</xdr:rowOff>
                  </from>
                  <to>
                    <xdr:col>7</xdr:col>
                    <xdr:colOff>9525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G10"/>
  <sheetViews>
    <sheetView showGridLines="0" workbookViewId="0">
      <selection activeCell="G15" sqref="G15"/>
    </sheetView>
  </sheetViews>
  <sheetFormatPr baseColWidth="10" defaultRowHeight="15"/>
  <cols>
    <col min="6" max="6" width="32.7109375" customWidth="1"/>
    <col min="7" max="7" width="40.7109375" customWidth="1"/>
  </cols>
  <sheetData>
    <row r="1" spans="1:7" ht="79.5" customHeight="1">
      <c r="A1" s="104">
        <v>0</v>
      </c>
      <c r="F1" s="92"/>
      <c r="G1" s="93"/>
    </row>
    <row r="2" spans="1:7">
      <c r="F2" s="60"/>
      <c r="G2" s="60"/>
    </row>
    <row r="7" spans="1:7" ht="39.950000000000003" customHeight="1">
      <c r="F7" s="91" t="s">
        <v>46</v>
      </c>
      <c r="G7" s="87" t="str">
        <f>INDEX(Tableau3[Grade],IFERROR(param_no_ligne,param_no_ligne-1))</f>
        <v>F</v>
      </c>
    </row>
    <row r="8" spans="1:7" ht="39.950000000000003" customHeight="1">
      <c r="F8" s="91" t="s">
        <v>47</v>
      </c>
      <c r="G8" s="87" t="str">
        <f>INDEX(Tableau3[Nom],IFERROR(param_no_ligne,param_no_ligne-1))</f>
        <v>FF</v>
      </c>
    </row>
    <row r="9" spans="1:7" ht="39.950000000000003" customHeight="1">
      <c r="F9" s="91" t="s">
        <v>48</v>
      </c>
      <c r="G9" s="87" t="str">
        <f>INDEX(Tableau3[Prénom],IFERROR(param_no_ligne,param_no_ligne-1))</f>
        <v/>
      </c>
    </row>
    <row r="10" spans="1:7" ht="26.25">
      <c r="G10" s="94" t="str">
        <f>INDEX(Tableau3[GRADE NOM],param_no_ligne)</f>
        <v>F FF</v>
      </c>
    </row>
  </sheetData>
  <sheetProtection formatCells="0"/>
  <conditionalFormatting sqref="G7:G9">
    <cfRule type="containsErrors" dxfId="73" priority="1">
      <formula>ISERROR(G7)</formula>
    </cfRule>
    <cfRule type="cellIs" dxfId="72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Drop Down 1">
              <controlPr defaultSize="0" autoLine="0" autoPict="0">
                <anchor moveWithCells="1">
                  <from>
                    <xdr:col>5</xdr:col>
                    <xdr:colOff>2181225</xdr:colOff>
                    <xdr:row>11</xdr:row>
                    <xdr:rowOff>19050</xdr:rowOff>
                  </from>
                  <to>
                    <xdr:col>6</xdr:col>
                    <xdr:colOff>2714625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"/>
  <sheetViews>
    <sheetView workbookViewId="0">
      <selection activeCell="E11" sqref="E11"/>
    </sheetView>
  </sheetViews>
  <sheetFormatPr baseColWidth="10" defaultRowHeight="15"/>
  <cols>
    <col min="3" max="3" width="82.42578125" style="114" customWidth="1"/>
  </cols>
  <sheetData>
    <row r="1" spans="1:3">
      <c r="A1" s="69" t="s">
        <v>0</v>
      </c>
      <c r="B1" s="69" t="s">
        <v>1</v>
      </c>
      <c r="C1" s="113" t="s">
        <v>78</v>
      </c>
    </row>
  </sheetData>
  <sheetProtection formatCell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K61"/>
  <sheetViews>
    <sheetView showGridLines="0" workbookViewId="0">
      <selection activeCell="AI19" sqref="AI19"/>
    </sheetView>
  </sheetViews>
  <sheetFormatPr baseColWidth="10" defaultRowHeight="15"/>
  <cols>
    <col min="1" max="1" width="9.140625" style="152" customWidth="1"/>
    <col min="2" max="29" width="3.7109375" style="152" customWidth="1"/>
    <col min="30" max="30" width="4.28515625" style="152" customWidth="1"/>
    <col min="31" max="31" width="15.7109375" style="152" customWidth="1"/>
    <col min="32" max="32" width="1.85546875" style="152" customWidth="1"/>
    <col min="33" max="33" width="15.7109375" style="152" customWidth="1"/>
    <col min="34" max="34" width="11.42578125" style="152"/>
    <col min="35" max="35" width="16.28515625" style="152" customWidth="1"/>
    <col min="36" max="37" width="11.42578125" style="16"/>
    <col min="38" max="16384" width="11.42578125" style="152"/>
  </cols>
  <sheetData>
    <row r="1" spans="1:35" ht="66.75" customHeight="1">
      <c r="A1" s="151">
        <v>0</v>
      </c>
      <c r="X1" s="153">
        <v>1</v>
      </c>
    </row>
    <row r="2" spans="1:35" ht="11.25" customHeight="1">
      <c r="B2" s="187" t="s">
        <v>7</v>
      </c>
      <c r="C2" s="188"/>
      <c r="D2" s="188"/>
      <c r="E2" s="18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188" t="s">
        <v>8</v>
      </c>
      <c r="X2" s="188"/>
      <c r="Y2" s="188"/>
      <c r="Z2" s="188"/>
      <c r="AA2" s="8"/>
      <c r="AB2" s="8"/>
      <c r="AC2" s="9"/>
    </row>
    <row r="3" spans="1:35" ht="11.25" customHeight="1">
      <c r="B3" s="189" t="s">
        <v>9</v>
      </c>
      <c r="C3" s="190"/>
      <c r="D3" s="190"/>
      <c r="E3" s="190"/>
      <c r="F3" s="191">
        <v>123</v>
      </c>
      <c r="G3" s="191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90" t="s">
        <v>10</v>
      </c>
      <c r="X3" s="190"/>
      <c r="Y3" s="190"/>
      <c r="Z3" s="190"/>
      <c r="AA3" s="11"/>
      <c r="AB3" s="11"/>
      <c r="AC3" s="12"/>
    </row>
    <row r="4" spans="1:35" ht="11.25" customHeight="1">
      <c r="B4" s="192" t="s">
        <v>11</v>
      </c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  <c r="Y4" s="193"/>
      <c r="Z4" s="193"/>
      <c r="AA4" s="193"/>
      <c r="AB4" s="193"/>
      <c r="AC4" s="194"/>
    </row>
    <row r="5" spans="1:35" ht="12" customHeight="1">
      <c r="B5" s="176" t="s">
        <v>12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8"/>
    </row>
    <row r="6" spans="1:35" ht="12" customHeight="1">
      <c r="B6" s="176" t="s">
        <v>13</v>
      </c>
      <c r="C6" s="177"/>
      <c r="D6" s="177"/>
      <c r="E6" s="177"/>
      <c r="F6" s="177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8"/>
    </row>
    <row r="7" spans="1:35" ht="11.25" customHeight="1">
      <c r="B7" s="179" t="s">
        <v>14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1"/>
    </row>
    <row r="8" spans="1:35" ht="15" customHeight="1">
      <c r="B8" s="182" t="s">
        <v>15</v>
      </c>
      <c r="C8" s="183"/>
      <c r="D8" s="183"/>
      <c r="E8" s="183"/>
      <c r="F8" s="183"/>
      <c r="G8" s="183"/>
      <c r="H8" s="183"/>
      <c r="I8" s="183"/>
      <c r="J8" s="183"/>
      <c r="K8" s="183"/>
      <c r="L8" s="183"/>
      <c r="M8" s="183"/>
      <c r="N8" s="183"/>
      <c r="O8" s="184"/>
      <c r="P8" s="182" t="s">
        <v>16</v>
      </c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4"/>
      <c r="AE8" s="185">
        <v>42653</v>
      </c>
      <c r="AF8" s="154"/>
      <c r="AG8" s="185">
        <v>42659</v>
      </c>
      <c r="AI8" s="153" t="str">
        <f>INDEX(Grage_Nom,PARAM!F2)</f>
        <v>F FF</v>
      </c>
    </row>
    <row r="9" spans="1:35" ht="15" customHeight="1">
      <c r="B9" s="202" t="s">
        <v>17</v>
      </c>
      <c r="C9" s="203"/>
      <c r="D9" s="204" t="str">
        <f>INDEX(Unité,PARAM!F2)</f>
        <v/>
      </c>
      <c r="E9" s="204"/>
      <c r="F9" s="204"/>
      <c r="G9" s="149" t="s">
        <v>18</v>
      </c>
      <c r="H9" s="13"/>
      <c r="I9" s="13"/>
      <c r="J9" s="205" t="s">
        <v>19</v>
      </c>
      <c r="K9" s="205"/>
      <c r="L9" s="206">
        <v>26078</v>
      </c>
      <c r="M9" s="206"/>
      <c r="N9" s="206"/>
      <c r="O9" s="14"/>
      <c r="P9" s="143" t="s">
        <v>20</v>
      </c>
      <c r="Q9" s="144"/>
      <c r="R9" s="144"/>
      <c r="S9" s="144"/>
      <c r="T9" s="13"/>
      <c r="U9" s="13"/>
      <c r="V9" s="13"/>
      <c r="W9" s="13"/>
      <c r="X9" s="13"/>
      <c r="Y9" s="13"/>
      <c r="Z9" s="13"/>
      <c r="AA9" s="13"/>
      <c r="AB9" s="13"/>
      <c r="AC9" s="15"/>
      <c r="AE9" s="186"/>
      <c r="AF9" s="154"/>
      <c r="AG9" s="186"/>
    </row>
    <row r="10" spans="1:35" ht="15" customHeight="1">
      <c r="B10" s="195" t="s">
        <v>21</v>
      </c>
      <c r="C10" s="196"/>
      <c r="D10" s="197" t="str">
        <f>INDEX(Grade,PARAM!F2)</f>
        <v>F</v>
      </c>
      <c r="E10" s="197"/>
      <c r="F10" s="197"/>
      <c r="G10" s="197"/>
      <c r="H10" s="197"/>
      <c r="I10" s="197"/>
      <c r="J10" s="199" t="s">
        <v>22</v>
      </c>
      <c r="K10" s="199"/>
      <c r="L10" s="207" t="str">
        <f>INDEX(NIA,PARAM!F2)</f>
        <v/>
      </c>
      <c r="M10" s="207"/>
      <c r="N10" s="207"/>
      <c r="O10" s="16"/>
      <c r="P10" s="141" t="s">
        <v>23</v>
      </c>
      <c r="Q10" s="142"/>
      <c r="R10" s="142"/>
      <c r="S10" s="142"/>
      <c r="T10" s="17"/>
      <c r="U10" s="17"/>
      <c r="V10" s="17"/>
      <c r="W10" s="17"/>
      <c r="X10" s="17"/>
      <c r="Y10" s="17"/>
      <c r="Z10" s="17"/>
      <c r="AA10" s="17"/>
      <c r="AB10" s="17"/>
      <c r="AC10" s="18"/>
      <c r="AE10" s="158">
        <v>0.33333333333333331</v>
      </c>
      <c r="AF10" s="155"/>
      <c r="AG10" s="158">
        <v>0.33333333333333331</v>
      </c>
    </row>
    <row r="11" spans="1:35" ht="15" customHeight="1">
      <c r="B11" s="195" t="s">
        <v>24</v>
      </c>
      <c r="C11" s="196"/>
      <c r="D11" s="196"/>
      <c r="E11" s="196"/>
      <c r="F11" s="197" t="str">
        <f>INDEX(Nom_prenom,PARAM!F2)</f>
        <v xml:space="preserve">FF </v>
      </c>
      <c r="G11" s="197"/>
      <c r="H11" s="197"/>
      <c r="I11" s="197"/>
      <c r="J11" s="197"/>
      <c r="K11" s="197"/>
      <c r="L11" s="197"/>
      <c r="M11" s="197"/>
      <c r="N11" s="197"/>
      <c r="O11" s="16"/>
      <c r="P11" s="141" t="s">
        <v>25</v>
      </c>
      <c r="Q11" s="142"/>
      <c r="R11" s="142"/>
      <c r="S11" s="142"/>
      <c r="T11" s="13"/>
      <c r="U11" s="13"/>
      <c r="V11" s="13"/>
      <c r="W11" s="13"/>
      <c r="X11" s="19" t="s">
        <v>26</v>
      </c>
      <c r="Y11" s="19"/>
      <c r="Z11" s="17"/>
      <c r="AA11" s="17"/>
      <c r="AB11" s="17"/>
      <c r="AC11" s="18"/>
    </row>
    <row r="12" spans="1:35" ht="15" customHeight="1">
      <c r="B12" s="198" t="s">
        <v>25</v>
      </c>
      <c r="C12" s="199"/>
      <c r="D12" s="199"/>
      <c r="E12" s="199"/>
      <c r="F12" s="200">
        <f ca="1">IF(AI18="",PARAM!O3,PARAM!O3-AI18)</f>
        <v>5</v>
      </c>
      <c r="G12" s="200"/>
      <c r="H12" s="201" t="str">
        <f ca="1">IF(F12&lt;=1,"jour","jours")</f>
        <v>jours</v>
      </c>
      <c r="I12" s="201"/>
      <c r="J12" s="201"/>
      <c r="K12" s="201"/>
      <c r="L12" s="201"/>
      <c r="M12" s="201"/>
      <c r="N12" s="201"/>
      <c r="O12" s="16"/>
      <c r="P12" s="195" t="s">
        <v>27</v>
      </c>
      <c r="Q12" s="196"/>
      <c r="R12" s="196"/>
      <c r="S12" s="196"/>
      <c r="T12" s="17"/>
      <c r="U12" s="17"/>
      <c r="V12" s="17"/>
      <c r="W12" s="17"/>
      <c r="X12" s="17"/>
      <c r="Y12" s="17"/>
      <c r="Z12" s="17"/>
      <c r="AA12" s="17"/>
      <c r="AB12" s="17"/>
      <c r="AC12" s="18"/>
    </row>
    <row r="13" spans="1:35" ht="15" customHeight="1">
      <c r="B13" s="195" t="s">
        <v>28</v>
      </c>
      <c r="C13" s="196"/>
      <c r="D13" s="196"/>
      <c r="E13" s="196"/>
      <c r="F13" s="196"/>
      <c r="G13" s="196"/>
      <c r="H13" s="196"/>
      <c r="I13" s="196"/>
      <c r="J13" s="20"/>
      <c r="K13" s="20"/>
      <c r="L13" s="20"/>
      <c r="M13" s="20"/>
      <c r="N13" s="20"/>
      <c r="O13" s="21"/>
      <c r="P13" s="219"/>
      <c r="Q13" s="220"/>
      <c r="R13" s="220"/>
      <c r="S13" s="220"/>
      <c r="T13" s="17"/>
      <c r="U13" s="17"/>
      <c r="V13" s="17"/>
      <c r="W13" s="17"/>
      <c r="X13" s="17"/>
      <c r="Y13" s="17"/>
      <c r="Z13" s="17"/>
      <c r="AA13" s="17"/>
      <c r="AB13" s="17"/>
      <c r="AC13" s="22"/>
    </row>
    <row r="14" spans="1:35" ht="15" customHeight="1">
      <c r="B14" s="195"/>
      <c r="C14" s="196"/>
      <c r="D14" s="196"/>
      <c r="E14" s="196"/>
      <c r="F14" s="196"/>
      <c r="G14" s="196"/>
      <c r="H14" s="196"/>
      <c r="I14" s="196"/>
      <c r="J14" s="197" t="str">
        <f ca="1">IF(PARAM!O30=1,"",PARAM!O6&amp;" "&amp;"JF"&amp;"   "&amp;PARAM!O9&amp;" "&amp;"S"&amp;"   "&amp;PARAM!O12&amp;" "&amp;"D")</f>
        <v>0 JF   1 S   0 D</v>
      </c>
      <c r="K14" s="197"/>
      <c r="L14" s="197"/>
      <c r="M14" s="197"/>
      <c r="N14" s="197"/>
      <c r="O14" s="23"/>
      <c r="P14" s="221" t="s">
        <v>29</v>
      </c>
      <c r="Q14" s="222"/>
      <c r="R14" s="222"/>
      <c r="S14" s="222"/>
      <c r="T14" s="222"/>
      <c r="U14" s="222"/>
      <c r="V14" s="223"/>
      <c r="W14" s="227" t="s">
        <v>30</v>
      </c>
      <c r="X14" s="228"/>
      <c r="Y14" s="228"/>
      <c r="Z14" s="228"/>
      <c r="AA14" s="228"/>
      <c r="AB14" s="228"/>
      <c r="AC14" s="229"/>
    </row>
    <row r="15" spans="1:35" ht="15" customHeight="1">
      <c r="B15" s="198" t="s">
        <v>31</v>
      </c>
      <c r="C15" s="199"/>
      <c r="D15" s="199"/>
      <c r="E15" s="199"/>
      <c r="F15" s="199"/>
      <c r="G15" s="17" t="str">
        <f>IF(AI18="","",AI18)</f>
        <v/>
      </c>
      <c r="H15" s="197" t="str">
        <f>IF(G15="","",IF(G15&gt;1,"jours","jour"))</f>
        <v/>
      </c>
      <c r="I15" s="197"/>
      <c r="J15" s="205" t="s">
        <v>32</v>
      </c>
      <c r="K15" s="205"/>
      <c r="L15" s="233" t="str">
        <f>IF(AI19=G15,"",IF(G15="","",AI19))</f>
        <v/>
      </c>
      <c r="M15" s="233"/>
      <c r="N15" s="233"/>
      <c r="O15" s="24"/>
      <c r="P15" s="224"/>
      <c r="Q15" s="225"/>
      <c r="R15" s="225"/>
      <c r="S15" s="225"/>
      <c r="T15" s="225"/>
      <c r="U15" s="225"/>
      <c r="V15" s="226"/>
      <c r="W15" s="230"/>
      <c r="X15" s="231"/>
      <c r="Y15" s="231"/>
      <c r="Z15" s="231"/>
      <c r="AA15" s="231"/>
      <c r="AB15" s="231"/>
      <c r="AC15" s="232"/>
    </row>
    <row r="16" spans="1:35" ht="15" customHeight="1">
      <c r="B16" s="198" t="s">
        <v>33</v>
      </c>
      <c r="C16" s="199"/>
      <c r="D16" s="208">
        <f ca="1">PARAM!O2</f>
        <v>6</v>
      </c>
      <c r="E16" s="208"/>
      <c r="F16" s="197" t="str">
        <f ca="1">IF(D16&lt;2,"jour","jours")</f>
        <v>jours</v>
      </c>
      <c r="G16" s="197"/>
      <c r="H16" s="197"/>
      <c r="I16" s="16"/>
      <c r="J16" s="209"/>
      <c r="K16" s="209"/>
      <c r="L16" s="209"/>
      <c r="M16" s="209"/>
      <c r="N16" s="209"/>
      <c r="O16" s="210"/>
      <c r="P16" s="211"/>
      <c r="Q16" s="212"/>
      <c r="R16" s="212"/>
      <c r="S16" s="212"/>
      <c r="T16" s="212"/>
      <c r="U16" s="212"/>
      <c r="V16" s="213"/>
      <c r="W16" s="211"/>
      <c r="X16" s="212"/>
      <c r="Y16" s="212"/>
      <c r="Z16" s="212"/>
      <c r="AA16" s="212"/>
      <c r="AB16" s="212"/>
      <c r="AC16" s="213"/>
    </row>
    <row r="17" spans="2:37" ht="15" customHeight="1">
      <c r="B17" s="25" t="s">
        <v>34</v>
      </c>
      <c r="C17" s="26"/>
      <c r="D17" s="26"/>
      <c r="E17" s="26"/>
      <c r="F17" s="26"/>
      <c r="G17" s="16"/>
      <c r="H17" s="217">
        <f>IF(ARRIVEE="","",ARRIVEE)</f>
        <v>42653</v>
      </c>
      <c r="I17" s="217"/>
      <c r="J17" s="217"/>
      <c r="K17" s="27" t="str">
        <f>IF(L17="","","à")</f>
        <v>à</v>
      </c>
      <c r="L17" s="218">
        <f>IF(AE10="","",AE10)</f>
        <v>0.33333333333333331</v>
      </c>
      <c r="M17" s="218"/>
      <c r="N17" s="218"/>
      <c r="O17" s="18"/>
      <c r="P17" s="214"/>
      <c r="Q17" s="215"/>
      <c r="R17" s="215"/>
      <c r="S17" s="215"/>
      <c r="T17" s="215"/>
      <c r="U17" s="215"/>
      <c r="V17" s="216"/>
      <c r="W17" s="214"/>
      <c r="X17" s="215"/>
      <c r="Y17" s="215"/>
      <c r="Z17" s="215"/>
      <c r="AA17" s="215"/>
      <c r="AB17" s="215"/>
      <c r="AC17" s="216"/>
      <c r="AE17" s="243" t="s">
        <v>35</v>
      </c>
      <c r="AF17" s="244"/>
      <c r="AG17" s="245"/>
      <c r="AH17" s="246" t="s">
        <v>36</v>
      </c>
      <c r="AI17" s="247"/>
      <c r="AJ17" s="156"/>
      <c r="AK17" s="156"/>
    </row>
    <row r="18" spans="2:37" ht="15" customHeight="1">
      <c r="B18" s="25" t="s">
        <v>37</v>
      </c>
      <c r="C18" s="26"/>
      <c r="D18" s="26"/>
      <c r="E18" s="26"/>
      <c r="F18" s="26"/>
      <c r="G18" s="16"/>
      <c r="H18" s="248">
        <f>IF(FIN="","",FIN)</f>
        <v>42659</v>
      </c>
      <c r="I18" s="248"/>
      <c r="J18" s="248"/>
      <c r="K18" s="28" t="str">
        <f>IF(L18="","","à")</f>
        <v>à</v>
      </c>
      <c r="L18" s="249">
        <f>IF(AG10="","",AG10)</f>
        <v>0.33333333333333331</v>
      </c>
      <c r="M18" s="249"/>
      <c r="N18" s="249"/>
      <c r="O18" s="18"/>
      <c r="P18" s="250" t="s">
        <v>38</v>
      </c>
      <c r="Q18" s="251"/>
      <c r="R18" s="251"/>
      <c r="S18" s="251"/>
      <c r="T18" s="251"/>
      <c r="U18" s="251"/>
      <c r="V18" s="251"/>
      <c r="W18" s="251"/>
      <c r="X18" s="251"/>
      <c r="Y18" s="251"/>
      <c r="Z18" s="251"/>
      <c r="AA18" s="251"/>
      <c r="AB18" s="251"/>
      <c r="AC18" s="252"/>
      <c r="AE18" s="253"/>
      <c r="AF18" s="254"/>
      <c r="AG18" s="255"/>
      <c r="AH18" s="157" t="s">
        <v>39</v>
      </c>
      <c r="AI18" s="29"/>
    </row>
    <row r="19" spans="2:37" ht="15" customHeight="1">
      <c r="B19" s="234" t="s">
        <v>40</v>
      </c>
      <c r="C19" s="235"/>
      <c r="D19" s="235"/>
      <c r="E19" s="235"/>
      <c r="F19" s="235"/>
      <c r="G19" s="235"/>
      <c r="H19" s="235"/>
      <c r="I19" s="16"/>
      <c r="J19" s="16"/>
      <c r="K19" s="16"/>
      <c r="L19" s="16"/>
      <c r="M19" s="16"/>
      <c r="N19" s="16"/>
      <c r="O19" s="16"/>
      <c r="P19" s="30"/>
      <c r="Q19" s="212"/>
      <c r="R19" s="212"/>
      <c r="S19" s="212"/>
      <c r="T19" s="212"/>
      <c r="U19" s="212"/>
      <c r="V19" s="212"/>
      <c r="W19" s="212"/>
      <c r="X19" s="212"/>
      <c r="Y19" s="212"/>
      <c r="Z19" s="212"/>
      <c r="AA19" s="14"/>
      <c r="AB19" s="14"/>
      <c r="AC19" s="15"/>
      <c r="AE19" s="236"/>
      <c r="AF19" s="237"/>
      <c r="AG19" s="238"/>
      <c r="AH19" s="157" t="s">
        <v>41</v>
      </c>
      <c r="AI19" s="29"/>
    </row>
    <row r="20" spans="2:37" ht="15" customHeight="1">
      <c r="B20" s="239" t="str">
        <f>IF(AE18="",INDEX(Adresse,PARAM!F2),AE18)</f>
        <v/>
      </c>
      <c r="C20" s="240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16"/>
      <c r="P20" s="31"/>
      <c r="Q20" s="241"/>
      <c r="R20" s="241"/>
      <c r="S20" s="241"/>
      <c r="T20" s="241"/>
      <c r="U20" s="241"/>
      <c r="V20" s="241"/>
      <c r="W20" s="241"/>
      <c r="X20" s="241"/>
      <c r="Y20" s="241"/>
      <c r="Z20" s="241"/>
      <c r="AA20" s="32"/>
      <c r="AB20" s="16"/>
      <c r="AC20" s="18"/>
    </row>
    <row r="21" spans="2:37" ht="15" customHeight="1">
      <c r="B21" s="182" t="str">
        <f>IF(AE19="",INDEX(CP_Ville,PARAM!F2),AE19)</f>
        <v xml:space="preserve"> </v>
      </c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6"/>
      <c r="P21" s="31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16"/>
      <c r="AB21" s="16"/>
      <c r="AC21" s="18"/>
    </row>
    <row r="22" spans="2:37" ht="15" customHeight="1">
      <c r="B22" s="266" t="str">
        <f>INDEX(Portable,PARAM!F2)</f>
        <v/>
      </c>
      <c r="C22" s="267"/>
      <c r="D22" s="267"/>
      <c r="E22" s="267"/>
      <c r="F22" s="267"/>
      <c r="G22" s="267"/>
      <c r="H22" s="267"/>
      <c r="I22" s="267"/>
      <c r="J22" s="267"/>
      <c r="K22" s="267"/>
      <c r="L22" s="267"/>
      <c r="M22" s="267"/>
      <c r="N22" s="267"/>
      <c r="O22" s="16"/>
      <c r="P22" s="268" t="s">
        <v>42</v>
      </c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  <c r="AB22" s="269"/>
      <c r="AC22" s="270"/>
    </row>
    <row r="23" spans="2:37" ht="15" customHeight="1">
      <c r="B23" s="33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268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70"/>
    </row>
    <row r="24" spans="2:37" ht="15" customHeight="1">
      <c r="B24" s="221" t="s">
        <v>43</v>
      </c>
      <c r="C24" s="222"/>
      <c r="D24" s="222"/>
      <c r="E24" s="222"/>
      <c r="F24" s="222"/>
      <c r="G24" s="222"/>
      <c r="H24" s="223"/>
      <c r="I24" s="274" t="s">
        <v>44</v>
      </c>
      <c r="J24" s="275"/>
      <c r="K24" s="275"/>
      <c r="L24" s="275"/>
      <c r="M24" s="275"/>
      <c r="N24" s="275"/>
      <c r="O24" s="276"/>
      <c r="P24" s="31"/>
      <c r="Q24" s="16"/>
      <c r="R24" s="264"/>
      <c r="S24" s="264"/>
      <c r="T24" s="264"/>
      <c r="U24" s="264"/>
      <c r="V24" s="264"/>
      <c r="W24" s="264"/>
      <c r="X24" s="264"/>
      <c r="Y24" s="264"/>
      <c r="Z24" s="264"/>
      <c r="AA24" s="16"/>
      <c r="AB24" s="16"/>
      <c r="AC24" s="18"/>
    </row>
    <row r="25" spans="2:37" ht="15" customHeight="1">
      <c r="B25" s="271"/>
      <c r="C25" s="272"/>
      <c r="D25" s="272"/>
      <c r="E25" s="272"/>
      <c r="F25" s="272"/>
      <c r="G25" s="272"/>
      <c r="H25" s="273"/>
      <c r="I25" s="277"/>
      <c r="J25" s="278"/>
      <c r="K25" s="278"/>
      <c r="L25" s="278"/>
      <c r="M25" s="278"/>
      <c r="N25" s="278"/>
      <c r="O25" s="279"/>
      <c r="P25" s="31"/>
      <c r="Q25" s="16"/>
      <c r="R25" s="264"/>
      <c r="S25" s="264"/>
      <c r="T25" s="264"/>
      <c r="U25" s="264"/>
      <c r="V25" s="264"/>
      <c r="W25" s="264"/>
      <c r="X25" s="264"/>
      <c r="Y25" s="264"/>
      <c r="Z25" s="264"/>
      <c r="AA25" s="16"/>
      <c r="AB25" s="16"/>
      <c r="AC25" s="18"/>
    </row>
    <row r="26" spans="2:37" ht="15" customHeight="1">
      <c r="B26" s="224"/>
      <c r="C26" s="225"/>
      <c r="D26" s="225"/>
      <c r="E26" s="225"/>
      <c r="F26" s="225"/>
      <c r="G26" s="225"/>
      <c r="H26" s="226"/>
      <c r="I26" s="280"/>
      <c r="J26" s="281"/>
      <c r="K26" s="281"/>
      <c r="L26" s="281"/>
      <c r="M26" s="281"/>
      <c r="N26" s="281"/>
      <c r="O26" s="282"/>
      <c r="P26" s="31"/>
      <c r="Q26" s="16"/>
      <c r="R26" s="262"/>
      <c r="S26" s="262"/>
      <c r="T26" s="262"/>
      <c r="U26" s="262"/>
      <c r="V26" s="262"/>
      <c r="W26" s="262"/>
      <c r="X26" s="262"/>
      <c r="Y26" s="262"/>
      <c r="Z26" s="262"/>
      <c r="AA26" s="16"/>
      <c r="AB26" s="16"/>
      <c r="AC26" s="18"/>
    </row>
    <row r="27" spans="2:37" ht="15" customHeight="1">
      <c r="B27" s="227" t="s">
        <v>45</v>
      </c>
      <c r="C27" s="228"/>
      <c r="D27" s="228"/>
      <c r="E27" s="228"/>
      <c r="F27" s="228"/>
      <c r="G27" s="228"/>
      <c r="H27" s="229"/>
      <c r="I27" s="259">
        <f ca="1">TODAY()</f>
        <v>42635</v>
      </c>
      <c r="J27" s="260"/>
      <c r="K27" s="260"/>
      <c r="L27" s="260"/>
      <c r="M27" s="260"/>
      <c r="N27" s="260"/>
      <c r="O27" s="261"/>
      <c r="P27" s="31"/>
      <c r="Q27" s="16"/>
      <c r="R27" s="262"/>
      <c r="S27" s="262"/>
      <c r="T27" s="262"/>
      <c r="U27" s="262"/>
      <c r="V27" s="262"/>
      <c r="W27" s="262"/>
      <c r="X27" s="262"/>
      <c r="Y27" s="262"/>
      <c r="Z27" s="262"/>
      <c r="AA27" s="16"/>
      <c r="AB27" s="16"/>
      <c r="AC27" s="18"/>
    </row>
    <row r="28" spans="2:37" ht="15" customHeight="1">
      <c r="B28" s="256"/>
      <c r="C28" s="257"/>
      <c r="D28" s="257"/>
      <c r="E28" s="257"/>
      <c r="F28" s="257"/>
      <c r="G28" s="257"/>
      <c r="H28" s="258"/>
      <c r="I28" s="263"/>
      <c r="J28" s="264"/>
      <c r="K28" s="264"/>
      <c r="L28" s="264"/>
      <c r="M28" s="264"/>
      <c r="N28" s="264"/>
      <c r="O28" s="265"/>
      <c r="P28" s="31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8"/>
    </row>
    <row r="29" spans="2:37" ht="15" customHeight="1">
      <c r="B29" s="256"/>
      <c r="C29" s="257"/>
      <c r="D29" s="257"/>
      <c r="E29" s="257"/>
      <c r="F29" s="257"/>
      <c r="G29" s="257"/>
      <c r="H29" s="258"/>
      <c r="I29" s="263"/>
      <c r="J29" s="264"/>
      <c r="K29" s="264"/>
      <c r="L29" s="264"/>
      <c r="M29" s="264"/>
      <c r="N29" s="264"/>
      <c r="O29" s="265"/>
      <c r="P29" s="31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8"/>
    </row>
    <row r="30" spans="2:37" ht="15" customHeight="1">
      <c r="B30" s="230"/>
      <c r="C30" s="231"/>
      <c r="D30" s="231"/>
      <c r="E30" s="231"/>
      <c r="F30" s="231"/>
      <c r="G30" s="231"/>
      <c r="H30" s="232"/>
      <c r="I30" s="214"/>
      <c r="J30" s="215"/>
      <c r="K30" s="215"/>
      <c r="L30" s="215"/>
      <c r="M30" s="215"/>
      <c r="N30" s="215"/>
      <c r="O30" s="216"/>
      <c r="P30" s="33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22"/>
    </row>
    <row r="31" spans="2:37">
      <c r="B31" s="147"/>
      <c r="C31" s="147"/>
      <c r="D31" s="147"/>
      <c r="E31" s="147"/>
      <c r="F31" s="147"/>
      <c r="G31" s="147"/>
      <c r="H31" s="147"/>
      <c r="I31" s="146"/>
      <c r="J31" s="146"/>
      <c r="K31" s="146"/>
      <c r="L31" s="146"/>
      <c r="M31" s="146"/>
      <c r="N31" s="146"/>
      <c r="O31" s="14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</row>
    <row r="32" spans="2:37"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</row>
    <row r="33" spans="2:29" ht="11.25" customHeight="1">
      <c r="B33" s="187" t="s">
        <v>7</v>
      </c>
      <c r="C33" s="188"/>
      <c r="D33" s="188"/>
      <c r="E33" s="18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188" t="s">
        <v>8</v>
      </c>
      <c r="X33" s="188"/>
      <c r="Y33" s="188"/>
      <c r="Z33" s="188"/>
      <c r="AA33" s="8"/>
      <c r="AB33" s="8"/>
      <c r="AC33" s="9"/>
    </row>
    <row r="34" spans="2:29" ht="11.25" customHeight="1">
      <c r="B34" s="189" t="s">
        <v>9</v>
      </c>
      <c r="C34" s="190"/>
      <c r="D34" s="190"/>
      <c r="E34" s="190"/>
      <c r="F34" s="283">
        <v>123</v>
      </c>
      <c r="G34" s="283"/>
      <c r="H34" s="10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90" t="s">
        <v>10</v>
      </c>
      <c r="X34" s="190"/>
      <c r="Y34" s="190"/>
      <c r="Z34" s="190"/>
      <c r="AA34" s="11"/>
      <c r="AB34" s="11"/>
      <c r="AC34" s="12"/>
    </row>
    <row r="35" spans="2:29" ht="11.25" customHeight="1">
      <c r="B35" s="192" t="s">
        <v>11</v>
      </c>
      <c r="C35" s="193"/>
      <c r="D35" s="193"/>
      <c r="E35" s="193"/>
      <c r="F35" s="193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4"/>
    </row>
    <row r="36" spans="2:29" ht="12" customHeight="1">
      <c r="B36" s="176" t="s">
        <v>12</v>
      </c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8"/>
    </row>
    <row r="37" spans="2:29" ht="12" customHeight="1">
      <c r="B37" s="176" t="s">
        <v>13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8"/>
    </row>
    <row r="38" spans="2:29" ht="11.25" customHeight="1">
      <c r="B38" s="179" t="s">
        <v>14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1"/>
    </row>
    <row r="39" spans="2:29" ht="15" customHeight="1">
      <c r="B39" s="182" t="s">
        <v>15</v>
      </c>
      <c r="C39" s="183"/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4"/>
      <c r="P39" s="182" t="s">
        <v>16</v>
      </c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4"/>
    </row>
    <row r="40" spans="2:29" ht="15" customHeight="1">
      <c r="B40" s="202" t="s">
        <v>17</v>
      </c>
      <c r="C40" s="203"/>
      <c r="D40" s="207" t="str">
        <f>IF(D9="","",D9)</f>
        <v/>
      </c>
      <c r="E40" s="207"/>
      <c r="F40" s="207"/>
      <c r="G40" s="145" t="s">
        <v>18</v>
      </c>
      <c r="H40" s="13"/>
      <c r="I40" s="13"/>
      <c r="J40" s="205" t="s">
        <v>19</v>
      </c>
      <c r="K40" s="205"/>
      <c r="L40" s="206">
        <f>IF(L9="","",L9)</f>
        <v>26078</v>
      </c>
      <c r="M40" s="206"/>
      <c r="N40" s="206"/>
      <c r="O40" s="14"/>
      <c r="P40" s="143" t="s">
        <v>20</v>
      </c>
      <c r="Q40" s="144"/>
      <c r="R40" s="144"/>
      <c r="S40" s="144"/>
      <c r="T40" s="13"/>
      <c r="U40" s="13"/>
      <c r="V40" s="13"/>
      <c r="W40" s="13"/>
      <c r="X40" s="13"/>
      <c r="Y40" s="13"/>
      <c r="Z40" s="13"/>
      <c r="AA40" s="13"/>
      <c r="AB40" s="13"/>
      <c r="AC40" s="15"/>
    </row>
    <row r="41" spans="2:29" ht="15" customHeight="1">
      <c r="B41" s="195" t="s">
        <v>21</v>
      </c>
      <c r="C41" s="196"/>
      <c r="D41" s="197" t="str">
        <f>IF(D10="","",D10)</f>
        <v>F</v>
      </c>
      <c r="E41" s="197"/>
      <c r="F41" s="197"/>
      <c r="G41" s="197"/>
      <c r="H41" s="197"/>
      <c r="I41" s="197"/>
      <c r="J41" s="199" t="s">
        <v>22</v>
      </c>
      <c r="K41" s="199"/>
      <c r="L41" s="204" t="s">
        <v>71</v>
      </c>
      <c r="M41" s="204"/>
      <c r="N41" s="204"/>
      <c r="O41" s="16"/>
      <c r="P41" s="141" t="s">
        <v>23</v>
      </c>
      <c r="Q41" s="142"/>
      <c r="R41" s="142"/>
      <c r="S41" s="142"/>
      <c r="T41" s="17"/>
      <c r="U41" s="17"/>
      <c r="V41" s="17"/>
      <c r="W41" s="17"/>
      <c r="X41" s="17"/>
      <c r="Y41" s="17"/>
      <c r="Z41" s="17"/>
      <c r="AA41" s="17"/>
      <c r="AB41" s="17"/>
      <c r="AC41" s="18"/>
    </row>
    <row r="42" spans="2:29" ht="15" customHeight="1">
      <c r="B42" s="195" t="s">
        <v>24</v>
      </c>
      <c r="C42" s="196"/>
      <c r="D42" s="196"/>
      <c r="E42" s="196"/>
      <c r="F42" s="197" t="str">
        <f>IF(F11="","",F11)</f>
        <v xml:space="preserve">FF </v>
      </c>
      <c r="G42" s="197"/>
      <c r="H42" s="197"/>
      <c r="I42" s="197"/>
      <c r="J42" s="197"/>
      <c r="K42" s="197"/>
      <c r="L42" s="197"/>
      <c r="M42" s="197"/>
      <c r="N42" s="197"/>
      <c r="O42" s="16"/>
      <c r="P42" s="141" t="s">
        <v>25</v>
      </c>
      <c r="Q42" s="142"/>
      <c r="R42" s="142"/>
      <c r="S42" s="142"/>
      <c r="T42" s="13"/>
      <c r="U42" s="13"/>
      <c r="V42" s="13"/>
      <c r="W42" s="13"/>
      <c r="X42" s="19" t="s">
        <v>26</v>
      </c>
      <c r="Y42" s="19"/>
      <c r="Z42" s="17"/>
      <c r="AA42" s="17"/>
      <c r="AB42" s="17"/>
      <c r="AC42" s="18"/>
    </row>
    <row r="43" spans="2:29" ht="15" customHeight="1">
      <c r="B43" s="198" t="s">
        <v>25</v>
      </c>
      <c r="C43" s="199"/>
      <c r="D43" s="199"/>
      <c r="E43" s="199"/>
      <c r="F43" s="284">
        <f ca="1">IF(F12="","",F12)</f>
        <v>5</v>
      </c>
      <c r="G43" s="284"/>
      <c r="H43" s="204" t="str">
        <f ca="1">H12</f>
        <v>jours</v>
      </c>
      <c r="I43" s="204"/>
      <c r="J43" s="204"/>
      <c r="K43" s="204"/>
      <c r="L43" s="204"/>
      <c r="M43" s="204"/>
      <c r="N43" s="204"/>
      <c r="O43" s="16"/>
      <c r="P43" s="195" t="s">
        <v>27</v>
      </c>
      <c r="Q43" s="196"/>
      <c r="R43" s="196"/>
      <c r="S43" s="196"/>
      <c r="T43" s="17"/>
      <c r="U43" s="17"/>
      <c r="V43" s="17"/>
      <c r="W43" s="17"/>
      <c r="X43" s="17"/>
      <c r="Y43" s="17"/>
      <c r="Z43" s="17"/>
      <c r="AA43" s="17"/>
      <c r="AB43" s="17"/>
      <c r="AC43" s="18"/>
    </row>
    <row r="44" spans="2:29" ht="15" customHeight="1">
      <c r="B44" s="195" t="s">
        <v>28</v>
      </c>
      <c r="C44" s="196"/>
      <c r="D44" s="196"/>
      <c r="E44" s="196"/>
      <c r="F44" s="196"/>
      <c r="G44" s="196"/>
      <c r="H44" s="196"/>
      <c r="I44" s="196"/>
      <c r="J44" s="285" t="str">
        <f ca="1">IF(J14="","",J14)</f>
        <v>0 JF   1 S   0 D</v>
      </c>
      <c r="K44" s="285"/>
      <c r="L44" s="285"/>
      <c r="M44" s="285"/>
      <c r="N44" s="285"/>
      <c r="O44" s="21"/>
      <c r="P44" s="219"/>
      <c r="Q44" s="220"/>
      <c r="R44" s="220"/>
      <c r="S44" s="220"/>
      <c r="T44" s="17"/>
      <c r="U44" s="17"/>
      <c r="V44" s="17"/>
      <c r="W44" s="17"/>
      <c r="X44" s="17"/>
      <c r="Y44" s="17"/>
      <c r="Z44" s="17"/>
      <c r="AA44" s="17"/>
      <c r="AB44" s="17"/>
      <c r="AC44" s="22"/>
    </row>
    <row r="45" spans="2:29" ht="15" customHeight="1">
      <c r="B45" s="195"/>
      <c r="C45" s="196"/>
      <c r="D45" s="196"/>
      <c r="E45" s="196"/>
      <c r="F45" s="196"/>
      <c r="G45" s="196"/>
      <c r="H45" s="196"/>
      <c r="I45" s="196"/>
      <c r="J45" s="197"/>
      <c r="K45" s="197"/>
      <c r="L45" s="197"/>
      <c r="M45" s="197"/>
      <c r="N45" s="197"/>
      <c r="O45" s="21"/>
      <c r="P45" s="221" t="s">
        <v>29</v>
      </c>
      <c r="Q45" s="222"/>
      <c r="R45" s="222"/>
      <c r="S45" s="222"/>
      <c r="T45" s="222"/>
      <c r="U45" s="222"/>
      <c r="V45" s="223"/>
      <c r="W45" s="227" t="s">
        <v>30</v>
      </c>
      <c r="X45" s="228"/>
      <c r="Y45" s="228"/>
      <c r="Z45" s="228"/>
      <c r="AA45" s="228"/>
      <c r="AB45" s="228"/>
      <c r="AC45" s="229"/>
    </row>
    <row r="46" spans="2:29" ht="15" customHeight="1">
      <c r="B46" s="198" t="s">
        <v>31</v>
      </c>
      <c r="C46" s="199"/>
      <c r="D46" s="199"/>
      <c r="E46" s="199"/>
      <c r="F46" s="199"/>
      <c r="G46" s="17" t="str">
        <f>IF(G15="","",G15)</f>
        <v/>
      </c>
      <c r="H46" s="197" t="str">
        <f>IF(H15="","",H15)</f>
        <v/>
      </c>
      <c r="I46" s="197"/>
      <c r="J46" s="205" t="s">
        <v>32</v>
      </c>
      <c r="K46" s="205"/>
      <c r="L46" s="286" t="str">
        <f>IF(L15="","",L15)</f>
        <v/>
      </c>
      <c r="M46" s="286"/>
      <c r="N46" s="286"/>
      <c r="O46" s="16"/>
      <c r="P46" s="224"/>
      <c r="Q46" s="225"/>
      <c r="R46" s="225"/>
      <c r="S46" s="225"/>
      <c r="T46" s="225"/>
      <c r="U46" s="225"/>
      <c r="V46" s="226"/>
      <c r="W46" s="230"/>
      <c r="X46" s="231"/>
      <c r="Y46" s="231"/>
      <c r="Z46" s="231"/>
      <c r="AA46" s="231"/>
      <c r="AB46" s="231"/>
      <c r="AC46" s="232"/>
    </row>
    <row r="47" spans="2:29" ht="15" customHeight="1">
      <c r="B47" s="198" t="s">
        <v>33</v>
      </c>
      <c r="C47" s="199"/>
      <c r="D47" s="287">
        <f ca="1">IF(D16="","",D16)</f>
        <v>6</v>
      </c>
      <c r="E47" s="287"/>
      <c r="F47" s="197" t="str">
        <f ca="1">IF(F16="","",F16)</f>
        <v>jours</v>
      </c>
      <c r="G47" s="197"/>
      <c r="H47" s="197"/>
      <c r="I47" s="209"/>
      <c r="J47" s="209"/>
      <c r="K47" s="209"/>
      <c r="L47" s="209"/>
      <c r="M47" s="209"/>
      <c r="N47" s="209"/>
      <c r="O47" s="18"/>
      <c r="P47" s="211"/>
      <c r="Q47" s="212"/>
      <c r="R47" s="212"/>
      <c r="S47" s="212"/>
      <c r="T47" s="212"/>
      <c r="U47" s="212"/>
      <c r="V47" s="213"/>
      <c r="W47" s="211"/>
      <c r="X47" s="212"/>
      <c r="Y47" s="212"/>
      <c r="Z47" s="212"/>
      <c r="AA47" s="212"/>
      <c r="AB47" s="212"/>
      <c r="AC47" s="213"/>
    </row>
    <row r="48" spans="2:29" ht="15" customHeight="1">
      <c r="B48" s="25" t="s">
        <v>34</v>
      </c>
      <c r="C48" s="26"/>
      <c r="D48" s="26"/>
      <c r="E48" s="26"/>
      <c r="F48" s="26"/>
      <c r="G48" s="16"/>
      <c r="H48" s="288">
        <f>IF(H17="","",H17)</f>
        <v>42653</v>
      </c>
      <c r="I48" s="288"/>
      <c r="J48" s="288"/>
      <c r="K48" s="150" t="str">
        <f>IF(K17="","",K17)</f>
        <v>à</v>
      </c>
      <c r="L48" s="218">
        <f>IF(AE10="","",AE10)</f>
        <v>0.33333333333333331</v>
      </c>
      <c r="M48" s="218"/>
      <c r="N48" s="218"/>
      <c r="O48" s="18"/>
      <c r="P48" s="214"/>
      <c r="Q48" s="215"/>
      <c r="R48" s="215"/>
      <c r="S48" s="215"/>
      <c r="T48" s="215"/>
      <c r="U48" s="215"/>
      <c r="V48" s="216"/>
      <c r="W48" s="214"/>
      <c r="X48" s="215"/>
      <c r="Y48" s="215"/>
      <c r="Z48" s="215"/>
      <c r="AA48" s="215"/>
      <c r="AB48" s="215"/>
      <c r="AC48" s="216"/>
    </row>
    <row r="49" spans="2:29" ht="15" customHeight="1">
      <c r="B49" s="25" t="s">
        <v>37</v>
      </c>
      <c r="C49" s="26"/>
      <c r="D49" s="26"/>
      <c r="E49" s="26"/>
      <c r="F49" s="26"/>
      <c r="G49" s="16"/>
      <c r="H49" s="289">
        <f>IF(H18="","",H18)</f>
        <v>42659</v>
      </c>
      <c r="I49" s="289"/>
      <c r="J49" s="289"/>
      <c r="K49" s="148" t="str">
        <f>IF(K18="","",K18)</f>
        <v>à</v>
      </c>
      <c r="L49" s="249">
        <f>IF(AG10="","",AG10)</f>
        <v>0.33333333333333331</v>
      </c>
      <c r="M49" s="249"/>
      <c r="N49" s="249"/>
      <c r="O49" s="18"/>
      <c r="P49" s="250" t="s">
        <v>38</v>
      </c>
      <c r="Q49" s="251"/>
      <c r="R49" s="251"/>
      <c r="S49" s="251"/>
      <c r="T49" s="251"/>
      <c r="U49" s="251"/>
      <c r="V49" s="251"/>
      <c r="W49" s="251"/>
      <c r="X49" s="251"/>
      <c r="Y49" s="251"/>
      <c r="Z49" s="251"/>
      <c r="AA49" s="251"/>
      <c r="AB49" s="251"/>
      <c r="AC49" s="252"/>
    </row>
    <row r="50" spans="2:29" ht="15" customHeight="1">
      <c r="B50" s="234" t="s">
        <v>40</v>
      </c>
      <c r="C50" s="235"/>
      <c r="D50" s="235"/>
      <c r="E50" s="235"/>
      <c r="F50" s="235"/>
      <c r="G50" s="235"/>
      <c r="H50" s="235"/>
      <c r="I50" s="16"/>
      <c r="J50" s="16"/>
      <c r="K50" s="16"/>
      <c r="L50" s="16"/>
      <c r="M50" s="16"/>
      <c r="N50" s="16"/>
      <c r="O50" s="16"/>
      <c r="P50" s="30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14"/>
      <c r="AB50" s="14"/>
      <c r="AC50" s="15"/>
    </row>
    <row r="51" spans="2:29" ht="15" customHeight="1">
      <c r="B51" s="239" t="str">
        <f>IF(B20="","",B20)</f>
        <v/>
      </c>
      <c r="C51" s="240"/>
      <c r="D51" s="240"/>
      <c r="E51" s="240"/>
      <c r="F51" s="240"/>
      <c r="G51" s="240"/>
      <c r="H51" s="240"/>
      <c r="I51" s="240"/>
      <c r="J51" s="240"/>
      <c r="K51" s="240"/>
      <c r="L51" s="240"/>
      <c r="M51" s="240"/>
      <c r="N51" s="240"/>
      <c r="O51" s="16"/>
      <c r="P51" s="31"/>
      <c r="Q51" s="262" t="str">
        <f>IF(Q20="","",Q20)</f>
        <v/>
      </c>
      <c r="R51" s="262"/>
      <c r="S51" s="262"/>
      <c r="T51" s="262"/>
      <c r="U51" s="262"/>
      <c r="V51" s="262"/>
      <c r="W51" s="262"/>
      <c r="X51" s="262"/>
      <c r="Y51" s="262"/>
      <c r="Z51" s="262"/>
      <c r="AA51" s="16"/>
      <c r="AB51" s="16"/>
      <c r="AC51" s="18"/>
    </row>
    <row r="52" spans="2:29" ht="15" customHeight="1">
      <c r="B52" s="182" t="str">
        <f>IF(B21="","",B21)</f>
        <v xml:space="preserve"> </v>
      </c>
      <c r="C52" s="183"/>
      <c r="D52" s="183"/>
      <c r="E52" s="183"/>
      <c r="F52" s="183"/>
      <c r="G52" s="183"/>
      <c r="H52" s="183"/>
      <c r="I52" s="183"/>
      <c r="J52" s="183"/>
      <c r="K52" s="183"/>
      <c r="L52" s="183"/>
      <c r="M52" s="183"/>
      <c r="N52" s="183"/>
      <c r="O52" s="16"/>
      <c r="P52" s="31"/>
      <c r="Q52" s="242" t="str">
        <f>IF(Q21="","",Q21)</f>
        <v/>
      </c>
      <c r="R52" s="242"/>
      <c r="S52" s="242"/>
      <c r="T52" s="242"/>
      <c r="U52" s="242"/>
      <c r="V52" s="242"/>
      <c r="W52" s="242"/>
      <c r="X52" s="242"/>
      <c r="Y52" s="242"/>
      <c r="Z52" s="242"/>
      <c r="AA52" s="16"/>
      <c r="AB52" s="16"/>
      <c r="AC52" s="18"/>
    </row>
    <row r="53" spans="2:29" ht="15" customHeight="1">
      <c r="B53" s="266" t="str">
        <f>IF(B22="","",B22)</f>
        <v/>
      </c>
      <c r="C53" s="267"/>
      <c r="D53" s="267"/>
      <c r="E53" s="267"/>
      <c r="F53" s="267"/>
      <c r="G53" s="267"/>
      <c r="H53" s="267"/>
      <c r="I53" s="267"/>
      <c r="J53" s="267"/>
      <c r="K53" s="267"/>
      <c r="L53" s="267"/>
      <c r="M53" s="267"/>
      <c r="N53" s="267"/>
      <c r="O53" s="16"/>
      <c r="P53" s="268" t="s">
        <v>42</v>
      </c>
      <c r="Q53" s="269"/>
      <c r="R53" s="269"/>
      <c r="S53" s="269"/>
      <c r="T53" s="269"/>
      <c r="U53" s="269"/>
      <c r="V53" s="269"/>
      <c r="W53" s="269"/>
      <c r="X53" s="269"/>
      <c r="Y53" s="269"/>
      <c r="Z53" s="269"/>
      <c r="AA53" s="269"/>
      <c r="AB53" s="269"/>
      <c r="AC53" s="270"/>
    </row>
    <row r="54" spans="2:29" ht="15" customHeight="1">
      <c r="B54" s="33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268"/>
      <c r="Q54" s="269"/>
      <c r="R54" s="269"/>
      <c r="S54" s="269"/>
      <c r="T54" s="269"/>
      <c r="U54" s="269"/>
      <c r="V54" s="269"/>
      <c r="W54" s="269"/>
      <c r="X54" s="269"/>
      <c r="Y54" s="269"/>
      <c r="Z54" s="269"/>
      <c r="AA54" s="269"/>
      <c r="AB54" s="269"/>
      <c r="AC54" s="270"/>
    </row>
    <row r="55" spans="2:29" ht="15" customHeight="1">
      <c r="B55" s="221" t="s">
        <v>43</v>
      </c>
      <c r="C55" s="222"/>
      <c r="D55" s="222"/>
      <c r="E55" s="222"/>
      <c r="F55" s="222"/>
      <c r="G55" s="222"/>
      <c r="H55" s="223"/>
      <c r="I55" s="274" t="str">
        <f>IF(I24="","",I24)</f>
        <v>Idem</v>
      </c>
      <c r="J55" s="275"/>
      <c r="K55" s="275"/>
      <c r="L55" s="275"/>
      <c r="M55" s="275"/>
      <c r="N55" s="275"/>
      <c r="O55" s="276"/>
      <c r="P55" s="31"/>
      <c r="Q55" s="264"/>
      <c r="R55" s="264"/>
      <c r="S55" s="264"/>
      <c r="T55" s="264"/>
      <c r="U55" s="264"/>
      <c r="V55" s="264"/>
      <c r="W55" s="264"/>
      <c r="X55" s="264"/>
      <c r="Y55" s="264"/>
      <c r="Z55" s="264"/>
      <c r="AA55" s="16"/>
      <c r="AB55" s="16"/>
      <c r="AC55" s="18"/>
    </row>
    <row r="56" spans="2:29" ht="15" customHeight="1">
      <c r="B56" s="271"/>
      <c r="C56" s="272"/>
      <c r="D56" s="272"/>
      <c r="E56" s="272"/>
      <c r="F56" s="272"/>
      <c r="G56" s="272"/>
      <c r="H56" s="273"/>
      <c r="I56" s="277"/>
      <c r="J56" s="278"/>
      <c r="K56" s="278"/>
      <c r="L56" s="278"/>
      <c r="M56" s="278"/>
      <c r="N56" s="278"/>
      <c r="O56" s="279"/>
      <c r="P56" s="31"/>
      <c r="Q56" s="264"/>
      <c r="R56" s="264"/>
      <c r="S56" s="264"/>
      <c r="T56" s="264"/>
      <c r="U56" s="264"/>
      <c r="V56" s="264"/>
      <c r="W56" s="264"/>
      <c r="X56" s="264"/>
      <c r="Y56" s="264"/>
      <c r="Z56" s="264"/>
      <c r="AA56" s="16"/>
      <c r="AB56" s="16"/>
      <c r="AC56" s="18"/>
    </row>
    <row r="57" spans="2:29" ht="15" customHeight="1">
      <c r="B57" s="224"/>
      <c r="C57" s="225"/>
      <c r="D57" s="225"/>
      <c r="E57" s="225"/>
      <c r="F57" s="225"/>
      <c r="G57" s="225"/>
      <c r="H57" s="226"/>
      <c r="I57" s="280"/>
      <c r="J57" s="281"/>
      <c r="K57" s="281"/>
      <c r="L57" s="281"/>
      <c r="M57" s="281"/>
      <c r="N57" s="281"/>
      <c r="O57" s="282"/>
      <c r="P57" s="31"/>
      <c r="Q57" s="262" t="str">
        <f>IF(R26="","",R26)</f>
        <v/>
      </c>
      <c r="R57" s="262"/>
      <c r="S57" s="262"/>
      <c r="T57" s="262"/>
      <c r="U57" s="262"/>
      <c r="V57" s="262"/>
      <c r="W57" s="262"/>
      <c r="X57" s="262"/>
      <c r="Y57" s="262"/>
      <c r="Z57" s="262"/>
      <c r="AA57" s="16"/>
      <c r="AB57" s="16"/>
      <c r="AC57" s="18"/>
    </row>
    <row r="58" spans="2:29" ht="15" customHeight="1">
      <c r="B58" s="227" t="s">
        <v>45</v>
      </c>
      <c r="C58" s="228"/>
      <c r="D58" s="228"/>
      <c r="E58" s="228"/>
      <c r="F58" s="228"/>
      <c r="G58" s="228"/>
      <c r="H58" s="229"/>
      <c r="I58" s="259">
        <f ca="1">TODAY()</f>
        <v>42635</v>
      </c>
      <c r="J58" s="260"/>
      <c r="K58" s="260"/>
      <c r="L58" s="260"/>
      <c r="M58" s="260"/>
      <c r="N58" s="260"/>
      <c r="O58" s="261"/>
      <c r="P58" s="31"/>
      <c r="Q58" s="262" t="str">
        <f>IF(R27="","",R27)</f>
        <v/>
      </c>
      <c r="R58" s="262"/>
      <c r="S58" s="262"/>
      <c r="T58" s="262"/>
      <c r="U58" s="262"/>
      <c r="V58" s="262"/>
      <c r="W58" s="262"/>
      <c r="X58" s="262"/>
      <c r="Y58" s="262"/>
      <c r="Z58" s="262"/>
      <c r="AA58" s="16"/>
      <c r="AB58" s="16"/>
      <c r="AC58" s="18"/>
    </row>
    <row r="59" spans="2:29" ht="15" customHeight="1">
      <c r="B59" s="256"/>
      <c r="C59" s="257"/>
      <c r="D59" s="257"/>
      <c r="E59" s="257"/>
      <c r="F59" s="257"/>
      <c r="G59" s="257"/>
      <c r="H59" s="258"/>
      <c r="I59" s="35"/>
      <c r="J59" s="21"/>
      <c r="K59" s="21"/>
      <c r="L59" s="21"/>
      <c r="M59" s="21"/>
      <c r="N59" s="21"/>
      <c r="O59" s="36"/>
      <c r="P59" s="31"/>
      <c r="Q59" s="264" t="str">
        <f>IF(R28="","",R28)</f>
        <v/>
      </c>
      <c r="R59" s="264"/>
      <c r="S59" s="264"/>
      <c r="T59" s="264"/>
      <c r="U59" s="264"/>
      <c r="V59" s="264"/>
      <c r="W59" s="264"/>
      <c r="X59" s="264"/>
      <c r="Y59" s="264"/>
      <c r="Z59" s="264"/>
      <c r="AA59" s="16"/>
      <c r="AB59" s="16"/>
      <c r="AC59" s="18"/>
    </row>
    <row r="60" spans="2:29" ht="15" customHeight="1">
      <c r="B60" s="256"/>
      <c r="C60" s="257"/>
      <c r="D60" s="257"/>
      <c r="E60" s="257"/>
      <c r="F60" s="257"/>
      <c r="G60" s="257"/>
      <c r="H60" s="258"/>
      <c r="I60" s="35"/>
      <c r="J60" s="21"/>
      <c r="K60" s="21"/>
      <c r="L60" s="21"/>
      <c r="M60" s="21"/>
      <c r="N60" s="21"/>
      <c r="O60" s="36"/>
      <c r="P60" s="31"/>
      <c r="Q60" s="264"/>
      <c r="R60" s="264"/>
      <c r="S60" s="264"/>
      <c r="T60" s="264"/>
      <c r="U60" s="264"/>
      <c r="V60" s="264"/>
      <c r="W60" s="264"/>
      <c r="X60" s="264"/>
      <c r="Y60" s="264"/>
      <c r="Z60" s="264"/>
      <c r="AA60" s="16"/>
      <c r="AB60" s="16"/>
      <c r="AC60" s="18"/>
    </row>
    <row r="61" spans="2:29" ht="15" customHeight="1">
      <c r="B61" s="230"/>
      <c r="C61" s="231"/>
      <c r="D61" s="231"/>
      <c r="E61" s="231"/>
      <c r="F61" s="231"/>
      <c r="G61" s="231"/>
      <c r="H61" s="232"/>
      <c r="I61" s="37"/>
      <c r="J61" s="38"/>
      <c r="K61" s="38"/>
      <c r="L61" s="38"/>
      <c r="M61" s="38"/>
      <c r="N61" s="38"/>
      <c r="O61" s="39"/>
      <c r="P61" s="33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22"/>
    </row>
  </sheetData>
  <sheetProtection formatCells="0" selectLockedCells="1"/>
  <mergeCells count="128">
    <mergeCell ref="B58:H61"/>
    <mergeCell ref="I58:O58"/>
    <mergeCell ref="Q58:Z58"/>
    <mergeCell ref="Q59:Z60"/>
    <mergeCell ref="B53:N53"/>
    <mergeCell ref="P53:AC54"/>
    <mergeCell ref="B55:H57"/>
    <mergeCell ref="I55:O57"/>
    <mergeCell ref="Q55:Z56"/>
    <mergeCell ref="Q57:Z57"/>
    <mergeCell ref="B50:H50"/>
    <mergeCell ref="Q50:Z50"/>
    <mergeCell ref="B51:N51"/>
    <mergeCell ref="Q51:Z51"/>
    <mergeCell ref="B52:N52"/>
    <mergeCell ref="Q52:Z52"/>
    <mergeCell ref="W47:AC48"/>
    <mergeCell ref="H48:J48"/>
    <mergeCell ref="L48:N48"/>
    <mergeCell ref="H49:J49"/>
    <mergeCell ref="L49:N49"/>
    <mergeCell ref="P49:AC49"/>
    <mergeCell ref="W45:AC46"/>
    <mergeCell ref="B46:F46"/>
    <mergeCell ref="H46:I46"/>
    <mergeCell ref="J46:K46"/>
    <mergeCell ref="L46:N46"/>
    <mergeCell ref="B47:C47"/>
    <mergeCell ref="D47:E47"/>
    <mergeCell ref="F47:H47"/>
    <mergeCell ref="I47:N47"/>
    <mergeCell ref="P47:V48"/>
    <mergeCell ref="B43:E43"/>
    <mergeCell ref="F43:G43"/>
    <mergeCell ref="H43:N43"/>
    <mergeCell ref="P43:S43"/>
    <mergeCell ref="B44:I45"/>
    <mergeCell ref="J44:N45"/>
    <mergeCell ref="P44:S44"/>
    <mergeCell ref="P45:V46"/>
    <mergeCell ref="B41:C41"/>
    <mergeCell ref="D41:I41"/>
    <mergeCell ref="J41:K41"/>
    <mergeCell ref="L41:N41"/>
    <mergeCell ref="B42:E42"/>
    <mergeCell ref="F42:N42"/>
    <mergeCell ref="B38:AC38"/>
    <mergeCell ref="B39:O39"/>
    <mergeCell ref="P39:AC39"/>
    <mergeCell ref="B40:C40"/>
    <mergeCell ref="D40:F40"/>
    <mergeCell ref="J40:K40"/>
    <mergeCell ref="L40:N40"/>
    <mergeCell ref="B34:E34"/>
    <mergeCell ref="F34:G34"/>
    <mergeCell ref="W34:Z34"/>
    <mergeCell ref="B35:AC35"/>
    <mergeCell ref="B36:AC36"/>
    <mergeCell ref="B37:AC37"/>
    <mergeCell ref="B27:H30"/>
    <mergeCell ref="I27:O27"/>
    <mergeCell ref="R27:Z27"/>
    <mergeCell ref="I28:O30"/>
    <mergeCell ref="B33:E33"/>
    <mergeCell ref="W33:Z33"/>
    <mergeCell ref="B22:N22"/>
    <mergeCell ref="P22:AC23"/>
    <mergeCell ref="B24:H26"/>
    <mergeCell ref="I24:O26"/>
    <mergeCell ref="R24:Z25"/>
    <mergeCell ref="R26:Z26"/>
    <mergeCell ref="B19:H19"/>
    <mergeCell ref="Q19:Z19"/>
    <mergeCell ref="AE19:AG19"/>
    <mergeCell ref="B20:N20"/>
    <mergeCell ref="Q20:Z20"/>
    <mergeCell ref="B21:N21"/>
    <mergeCell ref="Q21:Z21"/>
    <mergeCell ref="AE17:AG17"/>
    <mergeCell ref="AH17:AI17"/>
    <mergeCell ref="H18:J18"/>
    <mergeCell ref="L18:N18"/>
    <mergeCell ref="P18:AC18"/>
    <mergeCell ref="AE18:AG18"/>
    <mergeCell ref="B16:C16"/>
    <mergeCell ref="D16:E16"/>
    <mergeCell ref="F16:H16"/>
    <mergeCell ref="J16:O16"/>
    <mergeCell ref="P16:V17"/>
    <mergeCell ref="W16:AC17"/>
    <mergeCell ref="H17:J17"/>
    <mergeCell ref="L17:N17"/>
    <mergeCell ref="B13:I14"/>
    <mergeCell ref="P13:S13"/>
    <mergeCell ref="J14:N14"/>
    <mergeCell ref="P14:V15"/>
    <mergeCell ref="W14:AC15"/>
    <mergeCell ref="B15:F15"/>
    <mergeCell ref="H15:I15"/>
    <mergeCell ref="J15:K15"/>
    <mergeCell ref="L15:N15"/>
    <mergeCell ref="B11:E11"/>
    <mergeCell ref="F11:N11"/>
    <mergeCell ref="B12:E12"/>
    <mergeCell ref="F12:G12"/>
    <mergeCell ref="H12:N12"/>
    <mergeCell ref="P12:S12"/>
    <mergeCell ref="AG8:AG9"/>
    <mergeCell ref="B9:C9"/>
    <mergeCell ref="D9:F9"/>
    <mergeCell ref="J9:K9"/>
    <mergeCell ref="L9:N9"/>
    <mergeCell ref="B10:C10"/>
    <mergeCell ref="D10:I10"/>
    <mergeCell ref="J10:K10"/>
    <mergeCell ref="L10:N10"/>
    <mergeCell ref="B5:AC5"/>
    <mergeCell ref="B6:AC6"/>
    <mergeCell ref="B7:AC7"/>
    <mergeCell ref="B8:O8"/>
    <mergeCell ref="P8:AC8"/>
    <mergeCell ref="AE8:AE9"/>
    <mergeCell ref="B2:E2"/>
    <mergeCell ref="W2:Z2"/>
    <mergeCell ref="B3:E3"/>
    <mergeCell ref="F3:G3"/>
    <mergeCell ref="W3:Z3"/>
    <mergeCell ref="B4:AC4"/>
  </mergeCells>
  <dataValidations count="1">
    <dataValidation type="list" allowBlank="1" showInputMessage="1" showErrorMessage="1" sqref="AE10 AG10">
      <formula1>"08:00,12:00"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2" r:id="rId4" name="Drop Down 10">
              <controlPr defaultSize="0" autoLine="0" autoPict="0">
                <anchor moveWithCells="1">
                  <from>
                    <xdr:col>29</xdr:col>
                    <xdr:colOff>285750</xdr:colOff>
                    <xdr:row>10</xdr:row>
                    <xdr:rowOff>85725</xdr:rowOff>
                  </from>
                  <to>
                    <xdr:col>33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10"/>
  <sheetViews>
    <sheetView showGridLines="0" workbookViewId="0">
      <selection activeCell="A3" sqref="A3:W9"/>
    </sheetView>
  </sheetViews>
  <sheetFormatPr baseColWidth="10" defaultRowHeight="15"/>
  <cols>
    <col min="1" max="1" width="7.7109375" bestFit="1" customWidth="1"/>
    <col min="2" max="2" width="11" bestFit="1" customWidth="1"/>
    <col min="5" max="5" width="19.28515625" style="2" customWidth="1"/>
    <col min="6" max="6" width="12.42578125" bestFit="1" customWidth="1"/>
    <col min="10" max="10" width="14.140625" bestFit="1" customWidth="1"/>
    <col min="11" max="11" width="18.85546875" bestFit="1" customWidth="1"/>
    <col min="12" max="12" width="14.7109375" customWidth="1"/>
    <col min="15" max="15" width="19.42578125" customWidth="1"/>
    <col min="16" max="16" width="18.5703125" style="2" customWidth="1"/>
    <col min="17" max="17" width="15.7109375" customWidth="1"/>
    <col min="18" max="18" width="17.85546875" bestFit="1" customWidth="1"/>
    <col min="19" max="19" width="16.85546875" bestFit="1" customWidth="1"/>
    <col min="20" max="20" width="25.42578125" bestFit="1" customWidth="1"/>
    <col min="21" max="21" width="9" bestFit="1" customWidth="1"/>
    <col min="22" max="22" width="12.42578125" bestFit="1" customWidth="1"/>
    <col min="23" max="23" width="11.42578125" style="2"/>
  </cols>
  <sheetData>
    <row r="1" spans="1:23" ht="43.5" customHeight="1">
      <c r="A1" s="104">
        <v>0</v>
      </c>
      <c r="Q1" s="2"/>
    </row>
    <row r="2" spans="1:23" s="44" customFormat="1" ht="38.25" customHeight="1">
      <c r="A2" s="43" t="s">
        <v>5</v>
      </c>
      <c r="B2" s="43" t="s">
        <v>46</v>
      </c>
      <c r="C2" s="43" t="s">
        <v>47</v>
      </c>
      <c r="D2" s="43" t="s">
        <v>48</v>
      </c>
      <c r="E2" s="45" t="s">
        <v>53</v>
      </c>
      <c r="F2" s="40" t="s">
        <v>54</v>
      </c>
      <c r="G2" s="41" t="s">
        <v>55</v>
      </c>
      <c r="H2" s="40" t="s">
        <v>56</v>
      </c>
      <c r="I2" s="41" t="s">
        <v>57</v>
      </c>
      <c r="J2" s="42" t="s">
        <v>58</v>
      </c>
      <c r="K2" s="43" t="s">
        <v>59</v>
      </c>
      <c r="L2" s="43" t="s">
        <v>60</v>
      </c>
      <c r="M2" s="43" t="s">
        <v>61</v>
      </c>
      <c r="N2" s="43" t="s">
        <v>62</v>
      </c>
      <c r="O2" s="43" t="s">
        <v>63</v>
      </c>
      <c r="P2" s="45" t="s">
        <v>64</v>
      </c>
      <c r="Q2" s="43" t="s">
        <v>65</v>
      </c>
      <c r="R2" s="43" t="s">
        <v>49</v>
      </c>
      <c r="S2" s="43" t="s">
        <v>50</v>
      </c>
      <c r="T2" s="43" t="s">
        <v>51</v>
      </c>
      <c r="U2" s="45" t="s">
        <v>52</v>
      </c>
      <c r="V2" s="59" t="s">
        <v>72</v>
      </c>
      <c r="W2" s="45" t="s">
        <v>160</v>
      </c>
    </row>
    <row r="3" spans="1:23">
      <c r="A3" s="60">
        <v>10</v>
      </c>
      <c r="B3" s="60" t="s">
        <v>178</v>
      </c>
      <c r="C3" s="60" t="s">
        <v>179</v>
      </c>
      <c r="D3" s="60"/>
      <c r="E3" s="61" t="s">
        <v>152</v>
      </c>
      <c r="F3" s="60"/>
      <c r="G3" s="60"/>
      <c r="H3" s="60"/>
      <c r="I3" s="60"/>
      <c r="J3" s="62"/>
      <c r="K3" s="60"/>
      <c r="L3" s="63"/>
      <c r="M3" s="60"/>
      <c r="N3" s="60"/>
      <c r="O3" s="61">
        <f t="array" aca="1" ref="O3" ca="1">MAX(IF((Tableau1[MOTIF]="TIR")*(Tableau1[NOM]=S3)*(Tableau1[DATE]&lt;=TODAY()),Tableau1[DATE]))</f>
        <v>0</v>
      </c>
      <c r="P3" s="61">
        <f ca="1">Tableau3[[#This Row],[Date du dernier tir]]+42</f>
        <v>42</v>
      </c>
      <c r="Q3" s="60" t="str">
        <f t="shared" ref="Q3:Q9" ca="1" si="0">IF(ISERROR(IF(P3&lt;=TODAY(),"Pas à jour depuis "&amp;TRIM(IF(TODAY()-P3,TEXT(DATEDIF(P3,TODAY(),"y"),"[&gt;1]0"" ans"";[&gt;]""1 an"";")&amp;TEXT(DATEDIF(P3,TODAY(),"ym"),"[&gt;] 0"" mois "";")&amp;TEXT(DATEDIF(P3,TODAY(),"md"),"[&gt;1]0"" jours"";[&gt;]""1 jour"";"),"0 jour")),TRIM(IF(P3-TODAY(),TEXT(DATEDIF(TODAY(),P3,"y"),"[&gt;1]0"" ans"";[&gt;]""1 an"";")&amp;TEXT(DATEDIF(TODAY(),P3,"ym"),"[&gt;] 0"" mois "";")&amp;TEXT(DATEDIF(TODAY(),P3,"md"),"[&gt;1]0"" jours"";[&gt;]""1 jour"";"),"0 jour")))),"",IF(O3=0,"",IF(P3&lt;=TODAY(),"Pas à jour depuis "&amp;TRIM(IF(TODAY()-P3,TEXT(DATEDIF(P3,TODAY(),"y"),"[&gt;1]0"" ans"";[&gt;]""1 an"";")&amp;TEXT(DATEDIF(P3,TODAY(),"ym"),"[&gt;] 0"" mois "";")&amp;TEXT(DATEDIF(P3,TODAY(),"md"),"[&gt;1]0"" jours"";[&gt;]""1 jour"";"),"0 jour")),TRIM(IF(P3-TODAY(),TEXT(DATEDIF(TODAY(),P3,"y"),"[&gt;1]0"" ans"";[&gt;]""1 an"";")&amp;TEXT(DATEDIF(TODAY(),P3,"ym"),"[&gt;] 0"" mois "";")&amp;TEXT(DATEDIF(TODAY(),P3,"md"),"[&gt;1]0"" jours"";[&gt;]""1 jour"";"),"0 jour")))))</f>
        <v/>
      </c>
      <c r="R3" s="60" t="str">
        <f>Tableau3[Nom]&amp;" "&amp;Tableau3[Prénom]</f>
        <v xml:space="preserve">AA </v>
      </c>
      <c r="S3" s="60" t="str">
        <f>Tableau3[Grade]&amp;" "&amp;Tableau3[Nom]</f>
        <v>A AA</v>
      </c>
      <c r="T3" s="60" t="str">
        <f>Tableau3[Grade]&amp;" "&amp;Tableau3[Nom]&amp;" "&amp;Tableau3[Prénom]</f>
        <v xml:space="preserve">A AA </v>
      </c>
      <c r="U3" s="60" t="str">
        <f ca="1">IFERROR(DATEDIF(Tableau3[Date de Naissance],TODAY(),"y"),"")</f>
        <v/>
      </c>
      <c r="V3" s="60" t="str">
        <f>Tableau3[Code postale]&amp;" "&amp;Tableau3[Ville]</f>
        <v xml:space="preserve"> </v>
      </c>
      <c r="W3" s="61" t="str">
        <f t="shared" ref="W3:W9" ca="1" si="1">IF(O3=0,"",IF(O3&lt;=TODAY(),O3))</f>
        <v/>
      </c>
    </row>
    <row r="4" spans="1:23">
      <c r="A4" s="60">
        <v>4</v>
      </c>
      <c r="B4" s="60" t="s">
        <v>181</v>
      </c>
      <c r="C4" s="60" t="s">
        <v>182</v>
      </c>
      <c r="D4" s="60" t="s">
        <v>152</v>
      </c>
      <c r="E4" s="61" t="s">
        <v>152</v>
      </c>
      <c r="F4" s="60" t="s">
        <v>152</v>
      </c>
      <c r="G4" s="60" t="s">
        <v>152</v>
      </c>
      <c r="H4" s="60" t="s">
        <v>152</v>
      </c>
      <c r="I4" s="60" t="s">
        <v>152</v>
      </c>
      <c r="J4" s="62" t="s">
        <v>152</v>
      </c>
      <c r="K4" s="60" t="s">
        <v>152</v>
      </c>
      <c r="L4" s="63" t="s">
        <v>152</v>
      </c>
      <c r="M4" s="60" t="s">
        <v>152</v>
      </c>
      <c r="N4" s="60" t="s">
        <v>152</v>
      </c>
      <c r="O4" s="61">
        <f t="array" aca="1" ref="O4" ca="1">MAX(IF((Tableau1[MOTIF]="TIR")*(Tableau1[NOM]=S4)*(Tableau1[DATE]&lt;=TODAY()),Tableau1[DATE]))</f>
        <v>0</v>
      </c>
      <c r="P4" s="61">
        <f ca="1">Tableau3[[#This Row],[Date du dernier tir]]+42</f>
        <v>42</v>
      </c>
      <c r="Q4" s="60" t="str">
        <f t="shared" ca="1" si="0"/>
        <v/>
      </c>
      <c r="R4" s="60" t="str">
        <f>Tableau3[Nom]&amp;" "&amp;Tableau3[Prénom]</f>
        <v xml:space="preserve">BB </v>
      </c>
      <c r="S4" s="60" t="str">
        <f>Tableau3[Grade]&amp;" "&amp;Tableau3[Nom]</f>
        <v>B BB</v>
      </c>
      <c r="T4" s="60" t="str">
        <f>Tableau3[Grade]&amp;" "&amp;Tableau3[Nom]&amp;" "&amp;Tableau3[Prénom]</f>
        <v xml:space="preserve">B BB </v>
      </c>
      <c r="U4" s="60" t="str">
        <f ca="1">IFERROR(DATEDIF(Tableau3[Date de Naissance],TODAY(),"y"),"")</f>
        <v/>
      </c>
      <c r="V4" s="60" t="str">
        <f>Tableau3[Code postale]&amp;" "&amp;Tableau3[Ville]</f>
        <v xml:space="preserve"> </v>
      </c>
      <c r="W4" s="61" t="str">
        <f t="shared" ca="1" si="1"/>
        <v/>
      </c>
    </row>
    <row r="5" spans="1:23">
      <c r="A5" s="60">
        <v>14</v>
      </c>
      <c r="B5" s="60" t="s">
        <v>184</v>
      </c>
      <c r="C5" s="60" t="s">
        <v>185</v>
      </c>
      <c r="D5" s="60" t="s">
        <v>152</v>
      </c>
      <c r="E5" s="61" t="s">
        <v>152</v>
      </c>
      <c r="F5" s="60" t="s">
        <v>152</v>
      </c>
      <c r="G5" s="60" t="s">
        <v>152</v>
      </c>
      <c r="H5" s="60" t="s">
        <v>152</v>
      </c>
      <c r="I5" s="60" t="s">
        <v>152</v>
      </c>
      <c r="J5" s="62" t="s">
        <v>152</v>
      </c>
      <c r="K5" s="60" t="s">
        <v>152</v>
      </c>
      <c r="L5" s="63" t="s">
        <v>152</v>
      </c>
      <c r="M5" s="60" t="s">
        <v>152</v>
      </c>
      <c r="N5" s="60" t="s">
        <v>152</v>
      </c>
      <c r="O5" s="61">
        <f t="array" aca="1" ref="O5" ca="1">MAX(IF((Tableau1[MOTIF]="TIR")*(Tableau1[NOM]=S5)*(Tableau1[DATE]&lt;=TODAY()),Tableau1[DATE]))</f>
        <v>0</v>
      </c>
      <c r="P5" s="61">
        <f ca="1">Tableau3[[#This Row],[Date du dernier tir]]+42</f>
        <v>42</v>
      </c>
      <c r="Q5" s="60" t="str">
        <f t="shared" ca="1" si="0"/>
        <v/>
      </c>
      <c r="R5" s="60" t="str">
        <f>Tableau3[Nom]&amp;" "&amp;Tableau3[Prénom]</f>
        <v xml:space="preserve">CC </v>
      </c>
      <c r="S5" s="60" t="str">
        <f>Tableau3[Grade]&amp;" "&amp;Tableau3[Nom]</f>
        <v>C CC</v>
      </c>
      <c r="T5" s="60" t="str">
        <f>Tableau3[Grade]&amp;" "&amp;Tableau3[Nom]&amp;" "&amp;Tableau3[Prénom]</f>
        <v xml:space="preserve">C CC </v>
      </c>
      <c r="U5" s="60" t="str">
        <f ca="1">IFERROR(DATEDIF(Tableau3[Date de Naissance],TODAY(),"y"),"")</f>
        <v/>
      </c>
      <c r="V5" s="60" t="str">
        <f>Tableau3[Code postale]&amp;" "&amp;Tableau3[Ville]</f>
        <v xml:space="preserve"> </v>
      </c>
      <c r="W5" s="61" t="str">
        <f t="shared" ca="1" si="1"/>
        <v/>
      </c>
    </row>
    <row r="6" spans="1:23">
      <c r="A6" s="60">
        <v>16</v>
      </c>
      <c r="B6" s="60" t="s">
        <v>187</v>
      </c>
      <c r="C6" s="60" t="s">
        <v>188</v>
      </c>
      <c r="D6" s="60" t="s">
        <v>152</v>
      </c>
      <c r="E6" s="61" t="s">
        <v>152</v>
      </c>
      <c r="F6" s="60" t="s">
        <v>152</v>
      </c>
      <c r="G6" s="60" t="s">
        <v>152</v>
      </c>
      <c r="H6" s="60" t="s">
        <v>152</v>
      </c>
      <c r="I6" s="60" t="s">
        <v>152</v>
      </c>
      <c r="J6" s="62" t="s">
        <v>152</v>
      </c>
      <c r="K6" s="60" t="s">
        <v>152</v>
      </c>
      <c r="L6" s="63" t="s">
        <v>152</v>
      </c>
      <c r="M6" s="60" t="s">
        <v>152</v>
      </c>
      <c r="N6" s="60" t="s">
        <v>152</v>
      </c>
      <c r="O6" s="120">
        <f t="array" aca="1" ref="O6" ca="1">MAX(IF((Tableau1[MOTIF]="TIR")*(Tableau1[NOM]=S6)*(Tableau1[DATE]&lt;=TODAY()),Tableau1[DATE]))</f>
        <v>0</v>
      </c>
      <c r="P6" s="120">
        <f ca="1">Tableau3[[#This Row],[Date du dernier tir]]+42</f>
        <v>42</v>
      </c>
      <c r="Q6" s="64" t="str">
        <f t="shared" ca="1" si="0"/>
        <v/>
      </c>
      <c r="R6" s="60" t="str">
        <f>Tableau3[Nom]&amp;" "&amp;Tableau3[Prénom]</f>
        <v xml:space="preserve">DD </v>
      </c>
      <c r="S6" s="60" t="str">
        <f>Tableau3[Grade]&amp;" "&amp;Tableau3[Nom]</f>
        <v>D DD</v>
      </c>
      <c r="T6" s="60" t="str">
        <f>Tableau3[Grade]&amp;" "&amp;Tableau3[Nom]&amp;" "&amp;Tableau3[Prénom]</f>
        <v xml:space="preserve">D DD </v>
      </c>
      <c r="U6" s="60" t="str">
        <f ca="1">IFERROR(DATEDIF(Tableau3[Date de Naissance],TODAY(),"y"),"")</f>
        <v/>
      </c>
      <c r="V6" s="60" t="str">
        <f>Tableau3[Code postale]&amp;" "&amp;Tableau3[Ville]</f>
        <v xml:space="preserve"> </v>
      </c>
      <c r="W6" s="120" t="str">
        <f t="shared" ca="1" si="1"/>
        <v/>
      </c>
    </row>
    <row r="7" spans="1:23">
      <c r="A7" s="60">
        <v>17</v>
      </c>
      <c r="B7" s="60" t="s">
        <v>91</v>
      </c>
      <c r="C7" s="60" t="s">
        <v>190</v>
      </c>
      <c r="D7" s="60" t="s">
        <v>152</v>
      </c>
      <c r="E7" s="61" t="s">
        <v>152</v>
      </c>
      <c r="F7" s="60" t="s">
        <v>152</v>
      </c>
      <c r="G7" s="60" t="s">
        <v>152</v>
      </c>
      <c r="H7" s="60" t="s">
        <v>152</v>
      </c>
      <c r="I7" s="60" t="s">
        <v>152</v>
      </c>
      <c r="J7" s="62" t="s">
        <v>152</v>
      </c>
      <c r="K7" s="60" t="s">
        <v>152</v>
      </c>
      <c r="L7" s="63" t="s">
        <v>152</v>
      </c>
      <c r="M7" s="60" t="s">
        <v>152</v>
      </c>
      <c r="N7" s="60" t="s">
        <v>152</v>
      </c>
      <c r="O7" s="120">
        <f t="array" aca="1" ref="O7" ca="1">MAX(IF((Tableau1[MOTIF]="TIR")*(Tableau1[NOM]=S7)*(Tableau1[DATE]&lt;=TODAY()),Tableau1[DATE]))</f>
        <v>0</v>
      </c>
      <c r="P7" s="120">
        <f ca="1">Tableau3[[#This Row],[Date du dernier tir]]+42</f>
        <v>42</v>
      </c>
      <c r="Q7" s="64" t="str">
        <f t="shared" ca="1" si="0"/>
        <v/>
      </c>
      <c r="R7" s="60" t="str">
        <f>Tableau3[Nom]&amp;" "&amp;Tableau3[Prénom]</f>
        <v xml:space="preserve">EE </v>
      </c>
      <c r="S7" s="60" t="str">
        <f>Tableau3[Grade]&amp;" "&amp;Tableau3[Nom]</f>
        <v>E EE</v>
      </c>
      <c r="T7" s="60" t="str">
        <f>Tableau3[Grade]&amp;" "&amp;Tableau3[Nom]&amp;" "&amp;Tableau3[Prénom]</f>
        <v xml:space="preserve">E EE </v>
      </c>
      <c r="U7" s="60" t="str">
        <f ca="1">IFERROR(DATEDIF(Tableau3[Date de Naissance],TODAY(),"y"),"")</f>
        <v/>
      </c>
      <c r="V7" s="60" t="str">
        <f>Tableau3[Code postale]&amp;" "&amp;Tableau3[Ville]</f>
        <v xml:space="preserve"> </v>
      </c>
      <c r="W7" s="120" t="str">
        <f t="shared" ca="1" si="1"/>
        <v/>
      </c>
    </row>
    <row r="8" spans="1:23">
      <c r="A8" s="60">
        <v>18</v>
      </c>
      <c r="B8" s="60" t="s">
        <v>191</v>
      </c>
      <c r="C8" s="60" t="s">
        <v>192</v>
      </c>
      <c r="D8" s="60" t="s">
        <v>152</v>
      </c>
      <c r="E8" s="120" t="s">
        <v>152</v>
      </c>
      <c r="F8" s="60" t="s">
        <v>152</v>
      </c>
      <c r="G8" s="60" t="s">
        <v>152</v>
      </c>
      <c r="H8" s="60" t="s">
        <v>152</v>
      </c>
      <c r="I8" s="60" t="s">
        <v>152</v>
      </c>
      <c r="J8" s="62" t="s">
        <v>152</v>
      </c>
      <c r="K8" s="60" t="s">
        <v>152</v>
      </c>
      <c r="L8" s="63" t="s">
        <v>152</v>
      </c>
      <c r="M8" s="60" t="s">
        <v>152</v>
      </c>
      <c r="N8" s="60" t="s">
        <v>152</v>
      </c>
      <c r="O8" s="120">
        <f t="array" aca="1" ref="O8" ca="1">MAX(IF((Tableau1[MOTIF]="TIR")*(Tableau1[NOM]=S8)*(Tableau1[DATE]&lt;=TODAY()),Tableau1[DATE]))</f>
        <v>0</v>
      </c>
      <c r="P8" s="120">
        <f ca="1">Tableau3[[#This Row],[Date du dernier tir]]+42</f>
        <v>42</v>
      </c>
      <c r="Q8" s="64" t="str">
        <f t="shared" ca="1" si="0"/>
        <v/>
      </c>
      <c r="R8" s="60" t="str">
        <f>Tableau3[Nom]&amp;" "&amp;Tableau3[Prénom]</f>
        <v xml:space="preserve">FF </v>
      </c>
      <c r="S8" s="60" t="str">
        <f>Tableau3[Grade]&amp;" "&amp;Tableau3[Nom]</f>
        <v>F FF</v>
      </c>
      <c r="T8" s="60" t="str">
        <f>Tableau3[Grade]&amp;" "&amp;Tableau3[Nom]&amp;" "&amp;Tableau3[Prénom]</f>
        <v xml:space="preserve">F FF </v>
      </c>
      <c r="U8" s="60" t="str">
        <f ca="1">IFERROR(DATEDIF(Tableau3[Date de Naissance],TODAY(),"y"),"")</f>
        <v/>
      </c>
      <c r="V8" s="60" t="str">
        <f>Tableau3[Code postale]&amp;" "&amp;Tableau3[Ville]</f>
        <v xml:space="preserve"> </v>
      </c>
      <c r="W8" s="120" t="str">
        <f t="shared" ca="1" si="1"/>
        <v/>
      </c>
    </row>
    <row r="9" spans="1:23">
      <c r="A9" s="60">
        <v>1</v>
      </c>
      <c r="B9" s="60" t="s">
        <v>194</v>
      </c>
      <c r="C9" s="60" t="s">
        <v>195</v>
      </c>
      <c r="D9" s="60"/>
      <c r="E9" s="61" t="s">
        <v>152</v>
      </c>
      <c r="F9" s="60" t="s">
        <v>152</v>
      </c>
      <c r="G9" s="60" t="s">
        <v>152</v>
      </c>
      <c r="H9" s="60" t="s">
        <v>152</v>
      </c>
      <c r="I9" s="60" t="s">
        <v>152</v>
      </c>
      <c r="J9" s="62" t="s">
        <v>152</v>
      </c>
      <c r="K9" s="60" t="s">
        <v>152</v>
      </c>
      <c r="L9" s="63" t="s">
        <v>152</v>
      </c>
      <c r="M9" s="60" t="s">
        <v>152</v>
      </c>
      <c r="N9" s="60" t="s">
        <v>152</v>
      </c>
      <c r="O9" s="61">
        <f t="array" aca="1" ref="O9" ca="1">MAX(IF((Tableau1[MOTIF]="TIR")*(Tableau1[NOM]=S9)*(Tableau1[DATE]&lt;=TODAY()),Tableau1[DATE]))</f>
        <v>0</v>
      </c>
      <c r="P9" s="61">
        <f ca="1">O9+42</f>
        <v>42</v>
      </c>
      <c r="Q9" s="60" t="str">
        <f t="shared" ca="1" si="0"/>
        <v/>
      </c>
      <c r="R9" s="60" t="str">
        <f>Tableau3[Nom]&amp;" "&amp;Tableau3[Prénom]</f>
        <v xml:space="preserve">GG </v>
      </c>
      <c r="S9" s="60" t="str">
        <f>Tableau3[Grade]&amp;" "&amp;Tableau3[Nom]</f>
        <v>G GG</v>
      </c>
      <c r="T9" s="60" t="str">
        <f>Tableau3[Grade]&amp;" "&amp;Tableau3[Nom]&amp;" "&amp;Tableau3[Prénom]</f>
        <v xml:space="preserve">G GG </v>
      </c>
      <c r="U9" s="60" t="str">
        <f ca="1">IFERROR(DATEDIF(Tableau3[Date de Naissance],TODAY(),"y"),"")</f>
        <v/>
      </c>
      <c r="V9" s="60" t="str">
        <f>Tableau3[Code postale]&amp;" "&amp;Tableau3[Ville]</f>
        <v xml:space="preserve"> </v>
      </c>
      <c r="W9" s="61" t="str">
        <f t="shared" ca="1" si="1"/>
        <v/>
      </c>
    </row>
    <row r="10" spans="1:23">
      <c r="O10" s="139"/>
    </row>
  </sheetData>
  <sheetProtection formatCells="0"/>
  <sortState ref="A3:Z4">
    <sortCondition ref="B2"/>
    <sortCondition ref="C2"/>
  </sortState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9"/>
  <sheetViews>
    <sheetView showGridLines="0" workbookViewId="0">
      <selection activeCell="A6" sqref="A6:A12"/>
    </sheetView>
  </sheetViews>
  <sheetFormatPr baseColWidth="10" defaultRowHeight="15"/>
  <cols>
    <col min="1" max="1" width="28.7109375" style="110" customWidth="1"/>
    <col min="2" max="7" width="14.7109375" customWidth="1"/>
    <col min="8" max="8" width="15.7109375" customWidth="1"/>
    <col min="9" max="11" width="14.7109375" customWidth="1"/>
    <col min="12" max="12" width="14.5703125" customWidth="1"/>
    <col min="13" max="14" width="14.7109375" customWidth="1"/>
    <col min="15" max="15" width="18.28515625" customWidth="1"/>
  </cols>
  <sheetData>
    <row r="1" spans="1:15" ht="66.75" customHeight="1">
      <c r="A1" s="104">
        <v>0</v>
      </c>
    </row>
    <row r="2" spans="1:15" ht="42.75" customHeight="1">
      <c r="C2" s="290">
        <v>42623</v>
      </c>
      <c r="D2" s="291"/>
      <c r="E2" s="292">
        <v>42664</v>
      </c>
      <c r="F2" s="293"/>
    </row>
    <row r="3" spans="1:15" ht="24" customHeight="1"/>
    <row r="4" spans="1:15" ht="39.75" customHeight="1">
      <c r="A4" s="111" t="s">
        <v>95</v>
      </c>
      <c r="B4" s="72" t="s">
        <v>76</v>
      </c>
      <c r="C4" s="72" t="s">
        <v>86</v>
      </c>
      <c r="D4" s="75" t="s">
        <v>90</v>
      </c>
      <c r="E4" s="77" t="s">
        <v>6</v>
      </c>
      <c r="F4" s="75" t="s">
        <v>85</v>
      </c>
      <c r="G4" s="78" t="s">
        <v>96</v>
      </c>
      <c r="H4" s="76" t="s">
        <v>89</v>
      </c>
      <c r="I4" s="74" t="s">
        <v>94</v>
      </c>
      <c r="J4" s="74" t="s">
        <v>92</v>
      </c>
      <c r="K4" s="79" t="s">
        <v>88</v>
      </c>
      <c r="L4" s="81" t="s">
        <v>97</v>
      </c>
      <c r="M4" s="73" t="s">
        <v>87</v>
      </c>
      <c r="N4" s="80" t="s">
        <v>93</v>
      </c>
      <c r="O4" s="82" t="s">
        <v>98</v>
      </c>
    </row>
    <row r="5" spans="1:15" ht="15" hidden="1" customHeight="1">
      <c r="A5" s="115" t="s">
        <v>106</v>
      </c>
      <c r="B5" s="116">
        <f t="shared" ref="B5" ca="1" si="0">SUMPRODUCT((TRIM(m)="PO")*(Grade_Nom_Prénom2=$A5)*($C$2&lt;=d)*($E$2&gt;=d))</f>
        <v>0</v>
      </c>
      <c r="C5" s="116">
        <f t="shared" ref="C5" ca="1" si="1">SUMPRODUCT((TRIM(m)="WPO")*(Grade_Nom_Prénom2=$A5)*($C$2&lt;=d)*($E$2&gt;=d))</f>
        <v>0</v>
      </c>
      <c r="D5" s="116">
        <f t="shared" ref="D5" ca="1" si="2">SUMPRODUCT((TRIM(m)="RS")*(Grade_Nom_Prénom2=$A5)*($C$2&lt;=d)*($E$2&gt;=d))</f>
        <v>0</v>
      </c>
      <c r="E5" s="116">
        <f t="shared" ref="E5" ca="1" si="3">SUMPRODUCT((TRIM(m)="A3")*(Grade_Nom_Prénom2=$A5)*($C$2&lt;=d)*($E$2&gt;=d))</f>
        <v>0</v>
      </c>
      <c r="F5" s="116">
        <f t="shared" ref="F5" ca="1" si="4">SUMPRODUCT((TRIM(m)="IS")*(Grade_Nom_Prénom2=$A5)*($C$2&lt;=d)*($E$2&gt;=d))</f>
        <v>0</v>
      </c>
      <c r="G5" s="116">
        <f t="shared" ref="G5" ca="1" si="5">SUMPRODUCT((TRIM(m)="PLD")*(Grade_Nom_Prénom2=$A5)*($C$2&lt;=d)*($E$2&gt;=d))</f>
        <v>0</v>
      </c>
      <c r="H5" s="116">
        <f t="shared" ref="H5" ca="1" si="6">SUMPRODUCT((TRIM(m)="TN")*(Grade_Nom_Prénom2=$A5)*($C$2&lt;=d)*($E$2&gt;=d))+SUMPRODUCT((TRIM(m)="E")*(Grade_Nom_Prénom2=$A5)*($C$2&lt;=d)*($E$2&gt;=d))+SUMPRODUCT((TRIM(m)="TIR")*(Grade_Nom_Prénom2=$A5)*($C$2&lt;=d)*($E$2&gt;=d))</f>
        <v>0</v>
      </c>
      <c r="I5" s="116">
        <f t="shared" ref="I5" ca="1" si="7">SUMPRODUCT((TRIM(m)="MIS")*(Grade_Nom_Prénom2=$A5)*($C$2&lt;=d)*($E$2&gt;=d))</f>
        <v>0</v>
      </c>
      <c r="J5" s="116">
        <f t="shared" ref="J5" ca="1" si="8">SUMPRODUCT((TRIM(m)="STG")*(Grade_Nom_Prénom2=$A5)*($C$2&lt;=d)*($E$2&gt;=d))</f>
        <v>0</v>
      </c>
      <c r="K5" s="116">
        <f t="shared" ref="K5" ca="1" si="9">SUMPRODUCT((TRIM(m)="PATC")*(Grade_Nom_Prénom2=$A5)*($C$2&lt;=d)*($E$2&gt;=d))</f>
        <v>0</v>
      </c>
      <c r="L5" s="116">
        <f t="shared" ref="L5" ca="1" si="10">SUMPRODUCT((TRIM(m)="OPIN")*(Grade_Nom_Prénom2=$A5)*($C$2&lt;=d)*($E$2&gt;=d))</f>
        <v>0</v>
      </c>
      <c r="M5" s="116">
        <f t="shared" ref="M5" ca="1" si="11">SUMPRODUCT((TRIM(m)="OPEX")*(Grade_Nom_Prénom2=$A5)*($C$2&lt;=d)*($E$2&gt;=d))</f>
        <v>0</v>
      </c>
      <c r="N5" s="116">
        <f t="shared" ref="N5" ca="1" si="12">SUMPRODUCT((TRIM(m)="TAP")*(Grade_Nom_Prénom2=$A5)*($C$2&lt;=d)*($E$2&gt;=d))</f>
        <v>0</v>
      </c>
      <c r="O5" s="116">
        <f ca="1">SUM(Tableau5[[#This Row],[PO]:[TAP]])</f>
        <v>0</v>
      </c>
    </row>
    <row r="6" spans="1:15" ht="18.75">
      <c r="A6" s="136" t="s">
        <v>196</v>
      </c>
      <c r="B6" s="131">
        <f t="shared" ref="B6:B11" ca="1" si="13">SUMPRODUCT((TRIM(m)="PO")*(Grade_Nom_Prénom2=$A6)*($C$2&lt;=d)*($E$2&gt;=d))</f>
        <v>0</v>
      </c>
      <c r="C6" s="131">
        <f t="shared" ref="C6:C11" ca="1" si="14">SUMPRODUCT((TRIM(m)="WPO")*(Grade_Nom_Prénom2=$A6)*($C$2&lt;=d)*($E$2&gt;=d))</f>
        <v>0</v>
      </c>
      <c r="D6" s="131">
        <f t="shared" ref="D6:D11" ca="1" si="15">SUMPRODUCT((TRIM(m)="RS")*(Grade_Nom_Prénom2=$A6)*($C$2&lt;=d)*($E$2&gt;=d))</f>
        <v>0</v>
      </c>
      <c r="E6" s="131">
        <f t="shared" ref="E6:E11" ca="1" si="16">SUMPRODUCT((TRIM(m)="A3")*(Grade_Nom_Prénom2=$A6)*($C$2&lt;=d)*($E$2&gt;=d))</f>
        <v>0</v>
      </c>
      <c r="F6" s="131">
        <f t="shared" ref="F6:F11" ca="1" si="17">SUMPRODUCT((TRIM(m)="IS")*(Grade_Nom_Prénom2=$A6)*($C$2&lt;=d)*($E$2&gt;=d))</f>
        <v>0</v>
      </c>
      <c r="G6" s="131">
        <f t="shared" ref="G6:G11" ca="1" si="18">SUMPRODUCT((TRIM(m)="PLD")*(Grade_Nom_Prénom2=$A6)*($C$2&lt;=d)*($E$2&gt;=d))</f>
        <v>0</v>
      </c>
      <c r="H6" s="131">
        <f t="shared" ref="H6:H11" ca="1" si="19">SUMPRODUCT((TRIM(m)="TN")*(Grade_Nom_Prénom2=$A6)*($C$2&lt;=d)*($E$2&gt;=d))+SUMPRODUCT((TRIM(m)="E")*(Grade_Nom_Prénom2=$A6)*($C$2&lt;=d)*($E$2&gt;=d))+SUMPRODUCT((TRIM(m)="TIR")*(Grade_Nom_Prénom2=$A6)*($C$2&lt;=d)*($E$2&gt;=d))</f>
        <v>0</v>
      </c>
      <c r="I6" s="131">
        <f t="shared" ref="I6:I11" ca="1" si="20">SUMPRODUCT((TRIM(m)="MIS")*(Grade_Nom_Prénom2=$A6)*($C$2&lt;=d)*($E$2&gt;=d))</f>
        <v>0</v>
      </c>
      <c r="J6" s="132">
        <f t="shared" ref="J6:J11" ca="1" si="21">SUMPRODUCT((TRIM(m)="STG")*(Grade_Nom_Prénom2=$A6)*($C$2&lt;=d)*($E$2&gt;=d))</f>
        <v>0</v>
      </c>
      <c r="K6" s="131">
        <f t="shared" ref="K6:K11" ca="1" si="22">SUMPRODUCT((TRIM(m)="PATC")*(Grade_Nom_Prénom2=$A6)*($C$2&lt;=d)*($E$2&gt;=d))</f>
        <v>0</v>
      </c>
      <c r="L6" s="131">
        <f t="shared" ref="L6:L11" ca="1" si="23">SUMPRODUCT((TRIM(m)="OPIN")*(Grade_Nom_Prénom2=$A6)*($C$2&lt;=d)*($E$2&gt;=d))</f>
        <v>0</v>
      </c>
      <c r="M6" s="133">
        <f t="shared" ref="M6:M11" ca="1" si="24">SUMPRODUCT((TRIM(m)="OPEX")*(Grade_Nom_Prénom2=$A6)*($C$2&lt;=d)*($E$2&gt;=d))</f>
        <v>0</v>
      </c>
      <c r="N6" s="131">
        <f t="shared" ref="N6:N11" ca="1" si="25">SUMPRODUCT((TRIM(m)="TAP")*(Grade_Nom_Prénom2=$A6)*($C$2&lt;=d)*($E$2&gt;=d))</f>
        <v>0</v>
      </c>
      <c r="O6" s="131">
        <f ca="1">SUM(Tableau5[[#This Row],[PO]:[TAP]])</f>
        <v>0</v>
      </c>
    </row>
    <row r="7" spans="1:15" ht="18.75">
      <c r="A7" s="136" t="s">
        <v>197</v>
      </c>
      <c r="B7" s="131">
        <f t="shared" ca="1" si="13"/>
        <v>0</v>
      </c>
      <c r="C7" s="131">
        <f t="shared" ca="1" si="14"/>
        <v>0</v>
      </c>
      <c r="D7" s="131">
        <f t="shared" ca="1" si="15"/>
        <v>0</v>
      </c>
      <c r="E7" s="131">
        <f t="shared" ca="1" si="16"/>
        <v>0</v>
      </c>
      <c r="F7" s="131">
        <f t="shared" ca="1" si="17"/>
        <v>0</v>
      </c>
      <c r="G7" s="131">
        <f t="shared" ca="1" si="18"/>
        <v>0</v>
      </c>
      <c r="H7" s="131">
        <f t="shared" ca="1" si="19"/>
        <v>0</v>
      </c>
      <c r="I7" s="131">
        <f t="shared" ca="1" si="20"/>
        <v>0</v>
      </c>
      <c r="J7" s="137">
        <f t="shared" ca="1" si="21"/>
        <v>0</v>
      </c>
      <c r="K7" s="131">
        <f t="shared" ca="1" si="22"/>
        <v>0</v>
      </c>
      <c r="L7" s="131">
        <f t="shared" ca="1" si="23"/>
        <v>0</v>
      </c>
      <c r="M7" s="133">
        <f t="shared" ca="1" si="24"/>
        <v>0</v>
      </c>
      <c r="N7" s="131">
        <f t="shared" ca="1" si="25"/>
        <v>0</v>
      </c>
      <c r="O7" s="131">
        <f ca="1">SUM(Tableau5[[#This Row],[PO]:[TAP]])</f>
        <v>0</v>
      </c>
    </row>
    <row r="8" spans="1:15" ht="18.75">
      <c r="A8" s="136" t="s">
        <v>198</v>
      </c>
      <c r="B8" s="131">
        <f t="shared" ca="1" si="13"/>
        <v>0</v>
      </c>
      <c r="C8" s="131">
        <f t="shared" ca="1" si="14"/>
        <v>0</v>
      </c>
      <c r="D8" s="131">
        <f t="shared" ca="1" si="15"/>
        <v>0</v>
      </c>
      <c r="E8" s="131">
        <f t="shared" ca="1" si="16"/>
        <v>0</v>
      </c>
      <c r="F8" s="131">
        <f t="shared" ca="1" si="17"/>
        <v>0</v>
      </c>
      <c r="G8" s="131">
        <f t="shared" ca="1" si="18"/>
        <v>0</v>
      </c>
      <c r="H8" s="131">
        <f t="shared" ca="1" si="19"/>
        <v>0</v>
      </c>
      <c r="I8" s="131">
        <f t="shared" ca="1" si="20"/>
        <v>0</v>
      </c>
      <c r="J8" s="137">
        <f t="shared" ca="1" si="21"/>
        <v>0</v>
      </c>
      <c r="K8" s="131">
        <f t="shared" ca="1" si="22"/>
        <v>0</v>
      </c>
      <c r="L8" s="131">
        <f t="shared" ca="1" si="23"/>
        <v>0</v>
      </c>
      <c r="M8" s="133">
        <f t="shared" ca="1" si="24"/>
        <v>0</v>
      </c>
      <c r="N8" s="131">
        <f t="shared" ca="1" si="25"/>
        <v>0</v>
      </c>
      <c r="O8" s="131">
        <f ca="1">SUM(Tableau5[[#This Row],[PO]:[TAP]])</f>
        <v>0</v>
      </c>
    </row>
    <row r="9" spans="1:15" ht="18.75">
      <c r="A9" s="136" t="s">
        <v>199</v>
      </c>
      <c r="B9" s="131">
        <f t="shared" ca="1" si="13"/>
        <v>0</v>
      </c>
      <c r="C9" s="131">
        <f t="shared" ca="1" si="14"/>
        <v>0</v>
      </c>
      <c r="D9" s="131">
        <f t="shared" ca="1" si="15"/>
        <v>0</v>
      </c>
      <c r="E9" s="131">
        <f t="shared" ca="1" si="16"/>
        <v>0</v>
      </c>
      <c r="F9" s="131">
        <f t="shared" ca="1" si="17"/>
        <v>0</v>
      </c>
      <c r="G9" s="131">
        <f t="shared" ca="1" si="18"/>
        <v>0</v>
      </c>
      <c r="H9" s="131">
        <f t="shared" ca="1" si="19"/>
        <v>0</v>
      </c>
      <c r="I9" s="131">
        <f t="shared" ca="1" si="20"/>
        <v>0</v>
      </c>
      <c r="J9" s="137">
        <f t="shared" ca="1" si="21"/>
        <v>0</v>
      </c>
      <c r="K9" s="131">
        <f t="shared" ca="1" si="22"/>
        <v>0</v>
      </c>
      <c r="L9" s="131">
        <f t="shared" ca="1" si="23"/>
        <v>0</v>
      </c>
      <c r="M9" s="133">
        <f t="shared" ca="1" si="24"/>
        <v>0</v>
      </c>
      <c r="N9" s="131">
        <f t="shared" ca="1" si="25"/>
        <v>0</v>
      </c>
      <c r="O9" s="131">
        <f ca="1">SUM(Tableau5[[#This Row],[PO]:[TAP]])</f>
        <v>0</v>
      </c>
    </row>
    <row r="10" spans="1:15" ht="18.75">
      <c r="A10" s="136" t="s">
        <v>200</v>
      </c>
      <c r="B10" s="131">
        <f t="shared" ca="1" si="13"/>
        <v>0</v>
      </c>
      <c r="C10" s="131">
        <f t="shared" ca="1" si="14"/>
        <v>0</v>
      </c>
      <c r="D10" s="131">
        <f t="shared" ca="1" si="15"/>
        <v>0</v>
      </c>
      <c r="E10" s="131">
        <f t="shared" ca="1" si="16"/>
        <v>0</v>
      </c>
      <c r="F10" s="131">
        <f t="shared" ca="1" si="17"/>
        <v>0</v>
      </c>
      <c r="G10" s="131">
        <f t="shared" ca="1" si="18"/>
        <v>0</v>
      </c>
      <c r="H10" s="131">
        <f t="shared" ca="1" si="19"/>
        <v>0</v>
      </c>
      <c r="I10" s="131">
        <f t="shared" ca="1" si="20"/>
        <v>0</v>
      </c>
      <c r="J10" s="137">
        <f t="shared" ca="1" si="21"/>
        <v>0</v>
      </c>
      <c r="K10" s="131">
        <f t="shared" ca="1" si="22"/>
        <v>0</v>
      </c>
      <c r="L10" s="131">
        <f t="shared" ca="1" si="23"/>
        <v>0</v>
      </c>
      <c r="M10" s="133">
        <f t="shared" ca="1" si="24"/>
        <v>0</v>
      </c>
      <c r="N10" s="131">
        <f t="shared" ca="1" si="25"/>
        <v>0</v>
      </c>
      <c r="O10" s="131">
        <f ca="1">SUM(Tableau5[[#This Row],[PO]:[TAP]])</f>
        <v>0</v>
      </c>
    </row>
    <row r="11" spans="1:15" ht="18.75">
      <c r="A11" s="130" t="s">
        <v>201</v>
      </c>
      <c r="B11" s="131">
        <f t="shared" ca="1" si="13"/>
        <v>0</v>
      </c>
      <c r="C11" s="131">
        <f t="shared" ca="1" si="14"/>
        <v>0</v>
      </c>
      <c r="D11" s="131">
        <f t="shared" ca="1" si="15"/>
        <v>0</v>
      </c>
      <c r="E11" s="132">
        <f t="shared" ca="1" si="16"/>
        <v>0</v>
      </c>
      <c r="F11" s="132">
        <f t="shared" ca="1" si="17"/>
        <v>0</v>
      </c>
      <c r="G11" s="132">
        <f t="shared" ca="1" si="18"/>
        <v>0</v>
      </c>
      <c r="H11" s="132">
        <f t="shared" ca="1" si="19"/>
        <v>0</v>
      </c>
      <c r="I11" s="132">
        <f t="shared" ca="1" si="20"/>
        <v>0</v>
      </c>
      <c r="J11" s="137">
        <f t="shared" ca="1" si="21"/>
        <v>0</v>
      </c>
      <c r="K11" s="132">
        <f t="shared" ca="1" si="22"/>
        <v>0</v>
      </c>
      <c r="L11" s="132">
        <f t="shared" ca="1" si="23"/>
        <v>0</v>
      </c>
      <c r="M11" s="138">
        <f t="shared" ca="1" si="24"/>
        <v>0</v>
      </c>
      <c r="N11" s="132">
        <f t="shared" ca="1" si="25"/>
        <v>0</v>
      </c>
      <c r="O11" s="132">
        <f ca="1">SUM(Tableau5[[#This Row],[PO]:[TAP]])</f>
        <v>0</v>
      </c>
    </row>
    <row r="12" spans="1:15" ht="18.75">
      <c r="A12" s="130" t="s">
        <v>202</v>
      </c>
      <c r="B12" s="131">
        <f ca="1">SUMPRODUCT((TRIM(m)="PO")*(Grade_Nom_Prénom2=$A12)*($C$2&lt;=d)*($E$2&gt;=d))</f>
        <v>0</v>
      </c>
      <c r="C12" s="131">
        <f ca="1">SUMPRODUCT((TRIM(m)="WPO")*(Grade_Nom_Prénom2=$A12)*($C$2&lt;=d)*($E$2&gt;=d))</f>
        <v>0</v>
      </c>
      <c r="D12" s="131">
        <f ca="1">SUMPRODUCT((TRIM(m)="RS")*(Grade_Nom_Prénom2=$A12)*($C$2&lt;=d)*($E$2&gt;=d))</f>
        <v>0</v>
      </c>
      <c r="E12" s="131">
        <f ca="1">SUMPRODUCT((TRIM(m)="A3")*(Grade_Nom_Prénom2=$A12)*($C$2&lt;=d)*($E$2&gt;=d))</f>
        <v>0</v>
      </c>
      <c r="F12" s="131">
        <f ca="1">SUMPRODUCT((TRIM(m)="IS")*(Grade_Nom_Prénom2=$A12)*($C$2&lt;=d)*($E$2&gt;=d))</f>
        <v>0</v>
      </c>
      <c r="G12" s="131">
        <f ca="1">SUMPRODUCT((TRIM(m)="PLD")*(Grade_Nom_Prénom2=$A12)*($C$2&lt;=d)*($E$2&gt;=d))</f>
        <v>0</v>
      </c>
      <c r="H12" s="131">
        <f ca="1">SUMPRODUCT((TRIM(m)="TN")*(Grade_Nom_Prénom2=$A12)*($C$2&lt;=d)*($E$2&gt;=d))+SUMPRODUCT((TRIM(m)="E")*(Grade_Nom_Prénom2=$A12)*($C$2&lt;=d)*($E$2&gt;=d))+SUMPRODUCT((TRIM(m)="TIR")*(Grade_Nom_Prénom2=$A12)*($C$2&lt;=d)*($E$2&gt;=d))</f>
        <v>0</v>
      </c>
      <c r="I12" s="131">
        <f ca="1">SUMPRODUCT((TRIM(m)="MIS")*(Grade_Nom_Prénom2=$A12)*($C$2&lt;=d)*($E$2&gt;=d))</f>
        <v>0</v>
      </c>
      <c r="J12" s="132">
        <f ca="1">SUMPRODUCT((TRIM(m)="STG")*(Grade_Nom_Prénom2=$A12)*($C$2&lt;=d)*($E$2&gt;=d))</f>
        <v>0</v>
      </c>
      <c r="K12" s="131">
        <f ca="1">SUMPRODUCT((TRIM(m)="PATC")*(Grade_Nom_Prénom2=$A12)*($C$2&lt;=d)*($E$2&gt;=d))</f>
        <v>0</v>
      </c>
      <c r="L12" s="131">
        <f ca="1">SUMPRODUCT((TRIM(m)="OPIN")*(Grade_Nom_Prénom2=$A12)*($C$2&lt;=d)*($E$2&gt;=d))</f>
        <v>0</v>
      </c>
      <c r="M12" s="133">
        <f ca="1">SUMPRODUCT((TRIM(m)="OPEX")*(Grade_Nom_Prénom2=$A12)*($C$2&lt;=d)*($E$2&gt;=d))</f>
        <v>0</v>
      </c>
      <c r="N12" s="131">
        <f ca="1">SUMPRODUCT((TRIM(m)="TAP")*(Grade_Nom_Prénom2=$A12)*($C$2&lt;=d)*($E$2&gt;=d))</f>
        <v>0</v>
      </c>
      <c r="O12" s="131">
        <f ca="1">SUM(Tableau5[[#This Row],[PO]:[TAP]])</f>
        <v>0</v>
      </c>
    </row>
    <row r="15" spans="1:15">
      <c r="E15" s="152"/>
      <c r="F15" s="152"/>
      <c r="G15" s="152"/>
    </row>
    <row r="16" spans="1:15">
      <c r="E16" s="152"/>
      <c r="F16" s="152"/>
      <c r="G16" s="152"/>
    </row>
    <row r="17" spans="5:7">
      <c r="E17" s="152"/>
      <c r="F17" s="152"/>
      <c r="G17" s="152"/>
    </row>
    <row r="18" spans="5:7">
      <c r="E18" s="152"/>
      <c r="F18" s="152"/>
      <c r="G18" s="152"/>
    </row>
    <row r="19" spans="5:7">
      <c r="E19" s="152"/>
      <c r="F19" s="152"/>
      <c r="G19" s="152"/>
    </row>
  </sheetData>
  <sheetProtection formatCells="0" selectLockedCells="1"/>
  <mergeCells count="2">
    <mergeCell ref="C2:D2"/>
    <mergeCell ref="E2:F2"/>
  </mergeCells>
  <conditionalFormatting sqref="B6:O191">
    <cfRule type="expression" dxfId="46" priority="2">
      <formula>NOT(ISBLANK($A6))</formula>
    </cfRule>
  </conditionalFormatting>
  <conditionalFormatting sqref="A6:A191">
    <cfRule type="notContainsBlanks" dxfId="45" priority="1">
      <formula>LEN(TRIM(A6))&gt;0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0"/>
  <sheetViews>
    <sheetView showGridLines="0" workbookViewId="0">
      <selection activeCell="C7" sqref="C7:G7"/>
    </sheetView>
  </sheetViews>
  <sheetFormatPr baseColWidth="10" defaultRowHeight="15"/>
  <cols>
    <col min="1" max="1" width="11.42578125" style="152"/>
    <col min="2" max="2" width="32.85546875" style="152" customWidth="1"/>
    <col min="3" max="7" width="14.5703125" style="159" customWidth="1"/>
    <col min="8" max="8" width="11.42578125" style="152"/>
    <col min="9" max="9" width="21.7109375" style="152" customWidth="1"/>
    <col min="10" max="16384" width="11.42578125" style="152"/>
  </cols>
  <sheetData>
    <row r="1" spans="1:9" ht="66.75" customHeight="1">
      <c r="A1" s="151">
        <v>0</v>
      </c>
    </row>
    <row r="3" spans="1:9" ht="49.5" customHeight="1" thickBot="1">
      <c r="B3" s="296">
        <f>DATE(YEAR(C5),MONTH(C5),DAY(C5))</f>
        <v>42667</v>
      </c>
      <c r="C3" s="296"/>
      <c r="D3" s="296"/>
      <c r="E3" s="295">
        <f>G5</f>
        <v>42671</v>
      </c>
      <c r="F3" s="295"/>
      <c r="G3" s="295"/>
    </row>
    <row r="4" spans="1:9" ht="15.75" thickTop="1">
      <c r="B4" s="294" t="s">
        <v>79</v>
      </c>
      <c r="C4" s="160" t="s">
        <v>80</v>
      </c>
      <c r="D4" s="160" t="s">
        <v>81</v>
      </c>
      <c r="E4" s="160" t="s">
        <v>82</v>
      </c>
      <c r="F4" s="160" t="s">
        <v>83</v>
      </c>
      <c r="G4" s="160" t="s">
        <v>84</v>
      </c>
      <c r="I4" s="297">
        <v>42667</v>
      </c>
    </row>
    <row r="5" spans="1:9" ht="15.75" thickBot="1">
      <c r="B5" s="294"/>
      <c r="C5" s="161">
        <f>I4</f>
        <v>42667</v>
      </c>
      <c r="D5" s="161">
        <f>C5+1</f>
        <v>42668</v>
      </c>
      <c r="E5" s="161">
        <f>D5+1</f>
        <v>42669</v>
      </c>
      <c r="F5" s="161">
        <f>E5+1</f>
        <v>42670</v>
      </c>
      <c r="G5" s="161">
        <f>F5+1</f>
        <v>42671</v>
      </c>
      <c r="I5" s="298"/>
    </row>
    <row r="6" spans="1:9" ht="18.75" hidden="1" customHeight="1" thickTop="1" thickBot="1">
      <c r="B6" s="152" t="s">
        <v>107</v>
      </c>
      <c r="C6" s="162" t="s">
        <v>108</v>
      </c>
      <c r="D6" s="162" t="s">
        <v>109</v>
      </c>
      <c r="E6" s="162" t="s">
        <v>110</v>
      </c>
      <c r="F6" s="162" t="s">
        <v>111</v>
      </c>
      <c r="G6" s="163" t="s">
        <v>112</v>
      </c>
    </row>
    <row r="7" spans="1:9" ht="25.5" hidden="1" customHeight="1" thickBot="1">
      <c r="B7" s="152" t="s">
        <v>106</v>
      </c>
      <c r="C7" s="162" t="str">
        <f>IFERROR(VLOOKUP($B7&amp;C$5,Tableau1[],4,FALSE),"")</f>
        <v/>
      </c>
      <c r="D7" s="162" t="str">
        <f>IFERROR(VLOOKUP($B7&amp;D$5,Tableau1[],4,FALSE),"")</f>
        <v/>
      </c>
      <c r="E7" s="162" t="str">
        <f>IFERROR(VLOOKUP($B7&amp;E$5,Tableau1[],4,FALSE),"")</f>
        <v/>
      </c>
      <c r="F7" s="162" t="str">
        <f>IFERROR(VLOOKUP($B7&amp;F$5,Tableau1[],4,FALSE),"")</f>
        <v/>
      </c>
      <c r="G7" s="162" t="str">
        <f>IFERROR(VLOOKUP($B7&amp;G$5,Tableau1[],4,FALSE),"")</f>
        <v/>
      </c>
    </row>
    <row r="8" spans="1:9" ht="16.5" thickTop="1" thickBot="1">
      <c r="B8" s="16" t="s">
        <v>196</v>
      </c>
      <c r="C8" s="162" t="str">
        <f>IFERROR(VLOOKUP($B8&amp;C$5,Tableau1[],4,FALSE),"")</f>
        <v/>
      </c>
      <c r="D8" s="162" t="str">
        <f>IFERROR(VLOOKUP($B8&amp;D$5,Tableau1[],4,FALSE),"")</f>
        <v/>
      </c>
      <c r="E8" s="162" t="str">
        <f>IFERROR(VLOOKUP($B8&amp;E$5,Tableau1[],4,FALSE),"")</f>
        <v/>
      </c>
      <c r="F8" s="162" t="str">
        <f>IFERROR(VLOOKUP($B8&amp;F$5,Tableau1[],4,FALSE),"")</f>
        <v/>
      </c>
      <c r="G8" s="162" t="str">
        <f>IFERROR(VLOOKUP($B8&amp;G$5,Tableau1[],4,FALSE),"")</f>
        <v/>
      </c>
    </row>
    <row r="9" spans="1:9" ht="15.75" thickBot="1">
      <c r="B9" s="16" t="s">
        <v>197</v>
      </c>
      <c r="C9" s="162" t="str">
        <f>IFERROR(VLOOKUP($B9&amp;C$5,Tableau1[],4,FALSE),"")</f>
        <v/>
      </c>
      <c r="D9" s="162" t="str">
        <f>IFERROR(VLOOKUP($B9&amp;D$5,Tableau1[],4,FALSE),"")</f>
        <v/>
      </c>
      <c r="E9" s="162" t="str">
        <f>IFERROR(VLOOKUP($B9&amp;E$5,Tableau1[],4,FALSE),"")</f>
        <v/>
      </c>
      <c r="F9" s="162" t="str">
        <f>IFERROR(VLOOKUP($B9&amp;F$5,Tableau1[],4,FALSE),"")</f>
        <v/>
      </c>
      <c r="G9" s="162" t="str">
        <f>IFERROR(VLOOKUP($B9&amp;G$5,Tableau1[],4,FALSE),"")</f>
        <v/>
      </c>
    </row>
    <row r="10" spans="1:9" ht="15.75" thickBot="1">
      <c r="B10" s="16" t="s">
        <v>198</v>
      </c>
      <c r="C10" s="162" t="str">
        <f>IFERROR(VLOOKUP($B10&amp;C$5,Tableau1[],4,FALSE),"")</f>
        <v/>
      </c>
      <c r="D10" s="162" t="str">
        <f>IFERROR(VLOOKUP($B10&amp;D$5,Tableau1[],4,FALSE),"")</f>
        <v/>
      </c>
      <c r="E10" s="162" t="str">
        <f>IFERROR(VLOOKUP($B10&amp;E$5,Tableau1[],4,FALSE),"")</f>
        <v/>
      </c>
      <c r="F10" s="162" t="str">
        <f>IFERROR(VLOOKUP($B10&amp;F$5,Tableau1[],4,FALSE),"")</f>
        <v/>
      </c>
      <c r="G10" s="162" t="str">
        <f>IFERROR(VLOOKUP($B10&amp;G$5,Tableau1[],4,FALSE),"")</f>
        <v/>
      </c>
    </row>
    <row r="11" spans="1:9" ht="15.75" thickBot="1">
      <c r="B11" s="16" t="s">
        <v>199</v>
      </c>
      <c r="C11" s="162" t="str">
        <f>IFERROR(VLOOKUP($B11&amp;C$5,Tableau1[],4,FALSE),"")</f>
        <v/>
      </c>
      <c r="D11" s="162" t="str">
        <f>IFERROR(VLOOKUP($B11&amp;D$5,Tableau1[],4,FALSE),"")</f>
        <v/>
      </c>
      <c r="E11" s="162" t="str">
        <f>IFERROR(VLOOKUP($B11&amp;E$5,Tableau1[],4,FALSE),"")</f>
        <v/>
      </c>
      <c r="F11" s="162" t="str">
        <f>IFERROR(VLOOKUP($B11&amp;F$5,Tableau1[],4,FALSE),"")</f>
        <v/>
      </c>
      <c r="G11" s="162" t="str">
        <f>IFERROR(VLOOKUP($B11&amp;G$5,Tableau1[],4,FALSE),"")</f>
        <v/>
      </c>
    </row>
    <row r="12" spans="1:9" ht="15.75" thickBot="1">
      <c r="B12" s="16" t="s">
        <v>200</v>
      </c>
      <c r="C12" s="162" t="str">
        <f>IFERROR(VLOOKUP($B12&amp;C$5,Tableau1[],4,FALSE),"")</f>
        <v/>
      </c>
      <c r="D12" s="162" t="str">
        <f>IFERROR(VLOOKUP($B12&amp;D$5,Tableau1[],4,FALSE),"")</f>
        <v/>
      </c>
      <c r="E12" s="162" t="str">
        <f>IFERROR(VLOOKUP($B12&amp;E$5,Tableau1[],4,FALSE),"")</f>
        <v/>
      </c>
      <c r="F12" s="162" t="str">
        <f>IFERROR(VLOOKUP($B12&amp;F$5,Tableau1[],4,FALSE),"")</f>
        <v/>
      </c>
      <c r="G12" s="162" t="str">
        <f>IFERROR(VLOOKUP($B12&amp;G$5,Tableau1[],4,FALSE),"")</f>
        <v/>
      </c>
    </row>
    <row r="13" spans="1:9" ht="15.75" thickBot="1">
      <c r="B13" s="16" t="s">
        <v>201</v>
      </c>
      <c r="C13" s="162" t="str">
        <f>IFERROR(VLOOKUP($B13&amp;C$5,Tableau1[],4,FALSE),"")</f>
        <v/>
      </c>
      <c r="D13" s="162" t="str">
        <f>IFERROR(VLOOKUP($B13&amp;D$5,Tableau1[],4,FALSE),"")</f>
        <v/>
      </c>
      <c r="E13" s="162" t="str">
        <f>IFERROR(VLOOKUP($B13&amp;E$5,Tableau1[],4,FALSE),"")</f>
        <v/>
      </c>
      <c r="F13" s="162" t="str">
        <f>IFERROR(VLOOKUP($B13&amp;F$5,Tableau1[],4,FALSE),"")</f>
        <v/>
      </c>
      <c r="G13" s="162" t="str">
        <f>IFERROR(VLOOKUP($B13&amp;G$5,Tableau1[],4,FALSE),"")</f>
        <v/>
      </c>
    </row>
    <row r="14" spans="1:9" ht="15.75" thickBot="1">
      <c r="B14" s="16" t="s">
        <v>202</v>
      </c>
      <c r="C14" s="162" t="str">
        <f>IFERROR(VLOOKUP($B14&amp;C$5,Tableau1[],4,FALSE),"")</f>
        <v/>
      </c>
      <c r="D14" s="162" t="str">
        <f>IFERROR(VLOOKUP($B14&amp;D$5,Tableau1[],4,FALSE),"")</f>
        <v/>
      </c>
      <c r="E14" s="162" t="str">
        <f>IFERROR(VLOOKUP($B14&amp;E$5,Tableau1[],4,FALSE),"")</f>
        <v/>
      </c>
      <c r="F14" s="162" t="str">
        <f>IFERROR(VLOOKUP($B14&amp;F$5,Tableau1[],4,FALSE),"")</f>
        <v/>
      </c>
      <c r="G14" s="162" t="str">
        <f>IFERROR(VLOOKUP($B14&amp;G$5,Tableau1[],4,FALSE),"")</f>
        <v/>
      </c>
    </row>
    <row r="15" spans="1:9">
      <c r="C15" s="107"/>
      <c r="D15" s="107"/>
      <c r="E15" s="107"/>
      <c r="F15" s="107"/>
      <c r="G15" s="107"/>
    </row>
    <row r="16" spans="1:9">
      <c r="C16" s="108"/>
      <c r="D16" s="108"/>
      <c r="E16" s="108"/>
      <c r="F16" s="108"/>
      <c r="G16" s="108"/>
    </row>
    <row r="17" spans="3:7">
      <c r="C17" s="108"/>
      <c r="D17" s="108"/>
      <c r="E17" s="108"/>
      <c r="F17" s="108"/>
      <c r="G17" s="108"/>
    </row>
    <row r="18" spans="3:7">
      <c r="C18" s="108"/>
      <c r="D18" s="108"/>
      <c r="E18" s="108"/>
      <c r="F18" s="108"/>
      <c r="G18" s="108"/>
    </row>
    <row r="19" spans="3:7">
      <c r="C19" s="108"/>
      <c r="D19" s="108"/>
      <c r="E19" s="108"/>
      <c r="F19" s="108"/>
      <c r="G19" s="108"/>
    </row>
    <row r="20" spans="3:7" ht="15.75" thickBot="1">
      <c r="C20" s="109"/>
      <c r="D20" s="109"/>
      <c r="E20" s="109"/>
      <c r="F20" s="109"/>
      <c r="G20" s="109"/>
    </row>
  </sheetData>
  <sheetProtection formatCells="0" selectLockedCells="1"/>
  <mergeCells count="4">
    <mergeCell ref="B4:B5"/>
    <mergeCell ref="E3:G3"/>
    <mergeCell ref="B3:D3"/>
    <mergeCell ref="I4:I5"/>
  </mergeCells>
  <conditionalFormatting sqref="B1:B1048576">
    <cfRule type="notContainsBlanks" dxfId="25" priority="155">
      <formula>LEN(TRIM(B1))&gt;0</formula>
    </cfRule>
  </conditionalFormatting>
  <conditionalFormatting sqref="B3:D3">
    <cfRule type="notContainsBlanks" dxfId="24" priority="154">
      <formula>LEN(TRIM(B3))&gt;0</formula>
    </cfRule>
  </conditionalFormatting>
  <conditionalFormatting sqref="C4:G5">
    <cfRule type="notContainsBlanks" dxfId="23" priority="153">
      <formula>LEN(TRIM(C4))&gt;0</formula>
    </cfRule>
  </conditionalFormatting>
  <conditionalFormatting sqref="C21:G132 C6:G14">
    <cfRule type="expression" dxfId="22" priority="124">
      <formula>NOT(ISBLANK($B6))</formula>
    </cfRule>
  </conditionalFormatting>
  <conditionalFormatting sqref="C21:G1000 C8:G14">
    <cfRule type="cellIs" dxfId="21" priority="13" operator="equal">
      <formula>"PLD"</formula>
    </cfRule>
    <cfRule type="cellIs" dxfId="20" priority="14" operator="equal">
      <formula>"TAP"</formula>
    </cfRule>
    <cfRule type="cellIs" dxfId="19" priority="15" operator="equal">
      <formula>"IS"</formula>
    </cfRule>
    <cfRule type="cellIs" dxfId="18" priority="16" operator="equal">
      <formula>"P"</formula>
    </cfRule>
    <cfRule type="cellIs" dxfId="17" priority="17" operator="equal">
      <formula>"MIS"</formula>
    </cfRule>
  </conditionalFormatting>
  <conditionalFormatting sqref="C15:G20">
    <cfRule type="expression" dxfId="16" priority="1">
      <formula>NOT(ISBLANK($B15))</formula>
    </cfRule>
  </conditionalFormatting>
  <dataValidations count="1">
    <dataValidation type="list" allowBlank="1" showInputMessage="1" showErrorMessage="1" sqref="I4:I5">
      <formula1>LUNDI2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J1"/>
  <sheetViews>
    <sheetView workbookViewId="0">
      <selection activeCell="M26" sqref="M26"/>
    </sheetView>
  </sheetViews>
  <sheetFormatPr baseColWidth="10" defaultRowHeight="15"/>
  <cols>
    <col min="2" max="2" width="11.42578125" style="2"/>
    <col min="10" max="10" width="11.42578125" style="47"/>
  </cols>
  <sheetData/>
  <sheetProtection formatCells="0"/>
  <sortState ref="A2:E6">
    <sortCondition ref="E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31"/>
  <sheetViews>
    <sheetView topLeftCell="S1" workbookViewId="0">
      <selection activeCell="AJ26" sqref="AJ26"/>
    </sheetView>
  </sheetViews>
  <sheetFormatPr baseColWidth="10" defaultRowHeight="15"/>
  <cols>
    <col min="2" max="2" width="22.85546875" bestFit="1" customWidth="1"/>
    <col min="14" max="14" width="12" bestFit="1" customWidth="1"/>
    <col min="16" max="24" width="11.42578125" customWidth="1"/>
    <col min="25" max="25" width="12" customWidth="1"/>
    <col min="26" max="29" width="11.42578125" customWidth="1"/>
    <col min="32" max="32" width="14.5703125" bestFit="1" customWidth="1"/>
  </cols>
  <sheetData>
    <row r="1" spans="1:37" ht="15.75" thickBot="1">
      <c r="A1" s="2">
        <f>DATE(YEAR(Planning!$N$3),MONTH(Planning!$N$3)-1,DAY(Planning!$N$3))</f>
        <v>42603</v>
      </c>
      <c r="C1" t="s">
        <v>74</v>
      </c>
      <c r="D1" t="s">
        <v>75</v>
      </c>
      <c r="G1" s="6"/>
      <c r="H1" s="6"/>
      <c r="I1" s="6"/>
      <c r="J1" s="6"/>
      <c r="K1" s="6"/>
      <c r="L1" s="6"/>
      <c r="O1" s="46"/>
      <c r="AF1" t="s">
        <v>163</v>
      </c>
      <c r="AG1" s="107"/>
      <c r="AH1" s="107"/>
      <c r="AI1" s="107"/>
      <c r="AJ1" s="107"/>
      <c r="AK1" s="107"/>
    </row>
    <row r="2" spans="1:37" ht="15.75" thickBot="1">
      <c r="A2" s="2">
        <f>DATE(YEAR(Planning!$N$3),MONTH(Planning!$N$3)+1,DAY(Planning!$N$3))</f>
        <v>42664</v>
      </c>
      <c r="C2" s="165">
        <v>42370</v>
      </c>
      <c r="D2" s="2">
        <v>42496</v>
      </c>
      <c r="E2" s="2"/>
      <c r="F2" s="170">
        <v>6</v>
      </c>
      <c r="G2" s="47"/>
      <c r="M2" s="46"/>
      <c r="N2" s="46"/>
      <c r="O2" s="48">
        <f ca="1">O3+O6+O9+O12+O15</f>
        <v>6</v>
      </c>
      <c r="AF2" t="s">
        <v>161</v>
      </c>
      <c r="AG2" s="108"/>
      <c r="AH2" s="108"/>
      <c r="AI2" s="108"/>
      <c r="AJ2" s="108"/>
      <c r="AK2" s="108"/>
    </row>
    <row r="3" spans="1:37">
      <c r="A3" s="2">
        <f>DATE(YEAR(Planning!$N$3)-1,MONTH(Planning!$N$3),DAY(Planning!$N$3))</f>
        <v>42268</v>
      </c>
      <c r="C3" s="65">
        <v>42457</v>
      </c>
      <c r="D3" s="2">
        <v>42566</v>
      </c>
      <c r="E3" s="2"/>
      <c r="F3" s="170">
        <f>COUNTA(Tableau3[N°])</f>
        <v>7</v>
      </c>
      <c r="N3" s="49" t="s">
        <v>66</v>
      </c>
      <c r="O3" s="50">
        <f ca="1">IF(Permission!AE10=1/3,1,IF(Permission!AE10=1*12/24,0.5,0))+(FIN-ARRIVEE-1)+IF(Permission!AG10=1/3,0,IF(Permission!AG10=1*12/24,0.5,1))-O6-O9-O12-O15</f>
        <v>5</v>
      </c>
      <c r="AD3" s="46">
        <f>K5-INT(K5)</f>
        <v>0</v>
      </c>
      <c r="AF3" t="s">
        <v>164</v>
      </c>
      <c r="AG3" s="108"/>
      <c r="AH3" s="108"/>
      <c r="AI3" s="108"/>
      <c r="AJ3" s="108"/>
      <c r="AK3" s="108"/>
    </row>
    <row r="4" spans="1:37">
      <c r="A4" s="2">
        <f>DATE(YEAR(Planning!$N$3)+1,MONTH(Planning!$N$3),DAY(Planning!$N$3))</f>
        <v>42999</v>
      </c>
      <c r="C4" s="164">
        <v>42491</v>
      </c>
      <c r="D4" s="2">
        <v>42674</v>
      </c>
      <c r="E4" s="2"/>
      <c r="N4">
        <f ca="1">IF(O4=2,SUMPRODUCT(((COUNTIF(FERIE,ROW(INDIRECT(FERIE&amp;":"&amp;FIN))))&gt;0)*1)-1,SUMPRODUCT(((COUNTIF(FERIE,ROW(INDIRECT(ARRIVEE&amp;":"&amp;FIN))))&gt;0)*1))</f>
        <v>0</v>
      </c>
      <c r="O4">
        <f ca="1">L6+L5</f>
        <v>0</v>
      </c>
      <c r="AD4" s="46">
        <f>K9-INT(K9)</f>
        <v>0</v>
      </c>
      <c r="AF4" t="s">
        <v>176</v>
      </c>
      <c r="AG4" s="108"/>
      <c r="AH4" s="108"/>
      <c r="AI4" s="108"/>
      <c r="AJ4" s="108"/>
      <c r="AK4" s="108"/>
    </row>
    <row r="5" spans="1:37">
      <c r="A5" s="2">
        <f ca="1">TODAY()</f>
        <v>42635</v>
      </c>
      <c r="C5" s="65">
        <v>42498</v>
      </c>
      <c r="D5" s="2">
        <v>42727</v>
      </c>
      <c r="E5" s="2"/>
      <c r="G5" s="2">
        <f>ARRIVEE</f>
        <v>42653</v>
      </c>
      <c r="H5" s="51">
        <f>Permission!$AE$10</f>
        <v>0.33333333333333331</v>
      </c>
      <c r="I5" s="52">
        <v>0</v>
      </c>
      <c r="J5" s="51">
        <f>MOD(I5-H5,1)</f>
        <v>0.66666666666666674</v>
      </c>
      <c r="K5" s="46">
        <f>IF(J5&gt;0.6,0,IF(J5&lt;0.5,1,IF(J5=0.5,0.5,0)))</f>
        <v>0</v>
      </c>
      <c r="L5">
        <f ca="1">SUMPRODUCT(((COUNTIF(FERIE,ROW(INDIRECT(ARRIVEE&amp;":"&amp;ARRIVEE))))&gt;0)*1)</f>
        <v>0</v>
      </c>
      <c r="M5" s="46">
        <f ca="1">IF(L5=1,K5,0)</f>
        <v>0</v>
      </c>
      <c r="N5" s="46">
        <v>0</v>
      </c>
      <c r="AF5" t="s">
        <v>166</v>
      </c>
      <c r="AG5" s="108"/>
      <c r="AH5" s="108"/>
      <c r="AI5" s="108"/>
      <c r="AJ5" s="108"/>
      <c r="AK5" s="108"/>
    </row>
    <row r="6" spans="1:37" ht="15.75" thickBot="1">
      <c r="A6" s="3" t="s">
        <v>4</v>
      </c>
      <c r="C6" s="164">
        <v>42495</v>
      </c>
      <c r="D6" s="2">
        <v>42730</v>
      </c>
      <c r="E6" s="2"/>
      <c r="G6" s="2">
        <f>FIN</f>
        <v>42659</v>
      </c>
      <c r="H6" s="51">
        <f>Permission!$AG$10</f>
        <v>0.33333333333333331</v>
      </c>
      <c r="I6" s="52">
        <v>0</v>
      </c>
      <c r="J6" s="51">
        <f>MOD(I6-H6,1)</f>
        <v>0.66666666666666674</v>
      </c>
      <c r="K6" s="46">
        <f>IF(J6=0,0,IF(J6&gt;=0.833333333,0.5,1))</f>
        <v>1</v>
      </c>
      <c r="L6">
        <f ca="1">SUMPRODUCT(((COUNTIF(FERIE,ROW(INDIRECT(FIN&amp;":"&amp;FIN))))&gt;0)*1)</f>
        <v>0</v>
      </c>
      <c r="M6" s="46">
        <f ca="1">IF(L6=1,K6,0)</f>
        <v>0</v>
      </c>
      <c r="N6" s="53" t="s">
        <v>67</v>
      </c>
      <c r="O6" s="50">
        <f ca="1">IF(AC6=2,AB6,SUMPRODUCT(COUNTIF(FERIE,ROW(INDIRECT(ARRIVEE&amp;":"&amp;FIN))))-AB6)</f>
        <v>0</v>
      </c>
      <c r="P6">
        <f ca="1">SUMPRODUCT(COUNTIF(FERIE,ROW(INDIRECT(FIN&amp;":"&amp;FIN))))</f>
        <v>0</v>
      </c>
      <c r="Q6">
        <f ca="1">SUM(SUMPRODUCT(COUNTIF(FERIE,ROW(INDIRECT(ARRIVEE&amp;":"&amp;ARRIVEE)))))</f>
        <v>0</v>
      </c>
      <c r="R6">
        <f>IF(X6&lt;0.35,1,0)</f>
        <v>1</v>
      </c>
      <c r="S6">
        <f>IF(X6=0.5,0.5,0)</f>
        <v>0</v>
      </c>
      <c r="T6">
        <f>IF(X6&gt;0.7,0,0)</f>
        <v>0</v>
      </c>
      <c r="U6">
        <f>IF(Y6=0.33,0,0)</f>
        <v>0</v>
      </c>
      <c r="V6">
        <f>IF(Y6=0.5,0.5,0)</f>
        <v>0</v>
      </c>
      <c r="W6">
        <f>IF(Y6&gt;0.7,1,0)</f>
        <v>0</v>
      </c>
      <c r="X6" s="47">
        <v>0.33333333333333331</v>
      </c>
      <c r="Y6" s="47">
        <v>0.33333333333333331</v>
      </c>
      <c r="Z6">
        <f ca="1">IF(P6=1,R6+S6+T6,0)</f>
        <v>0</v>
      </c>
      <c r="AA6">
        <f ca="1">IF(Q6=1,U6+V6+W6,0)</f>
        <v>0</v>
      </c>
      <c r="AB6">
        <f ca="1">Z6+AA6</f>
        <v>0</v>
      </c>
      <c r="AC6">
        <f ca="1">P6+Q6</f>
        <v>0</v>
      </c>
      <c r="AF6" t="s">
        <v>167</v>
      </c>
      <c r="AG6" s="109"/>
      <c r="AH6" s="109"/>
      <c r="AI6" s="109"/>
      <c r="AJ6" s="109"/>
      <c r="AK6" s="109"/>
    </row>
    <row r="7" spans="1:37">
      <c r="B7" s="7"/>
      <c r="C7" s="164">
        <v>42506</v>
      </c>
      <c r="D7" s="2">
        <v>42731</v>
      </c>
      <c r="E7" s="2"/>
      <c r="G7" s="2"/>
      <c r="H7" s="51"/>
      <c r="I7" s="52"/>
      <c r="J7" s="51"/>
      <c r="K7" s="46"/>
      <c r="M7" s="46"/>
      <c r="N7">
        <f ca="1">IF(O7=2,SUMPRODUCT((WEEKDAY(ROW(INDIRECT(ARRIVEE&amp;":"&amp;FIN)))=1)*(COUNTIF(FERIE,ROW(INDIRECT(ARRIVEE&amp;":"&amp;FIN)))=0))-1,SUMPRODUCT((WEEKDAY(ROW(INDIRECT(ARRIVEE&amp;":"&amp;FIN)))=1)*(COUNTIF(FERIE,ROW(INDIRECT(ARRIVEE&amp;":"&amp;FIN)))=0)))</f>
        <v>1</v>
      </c>
      <c r="O7">
        <f ca="1">L8+L9</f>
        <v>1</v>
      </c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F7" t="s">
        <v>168</v>
      </c>
    </row>
    <row r="8" spans="1:37">
      <c r="A8" s="2">
        <f ca="1">TODAY()</f>
        <v>42635</v>
      </c>
      <c r="B8" s="7">
        <f t="array" ref="B8:B12" ca="1">IF(ISNUMBER(SMALL(IF(WEEKDAY(ROW(INDIRECT(A8&amp;":"&amp;A9)))=2,ROW(INDIRECT(A8&amp;":"&amp;A9))),{1;2;3;4;5})),SMALL(IF(WEEKDAY(ROW(INDIRECT(A8&amp;":"&amp;A9)))=2,ROW(INDIRECT(A8&amp;":"&amp;A9))),{1;2;3;4;5}),"")</f>
        <v>42639</v>
      </c>
      <c r="C8" s="65">
        <v>42565</v>
      </c>
      <c r="D8" s="2">
        <v>42732</v>
      </c>
      <c r="E8" s="2"/>
      <c r="G8" s="2">
        <f>ARRIVEE</f>
        <v>42653</v>
      </c>
      <c r="H8" s="51">
        <f>Permission!$AE$10</f>
        <v>0.33333333333333331</v>
      </c>
      <c r="I8" s="52">
        <v>0</v>
      </c>
      <c r="J8" s="51">
        <f>MOD(I8-H8,1)</f>
        <v>0.66666666666666674</v>
      </c>
      <c r="K8" s="46">
        <f>IF(J8&gt;0.6,0,IF(J8&lt;0.5,1,IF(J8=0.5,0.5,0)))</f>
        <v>0</v>
      </c>
      <c r="L8">
        <f ca="1">SUMPRODUCT((WEEKDAY(ROW(INDIRECT(ARRIVEE&amp;":"&amp;ARRIVEE)))=1)*(COUNTIF(FERIE,ROW(INDIRECT(ARRIVEE&amp;":"&amp;ARRIVEE)))=0))</f>
        <v>0</v>
      </c>
      <c r="M8" s="46">
        <f ca="1">IF(L8=1,K8,0)</f>
        <v>0</v>
      </c>
      <c r="N8" s="46">
        <f ca="1">IF(O7=2,M9-M8,M9+M8)</f>
        <v>0</v>
      </c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F8" t="s">
        <v>165</v>
      </c>
    </row>
    <row r="9" spans="1:37">
      <c r="A9" s="2">
        <f ca="1">A8+40</f>
        <v>42675</v>
      </c>
      <c r="B9" s="7">
        <f ca="1"/>
        <v>42646</v>
      </c>
      <c r="C9" s="65">
        <v>42597</v>
      </c>
      <c r="G9" s="2">
        <f>FIN</f>
        <v>42659</v>
      </c>
      <c r="H9" s="51">
        <f>Permission!$AG$10</f>
        <v>0.33333333333333331</v>
      </c>
      <c r="I9" s="52">
        <v>0.33333333333333331</v>
      </c>
      <c r="J9" s="51">
        <f>MOD(I9-H9,1)</f>
        <v>0</v>
      </c>
      <c r="K9" s="46">
        <f>IF(J9=0,0,IF(J9=0.625,1,0.5))</f>
        <v>0</v>
      </c>
      <c r="L9">
        <f ca="1">SUMPRODUCT((WEEKDAY(ROW(INDIRECT(FIN&amp;":"&amp;FIN)))=1)*(COUNTIF(FERIE,ROW(INDIRECT(FIN&amp;":"&amp;FIN)))=0))</f>
        <v>1</v>
      </c>
      <c r="M9" s="46">
        <f ca="1">IF(L9=1,K9,0)</f>
        <v>0</v>
      </c>
      <c r="N9" s="53" t="s">
        <v>68</v>
      </c>
      <c r="O9" s="50">
        <f ca="1">IF(AC9=2,AB9,SUMPRODUCT((WEEKDAY(ROW(INDIRECT(ARRIVEE&amp;":"&amp;FIN)),2)=6)*(COUNTIF(FERIE,ROW(INDIRECT(ARRIVEE&amp;":"&amp;FIN)))=0)))-AB9</f>
        <v>1</v>
      </c>
      <c r="P9">
        <f ca="1">SUMPRODUCT((WEEKDAY(ROW(INDIRECT(FIN&amp;":"&amp;FIN)),2)=6)*(COUNTIF(FERIE,ROW(INDIRECT(FIN&amp;":"&amp;FIN)))=0))</f>
        <v>0</v>
      </c>
      <c r="Q9">
        <f ca="1">SUMPRODUCT((WEEKDAY(ROW(INDIRECT(ARRIVEE&amp;":"&amp;ARRIVEE)),2)=6)*(COUNTIF(FERIE,ROW(INDIRECT(ARRIVEE&amp;":"&amp;ARRIVEE)))=0))</f>
        <v>0</v>
      </c>
      <c r="R9">
        <f>IF(X9&lt;0.35,1,0)</f>
        <v>1</v>
      </c>
      <c r="S9">
        <f t="shared" ref="S9:S15" si="0">IF(X9=0.5,0.5,0)</f>
        <v>0</v>
      </c>
      <c r="T9">
        <f t="shared" ref="T9:T15" si="1">IF(X9&gt;0.7,0,0)</f>
        <v>0</v>
      </c>
      <c r="U9">
        <f t="shared" ref="U9:U15" si="2">IF(Y9=0.33,0,0)</f>
        <v>0</v>
      </c>
      <c r="V9">
        <f t="shared" ref="V9:V15" si="3">IF(Y9=0.5,0.5,0)</f>
        <v>0</v>
      </c>
      <c r="W9">
        <f t="shared" ref="W9:W15" si="4">IF(Y9&gt;0.7,1,0)</f>
        <v>0</v>
      </c>
      <c r="X9" s="47">
        <v>0.33333333333333331</v>
      </c>
      <c r="Y9" s="47">
        <v>0.33333333333333331</v>
      </c>
      <c r="Z9">
        <f t="shared" ref="Z9:Z15" ca="1" si="5">IF(P9=1,R9+S9+T9,0)</f>
        <v>0</v>
      </c>
      <c r="AA9">
        <f t="shared" ref="AA9:AA15" ca="1" si="6">IF(Q9=1,U9+V9+W9,0)</f>
        <v>0</v>
      </c>
      <c r="AB9">
        <f t="shared" ref="AB9:AB15" ca="1" si="7">Z9+AA9</f>
        <v>0</v>
      </c>
      <c r="AC9">
        <f t="shared" ref="AC9:AC15" ca="1" si="8">P9+Q9</f>
        <v>0</v>
      </c>
      <c r="AF9" t="s">
        <v>169</v>
      </c>
    </row>
    <row r="10" spans="1:37">
      <c r="B10" s="7">
        <f ca="1"/>
        <v>42653</v>
      </c>
      <c r="C10" s="164">
        <v>42675</v>
      </c>
      <c r="N10">
        <f ca="1">IF(O10=2,SUMPRODUCT((WEEKDAY(ROW(INDIRECT(ARRIVEE&amp;":"&amp;FIN)))=1)*(COUNTIF(FERIE,ROW(INDIRECT(ARRIVEE&amp;":"&amp;FIN)))=0))-1,SUMPRODUCT((WEEKDAY(ROW(INDIRECT(ARRIVEE&amp;":"&amp;FIN)))=1)*(COUNTIF(FERIE,ROW(INDIRECT(ARRIVEE&amp;":"&amp;FIN)))=0)))</f>
        <v>1</v>
      </c>
      <c r="O10">
        <f ca="1">L11+L12</f>
        <v>0</v>
      </c>
      <c r="AF10" t="s">
        <v>170</v>
      </c>
    </row>
    <row r="11" spans="1:37">
      <c r="B11" s="7">
        <f ca="1"/>
        <v>42660</v>
      </c>
      <c r="C11" s="164">
        <v>42685</v>
      </c>
      <c r="G11" s="2">
        <f>ARRIVEE</f>
        <v>42653</v>
      </c>
      <c r="H11" s="51">
        <f>Permission!$AE$10</f>
        <v>0.33333333333333331</v>
      </c>
      <c r="I11" s="52">
        <v>0</v>
      </c>
      <c r="J11" s="51">
        <f>MOD(I11-H11,1)</f>
        <v>0.66666666666666674</v>
      </c>
      <c r="K11" s="46">
        <f>IF(J11&gt;0.6,0,IF(J11&lt;0.5,1,IF(J11=0.5,0.5,0)))</f>
        <v>0</v>
      </c>
      <c r="L11">
        <f ca="1">SUMPRODUCT((WEEKDAY(ROW(INDIRECT(ARRIVEE&amp;":"&amp;ARRIVEE)),2)=6)*1)*(COUNTIF(FERIE,ROW(INDIRECT(ARRIVEE&amp;":"&amp;ARRIVEE)))=0)</f>
        <v>0</v>
      </c>
      <c r="M11" s="46">
        <f ca="1">IF(L11=1,K11,0)</f>
        <v>0</v>
      </c>
      <c r="N11" s="46">
        <f ca="1">M12-M11</f>
        <v>0</v>
      </c>
      <c r="AF11" t="s">
        <v>171</v>
      </c>
    </row>
    <row r="12" spans="1:37" ht="15.75" thickBot="1">
      <c r="B12" s="7">
        <f ca="1"/>
        <v>42667</v>
      </c>
      <c r="C12" s="66">
        <v>42729</v>
      </c>
      <c r="G12" s="2">
        <f>FIN</f>
        <v>42659</v>
      </c>
      <c r="H12" s="51">
        <f>Permission!$AG$10</f>
        <v>0.33333333333333331</v>
      </c>
      <c r="I12" s="52">
        <v>0.33333333333333331</v>
      </c>
      <c r="J12" s="51">
        <f>MOD(I12-H12,1)</f>
        <v>0</v>
      </c>
      <c r="K12" s="46">
        <f>IF(J12=0,0,IF(J12&gt;=0.833333333,0.5,1))</f>
        <v>0</v>
      </c>
      <c r="L12">
        <f ca="1">SUMPRODUCT((WEEKDAY(ROW(INDIRECT(FIN&amp;":"&amp;FIN)),2)=6)*1)*(COUNTIF(FERIE,ROW(INDIRECT(FIN&amp;":"&amp;FIN)))=0)</f>
        <v>0</v>
      </c>
      <c r="M12" s="46">
        <f ca="1">IF(L12=1,K12,0)</f>
        <v>0</v>
      </c>
      <c r="N12" s="53" t="s">
        <v>69</v>
      </c>
      <c r="O12" s="50">
        <f ca="1">IF(AC12=2,AB12,SUMPRODUCT((WEEKDAY(ROW(INDIRECT(ARRIVEE&amp;":"&amp;FIN)),2)=7)*(COUNTIF(FERIE,ROW(INDIRECT(ARRIVEE&amp;":"&amp;FIN)))=0)))-AB12</f>
        <v>0</v>
      </c>
      <c r="P12" s="54">
        <f ca="1">SUMPRODUCT((WEEKDAY(ROW(INDIRECT(FIN&amp;":"&amp;FIN)),2)=7)*(COUNTIF(FERIE,ROW(INDIRECT(FIN&amp;":"&amp;FIN)))=0))</f>
        <v>1</v>
      </c>
      <c r="Q12">
        <f ca="1">SUMPRODUCT((WEEKDAY(ROW(INDIRECT(ARRIVEE&amp;":"&amp;ARRIVEE)),2)=7)*(COUNTIF(FERIE,ROW(INDIRECT(ARRIVEE&amp;":"&amp;ARRIVEE)))=0))</f>
        <v>0</v>
      </c>
      <c r="R12">
        <f>IF(X12&lt;0.35,1,0)</f>
        <v>1</v>
      </c>
      <c r="S12">
        <f t="shared" si="0"/>
        <v>0</v>
      </c>
      <c r="T12">
        <f t="shared" si="1"/>
        <v>0</v>
      </c>
      <c r="U12">
        <f t="shared" si="2"/>
        <v>0</v>
      </c>
      <c r="V12">
        <f t="shared" si="3"/>
        <v>0</v>
      </c>
      <c r="W12">
        <f t="shared" si="4"/>
        <v>0</v>
      </c>
      <c r="X12" s="47">
        <v>0.33333333333333331</v>
      </c>
      <c r="Y12" s="47">
        <v>0.33333333333333331</v>
      </c>
      <c r="Z12">
        <f t="shared" ca="1" si="5"/>
        <v>1</v>
      </c>
      <c r="AA12">
        <f t="shared" ca="1" si="6"/>
        <v>0</v>
      </c>
      <c r="AB12">
        <f t="shared" ca="1" si="7"/>
        <v>1</v>
      </c>
      <c r="AC12">
        <f t="shared" ca="1" si="8"/>
        <v>1</v>
      </c>
      <c r="AF12" t="s">
        <v>172</v>
      </c>
    </row>
    <row r="13" spans="1:37">
      <c r="C13" s="67">
        <v>42736</v>
      </c>
      <c r="G13" s="55"/>
      <c r="H13" s="55"/>
      <c r="I13" s="55"/>
      <c r="J13" s="55"/>
      <c r="K13" s="55"/>
      <c r="L13" s="55"/>
      <c r="M13" s="54"/>
      <c r="N13" s="56">
        <f ca="1">SUMPRODUCT(((COUNTIF(TAOPM,ROW(INDIRECT(ARRIVEE&amp;":"&amp;FIN))))&gt;0)*1)</f>
        <v>0</v>
      </c>
      <c r="O13">
        <f ca="1">L14+L15</f>
        <v>0</v>
      </c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F13" t="s">
        <v>173</v>
      </c>
    </row>
    <row r="14" spans="1:37">
      <c r="B14" s="7">
        <f ca="1">B15-7</f>
        <v>42632</v>
      </c>
      <c r="C14" s="68">
        <v>42842</v>
      </c>
      <c r="G14" s="2">
        <f>ARRIVEE</f>
        <v>42653</v>
      </c>
      <c r="H14" s="51">
        <f>Permission!$AE$10</f>
        <v>0.33333333333333331</v>
      </c>
      <c r="I14" s="52">
        <v>0</v>
      </c>
      <c r="J14" s="51">
        <f>MOD(I14-H14,1)</f>
        <v>0.66666666666666674</v>
      </c>
      <c r="K14" s="46">
        <f>IF(J14&gt;0.6,0,IF(J14&lt;0.5,1,IF(J14=0.5,0.5,0)))</f>
        <v>0</v>
      </c>
      <c r="L14" s="56">
        <f ca="1">SUMPRODUCT(((COUNTIF(TAOPM,ROW(INDIRECT(ARRIVEE&amp;":"&amp;ARRIVEE))))&gt;0)*1)</f>
        <v>0</v>
      </c>
      <c r="M14" s="46">
        <f ca="1">IF(L14=1,K14,0)</f>
        <v>0</v>
      </c>
      <c r="N14" s="46">
        <f ca="1">M15-M14</f>
        <v>0</v>
      </c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F14" t="s">
        <v>174</v>
      </c>
    </row>
    <row r="15" spans="1:37">
      <c r="B15" s="7">
        <f ca="1">B8</f>
        <v>42639</v>
      </c>
      <c r="C15" s="68">
        <v>42856</v>
      </c>
      <c r="G15" s="2">
        <f>FIN</f>
        <v>42659</v>
      </c>
      <c r="H15" s="51">
        <f>Permission!$AG$10</f>
        <v>0.33333333333333331</v>
      </c>
      <c r="I15" s="52">
        <v>0</v>
      </c>
      <c r="J15" s="51">
        <f>MOD(I15-H15,1)</f>
        <v>0.66666666666666674</v>
      </c>
      <c r="K15" s="46">
        <f>IF(J15=0,0,IF(J15&gt;=0.833333333,0.5,1))</f>
        <v>1</v>
      </c>
      <c r="L15">
        <f ca="1">SUMPRODUCT(((COUNTIF(TAOPM,ROW(INDIRECT(FIN&amp;":"&amp;FIN))))&gt;0)*1)</f>
        <v>0</v>
      </c>
      <c r="M15" s="46">
        <f ca="1">IF(L15=1,K15,0)</f>
        <v>0</v>
      </c>
      <c r="N15" s="49" t="s">
        <v>70</v>
      </c>
      <c r="O15" s="50">
        <f ca="1">IF(AC15=2,AB15,SUMPRODUCT(COUNTIF(TAOPM,ROW(INDIRECT(ARRIVEE&amp;":"&amp;FIN)))))-AB15</f>
        <v>0</v>
      </c>
      <c r="P15" s="54">
        <f ca="1">SUMPRODUCT(COUNTIF(TAOPM,ROW(INDIRECT(FIN&amp;":"&amp;FIN))))</f>
        <v>0</v>
      </c>
      <c r="Q15">
        <f ca="1">SUMPRODUCT(COUNTIF(TAOPM,ROW(INDIRECT(ARRIVEE&amp;":"&amp;ARRIVEE))))</f>
        <v>0</v>
      </c>
      <c r="R15">
        <f>IF(X15&lt;0.35,1,0)</f>
        <v>1</v>
      </c>
      <c r="S15">
        <f t="shared" si="0"/>
        <v>0</v>
      </c>
      <c r="T15">
        <f t="shared" si="1"/>
        <v>0</v>
      </c>
      <c r="U15">
        <f t="shared" si="2"/>
        <v>0</v>
      </c>
      <c r="V15">
        <f t="shared" si="3"/>
        <v>0</v>
      </c>
      <c r="W15">
        <f t="shared" si="4"/>
        <v>0</v>
      </c>
      <c r="X15" s="47">
        <v>0.33333333333333331</v>
      </c>
      <c r="Y15" s="47">
        <v>0.33333333333333331</v>
      </c>
      <c r="Z15">
        <f t="shared" ca="1" si="5"/>
        <v>0</v>
      </c>
      <c r="AA15">
        <f t="shared" ca="1" si="6"/>
        <v>0</v>
      </c>
      <c r="AB15">
        <f t="shared" ca="1" si="7"/>
        <v>0</v>
      </c>
      <c r="AC15">
        <f t="shared" ca="1" si="8"/>
        <v>0</v>
      </c>
      <c r="AF15" t="s">
        <v>175</v>
      </c>
    </row>
    <row r="16" spans="1:37">
      <c r="B16" s="7">
        <f ca="1">B9</f>
        <v>42646</v>
      </c>
      <c r="C16" s="68">
        <v>42863</v>
      </c>
      <c r="G16" s="2"/>
      <c r="H16" s="51"/>
      <c r="I16" s="52"/>
      <c r="J16" s="51"/>
      <c r="K16" s="46"/>
      <c r="M16" s="46"/>
      <c r="N16" s="57"/>
      <c r="O16" s="57"/>
      <c r="P16" s="54"/>
      <c r="AF16" t="s">
        <v>162</v>
      </c>
    </row>
    <row r="17" spans="2:16">
      <c r="B17" s="7">
        <f ca="1">B10</f>
        <v>42653</v>
      </c>
      <c r="C17" s="68">
        <v>42880</v>
      </c>
      <c r="G17" s="54"/>
      <c r="H17" s="54"/>
      <c r="I17" s="54"/>
      <c r="J17" s="54"/>
      <c r="K17" s="54"/>
      <c r="L17" s="54"/>
      <c r="M17" s="54"/>
      <c r="N17" s="54"/>
      <c r="O17" s="54"/>
      <c r="P17" s="54"/>
    </row>
    <row r="18" spans="2:16">
      <c r="B18" s="7">
        <f ca="1">B11</f>
        <v>42660</v>
      </c>
      <c r="C18" s="68">
        <v>42891</v>
      </c>
      <c r="G18" s="55"/>
      <c r="H18" s="55"/>
      <c r="I18" s="55"/>
      <c r="J18" s="55"/>
      <c r="K18" s="55"/>
      <c r="L18" s="55"/>
      <c r="M18" s="54"/>
      <c r="N18" s="54"/>
      <c r="O18" s="54"/>
      <c r="P18" s="54"/>
    </row>
    <row r="19" spans="2:16">
      <c r="B19" s="7">
        <f ca="1">B12</f>
        <v>42667</v>
      </c>
      <c r="C19" s="68">
        <v>42930</v>
      </c>
      <c r="G19" s="54"/>
      <c r="H19" s="54"/>
      <c r="I19" s="54"/>
      <c r="J19" s="54"/>
      <c r="K19" s="54"/>
      <c r="L19" s="54"/>
      <c r="M19" s="54"/>
      <c r="N19" s="57"/>
      <c r="O19" s="57"/>
      <c r="P19" s="54"/>
    </row>
    <row r="20" spans="2:16">
      <c r="C20" s="68">
        <v>42962</v>
      </c>
      <c r="G20" s="54"/>
      <c r="H20" s="54"/>
      <c r="I20" s="54"/>
      <c r="J20" s="54"/>
      <c r="K20" s="54"/>
      <c r="L20" s="54"/>
      <c r="M20" s="54"/>
      <c r="N20" s="57"/>
      <c r="O20" s="57"/>
      <c r="P20" s="54"/>
    </row>
    <row r="21" spans="2:16">
      <c r="C21" s="68">
        <v>43040</v>
      </c>
      <c r="G21" s="54"/>
      <c r="H21" s="54"/>
      <c r="I21" s="54"/>
      <c r="J21" s="54"/>
      <c r="K21" s="54"/>
      <c r="L21" s="54"/>
      <c r="M21" s="54"/>
      <c r="N21" s="54"/>
      <c r="O21" s="54"/>
      <c r="P21" s="54"/>
    </row>
    <row r="22" spans="2:16">
      <c r="C22" s="68">
        <v>43050</v>
      </c>
      <c r="G22" s="55"/>
      <c r="H22" s="55"/>
      <c r="I22" s="55"/>
      <c r="J22" s="55"/>
      <c r="K22" s="55"/>
      <c r="L22" s="55"/>
      <c r="M22" s="54"/>
      <c r="N22" s="54"/>
      <c r="O22" s="54"/>
      <c r="P22" s="54"/>
    </row>
    <row r="23" spans="2:16">
      <c r="C23" s="68">
        <v>43094</v>
      </c>
      <c r="G23" s="54"/>
      <c r="H23" s="54"/>
      <c r="I23" s="54"/>
      <c r="J23" s="54"/>
      <c r="K23" s="54"/>
      <c r="L23" s="54"/>
      <c r="M23" s="54"/>
      <c r="N23" s="57"/>
      <c r="O23" s="57"/>
      <c r="P23" s="54"/>
    </row>
    <row r="24" spans="2:16">
      <c r="G24" s="54"/>
      <c r="H24" s="54"/>
      <c r="I24" s="54"/>
      <c r="J24" s="54"/>
      <c r="K24" s="54"/>
      <c r="L24" s="54"/>
      <c r="M24" s="54"/>
      <c r="N24" s="57"/>
      <c r="O24" s="57"/>
      <c r="P24" s="54"/>
    </row>
    <row r="25" spans="2:16">
      <c r="G25" s="54"/>
      <c r="H25" s="54"/>
      <c r="I25" s="54"/>
      <c r="J25" s="54"/>
      <c r="K25" s="54"/>
      <c r="L25" s="54"/>
      <c r="M25" s="54"/>
      <c r="N25" s="54"/>
      <c r="O25" s="54"/>
      <c r="P25" s="54"/>
    </row>
    <row r="26" spans="2:16">
      <c r="G26" s="58"/>
      <c r="H26" s="58"/>
      <c r="I26" s="58"/>
      <c r="J26" s="58"/>
      <c r="K26" s="58"/>
      <c r="L26" s="58"/>
      <c r="M26" s="54"/>
      <c r="N26" s="54"/>
      <c r="O26" s="54"/>
      <c r="P26" s="54"/>
    </row>
    <row r="27" spans="2:16">
      <c r="G27" s="54"/>
      <c r="H27" s="54"/>
      <c r="I27" s="54"/>
      <c r="J27" s="54"/>
      <c r="K27" s="54"/>
      <c r="L27" s="54"/>
      <c r="M27" s="54"/>
      <c r="N27" s="57"/>
      <c r="O27" s="57"/>
      <c r="P27" s="54"/>
    </row>
    <row r="28" spans="2:16">
      <c r="G28" s="54"/>
      <c r="H28" s="54"/>
      <c r="I28" s="54"/>
      <c r="J28" s="54"/>
      <c r="K28" s="54"/>
      <c r="L28" s="54"/>
      <c r="M28" s="54"/>
      <c r="N28" s="57"/>
      <c r="O28" s="57"/>
      <c r="P28" s="54"/>
    </row>
    <row r="29" spans="2:16">
      <c r="G29" s="54"/>
      <c r="H29" s="54"/>
      <c r="I29" s="54"/>
      <c r="J29" s="54"/>
      <c r="K29" s="54"/>
      <c r="L29" s="54"/>
      <c r="M29" s="54"/>
      <c r="N29" s="54"/>
      <c r="O29" s="54"/>
      <c r="P29" s="54"/>
    </row>
    <row r="31" spans="2:16">
      <c r="I31" s="2"/>
    </row>
  </sheetData>
  <sheetProtection formatCells="0"/>
  <conditionalFormatting sqref="AG1:AK6">
    <cfRule type="expression" dxfId="6" priority="1">
      <formula>NOT(ISBLANK($B1))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6"/>
  <sheetViews>
    <sheetView workbookViewId="0">
      <selection activeCell="B113" sqref="B113:D114"/>
    </sheetView>
  </sheetViews>
  <sheetFormatPr baseColWidth="10" defaultRowHeight="15"/>
  <cols>
    <col min="1" max="1" width="15.28515625" bestFit="1" customWidth="1"/>
    <col min="2" max="2" width="10.28515625" bestFit="1" customWidth="1"/>
    <col min="3" max="3" width="10.7109375" style="2" bestFit="1" customWidth="1"/>
    <col min="5" max="5" width="3.42578125" hidden="1" customWidth="1"/>
    <col min="6" max="6" width="11.42578125" hidden="1" customWidth="1"/>
  </cols>
  <sheetData>
    <row r="1" spans="1:6" ht="27" customHeight="1">
      <c r="A1" s="1" t="s">
        <v>3</v>
      </c>
      <c r="B1" s="1" t="s">
        <v>0</v>
      </c>
      <c r="C1" s="4" t="s">
        <v>1</v>
      </c>
      <c r="D1" s="1" t="s">
        <v>2</v>
      </c>
      <c r="E1" s="70" t="s">
        <v>91</v>
      </c>
      <c r="F1" s="71" t="s">
        <v>77</v>
      </c>
    </row>
    <row r="2" spans="1:6">
      <c r="A2" t="str">
        <f>Tableau1[NOM]&amp;Tableau1[DATE]</f>
        <v>C MOLIA42652</v>
      </c>
      <c r="B2" t="s">
        <v>186</v>
      </c>
      <c r="C2" s="140">
        <v>42652</v>
      </c>
      <c r="D2" t="s">
        <v>92</v>
      </c>
      <c r="E2" s="64" t="str">
        <f>TEXT(ROW(),"000")&amp;"_"&amp;Tableau1[[#This Row],[NOM]]</f>
        <v>002_C MOLIA</v>
      </c>
      <c r="F2" s="119" t="str">
        <f>Tableau1[[#This Row],[DATE]]&amp;Tableau1[[#This Row],[MOTIF]]</f>
        <v>42652STG</v>
      </c>
    </row>
    <row r="3" spans="1:6">
      <c r="A3" t="str">
        <f>Tableau1[NOM]&amp;Tableau1[DATE]</f>
        <v>C MOLIA42651</v>
      </c>
      <c r="B3" t="s">
        <v>186</v>
      </c>
      <c r="C3" s="140">
        <v>42651</v>
      </c>
      <c r="D3" t="s">
        <v>92</v>
      </c>
      <c r="E3" s="64" t="str">
        <f>TEXT(ROW(),"000")&amp;"_"&amp;Tableau1[[#This Row],[NOM]]</f>
        <v>003_C MOLIA</v>
      </c>
      <c r="F3" s="119" t="str">
        <f>Tableau1[[#This Row],[DATE]]&amp;Tableau1[[#This Row],[MOTIF]]</f>
        <v>42651STG</v>
      </c>
    </row>
    <row r="4" spans="1:6">
      <c r="A4" t="str">
        <f>Tableau1[NOM]&amp;Tableau1[DATE]</f>
        <v>C MOLIA42650</v>
      </c>
      <c r="B4" t="s">
        <v>186</v>
      </c>
      <c r="C4" s="140">
        <v>42650</v>
      </c>
      <c r="D4" t="s">
        <v>92</v>
      </c>
      <c r="E4" s="64" t="str">
        <f>TEXT(ROW(),"000")&amp;"_"&amp;Tableau1[[#This Row],[NOM]]</f>
        <v>004_C MOLIA</v>
      </c>
      <c r="F4" s="119" t="str">
        <f>Tableau1[[#This Row],[DATE]]&amp;Tableau1[[#This Row],[MOTIF]]</f>
        <v>42650STG</v>
      </c>
    </row>
    <row r="5" spans="1:6">
      <c r="A5" t="str">
        <f>Tableau1[NOM]&amp;Tableau1[DATE]</f>
        <v>C MOLIA42649</v>
      </c>
      <c r="B5" t="s">
        <v>186</v>
      </c>
      <c r="C5" s="140">
        <v>42649</v>
      </c>
      <c r="D5" t="s">
        <v>92</v>
      </c>
      <c r="E5" s="64" t="str">
        <f>TEXT(ROW(),"000")&amp;"_"&amp;Tableau1[[#This Row],[NOM]]</f>
        <v>005_C MOLIA</v>
      </c>
      <c r="F5" s="119" t="str">
        <f>Tableau1[[#This Row],[DATE]]&amp;Tableau1[[#This Row],[MOTIF]]</f>
        <v>42649STG</v>
      </c>
    </row>
    <row r="6" spans="1:6">
      <c r="A6" t="str">
        <f>Tableau1[NOM]&amp;Tableau1[DATE]</f>
        <v>C MOLIA42648</v>
      </c>
      <c r="B6" t="s">
        <v>186</v>
      </c>
      <c r="C6" s="140">
        <v>42648</v>
      </c>
      <c r="D6" t="s">
        <v>92</v>
      </c>
      <c r="E6" s="64" t="str">
        <f>TEXT(ROW(),"000")&amp;"_"&amp;Tableau1[[#This Row],[NOM]]</f>
        <v>006_C MOLIA</v>
      </c>
      <c r="F6" s="119" t="str">
        <f>Tableau1[[#This Row],[DATE]]&amp;Tableau1[[#This Row],[MOTIF]]</f>
        <v>42648STG</v>
      </c>
    </row>
    <row r="7" spans="1:6">
      <c r="A7" t="str">
        <f>Tableau1[NOM]&amp;Tableau1[DATE]</f>
        <v>C MOLIA42647</v>
      </c>
      <c r="B7" t="s">
        <v>186</v>
      </c>
      <c r="C7" s="140">
        <v>42647</v>
      </c>
      <c r="D7" t="s">
        <v>92</v>
      </c>
      <c r="E7" s="64" t="str">
        <f>TEXT(ROW(),"000")&amp;"_"&amp;Tableau1[[#This Row],[NOM]]</f>
        <v>007_C MOLIA</v>
      </c>
      <c r="F7" s="119" t="str">
        <f>Tableau1[[#This Row],[DATE]]&amp;Tableau1[[#This Row],[MOTIF]]</f>
        <v>42647STG</v>
      </c>
    </row>
    <row r="8" spans="1:6">
      <c r="A8" t="str">
        <f>Tableau1[NOM]&amp;Tableau1[DATE]</f>
        <v>C MOLIA42646</v>
      </c>
      <c r="B8" t="s">
        <v>186</v>
      </c>
      <c r="C8" s="140">
        <v>42646</v>
      </c>
      <c r="D8" t="s">
        <v>92</v>
      </c>
      <c r="E8" s="64" t="str">
        <f>TEXT(ROW(),"000")&amp;"_"&amp;Tableau1[[#This Row],[NOM]]</f>
        <v>008_C MOLIA</v>
      </c>
      <c r="F8" s="119" t="str">
        <f>Tableau1[[#This Row],[DATE]]&amp;Tableau1[[#This Row],[MOTIF]]</f>
        <v>42646STG</v>
      </c>
    </row>
    <row r="9" spans="1:6">
      <c r="A9" t="str">
        <f>Tableau1[NOM]&amp;Tableau1[DATE]</f>
        <v>C MOLIA42645</v>
      </c>
      <c r="B9" t="s">
        <v>186</v>
      </c>
      <c r="C9" s="140">
        <v>42645</v>
      </c>
      <c r="D9" t="s">
        <v>92</v>
      </c>
      <c r="E9" s="64" t="str">
        <f>TEXT(ROW(),"000")&amp;"_"&amp;Tableau1[[#This Row],[NOM]]</f>
        <v>009_C MOLIA</v>
      </c>
      <c r="F9" s="119" t="str">
        <f>Tableau1[[#This Row],[DATE]]&amp;Tableau1[[#This Row],[MOTIF]]</f>
        <v>42645STG</v>
      </c>
    </row>
    <row r="10" spans="1:6">
      <c r="A10" t="str">
        <f>Tableau1[NOM]&amp;Tableau1[DATE]</f>
        <v>C MOLIA42644</v>
      </c>
      <c r="B10" t="s">
        <v>186</v>
      </c>
      <c r="C10" s="140">
        <v>42644</v>
      </c>
      <c r="D10" t="s">
        <v>92</v>
      </c>
      <c r="E10" s="64" t="str">
        <f>TEXT(ROW(),"000")&amp;"_"&amp;Tableau1[[#This Row],[NOM]]</f>
        <v>010_C MOLIA</v>
      </c>
      <c r="F10" s="119" t="str">
        <f>Tableau1[[#This Row],[DATE]]&amp;Tableau1[[#This Row],[MOTIF]]</f>
        <v>42644STG</v>
      </c>
    </row>
    <row r="11" spans="1:6">
      <c r="A11" t="str">
        <f>Tableau1[NOM]&amp;Tableau1[DATE]</f>
        <v>C MOLIA42643</v>
      </c>
      <c r="B11" t="s">
        <v>186</v>
      </c>
      <c r="C11" s="140">
        <v>42643</v>
      </c>
      <c r="D11" t="s">
        <v>92</v>
      </c>
      <c r="E11" s="64" t="str">
        <f>TEXT(ROW(),"000")&amp;"_"&amp;Tableau1[[#This Row],[NOM]]</f>
        <v>011_C MOLIA</v>
      </c>
      <c r="F11" s="119" t="str">
        <f>Tableau1[[#This Row],[DATE]]&amp;Tableau1[[#This Row],[MOTIF]]</f>
        <v>42643STG</v>
      </c>
    </row>
    <row r="12" spans="1:6">
      <c r="A12" t="str">
        <f>Tableau1[NOM]&amp;Tableau1[DATE]</f>
        <v>C MOLIA42642</v>
      </c>
      <c r="B12" t="s">
        <v>186</v>
      </c>
      <c r="C12" s="140">
        <v>42642</v>
      </c>
      <c r="D12" t="s">
        <v>92</v>
      </c>
      <c r="E12" s="64" t="str">
        <f>TEXT(ROW(),"000")&amp;"_"&amp;Tableau1[[#This Row],[NOM]]</f>
        <v>012_C MOLIA</v>
      </c>
      <c r="F12" s="119" t="str">
        <f>Tableau1[[#This Row],[DATE]]&amp;Tableau1[[#This Row],[MOTIF]]</f>
        <v>42642STG</v>
      </c>
    </row>
    <row r="13" spans="1:6">
      <c r="A13" t="str">
        <f>Tableau1[NOM]&amp;Tableau1[DATE]</f>
        <v>C MOLIA42641</v>
      </c>
      <c r="B13" t="s">
        <v>186</v>
      </c>
      <c r="C13" s="140">
        <v>42641</v>
      </c>
      <c r="D13" t="s">
        <v>92</v>
      </c>
      <c r="E13" s="64" t="str">
        <f>TEXT(ROW(),"000")&amp;"_"&amp;Tableau1[[#This Row],[NOM]]</f>
        <v>013_C MOLIA</v>
      </c>
      <c r="F13" s="119" t="str">
        <f>Tableau1[[#This Row],[DATE]]&amp;Tableau1[[#This Row],[MOTIF]]</f>
        <v>42641STG</v>
      </c>
    </row>
    <row r="14" spans="1:6">
      <c r="A14" t="str">
        <f>Tableau1[NOM]&amp;Tableau1[DATE]</f>
        <v>C MOLIA42640</v>
      </c>
      <c r="B14" t="s">
        <v>186</v>
      </c>
      <c r="C14" s="140">
        <v>42640</v>
      </c>
      <c r="D14" t="s">
        <v>92</v>
      </c>
      <c r="E14" s="64" t="str">
        <f>TEXT(ROW(),"000")&amp;"_"&amp;Tableau1[[#This Row],[NOM]]</f>
        <v>014_C MOLIA</v>
      </c>
      <c r="F14" s="119" t="str">
        <f>Tableau1[[#This Row],[DATE]]&amp;Tableau1[[#This Row],[MOTIF]]</f>
        <v>42640STG</v>
      </c>
    </row>
    <row r="15" spans="1:6">
      <c r="A15" t="str">
        <f>Tableau1[NOM]&amp;Tableau1[DATE]</f>
        <v>C MOLIA42639</v>
      </c>
      <c r="B15" t="s">
        <v>186</v>
      </c>
      <c r="C15" s="140">
        <v>42639</v>
      </c>
      <c r="D15" t="s">
        <v>92</v>
      </c>
      <c r="E15" s="64" t="str">
        <f>TEXT(ROW(),"000")&amp;"_"&amp;Tableau1[[#This Row],[NOM]]</f>
        <v>015_C MOLIA</v>
      </c>
      <c r="F15" s="119" t="str">
        <f>Tableau1[[#This Row],[DATE]]&amp;Tableau1[[#This Row],[MOTIF]]</f>
        <v>42639STG</v>
      </c>
    </row>
    <row r="16" spans="1:6">
      <c r="A16" t="str">
        <f>Tableau1[NOM]&amp;Tableau1[DATE]</f>
        <v>D PERDEREAU42639</v>
      </c>
      <c r="B16" t="s">
        <v>189</v>
      </c>
      <c r="C16" s="140">
        <v>42639</v>
      </c>
      <c r="D16" t="s">
        <v>76</v>
      </c>
      <c r="E16" s="64" t="str">
        <f>TEXT(ROW(),"000")&amp;"_"&amp;Tableau1[[#This Row],[NOM]]</f>
        <v>016_D PERDEREAU</v>
      </c>
      <c r="F16" s="119" t="str">
        <f>Tableau1[[#This Row],[DATE]]&amp;Tableau1[[#This Row],[MOTIF]]</f>
        <v>42639PO</v>
      </c>
    </row>
    <row r="17" spans="1:6">
      <c r="A17" t="str">
        <f>Tableau1[NOM]&amp;Tableau1[DATE]</f>
        <v>D PERDEREAU42640</v>
      </c>
      <c r="B17" t="s">
        <v>189</v>
      </c>
      <c r="C17" s="140">
        <v>42640</v>
      </c>
      <c r="D17" t="s">
        <v>90</v>
      </c>
      <c r="E17" s="64" t="str">
        <f>TEXT(ROW(),"000")&amp;"_"&amp;Tableau1[[#This Row],[NOM]]</f>
        <v>017_D PERDEREAU</v>
      </c>
      <c r="F17" s="119" t="str">
        <f>Tableau1[[#This Row],[DATE]]&amp;Tableau1[[#This Row],[MOTIF]]</f>
        <v>42640RS</v>
      </c>
    </row>
    <row r="18" spans="1:6">
      <c r="A18" t="str">
        <f>Tableau1[NOM]&amp;Tableau1[DATE]</f>
        <v>D PERDEREAU42641</v>
      </c>
      <c r="B18" t="s">
        <v>189</v>
      </c>
      <c r="C18" s="140">
        <v>42641</v>
      </c>
      <c r="D18" t="s">
        <v>76</v>
      </c>
      <c r="E18" s="64" t="str">
        <f>TEXT(ROW(),"000")&amp;"_"&amp;Tableau1[[#This Row],[NOM]]</f>
        <v>018_D PERDEREAU</v>
      </c>
      <c r="F18" s="119" t="str">
        <f>Tableau1[[#This Row],[DATE]]&amp;Tableau1[[#This Row],[MOTIF]]</f>
        <v>42641PO</v>
      </c>
    </row>
    <row r="19" spans="1:6">
      <c r="A19" t="str">
        <f>Tableau1[NOM]&amp;Tableau1[DATE]</f>
        <v>D PERDEREAU42642</v>
      </c>
      <c r="B19" t="s">
        <v>189</v>
      </c>
      <c r="C19" s="140">
        <v>42642</v>
      </c>
      <c r="D19" t="s">
        <v>90</v>
      </c>
      <c r="E19" s="64" t="str">
        <f>TEXT(ROW(),"000")&amp;"_"&amp;Tableau1[[#This Row],[NOM]]</f>
        <v>019_D PERDEREAU</v>
      </c>
      <c r="F19" s="119" t="str">
        <f>Tableau1[[#This Row],[DATE]]&amp;Tableau1[[#This Row],[MOTIF]]</f>
        <v>42642RS</v>
      </c>
    </row>
    <row r="20" spans="1:6">
      <c r="A20" t="str">
        <f>Tableau1[NOM]&amp;Tableau1[DATE]</f>
        <v>D PERDEREAU42643</v>
      </c>
      <c r="B20" t="s">
        <v>189</v>
      </c>
      <c r="C20" s="140">
        <v>42643</v>
      </c>
      <c r="D20" t="s">
        <v>76</v>
      </c>
      <c r="E20" s="64" t="str">
        <f>TEXT(ROW(),"000")&amp;"_"&amp;Tableau1[[#This Row],[NOM]]</f>
        <v>020_D PERDEREAU</v>
      </c>
      <c r="F20" s="119" t="str">
        <f>Tableau1[[#This Row],[DATE]]&amp;Tableau1[[#This Row],[MOTIF]]</f>
        <v>42643PO</v>
      </c>
    </row>
    <row r="21" spans="1:6">
      <c r="A21" t="str">
        <f>Tableau1[NOM]&amp;Tableau1[DATE]</f>
        <v>D PERDEREAU42644</v>
      </c>
      <c r="B21" t="s">
        <v>189</v>
      </c>
      <c r="C21" s="140">
        <v>42644</v>
      </c>
      <c r="D21" t="s">
        <v>90</v>
      </c>
      <c r="E21" s="64" t="str">
        <f>TEXT(ROW(),"000")&amp;"_"&amp;Tableau1[[#This Row],[NOM]]</f>
        <v>021_D PERDEREAU</v>
      </c>
      <c r="F21" s="119" t="str">
        <f>Tableau1[[#This Row],[DATE]]&amp;Tableau1[[#This Row],[MOTIF]]</f>
        <v>42644RS</v>
      </c>
    </row>
    <row r="22" spans="1:6">
      <c r="A22" t="str">
        <f>Tableau1[NOM]&amp;Tableau1[DATE]</f>
        <v>D PERDEREAU42645</v>
      </c>
      <c r="B22" t="s">
        <v>189</v>
      </c>
      <c r="C22" s="140">
        <v>42645</v>
      </c>
      <c r="D22" t="s">
        <v>86</v>
      </c>
      <c r="E22" s="64" t="str">
        <f>TEXT(ROW(),"000")&amp;"_"&amp;Tableau1[[#This Row],[NOM]]</f>
        <v>022_D PERDEREAU</v>
      </c>
      <c r="F22" s="119" t="str">
        <f>Tableau1[[#This Row],[DATE]]&amp;Tableau1[[#This Row],[MOTIF]]</f>
        <v>42645WPO</v>
      </c>
    </row>
    <row r="23" spans="1:6">
      <c r="A23" t="str">
        <f>Tableau1[NOM]&amp;Tableau1[DATE]</f>
        <v>D PERDEREAU42646</v>
      </c>
      <c r="B23" t="s">
        <v>189</v>
      </c>
      <c r="C23" s="140">
        <v>42646</v>
      </c>
      <c r="D23" t="s">
        <v>90</v>
      </c>
      <c r="E23" s="64" t="str">
        <f>TEXT(ROW(),"000")&amp;"_"&amp;Tableau1[[#This Row],[NOM]]</f>
        <v>023_D PERDEREAU</v>
      </c>
      <c r="F23" s="119" t="str">
        <f>Tableau1[[#This Row],[DATE]]&amp;Tableau1[[#This Row],[MOTIF]]</f>
        <v>42646RS</v>
      </c>
    </row>
    <row r="24" spans="1:6">
      <c r="A24" t="str">
        <f>Tableau1[NOM]&amp;Tableau1[DATE]</f>
        <v>D PERDEREAU42647</v>
      </c>
      <c r="B24" t="s">
        <v>189</v>
      </c>
      <c r="C24" s="140">
        <v>42647</v>
      </c>
      <c r="D24" t="s">
        <v>76</v>
      </c>
      <c r="E24" s="64" t="str">
        <f>TEXT(ROW(),"000")&amp;"_"&amp;Tableau1[[#This Row],[NOM]]</f>
        <v>024_D PERDEREAU</v>
      </c>
      <c r="F24" s="119" t="str">
        <f>Tableau1[[#This Row],[DATE]]&amp;Tableau1[[#This Row],[MOTIF]]</f>
        <v>42647PO</v>
      </c>
    </row>
    <row r="25" spans="1:6">
      <c r="A25" t="str">
        <f>Tableau1[NOM]&amp;Tableau1[DATE]</f>
        <v>D PERDEREAU42648</v>
      </c>
      <c r="B25" t="s">
        <v>189</v>
      </c>
      <c r="C25" s="140">
        <v>42648</v>
      </c>
      <c r="D25" t="s">
        <v>90</v>
      </c>
      <c r="E25" s="64" t="str">
        <f>TEXT(ROW(),"000")&amp;"_"&amp;Tableau1[[#This Row],[NOM]]</f>
        <v>025_D PERDEREAU</v>
      </c>
      <c r="F25" s="119" t="str">
        <f>Tableau1[[#This Row],[DATE]]&amp;Tableau1[[#This Row],[MOTIF]]</f>
        <v>42648RS</v>
      </c>
    </row>
    <row r="26" spans="1:6">
      <c r="A26" t="str">
        <f>Tableau1[NOM]&amp;Tableau1[DATE]</f>
        <v>D PERDEREAU42649</v>
      </c>
      <c r="B26" t="s">
        <v>189</v>
      </c>
      <c r="C26" s="140">
        <v>42649</v>
      </c>
      <c r="D26" t="s">
        <v>76</v>
      </c>
      <c r="E26" s="64" t="str">
        <f>TEXT(ROW(),"000")&amp;"_"&amp;Tableau1[[#This Row],[NOM]]</f>
        <v>026_D PERDEREAU</v>
      </c>
      <c r="F26" s="119" t="str">
        <f>Tableau1[[#This Row],[DATE]]&amp;Tableau1[[#This Row],[MOTIF]]</f>
        <v>42649PO</v>
      </c>
    </row>
    <row r="27" spans="1:6">
      <c r="A27" t="str">
        <f>Tableau1[NOM]&amp;Tableau1[DATE]</f>
        <v>D PERDEREAU42650</v>
      </c>
      <c r="B27" t="s">
        <v>189</v>
      </c>
      <c r="C27" s="140">
        <v>42650</v>
      </c>
      <c r="D27" t="s">
        <v>90</v>
      </c>
      <c r="E27" s="64" t="str">
        <f>TEXT(ROW(),"000")&amp;"_"&amp;Tableau1[[#This Row],[NOM]]</f>
        <v>027_D PERDEREAU</v>
      </c>
      <c r="F27" s="119" t="str">
        <f>Tableau1[[#This Row],[DATE]]&amp;Tableau1[[#This Row],[MOTIF]]</f>
        <v>42650RS</v>
      </c>
    </row>
    <row r="28" spans="1:6">
      <c r="A28" t="str">
        <f>Tableau1[NOM]&amp;Tableau1[DATE]</f>
        <v>D PERDEREAU42651</v>
      </c>
      <c r="B28" t="s">
        <v>189</v>
      </c>
      <c r="C28" s="140">
        <v>42651</v>
      </c>
      <c r="D28" t="s">
        <v>86</v>
      </c>
      <c r="E28" s="64" t="str">
        <f>TEXT(ROW(),"000")&amp;"_"&amp;Tableau1[[#This Row],[NOM]]</f>
        <v>028_D PERDEREAU</v>
      </c>
      <c r="F28" s="119" t="str">
        <f>Tableau1[[#This Row],[DATE]]&amp;Tableau1[[#This Row],[MOTIF]]</f>
        <v>42651WPO</v>
      </c>
    </row>
    <row r="29" spans="1:6">
      <c r="A29" t="str">
        <f>Tableau1[NOM]&amp;Tableau1[DATE]</f>
        <v>D PERDEREAU42652</v>
      </c>
      <c r="B29" t="s">
        <v>189</v>
      </c>
      <c r="C29" s="140">
        <v>42652</v>
      </c>
      <c r="D29" t="s">
        <v>90</v>
      </c>
      <c r="E29" s="64" t="str">
        <f>TEXT(ROW(),"000")&amp;"_"&amp;Tableau1[[#This Row],[NOM]]</f>
        <v>029_D PERDEREAU</v>
      </c>
      <c r="F29" s="119" t="str">
        <f>Tableau1[[#This Row],[DATE]]&amp;Tableau1[[#This Row],[MOTIF]]</f>
        <v>42652RS</v>
      </c>
    </row>
    <row r="30" spans="1:6">
      <c r="A30" t="str">
        <f>Tableau1[NOM]&amp;Tableau1[DATE]</f>
        <v>F VINCENT42642</v>
      </c>
      <c r="B30" t="s">
        <v>193</v>
      </c>
      <c r="C30" s="140">
        <v>42642</v>
      </c>
      <c r="D30" t="s">
        <v>156</v>
      </c>
      <c r="E30" s="64" t="str">
        <f>TEXT(ROW(),"000")&amp;"_"&amp;Tableau1[[#This Row],[NOM]]</f>
        <v>030_F VINCENT</v>
      </c>
      <c r="F30" s="119" t="str">
        <f>Tableau1[[#This Row],[DATE]]&amp;Tableau1[[#This Row],[MOTIF]]</f>
        <v>42642TIR</v>
      </c>
    </row>
    <row r="31" spans="1:6">
      <c r="A31" t="str">
        <f>Tableau1[NOM]&amp;Tableau1[DATE]</f>
        <v>F VINCENT42639</v>
      </c>
      <c r="B31" t="s">
        <v>193</v>
      </c>
      <c r="C31" s="140">
        <v>42639</v>
      </c>
      <c r="D31" t="s">
        <v>93</v>
      </c>
      <c r="E31" s="64" t="str">
        <f>TEXT(ROW(),"000")&amp;"_"&amp;Tableau1[[#This Row],[NOM]]</f>
        <v>031_F VINCENT</v>
      </c>
      <c r="F31" s="119" t="str">
        <f>Tableau1[[#This Row],[DATE]]&amp;Tableau1[[#This Row],[MOTIF]]</f>
        <v>42639TAP</v>
      </c>
    </row>
    <row r="32" spans="1:6">
      <c r="A32" t="str">
        <f>Tableau1[NOM]&amp;Tableau1[DATE]</f>
        <v>F VINCENT42640</v>
      </c>
      <c r="B32" t="s">
        <v>193</v>
      </c>
      <c r="C32" s="140">
        <v>42640</v>
      </c>
      <c r="D32" t="s">
        <v>93</v>
      </c>
      <c r="E32" s="64" t="str">
        <f>TEXT(ROW(),"000")&amp;"_"&amp;Tableau1[[#This Row],[NOM]]</f>
        <v>032_F VINCENT</v>
      </c>
      <c r="F32" s="119" t="str">
        <f>Tableau1[[#This Row],[DATE]]&amp;Tableau1[[#This Row],[MOTIF]]</f>
        <v>42640TAP</v>
      </c>
    </row>
    <row r="33" spans="1:6">
      <c r="A33" t="str">
        <f>Tableau1[NOM]&amp;Tableau1[DATE]</f>
        <v>F VINCENT42641</v>
      </c>
      <c r="B33" t="s">
        <v>193</v>
      </c>
      <c r="C33" s="140">
        <v>42641</v>
      </c>
      <c r="D33" t="s">
        <v>93</v>
      </c>
      <c r="E33" s="64" t="str">
        <f>TEXT(ROW(),"000")&amp;"_"&amp;Tableau1[[#This Row],[NOM]]</f>
        <v>033_F VINCENT</v>
      </c>
      <c r="F33" s="119" t="str">
        <f>Tableau1[[#This Row],[DATE]]&amp;Tableau1[[#This Row],[MOTIF]]</f>
        <v>42641TAP</v>
      </c>
    </row>
    <row r="34" spans="1:6">
      <c r="A34" t="str">
        <f>Tableau1[NOM]&amp;Tableau1[DATE]</f>
        <v>F VINCENT42643</v>
      </c>
      <c r="B34" t="s">
        <v>193</v>
      </c>
      <c r="C34" s="140">
        <v>42643</v>
      </c>
      <c r="D34" t="s">
        <v>87</v>
      </c>
      <c r="E34" s="64" t="str">
        <f>TEXT(ROW(),"000")&amp;"_"&amp;Tableau1[[#This Row],[NOM]]</f>
        <v>034_F VINCENT</v>
      </c>
      <c r="F34" s="119" t="str">
        <f>Tableau1[[#This Row],[DATE]]&amp;Tableau1[[#This Row],[MOTIF]]</f>
        <v>42643OPEX</v>
      </c>
    </row>
    <row r="35" spans="1:6">
      <c r="A35" t="str">
        <f>Tableau1[NOM]&amp;Tableau1[DATE]</f>
        <v>F VINCENT42644</v>
      </c>
      <c r="B35" t="s">
        <v>193</v>
      </c>
      <c r="C35" s="140">
        <v>42644</v>
      </c>
      <c r="D35" t="s">
        <v>87</v>
      </c>
      <c r="E35" s="64" t="str">
        <f>TEXT(ROW(),"000")&amp;"_"&amp;Tableau1[[#This Row],[NOM]]</f>
        <v>035_F VINCENT</v>
      </c>
      <c r="F35" s="119" t="str">
        <f>Tableau1[[#This Row],[DATE]]&amp;Tableau1[[#This Row],[MOTIF]]</f>
        <v>42644OPEX</v>
      </c>
    </row>
    <row r="36" spans="1:6">
      <c r="A36" t="str">
        <f>Tableau1[NOM]&amp;Tableau1[DATE]</f>
        <v>F VINCENT42645</v>
      </c>
      <c r="B36" t="s">
        <v>193</v>
      </c>
      <c r="C36" s="140">
        <v>42645</v>
      </c>
      <c r="D36" t="s">
        <v>87</v>
      </c>
      <c r="E36" s="64" t="str">
        <f>TEXT(ROW(),"000")&amp;"_"&amp;Tableau1[[#This Row],[NOM]]</f>
        <v>036_F VINCENT</v>
      </c>
      <c r="F36" s="119" t="str">
        <f>Tableau1[[#This Row],[DATE]]&amp;Tableau1[[#This Row],[MOTIF]]</f>
        <v>42645OPEX</v>
      </c>
    </row>
    <row r="37" spans="1:6">
      <c r="A37" t="str">
        <f>Tableau1[NOM]&amp;Tableau1[DATE]</f>
        <v>F VINCENT42646</v>
      </c>
      <c r="B37" t="s">
        <v>193</v>
      </c>
      <c r="C37" s="140">
        <v>42646</v>
      </c>
      <c r="D37" t="s">
        <v>87</v>
      </c>
      <c r="E37" s="64" t="str">
        <f>TEXT(ROW(),"000")&amp;"_"&amp;Tableau1[[#This Row],[NOM]]</f>
        <v>037_F VINCENT</v>
      </c>
      <c r="F37" s="119" t="str">
        <f>Tableau1[[#This Row],[DATE]]&amp;Tableau1[[#This Row],[MOTIF]]</f>
        <v>42646OPEX</v>
      </c>
    </row>
    <row r="38" spans="1:6">
      <c r="A38" t="str">
        <f>Tableau1[NOM]&amp;Tableau1[DATE]</f>
        <v>F VINCENT42647</v>
      </c>
      <c r="B38" t="s">
        <v>193</v>
      </c>
      <c r="C38" s="140">
        <v>42647</v>
      </c>
      <c r="D38" t="s">
        <v>87</v>
      </c>
      <c r="E38" s="64" t="str">
        <f>TEXT(ROW(),"000")&amp;"_"&amp;Tableau1[[#This Row],[NOM]]</f>
        <v>038_F VINCENT</v>
      </c>
      <c r="F38" s="119" t="str">
        <f>Tableau1[[#This Row],[DATE]]&amp;Tableau1[[#This Row],[MOTIF]]</f>
        <v>42647OPEX</v>
      </c>
    </row>
    <row r="39" spans="1:6">
      <c r="A39" t="str">
        <f>Tableau1[NOM]&amp;Tableau1[DATE]</f>
        <v>F VINCENT42648</v>
      </c>
      <c r="B39" t="s">
        <v>193</v>
      </c>
      <c r="C39" s="140">
        <v>42648</v>
      </c>
      <c r="D39" t="s">
        <v>87</v>
      </c>
      <c r="E39" s="64" t="str">
        <f>TEXT(ROW(),"000")&amp;"_"&amp;Tableau1[[#This Row],[NOM]]</f>
        <v>039_F VINCENT</v>
      </c>
      <c r="F39" s="119" t="str">
        <f>Tableau1[[#This Row],[DATE]]&amp;Tableau1[[#This Row],[MOTIF]]</f>
        <v>42648OPEX</v>
      </c>
    </row>
    <row r="40" spans="1:6">
      <c r="A40" t="str">
        <f>Tableau1[NOM]&amp;Tableau1[DATE]</f>
        <v>F VINCENT42649</v>
      </c>
      <c r="B40" t="s">
        <v>193</v>
      </c>
      <c r="C40" s="140">
        <v>42649</v>
      </c>
      <c r="D40" t="s">
        <v>87</v>
      </c>
      <c r="E40" s="64" t="str">
        <f>TEXT(ROW(),"000")&amp;"_"&amp;Tableau1[[#This Row],[NOM]]</f>
        <v>040_F VINCENT</v>
      </c>
      <c r="F40" s="119" t="str">
        <f>Tableau1[[#This Row],[DATE]]&amp;Tableau1[[#This Row],[MOTIF]]</f>
        <v>42649OPEX</v>
      </c>
    </row>
    <row r="41" spans="1:6">
      <c r="A41" t="str">
        <f>Tableau1[NOM]&amp;Tableau1[DATE]</f>
        <v>F VINCENT42650</v>
      </c>
      <c r="B41" t="s">
        <v>193</v>
      </c>
      <c r="C41" s="140">
        <v>42650</v>
      </c>
      <c r="D41" t="s">
        <v>87</v>
      </c>
      <c r="E41" s="64" t="str">
        <f>TEXT(ROW(),"000")&amp;"_"&amp;Tableau1[[#This Row],[NOM]]</f>
        <v>041_F VINCENT</v>
      </c>
      <c r="F41" s="119" t="str">
        <f>Tableau1[[#This Row],[DATE]]&amp;Tableau1[[#This Row],[MOTIF]]</f>
        <v>42650OPEX</v>
      </c>
    </row>
    <row r="42" spans="1:6">
      <c r="A42" t="str">
        <f>Tableau1[NOM]&amp;Tableau1[DATE]</f>
        <v>F VINCENT42651</v>
      </c>
      <c r="B42" t="s">
        <v>193</v>
      </c>
      <c r="C42" s="140">
        <v>42651</v>
      </c>
      <c r="D42" t="s">
        <v>87</v>
      </c>
      <c r="E42" s="64" t="str">
        <f>TEXT(ROW(),"000")&amp;"_"&amp;Tableau1[[#This Row],[NOM]]</f>
        <v>042_F VINCENT</v>
      </c>
      <c r="F42" s="119" t="str">
        <f>Tableau1[[#This Row],[DATE]]&amp;Tableau1[[#This Row],[MOTIF]]</f>
        <v>42651OPEX</v>
      </c>
    </row>
    <row r="43" spans="1:6">
      <c r="A43" t="str">
        <f>Tableau1[NOM]&amp;Tableau1[DATE]</f>
        <v>F VINCENT42652</v>
      </c>
      <c r="B43" t="s">
        <v>193</v>
      </c>
      <c r="C43" s="140">
        <v>42652</v>
      </c>
      <c r="D43" t="s">
        <v>87</v>
      </c>
      <c r="E43" s="64" t="str">
        <f>TEXT(ROW(),"000")&amp;"_"&amp;Tableau1[[#This Row],[NOM]]</f>
        <v>043_F VINCENT</v>
      </c>
      <c r="F43" s="119" t="str">
        <f>Tableau1[[#This Row],[DATE]]&amp;Tableau1[[#This Row],[MOTIF]]</f>
        <v>42652OPEX</v>
      </c>
    </row>
    <row r="44" spans="1:6">
      <c r="A44" t="str">
        <f>Tableau1[NOM]&amp;Tableau1[DATE]</f>
        <v>A GUILLEMET42645</v>
      </c>
      <c r="B44" t="s">
        <v>180</v>
      </c>
      <c r="C44" s="140">
        <v>42645</v>
      </c>
      <c r="D44" t="s">
        <v>88</v>
      </c>
      <c r="E44" s="64" t="str">
        <f>TEXT(ROW(),"000")&amp;"_"&amp;Tableau1[[#This Row],[NOM]]</f>
        <v>044_A GUILLEMET</v>
      </c>
      <c r="F44" s="119" t="str">
        <f>Tableau1[[#This Row],[DATE]]&amp;Tableau1[[#This Row],[MOTIF]]</f>
        <v>42645PATC</v>
      </c>
    </row>
    <row r="45" spans="1:6">
      <c r="A45" t="str">
        <f>Tableau1[NOM]&amp;Tableau1[DATE]</f>
        <v>A GUILLEMET42644</v>
      </c>
      <c r="B45" t="s">
        <v>180</v>
      </c>
      <c r="C45" s="140">
        <v>42644</v>
      </c>
      <c r="D45" t="s">
        <v>88</v>
      </c>
      <c r="E45" s="64" t="str">
        <f>TEXT(ROW(),"000")&amp;"_"&amp;Tableau1[[#This Row],[NOM]]</f>
        <v>045_A GUILLEMET</v>
      </c>
      <c r="F45" s="119" t="str">
        <f>Tableau1[[#This Row],[DATE]]&amp;Tableau1[[#This Row],[MOTIF]]</f>
        <v>42644PATC</v>
      </c>
    </row>
    <row r="46" spans="1:6">
      <c r="A46" t="str">
        <f>Tableau1[NOM]&amp;Tableau1[DATE]</f>
        <v>A GUILLEMET42643</v>
      </c>
      <c r="B46" t="s">
        <v>180</v>
      </c>
      <c r="C46" s="140">
        <v>42643</v>
      </c>
      <c r="D46" t="s">
        <v>88</v>
      </c>
      <c r="E46" s="64" t="str">
        <f>TEXT(ROW(),"000")&amp;"_"&amp;Tableau1[[#This Row],[NOM]]</f>
        <v>046_A GUILLEMET</v>
      </c>
      <c r="F46" s="119" t="str">
        <f>Tableau1[[#This Row],[DATE]]&amp;Tableau1[[#This Row],[MOTIF]]</f>
        <v>42643PATC</v>
      </c>
    </row>
    <row r="47" spans="1:6">
      <c r="A47" t="str">
        <f>Tableau1[NOM]&amp;Tableau1[DATE]</f>
        <v>A GUILLEMET42642</v>
      </c>
      <c r="B47" t="s">
        <v>180</v>
      </c>
      <c r="C47" s="140">
        <v>42642</v>
      </c>
      <c r="D47" t="s">
        <v>88</v>
      </c>
      <c r="E47" s="64" t="str">
        <f>TEXT(ROW(),"000")&amp;"_"&amp;Tableau1[[#This Row],[NOM]]</f>
        <v>047_A GUILLEMET</v>
      </c>
      <c r="F47" s="119" t="str">
        <f>Tableau1[[#This Row],[DATE]]&amp;Tableau1[[#This Row],[MOTIF]]</f>
        <v>42642PATC</v>
      </c>
    </row>
    <row r="48" spans="1:6">
      <c r="A48" t="str">
        <f>Tableau1[NOM]&amp;Tableau1[DATE]</f>
        <v>A GUILLEMET42641</v>
      </c>
      <c r="B48" t="s">
        <v>180</v>
      </c>
      <c r="C48" s="140">
        <v>42641</v>
      </c>
      <c r="D48" t="s">
        <v>88</v>
      </c>
      <c r="E48" s="64" t="str">
        <f>TEXT(ROW(),"000")&amp;"_"&amp;Tableau1[[#This Row],[NOM]]</f>
        <v>048_A GUILLEMET</v>
      </c>
      <c r="F48" s="119" t="str">
        <f>Tableau1[[#This Row],[DATE]]&amp;Tableau1[[#This Row],[MOTIF]]</f>
        <v>42641PATC</v>
      </c>
    </row>
    <row r="49" spans="1:6">
      <c r="A49" t="str">
        <f>Tableau1[NOM]&amp;Tableau1[DATE]</f>
        <v>A GUILLEMET42640</v>
      </c>
      <c r="B49" t="s">
        <v>180</v>
      </c>
      <c r="C49" s="140">
        <v>42640</v>
      </c>
      <c r="D49" t="s">
        <v>88</v>
      </c>
      <c r="E49" s="64" t="str">
        <f>TEXT(ROW(),"000")&amp;"_"&amp;Tableau1[[#This Row],[NOM]]</f>
        <v>049_A GUILLEMET</v>
      </c>
      <c r="F49" s="119" t="str">
        <f>Tableau1[[#This Row],[DATE]]&amp;Tableau1[[#This Row],[MOTIF]]</f>
        <v>42640PATC</v>
      </c>
    </row>
    <row r="50" spans="1:6">
      <c r="A50" t="str">
        <f>Tableau1[NOM]&amp;Tableau1[DATE]</f>
        <v>A GUILLEMET42639</v>
      </c>
      <c r="B50" t="s">
        <v>180</v>
      </c>
      <c r="C50" s="140">
        <v>42639</v>
      </c>
      <c r="D50" t="s">
        <v>88</v>
      </c>
      <c r="E50" s="64" t="str">
        <f>TEXT(ROW(),"000")&amp;"_"&amp;Tableau1[[#This Row],[NOM]]</f>
        <v>050_A GUILLEMET</v>
      </c>
      <c r="F50" s="119" t="str">
        <f>Tableau1[[#This Row],[DATE]]&amp;Tableau1[[#This Row],[MOTIF]]</f>
        <v>42639PATC</v>
      </c>
    </row>
    <row r="51" spans="1:6">
      <c r="A51" t="str">
        <f>Tableau1[NOM]&amp;Tableau1[DATE]</f>
        <v>A GUILLEMET42646</v>
      </c>
      <c r="B51" t="s">
        <v>180</v>
      </c>
      <c r="C51" s="140">
        <v>42646</v>
      </c>
      <c r="D51" t="s">
        <v>177</v>
      </c>
      <c r="E51" s="64" t="str">
        <f>TEXT(ROW(),"000")&amp;"_"&amp;Tableau1[[#This Row],[NOM]]</f>
        <v>051_A GUILLEMET</v>
      </c>
      <c r="F51" s="119" t="str">
        <f>Tableau1[[#This Row],[DATE]]&amp;Tableau1[[#This Row],[MOTIF]]</f>
        <v>42646P</v>
      </c>
    </row>
    <row r="52" spans="1:6">
      <c r="A52" t="str">
        <f>Tableau1[NOM]&amp;Tableau1[DATE]</f>
        <v>A GUILLEMET42647</v>
      </c>
      <c r="B52" t="s">
        <v>180</v>
      </c>
      <c r="C52" s="140">
        <v>42647</v>
      </c>
      <c r="D52" t="s">
        <v>177</v>
      </c>
      <c r="E52" s="64" t="str">
        <f>TEXT(ROW(),"000")&amp;"_"&amp;Tableau1[[#This Row],[NOM]]</f>
        <v>052_A GUILLEMET</v>
      </c>
      <c r="F52" s="119" t="str">
        <f>Tableau1[[#This Row],[DATE]]&amp;Tableau1[[#This Row],[MOTIF]]</f>
        <v>42647P</v>
      </c>
    </row>
    <row r="53" spans="1:6">
      <c r="A53" t="str">
        <f>Tableau1[NOM]&amp;Tableau1[DATE]</f>
        <v>A GUILLEMET42648</v>
      </c>
      <c r="B53" t="s">
        <v>180</v>
      </c>
      <c r="C53" s="140">
        <v>42648</v>
      </c>
      <c r="D53" t="s">
        <v>177</v>
      </c>
      <c r="E53" s="64" t="str">
        <f>TEXT(ROW(),"000")&amp;"_"&amp;Tableau1[[#This Row],[NOM]]</f>
        <v>053_A GUILLEMET</v>
      </c>
      <c r="F53" s="119" t="str">
        <f>Tableau1[[#This Row],[DATE]]&amp;Tableau1[[#This Row],[MOTIF]]</f>
        <v>42648P</v>
      </c>
    </row>
    <row r="54" spans="1:6">
      <c r="A54" t="str">
        <f>Tableau1[NOM]&amp;Tableau1[DATE]</f>
        <v>A GUILLEMET42649</v>
      </c>
      <c r="B54" t="s">
        <v>180</v>
      </c>
      <c r="C54" s="140">
        <v>42649</v>
      </c>
      <c r="D54" t="s">
        <v>177</v>
      </c>
      <c r="E54" s="64" t="str">
        <f>TEXT(ROW(),"000")&amp;"_"&amp;Tableau1[[#This Row],[NOM]]</f>
        <v>054_A GUILLEMET</v>
      </c>
      <c r="F54" s="119" t="str">
        <f>Tableau1[[#This Row],[DATE]]&amp;Tableau1[[#This Row],[MOTIF]]</f>
        <v>42649P</v>
      </c>
    </row>
    <row r="55" spans="1:6">
      <c r="A55" t="str">
        <f>Tableau1[NOM]&amp;Tableau1[DATE]</f>
        <v>A GUILLEMET42650</v>
      </c>
      <c r="B55" t="s">
        <v>180</v>
      </c>
      <c r="C55" s="140">
        <v>42650</v>
      </c>
      <c r="D55" t="s">
        <v>177</v>
      </c>
      <c r="E55" s="64" t="str">
        <f>TEXT(ROW(),"000")&amp;"_"&amp;Tableau1[[#This Row],[NOM]]</f>
        <v>055_A GUILLEMET</v>
      </c>
      <c r="F55" s="119" t="str">
        <f>Tableau1[[#This Row],[DATE]]&amp;Tableau1[[#This Row],[MOTIF]]</f>
        <v>42650P</v>
      </c>
    </row>
    <row r="56" spans="1:6">
      <c r="A56" t="str">
        <f>Tableau1[NOM]&amp;Tableau1[DATE]</f>
        <v>A GUILLEMET42651</v>
      </c>
      <c r="B56" t="s">
        <v>180</v>
      </c>
      <c r="C56" s="140">
        <v>42651</v>
      </c>
      <c r="D56" t="s">
        <v>177</v>
      </c>
      <c r="E56" s="64" t="str">
        <f>TEXT(ROW(),"000")&amp;"_"&amp;Tableau1[[#This Row],[NOM]]</f>
        <v>056_A GUILLEMET</v>
      </c>
      <c r="F56" s="119" t="str">
        <f>Tableau1[[#This Row],[DATE]]&amp;Tableau1[[#This Row],[MOTIF]]</f>
        <v>42651P</v>
      </c>
    </row>
    <row r="57" spans="1:6">
      <c r="A57" t="str">
        <f>Tableau1[NOM]&amp;Tableau1[DATE]</f>
        <v>A GUILLEMET42652</v>
      </c>
      <c r="B57" t="s">
        <v>180</v>
      </c>
      <c r="C57" s="140">
        <v>42652</v>
      </c>
      <c r="D57" t="s">
        <v>177</v>
      </c>
      <c r="E57" s="64" t="str">
        <f>TEXT(ROW(),"000")&amp;"_"&amp;Tableau1[[#This Row],[NOM]]</f>
        <v>057_A GUILLEMET</v>
      </c>
      <c r="F57" s="119" t="str">
        <f>Tableau1[[#This Row],[DATE]]&amp;Tableau1[[#This Row],[MOTIF]]</f>
        <v>42652P</v>
      </c>
    </row>
    <row r="58" spans="1:6">
      <c r="A58" t="str">
        <f>Tableau1[NOM]&amp;Tableau1[DATE]</f>
        <v>B MADI42639</v>
      </c>
      <c r="B58" t="s">
        <v>183</v>
      </c>
      <c r="C58" s="140">
        <v>42639</v>
      </c>
      <c r="D58" t="s">
        <v>76</v>
      </c>
      <c r="E58" s="64" t="str">
        <f>TEXT(ROW(),"000")&amp;"_"&amp;Tableau1[[#This Row],[NOM]]</f>
        <v>058_B MADI</v>
      </c>
      <c r="F58" s="119" t="str">
        <f>Tableau1[[#This Row],[DATE]]&amp;Tableau1[[#This Row],[MOTIF]]</f>
        <v>42639PO</v>
      </c>
    </row>
    <row r="59" spans="1:6">
      <c r="A59" t="str">
        <f>Tableau1[NOM]&amp;Tableau1[DATE]</f>
        <v>B MADI42640</v>
      </c>
      <c r="B59" t="s">
        <v>183</v>
      </c>
      <c r="C59" s="140">
        <v>42640</v>
      </c>
      <c r="D59" t="s">
        <v>90</v>
      </c>
      <c r="E59" s="64" t="str">
        <f>TEXT(ROW(),"000")&amp;"_"&amp;Tableau1[[#This Row],[NOM]]</f>
        <v>059_B MADI</v>
      </c>
      <c r="F59" s="119" t="str">
        <f>Tableau1[[#This Row],[DATE]]&amp;Tableau1[[#This Row],[MOTIF]]</f>
        <v>42640RS</v>
      </c>
    </row>
    <row r="60" spans="1:6">
      <c r="A60" t="str">
        <f>Tableau1[NOM]&amp;Tableau1[DATE]</f>
        <v>B MADI42641</v>
      </c>
      <c r="B60" t="s">
        <v>183</v>
      </c>
      <c r="C60" s="140">
        <v>42641</v>
      </c>
      <c r="D60" t="s">
        <v>76</v>
      </c>
      <c r="E60" s="64" t="str">
        <f>TEXT(ROW(),"000")&amp;"_"&amp;Tableau1[[#This Row],[NOM]]</f>
        <v>060_B MADI</v>
      </c>
      <c r="F60" s="119" t="str">
        <f>Tableau1[[#This Row],[DATE]]&amp;Tableau1[[#This Row],[MOTIF]]</f>
        <v>42641PO</v>
      </c>
    </row>
    <row r="61" spans="1:6">
      <c r="A61" t="str">
        <f>Tableau1[NOM]&amp;Tableau1[DATE]</f>
        <v>B MADI42642</v>
      </c>
      <c r="B61" t="s">
        <v>183</v>
      </c>
      <c r="C61" s="140">
        <v>42642</v>
      </c>
      <c r="D61" t="s">
        <v>90</v>
      </c>
      <c r="E61" s="64" t="str">
        <f>TEXT(ROW(),"000")&amp;"_"&amp;Tableau1[[#This Row],[NOM]]</f>
        <v>061_B MADI</v>
      </c>
      <c r="F61" s="119" t="str">
        <f>Tableau1[[#This Row],[DATE]]&amp;Tableau1[[#This Row],[MOTIF]]</f>
        <v>42642RS</v>
      </c>
    </row>
    <row r="62" spans="1:6">
      <c r="A62" t="str">
        <f>Tableau1[NOM]&amp;Tableau1[DATE]</f>
        <v>B MADI42643</v>
      </c>
      <c r="B62" t="s">
        <v>183</v>
      </c>
      <c r="C62" s="140">
        <v>42643</v>
      </c>
      <c r="D62" t="s">
        <v>76</v>
      </c>
      <c r="E62" s="64" t="str">
        <f>TEXT(ROW(),"000")&amp;"_"&amp;Tableau1[[#This Row],[NOM]]</f>
        <v>062_B MADI</v>
      </c>
      <c r="F62" s="119" t="str">
        <f>Tableau1[[#This Row],[DATE]]&amp;Tableau1[[#This Row],[MOTIF]]</f>
        <v>42643PO</v>
      </c>
    </row>
    <row r="63" spans="1:6">
      <c r="A63" t="str">
        <f>Tableau1[NOM]&amp;Tableau1[DATE]</f>
        <v>B MADI42644</v>
      </c>
      <c r="B63" t="s">
        <v>183</v>
      </c>
      <c r="C63" s="140">
        <v>42644</v>
      </c>
      <c r="D63" t="s">
        <v>90</v>
      </c>
      <c r="E63" s="64" t="str">
        <f>TEXT(ROW(),"000")&amp;"_"&amp;Tableau1[[#This Row],[NOM]]</f>
        <v>063_B MADI</v>
      </c>
      <c r="F63" s="119" t="str">
        <f>Tableau1[[#This Row],[DATE]]&amp;Tableau1[[#This Row],[MOTIF]]</f>
        <v>42644RS</v>
      </c>
    </row>
    <row r="64" spans="1:6">
      <c r="A64" t="str">
        <f>Tableau1[NOM]&amp;Tableau1[DATE]</f>
        <v>B MADI42645</v>
      </c>
      <c r="B64" t="s">
        <v>183</v>
      </c>
      <c r="C64" s="140">
        <v>42645</v>
      </c>
      <c r="D64" t="s">
        <v>86</v>
      </c>
      <c r="E64" s="64" t="str">
        <f>TEXT(ROW(),"000")&amp;"_"&amp;Tableau1[[#This Row],[NOM]]</f>
        <v>064_B MADI</v>
      </c>
      <c r="F64" s="119" t="str">
        <f>Tableau1[[#This Row],[DATE]]&amp;Tableau1[[#This Row],[MOTIF]]</f>
        <v>42645WPO</v>
      </c>
    </row>
    <row r="65" spans="1:6">
      <c r="A65" t="str">
        <f>Tableau1[NOM]&amp;Tableau1[DATE]</f>
        <v>B MADI42646</v>
      </c>
      <c r="B65" t="s">
        <v>183</v>
      </c>
      <c r="C65" s="140">
        <v>42646</v>
      </c>
      <c r="D65" t="s">
        <v>90</v>
      </c>
      <c r="E65" s="64" t="str">
        <f>TEXT(ROW(),"000")&amp;"_"&amp;Tableau1[[#This Row],[NOM]]</f>
        <v>065_B MADI</v>
      </c>
      <c r="F65" s="119" t="str">
        <f>Tableau1[[#This Row],[DATE]]&amp;Tableau1[[#This Row],[MOTIF]]</f>
        <v>42646RS</v>
      </c>
    </row>
    <row r="66" spans="1:6">
      <c r="A66" t="str">
        <f>Tableau1[NOM]&amp;Tableau1[DATE]</f>
        <v>B MADI42647</v>
      </c>
      <c r="B66" t="s">
        <v>183</v>
      </c>
      <c r="C66" s="140">
        <v>42647</v>
      </c>
      <c r="D66" t="s">
        <v>76</v>
      </c>
      <c r="E66" s="64" t="str">
        <f>TEXT(ROW(),"000")&amp;"_"&amp;Tableau1[[#This Row],[NOM]]</f>
        <v>066_B MADI</v>
      </c>
      <c r="F66" s="119" t="str">
        <f>Tableau1[[#This Row],[DATE]]&amp;Tableau1[[#This Row],[MOTIF]]</f>
        <v>42647PO</v>
      </c>
    </row>
    <row r="67" spans="1:6">
      <c r="A67" t="str">
        <f>Tableau1[NOM]&amp;Tableau1[DATE]</f>
        <v>B MADI42648</v>
      </c>
      <c r="B67" t="s">
        <v>183</v>
      </c>
      <c r="C67" s="140">
        <v>42648</v>
      </c>
      <c r="D67" t="s">
        <v>90</v>
      </c>
      <c r="E67" s="64" t="str">
        <f>TEXT(ROW(),"000")&amp;"_"&amp;Tableau1[[#This Row],[NOM]]</f>
        <v>067_B MADI</v>
      </c>
      <c r="F67" s="119" t="str">
        <f>Tableau1[[#This Row],[DATE]]&amp;Tableau1[[#This Row],[MOTIF]]</f>
        <v>42648RS</v>
      </c>
    </row>
    <row r="68" spans="1:6">
      <c r="A68" t="str">
        <f>Tableau1[NOM]&amp;Tableau1[DATE]</f>
        <v>B MADI42649</v>
      </c>
      <c r="B68" t="s">
        <v>183</v>
      </c>
      <c r="C68" s="140">
        <v>42649</v>
      </c>
      <c r="D68" t="s">
        <v>76</v>
      </c>
      <c r="E68" s="64" t="str">
        <f>TEXT(ROW(),"000")&amp;"_"&amp;Tableau1[[#This Row],[NOM]]</f>
        <v>068_B MADI</v>
      </c>
      <c r="F68" s="119" t="str">
        <f>Tableau1[[#This Row],[DATE]]&amp;Tableau1[[#This Row],[MOTIF]]</f>
        <v>42649PO</v>
      </c>
    </row>
    <row r="69" spans="1:6">
      <c r="A69" t="str">
        <f>Tableau1[NOM]&amp;Tableau1[DATE]</f>
        <v>B MADI42650</v>
      </c>
      <c r="B69" t="s">
        <v>183</v>
      </c>
      <c r="C69" s="140">
        <v>42650</v>
      </c>
      <c r="D69" t="s">
        <v>90</v>
      </c>
      <c r="E69" s="64" t="str">
        <f>TEXT(ROW(),"000")&amp;"_"&amp;Tableau1[[#This Row],[NOM]]</f>
        <v>069_B MADI</v>
      </c>
      <c r="F69" s="119" t="str">
        <f>Tableau1[[#This Row],[DATE]]&amp;Tableau1[[#This Row],[MOTIF]]</f>
        <v>42650RS</v>
      </c>
    </row>
    <row r="70" spans="1:6">
      <c r="A70" t="str">
        <f>Tableau1[NOM]&amp;Tableau1[DATE]</f>
        <v>B MADI42651</v>
      </c>
      <c r="B70" t="s">
        <v>183</v>
      </c>
      <c r="C70" s="140">
        <v>42651</v>
      </c>
      <c r="D70" t="s">
        <v>86</v>
      </c>
      <c r="E70" s="64" t="str">
        <f>TEXT(ROW(),"000")&amp;"_"&amp;Tableau1[[#This Row],[NOM]]</f>
        <v>070_B MADI</v>
      </c>
      <c r="F70" s="119" t="str">
        <f>Tableau1[[#This Row],[DATE]]&amp;Tableau1[[#This Row],[MOTIF]]</f>
        <v>42651WPO</v>
      </c>
    </row>
    <row r="71" spans="1:6">
      <c r="A71" t="str">
        <f>Tableau1[NOM]&amp;Tableau1[DATE]</f>
        <v>B MADI42652</v>
      </c>
      <c r="B71" t="s">
        <v>183</v>
      </c>
      <c r="C71" s="140">
        <v>42652</v>
      </c>
      <c r="D71" t="s">
        <v>90</v>
      </c>
      <c r="E71" s="64" t="str">
        <f>TEXT(ROW(),"000")&amp;"_"&amp;Tableau1[[#This Row],[NOM]]</f>
        <v>071_B MADI</v>
      </c>
      <c r="F71" s="119" t="str">
        <f>Tableau1[[#This Row],[DATE]]&amp;Tableau1[[#This Row],[MOTIF]]</f>
        <v>42652RS</v>
      </c>
    </row>
    <row r="72" spans="1:6">
      <c r="A72" s="105" t="str">
        <f>Tableau1[NOM]&amp;Tableau1[DATE]</f>
        <v>NE   PAS  EFFACER</v>
      </c>
      <c r="B72" s="105" t="s">
        <v>104</v>
      </c>
      <c r="C72" s="106" t="s">
        <v>73</v>
      </c>
      <c r="D72" s="105" t="s">
        <v>105</v>
      </c>
      <c r="E72" s="64" t="str">
        <f>TEXT(ROW(),"000")&amp;"_"&amp;Tableau1[[#This Row],[NOM]]</f>
        <v xml:space="preserve">072_NE   PAS  </v>
      </c>
      <c r="F72" s="103" t="str">
        <f>Tableau1[[#This Row],[DATE]]&amp;Tableau1[[#This Row],[MOTIF]]</f>
        <v>EFFACER!!!!</v>
      </c>
    </row>
    <row r="73" spans="1:6">
      <c r="A73" t="str">
        <f>Tableau1[NOM]&amp;Tableau1[DATE]</f>
        <v>SGC LAFONT42639</v>
      </c>
      <c r="B73" t="s">
        <v>153</v>
      </c>
      <c r="C73" s="140">
        <v>42639</v>
      </c>
      <c r="D73" t="s">
        <v>76</v>
      </c>
      <c r="E73" s="64" t="str">
        <f>TEXT(ROW(),"000")&amp;"_"&amp;Tableau1[[#This Row],[NOM]]</f>
        <v>073_SGC LAFONT</v>
      </c>
      <c r="F73" s="119" t="str">
        <f>Tableau1[[#This Row],[DATE]]&amp;Tableau1[[#This Row],[MOTIF]]</f>
        <v>42639PO</v>
      </c>
    </row>
    <row r="74" spans="1:6">
      <c r="A74" t="str">
        <f>Tableau1[NOM]&amp;Tableau1[DATE]</f>
        <v>SGC LAFONT42640</v>
      </c>
      <c r="B74" t="s">
        <v>153</v>
      </c>
      <c r="C74" s="140">
        <v>42640</v>
      </c>
      <c r="D74" t="s">
        <v>90</v>
      </c>
      <c r="E74" s="64" t="str">
        <f>TEXT(ROW(),"000")&amp;"_"&amp;Tableau1[[#This Row],[NOM]]</f>
        <v>074_SGC LAFONT</v>
      </c>
      <c r="F74" s="119" t="str">
        <f>Tableau1[[#This Row],[DATE]]&amp;Tableau1[[#This Row],[MOTIF]]</f>
        <v>42640RS</v>
      </c>
    </row>
    <row r="75" spans="1:6">
      <c r="A75" t="str">
        <f>Tableau1[NOM]&amp;Tableau1[DATE]</f>
        <v>SGC LAFONT42641</v>
      </c>
      <c r="B75" t="s">
        <v>153</v>
      </c>
      <c r="C75" s="140">
        <v>42641</v>
      </c>
      <c r="D75" t="s">
        <v>76</v>
      </c>
      <c r="E75" s="64" t="str">
        <f>TEXT(ROW(),"000")&amp;"_"&amp;Tableau1[[#This Row],[NOM]]</f>
        <v>075_SGC LAFONT</v>
      </c>
      <c r="F75" s="119" t="str">
        <f>Tableau1[[#This Row],[DATE]]&amp;Tableau1[[#This Row],[MOTIF]]</f>
        <v>42641PO</v>
      </c>
    </row>
    <row r="76" spans="1:6">
      <c r="A76" t="str">
        <f>Tableau1[NOM]&amp;Tableau1[DATE]</f>
        <v>SGC LAFONT42642</v>
      </c>
      <c r="B76" t="s">
        <v>153</v>
      </c>
      <c r="C76" s="140">
        <v>42642</v>
      </c>
      <c r="D76" t="s">
        <v>90</v>
      </c>
      <c r="E76" s="64" t="str">
        <f>TEXT(ROW(),"000")&amp;"_"&amp;Tableau1[[#This Row],[NOM]]</f>
        <v>076_SGC LAFONT</v>
      </c>
      <c r="F76" s="119" t="str">
        <f>Tableau1[[#This Row],[DATE]]&amp;Tableau1[[#This Row],[MOTIF]]</f>
        <v>42642RS</v>
      </c>
    </row>
    <row r="77" spans="1:6">
      <c r="A77" t="str">
        <f>Tableau1[NOM]&amp;Tableau1[DATE]</f>
        <v>SGC LAFONT42643</v>
      </c>
      <c r="B77" t="s">
        <v>153</v>
      </c>
      <c r="C77" s="140">
        <v>42643</v>
      </c>
      <c r="D77" t="s">
        <v>76</v>
      </c>
      <c r="E77" s="64" t="str">
        <f>TEXT(ROW(),"000")&amp;"_"&amp;Tableau1[[#This Row],[NOM]]</f>
        <v>077_SGC LAFONT</v>
      </c>
      <c r="F77" s="119" t="str">
        <f>Tableau1[[#This Row],[DATE]]&amp;Tableau1[[#This Row],[MOTIF]]</f>
        <v>42643PO</v>
      </c>
    </row>
    <row r="78" spans="1:6">
      <c r="A78" t="str">
        <f>Tableau1[NOM]&amp;Tableau1[DATE]</f>
        <v>SGC LAFONT42644</v>
      </c>
      <c r="B78" t="s">
        <v>153</v>
      </c>
      <c r="C78" s="140">
        <v>42644</v>
      </c>
      <c r="D78" t="s">
        <v>90</v>
      </c>
      <c r="E78" s="64" t="str">
        <f>TEXT(ROW(),"000")&amp;"_"&amp;Tableau1[[#This Row],[NOM]]</f>
        <v>078_SGC LAFONT</v>
      </c>
      <c r="F78" s="119" t="str">
        <f>Tableau1[[#This Row],[DATE]]&amp;Tableau1[[#This Row],[MOTIF]]</f>
        <v>42644RS</v>
      </c>
    </row>
    <row r="79" spans="1:6">
      <c r="A79" t="str">
        <f>Tableau1[NOM]&amp;Tableau1[DATE]</f>
        <v>SGC LAFONT42645</v>
      </c>
      <c r="B79" t="s">
        <v>153</v>
      </c>
      <c r="C79" s="140">
        <v>42645</v>
      </c>
      <c r="D79" t="s">
        <v>86</v>
      </c>
      <c r="E79" s="64" t="str">
        <f>TEXT(ROW(),"000")&amp;"_"&amp;Tableau1[[#This Row],[NOM]]</f>
        <v>079_SGC LAFONT</v>
      </c>
      <c r="F79" s="119" t="str">
        <f>Tableau1[[#This Row],[DATE]]&amp;Tableau1[[#This Row],[MOTIF]]</f>
        <v>42645WPO</v>
      </c>
    </row>
    <row r="80" spans="1:6">
      <c r="A80" t="str">
        <f>Tableau1[NOM]&amp;Tableau1[DATE]</f>
        <v>SGC LAFONT42646</v>
      </c>
      <c r="B80" t="s">
        <v>153</v>
      </c>
      <c r="C80" s="140">
        <v>42646</v>
      </c>
      <c r="D80" t="s">
        <v>90</v>
      </c>
      <c r="E80" s="64" t="str">
        <f>TEXT(ROW(),"000")&amp;"_"&amp;Tableau1[[#This Row],[NOM]]</f>
        <v>080_SGC LAFONT</v>
      </c>
      <c r="F80" s="119" t="str">
        <f>Tableau1[[#This Row],[DATE]]&amp;Tableau1[[#This Row],[MOTIF]]</f>
        <v>42646RS</v>
      </c>
    </row>
    <row r="81" spans="1:6">
      <c r="A81" t="str">
        <f>Tableau1[NOM]&amp;Tableau1[DATE]</f>
        <v>SGC LAFONT42647</v>
      </c>
      <c r="B81" t="s">
        <v>153</v>
      </c>
      <c r="C81" s="140">
        <v>42647</v>
      </c>
      <c r="D81" t="s">
        <v>76</v>
      </c>
      <c r="E81" s="64" t="str">
        <f>TEXT(ROW(),"000")&amp;"_"&amp;Tableau1[[#This Row],[NOM]]</f>
        <v>081_SGC LAFONT</v>
      </c>
      <c r="F81" s="119" t="str">
        <f>Tableau1[[#This Row],[DATE]]&amp;Tableau1[[#This Row],[MOTIF]]</f>
        <v>42647PO</v>
      </c>
    </row>
    <row r="82" spans="1:6">
      <c r="A82" t="str">
        <f>Tableau1[NOM]&amp;Tableau1[DATE]</f>
        <v>SGC LAFONT42648</v>
      </c>
      <c r="B82" t="s">
        <v>153</v>
      </c>
      <c r="C82" s="140">
        <v>42648</v>
      </c>
      <c r="D82" t="s">
        <v>90</v>
      </c>
      <c r="E82" s="64" t="str">
        <f>TEXT(ROW(),"000")&amp;"_"&amp;Tableau1[[#This Row],[NOM]]</f>
        <v>082_SGC LAFONT</v>
      </c>
      <c r="F82" s="119" t="str">
        <f>Tableau1[[#This Row],[DATE]]&amp;Tableau1[[#This Row],[MOTIF]]</f>
        <v>42648RS</v>
      </c>
    </row>
    <row r="83" spans="1:6">
      <c r="A83" t="str">
        <f>Tableau1[NOM]&amp;Tableau1[DATE]</f>
        <v>SGC LAFONT42649</v>
      </c>
      <c r="B83" t="s">
        <v>153</v>
      </c>
      <c r="C83" s="140">
        <v>42649</v>
      </c>
      <c r="D83" t="s">
        <v>76</v>
      </c>
      <c r="E83" s="64" t="str">
        <f>TEXT(ROW(),"000")&amp;"_"&amp;Tableau1[[#This Row],[NOM]]</f>
        <v>083_SGC LAFONT</v>
      </c>
      <c r="F83" s="119" t="str">
        <f>Tableau1[[#This Row],[DATE]]&amp;Tableau1[[#This Row],[MOTIF]]</f>
        <v>42649PO</v>
      </c>
    </row>
    <row r="84" spans="1:6">
      <c r="A84" t="str">
        <f>Tableau1[NOM]&amp;Tableau1[DATE]</f>
        <v>SGC LAFONT42650</v>
      </c>
      <c r="B84" t="s">
        <v>153</v>
      </c>
      <c r="C84" s="140">
        <v>42650</v>
      </c>
      <c r="D84" t="s">
        <v>90</v>
      </c>
      <c r="E84" s="64" t="str">
        <f>TEXT(ROW(),"000")&amp;"_"&amp;Tableau1[[#This Row],[NOM]]</f>
        <v>084_SGC LAFONT</v>
      </c>
      <c r="F84" s="119" t="str">
        <f>Tableau1[[#This Row],[DATE]]&amp;Tableau1[[#This Row],[MOTIF]]</f>
        <v>42650RS</v>
      </c>
    </row>
    <row r="85" spans="1:6">
      <c r="A85" t="str">
        <f>Tableau1[NOM]&amp;Tableau1[DATE]</f>
        <v>SGC LAFONT42651</v>
      </c>
      <c r="B85" t="s">
        <v>153</v>
      </c>
      <c r="C85" s="140">
        <v>42651</v>
      </c>
      <c r="D85" t="s">
        <v>86</v>
      </c>
      <c r="E85" s="64" t="str">
        <f>TEXT(ROW(),"000")&amp;"_"&amp;Tableau1[[#This Row],[NOM]]</f>
        <v>085_SGC LAFONT</v>
      </c>
      <c r="F85" s="119" t="str">
        <f>Tableau1[[#This Row],[DATE]]&amp;Tableau1[[#This Row],[MOTIF]]</f>
        <v>42651WPO</v>
      </c>
    </row>
    <row r="86" spans="1:6">
      <c r="A86" t="str">
        <f>Tableau1[NOM]&amp;Tableau1[DATE]</f>
        <v>SGC LAFONT42652</v>
      </c>
      <c r="B86" t="s">
        <v>153</v>
      </c>
      <c r="C86" s="140">
        <v>42652</v>
      </c>
      <c r="D86" t="s">
        <v>90</v>
      </c>
      <c r="E86" s="64" t="str">
        <f>TEXT(ROW(),"000")&amp;"_"&amp;Tableau1[[#This Row],[NOM]]</f>
        <v>086_SGC LAFONT</v>
      </c>
      <c r="F86" s="119" t="str">
        <f>Tableau1[[#This Row],[DATE]]&amp;Tableau1[[#This Row],[MOTIF]]</f>
        <v>42652RS</v>
      </c>
    </row>
  </sheetData>
  <sheetProtection formatCells="0"/>
  <sortState ref="A2:F86">
    <sortCondition ref="B2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22</vt:i4>
      </vt:variant>
    </vt:vector>
  </HeadingPairs>
  <TitlesOfParts>
    <vt:vector size="34" baseType="lpstr">
      <vt:lpstr>AJOUTER</vt:lpstr>
      <vt:lpstr>Planning</vt:lpstr>
      <vt:lpstr>MODIFIER</vt:lpstr>
      <vt:lpstr>SUPPRIMER</vt:lpstr>
      <vt:lpstr>Commentaire</vt:lpstr>
      <vt:lpstr>Permission</vt:lpstr>
      <vt:lpstr>Renseignement</vt:lpstr>
      <vt:lpstr>Recap</vt:lpstr>
      <vt:lpstr>Appel</vt:lpstr>
      <vt:lpstr>Attente_planning</vt:lpstr>
      <vt:lpstr>PARAM</vt:lpstr>
      <vt:lpstr>Donnees_planning</vt:lpstr>
      <vt:lpstr>Adresse</vt:lpstr>
      <vt:lpstr>ARRIVEE</vt:lpstr>
      <vt:lpstr>CP</vt:lpstr>
      <vt:lpstr>CP_Ville</vt:lpstr>
      <vt:lpstr>CYNO</vt:lpstr>
      <vt:lpstr>date_planning</vt:lpstr>
      <vt:lpstr>FERIE</vt:lpstr>
      <vt:lpstr>FIN</vt:lpstr>
      <vt:lpstr>Grade</vt:lpstr>
      <vt:lpstr>Grade_Nom_Prenom</vt:lpstr>
      <vt:lpstr>Grade_Nom_Prénom2</vt:lpstr>
      <vt:lpstr>Grage_Nom</vt:lpstr>
      <vt:lpstr>LUNDI</vt:lpstr>
      <vt:lpstr>LUNDI2</vt:lpstr>
      <vt:lpstr>Nb_enregistrement</vt:lpstr>
      <vt:lpstr>NIA</vt:lpstr>
      <vt:lpstr>Nom_prenom</vt:lpstr>
      <vt:lpstr>param_no_ligne</vt:lpstr>
      <vt:lpstr>Portable</vt:lpstr>
      <vt:lpstr>TAOPM</vt:lpstr>
      <vt:lpstr>Unité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Guigui</dc:creator>
  <cp:lastModifiedBy>Benoist</cp:lastModifiedBy>
  <cp:lastPrinted>2016-09-14T14:37:20Z</cp:lastPrinted>
  <dcterms:created xsi:type="dcterms:W3CDTF">2015-06-05T18:19:34Z</dcterms:created>
  <dcterms:modified xsi:type="dcterms:W3CDTF">2016-09-22T09:04:58Z</dcterms:modified>
</cp:coreProperties>
</file>