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vigan\Desktop\"/>
    </mc:Choice>
  </mc:AlternateContent>
  <bookViews>
    <workbookView xWindow="0" yWindow="0" windowWidth="15525" windowHeight="6675"/>
  </bookViews>
  <sheets>
    <sheet name="A" sheetId="1" r:id="rId1"/>
    <sheet name="B" sheetId="3" r:id="rId2"/>
    <sheet name="C" sheetId="4" r:id="rId3"/>
    <sheet name="D" sheetId="5" r:id="rId4"/>
    <sheet name="Source" sheetId="2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4" i="3" l="1"/>
  <c r="W5" i="3"/>
  <c r="W3" i="3"/>
  <c r="AN3" i="1"/>
  <c r="AH4" i="5"/>
  <c r="AH5" i="5"/>
  <c r="AH3" i="5"/>
  <c r="AE4" i="5"/>
  <c r="AE5" i="5"/>
  <c r="AE3" i="5"/>
  <c r="Y3" i="3"/>
  <c r="X4" i="5"/>
  <c r="Z4" i="5" s="1"/>
  <c r="X5" i="5"/>
  <c r="Z5" i="5" s="1"/>
  <c r="X3" i="5"/>
  <c r="Z3" i="5" s="1"/>
  <c r="V4" i="5"/>
  <c r="U4" i="5" s="1"/>
  <c r="V5" i="5"/>
  <c r="U5" i="5" s="1"/>
  <c r="V3" i="5"/>
  <c r="U3" i="5" s="1"/>
  <c r="R3" i="5"/>
  <c r="R4" i="5"/>
  <c r="R5" i="5"/>
  <c r="M5" i="5"/>
  <c r="M4" i="5"/>
  <c r="L5" i="5"/>
  <c r="K5" i="5"/>
  <c r="J5" i="5"/>
  <c r="I5" i="5"/>
  <c r="H5" i="5"/>
  <c r="G5" i="5"/>
  <c r="F5" i="5"/>
  <c r="E5" i="5"/>
  <c r="D5" i="5"/>
  <c r="L4" i="5"/>
  <c r="K4" i="5"/>
  <c r="J4" i="5"/>
  <c r="I4" i="5"/>
  <c r="H4" i="5"/>
  <c r="G4" i="5"/>
  <c r="F4" i="5"/>
  <c r="E4" i="5"/>
  <c r="D4" i="5"/>
  <c r="M3" i="5"/>
  <c r="L3" i="5"/>
  <c r="K3" i="5"/>
  <c r="J3" i="5"/>
  <c r="I3" i="5"/>
  <c r="H3" i="5"/>
  <c r="G3" i="5"/>
  <c r="F3" i="5"/>
  <c r="E3" i="5"/>
  <c r="D3" i="5"/>
  <c r="R4" i="4"/>
  <c r="R5" i="4"/>
  <c r="R3" i="4"/>
  <c r="P4" i="4"/>
  <c r="P5" i="4"/>
  <c r="P3" i="4"/>
  <c r="L4" i="4"/>
  <c r="L5" i="4"/>
  <c r="L3" i="4"/>
  <c r="J4" i="4"/>
  <c r="O4" i="4" s="1"/>
  <c r="J5" i="4"/>
  <c r="I5" i="4" s="1"/>
  <c r="Q5" i="4" s="1"/>
  <c r="J3" i="4"/>
  <c r="K3" i="4" s="1"/>
  <c r="G4" i="4"/>
  <c r="M4" i="4" s="1"/>
  <c r="G5" i="4"/>
  <c r="M5" i="4" s="1"/>
  <c r="G3" i="4"/>
  <c r="M3" i="4" s="1"/>
  <c r="AC4" i="3"/>
  <c r="AC5" i="3"/>
  <c r="AC3" i="3"/>
  <c r="Y4" i="3"/>
  <c r="AD4" i="3" s="1"/>
  <c r="Y5" i="3"/>
  <c r="AD5" i="3" s="1"/>
  <c r="AE5" i="3" s="1"/>
  <c r="AG5" i="3" s="1"/>
  <c r="AI3" i="1"/>
  <c r="X4" i="3"/>
  <c r="X5" i="3"/>
  <c r="X3" i="3"/>
  <c r="AD3" i="3" s="1"/>
  <c r="AE3" i="3" s="1"/>
  <c r="AG3" i="3" s="1"/>
  <c r="V4" i="3"/>
  <c r="V5" i="3"/>
  <c r="AI5" i="3" s="1"/>
  <c r="V3" i="3"/>
  <c r="AI3" i="3" s="1"/>
  <c r="R4" i="3"/>
  <c r="S4" i="3"/>
  <c r="R5" i="3"/>
  <c r="S5" i="3"/>
  <c r="S3" i="3"/>
  <c r="R3" i="3"/>
  <c r="N4" i="3"/>
  <c r="N5" i="3"/>
  <c r="N3" i="3"/>
  <c r="R4" i="1"/>
  <c r="R3" i="1"/>
  <c r="D4" i="3"/>
  <c r="E4" i="3"/>
  <c r="F4" i="3"/>
  <c r="G4" i="3"/>
  <c r="H4" i="3"/>
  <c r="I4" i="3"/>
  <c r="J4" i="3"/>
  <c r="K4" i="3"/>
  <c r="L4" i="3"/>
  <c r="M4" i="3"/>
  <c r="D5" i="3"/>
  <c r="E5" i="3"/>
  <c r="F5" i="3"/>
  <c r="G5" i="3"/>
  <c r="H5" i="3"/>
  <c r="I5" i="3"/>
  <c r="J5" i="3"/>
  <c r="K5" i="3"/>
  <c r="L5" i="3"/>
  <c r="M5" i="3"/>
  <c r="E3" i="3"/>
  <c r="F3" i="3"/>
  <c r="G3" i="3"/>
  <c r="H3" i="3"/>
  <c r="I3" i="3"/>
  <c r="J3" i="3"/>
  <c r="K3" i="3"/>
  <c r="L3" i="3"/>
  <c r="M3" i="3"/>
  <c r="D3" i="3"/>
  <c r="S3" i="1"/>
  <c r="AN4" i="1"/>
  <c r="AN5" i="1"/>
  <c r="AM4" i="1"/>
  <c r="AM5" i="1"/>
  <c r="AM3" i="1"/>
  <c r="AJ4" i="1"/>
  <c r="AJ5" i="1"/>
  <c r="AJ3" i="1"/>
  <c r="AI4" i="1"/>
  <c r="AO4" i="1" s="1"/>
  <c r="AP4" i="1" s="1"/>
  <c r="AR4" i="1" s="1"/>
  <c r="AI5" i="1"/>
  <c r="AH4" i="1"/>
  <c r="AH5" i="1"/>
  <c r="AH3" i="1"/>
  <c r="AO3" i="1" s="1"/>
  <c r="S4" i="5" l="1"/>
  <c r="T4" i="5" s="1"/>
  <c r="S3" i="5"/>
  <c r="T3" i="5" s="1"/>
  <c r="S5" i="5"/>
  <c r="T5" i="5" s="1"/>
  <c r="AE4" i="3"/>
  <c r="AG4" i="3" s="1"/>
  <c r="AI4" i="3"/>
  <c r="AB4" i="3" s="1"/>
  <c r="AO5" i="1"/>
  <c r="AP5" i="1" s="1"/>
  <c r="AR5" i="1" s="1"/>
  <c r="AP3" i="1"/>
  <c r="AR3" i="1" s="1"/>
  <c r="W3" i="5"/>
  <c r="AA3" i="5" s="1"/>
  <c r="W4" i="5"/>
  <c r="AA4" i="5" s="1"/>
  <c r="W5" i="5"/>
  <c r="AA5" i="5" s="1"/>
  <c r="K4" i="4"/>
  <c r="O3" i="4"/>
  <c r="O5" i="4"/>
  <c r="K5" i="4"/>
  <c r="I3" i="4"/>
  <c r="Q3" i="4" s="1"/>
  <c r="I4" i="4"/>
  <c r="Q4" i="4" s="1"/>
  <c r="AJ3" i="3"/>
  <c r="AB3" i="3"/>
  <c r="AJ5" i="3"/>
  <c r="AB5" i="3"/>
  <c r="AJ4" i="3"/>
  <c r="AC4" i="1"/>
  <c r="AC5" i="1"/>
  <c r="AC3" i="1"/>
  <c r="AB3" i="1"/>
  <c r="AB4" i="1"/>
  <c r="AB5" i="1"/>
  <c r="S4" i="1"/>
  <c r="T4" i="1"/>
  <c r="U4" i="1"/>
  <c r="V4" i="1"/>
  <c r="W4" i="1"/>
  <c r="X4" i="1"/>
  <c r="AD4" i="1" s="1"/>
  <c r="Y4" i="1"/>
  <c r="Z4" i="1"/>
  <c r="AA4" i="1"/>
  <c r="S5" i="1"/>
  <c r="T5" i="1"/>
  <c r="U5" i="1"/>
  <c r="V5" i="1"/>
  <c r="W5" i="1"/>
  <c r="X5" i="1"/>
  <c r="AD5" i="1" s="1"/>
  <c r="Y5" i="1"/>
  <c r="Z5" i="1"/>
  <c r="AA5" i="1"/>
  <c r="T3" i="1"/>
  <c r="U3" i="1"/>
  <c r="V3" i="1"/>
  <c r="W3" i="1"/>
  <c r="X3" i="1"/>
  <c r="AD3" i="1" s="1"/>
  <c r="Y3" i="1"/>
  <c r="Z3" i="1"/>
  <c r="AA3" i="1"/>
  <c r="R5" i="1"/>
  <c r="N4" i="1"/>
  <c r="N3" i="1"/>
  <c r="K4" i="1"/>
  <c r="K5" i="1"/>
  <c r="N5" i="1" s="1"/>
  <c r="K3" i="1"/>
  <c r="D5" i="1"/>
  <c r="O5" i="1" s="1"/>
  <c r="F5" i="1"/>
  <c r="F4" i="1"/>
  <c r="D4" i="1"/>
  <c r="O4" i="1" s="1"/>
  <c r="D3" i="1"/>
  <c r="F3" i="1" s="1"/>
  <c r="AE5" i="1" l="1"/>
  <c r="AB5" i="5"/>
  <c r="AC5" i="5" s="1"/>
  <c r="AD5" i="5"/>
  <c r="AJ5" i="5" s="1"/>
  <c r="AI5" i="5"/>
  <c r="T5" i="3"/>
  <c r="AE3" i="1"/>
  <c r="AB3" i="5"/>
  <c r="AC3" i="5" s="1"/>
  <c r="T3" i="3"/>
  <c r="AD3" i="5"/>
  <c r="AJ3" i="5" s="1"/>
  <c r="AI3" i="5"/>
  <c r="AD4" i="5"/>
  <c r="AJ4" i="5" s="1"/>
  <c r="T4" i="3"/>
  <c r="AE4" i="1"/>
  <c r="AI4" i="5"/>
  <c r="AB4" i="5"/>
  <c r="AC4" i="5" s="1"/>
  <c r="O3" i="1"/>
  <c r="AK3" i="5" l="1"/>
  <c r="AM3" i="5" s="1"/>
  <c r="AK4" i="5"/>
  <c r="AM4" i="5" s="1"/>
  <c r="AK5" i="5"/>
  <c r="AM5" i="5" s="1"/>
</calcChain>
</file>

<file path=xl/sharedStrings.xml><?xml version="1.0" encoding="utf-8"?>
<sst xmlns="http://schemas.openxmlformats.org/spreadsheetml/2006/main" count="240" uniqueCount="98">
  <si>
    <t>Code client</t>
  </si>
  <si>
    <t>Description</t>
  </si>
  <si>
    <t>Montant</t>
  </si>
  <si>
    <t>Mona</t>
  </si>
  <si>
    <t>Ramona</t>
  </si>
  <si>
    <t>Ramon</t>
  </si>
  <si>
    <t>Clé Commune</t>
  </si>
  <si>
    <t>Noms</t>
  </si>
  <si>
    <t>Type</t>
  </si>
  <si>
    <t>ET</t>
  </si>
  <si>
    <t>AT</t>
  </si>
  <si>
    <t>BT</t>
  </si>
  <si>
    <t>CT</t>
  </si>
  <si>
    <t>DT</t>
  </si>
  <si>
    <t>FT</t>
  </si>
  <si>
    <t>GT</t>
  </si>
  <si>
    <t>HT</t>
  </si>
  <si>
    <t>IT</t>
  </si>
  <si>
    <t>JT</t>
  </si>
  <si>
    <t>Code Client</t>
  </si>
  <si>
    <t>Montant de l'encours</t>
  </si>
  <si>
    <t>DA</t>
  </si>
  <si>
    <t>HY</t>
  </si>
  <si>
    <t>CE</t>
  </si>
  <si>
    <t>Oui</t>
  </si>
  <si>
    <t>Non</t>
  </si>
  <si>
    <t>D. a</t>
  </si>
  <si>
    <t>O_S</t>
  </si>
  <si>
    <t>D. d. d. a</t>
  </si>
  <si>
    <t>T_L</t>
  </si>
  <si>
    <t>T_L START_DATE</t>
  </si>
  <si>
    <t>T_L_END_DATE</t>
  </si>
  <si>
    <t>L CR Act</t>
  </si>
  <si>
    <t>MC 3</t>
  </si>
  <si>
    <t>ID</t>
  </si>
  <si>
    <t>MMC</t>
  </si>
  <si>
    <t>MS</t>
  </si>
  <si>
    <t>AI</t>
  </si>
  <si>
    <t>Cg</t>
  </si>
  <si>
    <t>PE</t>
  </si>
  <si>
    <t>PD</t>
  </si>
  <si>
    <t>PR</t>
  </si>
  <si>
    <t>DCD</t>
  </si>
  <si>
    <t>Dat CD</t>
  </si>
  <si>
    <t>EDD</t>
  </si>
  <si>
    <t>G</t>
  </si>
  <si>
    <t>A d (Jours)</t>
  </si>
  <si>
    <t>D B Per K</t>
  </si>
  <si>
    <t>D B per O</t>
  </si>
  <si>
    <t>PC</t>
  </si>
  <si>
    <t>EHB</t>
  </si>
  <si>
    <t>GR</t>
  </si>
  <si>
    <t>PHB per K</t>
  </si>
  <si>
    <t>PHB per O</t>
  </si>
  <si>
    <t>PC HB</t>
  </si>
  <si>
    <t xml:space="preserve">TP </t>
  </si>
  <si>
    <t>A</t>
  </si>
  <si>
    <t>B</t>
  </si>
  <si>
    <t>C</t>
  </si>
  <si>
    <t>D</t>
  </si>
  <si>
    <t>M</t>
  </si>
  <si>
    <t>R</t>
  </si>
  <si>
    <t>E</t>
  </si>
  <si>
    <t>F</t>
  </si>
  <si>
    <t>H</t>
  </si>
  <si>
    <t>I</t>
  </si>
  <si>
    <t>J</t>
  </si>
  <si>
    <t>K</t>
  </si>
  <si>
    <t>L</t>
  </si>
  <si>
    <t>N</t>
  </si>
  <si>
    <t>O</t>
  </si>
  <si>
    <t>P</t>
  </si>
  <si>
    <t>Q</t>
  </si>
  <si>
    <t>S</t>
  </si>
  <si>
    <t>T</t>
  </si>
  <si>
    <t>U</t>
  </si>
  <si>
    <t>V</t>
  </si>
  <si>
    <t>W</t>
  </si>
  <si>
    <t>Cat</t>
  </si>
  <si>
    <t>CL</t>
  </si>
  <si>
    <t>Mtt</t>
  </si>
  <si>
    <t>Cl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</si>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</sst>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theme="0"/>
      <name val="Univers 45 Light"/>
    </font>
  </fonts>
  <fills count="4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8"/>
      </top>
      <bottom/>
      <diagonal/>
    </border>
    <border>
      <left style="thin">
        <color theme="8"/>
      </left>
      <right/>
      <top style="thin">
        <color theme="8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4" fontId="0" fillId="0" borderId="0" xfId="0" applyNumberFormat="1"/>
    <xf numFmtId="14" fontId="0" fillId="3" borderId="0" xfId="0" applyNumberFormat="1" applyFill="1"/>
    <xf numFmtId="0" fontId="0" fillId="3" borderId="0" xfId="0" applyFill="1"/>
    <xf numFmtId="0" fontId="2" fillId="2" borderId="2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"/>
  <sheetViews>
    <sheetView tabSelected="1" topLeftCell="M1" workbookViewId="0">
      <selection activeCell="P2" sqref="P2"/>
    </sheetView>
  </sheetViews>
  <sheetFormatPr baseColWidth="10" defaultRowHeight="14.25" x14ac:dyDescent="0.45"/>
  <sheetData>
    <row r="1" spans="1:45" x14ac:dyDescent="0.45">
      <c r="K1" s="3">
        <v>44104</v>
      </c>
    </row>
    <row r="2" spans="1:45" ht="34.9" x14ac:dyDescent="0.45">
      <c r="A2" s="1" t="s">
        <v>6</v>
      </c>
      <c r="B2" s="1" t="s">
        <v>1</v>
      </c>
      <c r="C2" s="1" t="s">
        <v>2</v>
      </c>
      <c r="D2" s="1" t="s">
        <v>26</v>
      </c>
      <c r="E2" s="1" t="s">
        <v>27</v>
      </c>
      <c r="F2" s="1" t="s">
        <v>28</v>
      </c>
      <c r="G2" s="1" t="s">
        <v>29</v>
      </c>
      <c r="H2" s="1" t="s">
        <v>30</v>
      </c>
      <c r="I2" s="1" t="s">
        <v>31</v>
      </c>
      <c r="J2" s="1" t="s">
        <v>32</v>
      </c>
      <c r="K2" s="1" t="s">
        <v>33</v>
      </c>
      <c r="L2" s="1" t="s">
        <v>34</v>
      </c>
      <c r="M2" s="1" t="s">
        <v>35</v>
      </c>
      <c r="N2" s="1" t="s">
        <v>36</v>
      </c>
      <c r="O2" s="1" t="s">
        <v>37</v>
      </c>
      <c r="P2" s="1" t="s">
        <v>79</v>
      </c>
      <c r="Q2" s="1" t="s">
        <v>78</v>
      </c>
      <c r="R2" s="1" t="s">
        <v>38</v>
      </c>
      <c r="S2" s="1" t="s">
        <v>9</v>
      </c>
      <c r="T2" s="1" t="s">
        <v>10</v>
      </c>
      <c r="U2" s="1" t="s">
        <v>11</v>
      </c>
      <c r="V2" s="1" t="s">
        <v>12</v>
      </c>
      <c r="W2" s="1" t="s">
        <v>13</v>
      </c>
      <c r="X2" s="1" t="s">
        <v>14</v>
      </c>
      <c r="Y2" s="1" t="s">
        <v>15</v>
      </c>
      <c r="Z2" s="1" t="s">
        <v>16</v>
      </c>
      <c r="AA2" s="1" t="s">
        <v>17</v>
      </c>
      <c r="AB2" s="1" t="s">
        <v>18</v>
      </c>
      <c r="AC2" s="1" t="s">
        <v>39</v>
      </c>
      <c r="AD2" s="1" t="s">
        <v>40</v>
      </c>
      <c r="AE2" s="1" t="s">
        <v>41</v>
      </c>
      <c r="AF2" s="1" t="s">
        <v>42</v>
      </c>
      <c r="AG2" s="1" t="s">
        <v>43</v>
      </c>
      <c r="AH2" s="1" t="s">
        <v>44</v>
      </c>
      <c r="AI2" s="1" t="s">
        <v>45</v>
      </c>
      <c r="AJ2" s="1" t="s">
        <v>46</v>
      </c>
      <c r="AK2" s="1" t="s">
        <v>47</v>
      </c>
      <c r="AL2" s="1" t="s">
        <v>48</v>
      </c>
      <c r="AM2" s="1" t="s">
        <v>49</v>
      </c>
      <c r="AN2" s="1" t="s">
        <v>50</v>
      </c>
      <c r="AO2" s="1" t="s">
        <v>51</v>
      </c>
      <c r="AP2" s="1" t="s">
        <v>52</v>
      </c>
      <c r="AQ2" s="2" t="s">
        <v>53</v>
      </c>
      <c r="AR2" s="2" t="s">
        <v>54</v>
      </c>
      <c r="AS2" s="1" t="s">
        <v>55</v>
      </c>
    </row>
    <row r="3" spans="1:45" x14ac:dyDescent="0.45">
      <c r="A3">
        <v>100</v>
      </c>
      <c r="B3" t="s">
        <v>3</v>
      </c>
      <c r="C3">
        <v>1000</v>
      </c>
      <c r="D3" s="5" t="str">
        <f>IF(AND(G3&gt;C3,I3&gt;$K$1),"Oui","Non")</f>
        <v>Non</v>
      </c>
      <c r="E3" s="3">
        <v>43797</v>
      </c>
      <c r="F3" s="4">
        <f>IF(D3="Oui",0,E3)</f>
        <v>43797</v>
      </c>
      <c r="G3">
        <v>2000</v>
      </c>
      <c r="I3" s="3">
        <v>44012</v>
      </c>
      <c r="J3" s="3">
        <v>44104</v>
      </c>
      <c r="K3" s="5" t="str">
        <f>IF(J3&gt;$K$1,"Non",IF($K$1-J3&gt;90,"Non","Oui"))</f>
        <v>Oui</v>
      </c>
      <c r="L3">
        <v>500</v>
      </c>
      <c r="M3">
        <v>800</v>
      </c>
      <c r="N3" s="5" t="str">
        <f>IF(K3="Non","Non",IF(AND(L3=0,M3=0),"Non",IF(AND(K3="Oui",M3&gt;L3),"Oui",IF(AND(K3="oui",M3&lt;L3),"Non"))))</f>
        <v>Oui</v>
      </c>
      <c r="O3" s="5">
        <f>IF(D3="Non",$K$1-E3,IF(AND(D3="Oui",F3&gt;0),$K$1-F3,IF(AND(D3="Oui",F3=0),0)))</f>
        <v>307</v>
      </c>
      <c r="R3" s="5" t="str">
        <f>IF(C3&lt;1000,"Non",IF(OR(P3&lt;&gt;"RL",Q3&lt;&gt;"PP"),"Oui","Non"))</f>
        <v>Oui</v>
      </c>
      <c r="S3" s="5">
        <f>SUMIFS(Source!$C:$C,Source!$A:$A,$A3,Source!$D:$D,S$2)</f>
        <v>500</v>
      </c>
      <c r="T3" s="5">
        <f>SUMIFS(Source!$C:$C,Source!$A:$A,$A3,Source!$D:$D,T$2)</f>
        <v>2000</v>
      </c>
      <c r="U3" s="5">
        <f>SUMIFS(Source!$C:$C,Source!$A:$A,$A3,Source!$D:$D,U$2)</f>
        <v>4000</v>
      </c>
      <c r="V3" s="5">
        <f>SUMIFS(Source!$C:$C,Source!$A:$A,$A3,Source!$D:$D,V$2)</f>
        <v>12000</v>
      </c>
      <c r="W3" s="5">
        <f>SUMIFS(Source!$C:$C,Source!$A:$A,$A3,Source!$D:$D,W$2)</f>
        <v>0</v>
      </c>
      <c r="X3" s="5">
        <f>SUMIFS(Source!$C:$C,Source!$A:$A,$A3,Source!$D:$D,X$2)</f>
        <v>400</v>
      </c>
      <c r="Y3" s="5">
        <f>SUMIFS(Source!$C:$C,Source!$A:$A,$A3,Source!$D:$D,Y$2)</f>
        <v>800</v>
      </c>
      <c r="Z3" s="5">
        <f>SUMIFS(Source!$C:$C,Source!$A:$A,$A3,Source!$D:$D,Z$2)</f>
        <v>2000</v>
      </c>
      <c r="AA3" s="5">
        <f>SUMIFS(Source!$C:$C,Source!$A:$A,$A3,Source!$D:$D,AA$2)</f>
        <v>5000</v>
      </c>
      <c r="AB3" s="5">
        <f>SUMIFS(Source!$C:$C,Source!$A:$A,$A3,Source!$D:$D,AB$2)</f>
        <v>8000</v>
      </c>
      <c r="AC3" s="5" t="str">
        <f>IF(IFERROR(INDEX(B!U:U,MATCH(A3,B!A:A,0)),"Non")="Oui","Oui","Non")</f>
        <v>Non</v>
      </c>
      <c r="AD3" s="5" t="str">
        <f>IF(X3&lt;&gt;0,"Oui","Non")</f>
        <v>Oui</v>
      </c>
      <c r="AE3" s="5" t="str">
        <f>IF(IFERROR(INDEX(D!AA:AA,MATCH(A3,D!A:A,0)),"Non")="Oui","Oui","Non")</f>
        <v>Non</v>
      </c>
      <c r="AF3" t="s">
        <v>24</v>
      </c>
      <c r="AH3" s="5">
        <f>IF(AF3="non",0,IF(AND(AF3="Oui",R3="oui"),SUM(S3:Z3),IF(AND(AF3="Oui",R3="Non"),C3)))</f>
        <v>21700</v>
      </c>
      <c r="AI3" s="5">
        <f>SUM(SUMIFS(Source!C:C,Source!A:A,A3,Source!D:D,{"DA";"HY";"CE"}))</f>
        <v>26000</v>
      </c>
      <c r="AJ3" s="5">
        <f>IF(AF3&gt;0,$K$1-AG3,0)</f>
        <v>44104</v>
      </c>
      <c r="AM3" s="5">
        <f>IF(AK3&gt;AL3,AK3-AL3,0)</f>
        <v>0</v>
      </c>
      <c r="AN3" s="5">
        <f>IF(AF3="Non",0,IF(AND(AF3="Oui",R3="Oui"),SUM(S3:Z3),IF(AND(AF3="Oui",R3="Non"),0)))</f>
        <v>21700</v>
      </c>
      <c r="AO3" s="5">
        <f>IF(AI3&gt;AH3,AI3-AH3,0)</f>
        <v>4300</v>
      </c>
      <c r="AP3" s="5">
        <f>IF(AO3&lt;=0,AN3,IF(AND(AO3&gt;0,AN3&gt;AO3),AN3-AO3,IF(AND(AO3&gt;0,AN3&lt;AO3),0)))</f>
        <v>17400</v>
      </c>
      <c r="AR3" s="5">
        <f>IF(AP3&gt;AQ3,AP3-AQ3,0)</f>
        <v>17400</v>
      </c>
    </row>
    <row r="4" spans="1:45" x14ac:dyDescent="0.45">
      <c r="A4">
        <v>200</v>
      </c>
      <c r="B4" t="s">
        <v>4</v>
      </c>
      <c r="C4">
        <v>3500</v>
      </c>
      <c r="D4" s="5" t="str">
        <f t="shared" ref="D4" si="0">IF(AND(G4&gt;C4,I4&gt;$K$1),"Oui","Non")</f>
        <v>Non</v>
      </c>
      <c r="E4" s="3">
        <v>44012</v>
      </c>
      <c r="F4" s="4">
        <f t="shared" ref="F4:F5" si="1">IF(D4="Oui",0,E4)</f>
        <v>44012</v>
      </c>
      <c r="G4">
        <v>0</v>
      </c>
      <c r="J4" s="3">
        <v>43850</v>
      </c>
      <c r="K4" s="5" t="str">
        <f t="shared" ref="K4:K5" si="2">IF(J4&gt;$K$1,"Non",IF($K$1-J4&gt;90,"Non","Oui"))</f>
        <v>Non</v>
      </c>
      <c r="L4">
        <v>1500</v>
      </c>
      <c r="M4">
        <v>200</v>
      </c>
      <c r="N4" s="5" t="str">
        <f t="shared" ref="N4:N5" si="3">IF(K4="Non","Non",IF(AND(L4=0,M4=0),"Non",IF(AND(K4="Oui",M4&gt;L4),"Oui",IF(AND(K4="oui",M4&lt;L4),"Non"))))</f>
        <v>Non</v>
      </c>
      <c r="O4" s="5">
        <f t="shared" ref="O4:O5" si="4">IF(D4="Non",$K$1-E4,IF(AND(D4="Oui",F4&gt;0),$K$1-F4,IF(AND(D4="Oui",F4=0),0)))</f>
        <v>92</v>
      </c>
      <c r="R4" s="5" t="str">
        <f>IF(C4&lt;1000,"Non",IF(OR(P4&lt;&gt;"RL",Q4&lt;&gt;"PP"),"Oui","Non"))</f>
        <v>Oui</v>
      </c>
      <c r="S4" s="5">
        <f>SUMIFS(Source!$C:$C,Source!$A:$A,$A4,Source!$D:$D,S$2)</f>
        <v>300</v>
      </c>
      <c r="T4" s="5">
        <f>SUMIFS(Source!$C:$C,Source!$A:$A,$A4,Source!$D:$D,T$2)</f>
        <v>2500</v>
      </c>
      <c r="U4" s="5">
        <f>SUMIFS(Source!$C:$C,Source!$A:$A,$A4,Source!$D:$D,U$2)</f>
        <v>8000</v>
      </c>
      <c r="V4" s="5">
        <f>SUMIFS(Source!$C:$C,Source!$A:$A,$A4,Source!$D:$D,V$2)</f>
        <v>0</v>
      </c>
      <c r="W4" s="5">
        <f>SUMIFS(Source!$C:$C,Source!$A:$A,$A4,Source!$D:$D,W$2)</f>
        <v>5000</v>
      </c>
      <c r="X4" s="5">
        <f>SUMIFS(Source!$C:$C,Source!$A:$A,$A4,Source!$D:$D,X$2)</f>
        <v>100</v>
      </c>
      <c r="Y4" s="5">
        <f>SUMIFS(Source!$C:$C,Source!$A:$A,$A4,Source!$D:$D,Y$2)</f>
        <v>200</v>
      </c>
      <c r="Z4" s="5">
        <f>SUMIFS(Source!$C:$C,Source!$A:$A,$A4,Source!$D:$D,Z$2)</f>
        <v>3000</v>
      </c>
      <c r="AA4" s="5">
        <f>SUMIFS(Source!$C:$C,Source!$A:$A,$A4,Source!$D:$D,AA$2)</f>
        <v>6000</v>
      </c>
      <c r="AB4" s="5">
        <f>SUMIFS(Source!$C:$C,Source!$A:$A,$A4,Source!$D:$D,AB$2)</f>
        <v>9000</v>
      </c>
      <c r="AC4" s="5" t="str">
        <f>IF(IFERROR(INDEX(B!U:U,MATCH(A4,B!A:A,0)),"Non")="Oui","Oui","Non")</f>
        <v>Oui</v>
      </c>
      <c r="AD4" s="5" t="str">
        <f t="shared" ref="AD4:AD5" si="5">IF(X4&lt;&gt;0,"Oui","Non")</f>
        <v>Oui</v>
      </c>
      <c r="AE4" s="5" t="str">
        <f>IF(IFERROR(INDEX(D!AA:AA,MATCH(A4,D!A:A,0)),"Non")="Oui","Oui","Non")</f>
        <v>Non</v>
      </c>
      <c r="AF4" t="s">
        <v>25</v>
      </c>
      <c r="AH4" s="5">
        <f t="shared" ref="AH4:AH5" si="6">IF(AF4="non",0,IF(AND(AF4="Oui",R4="oui"),SUM(S4:Z4),IF(AND(AF4="Oui",R4="Non"),C4)))</f>
        <v>0</v>
      </c>
      <c r="AI4" s="5">
        <f>SUM(SUMIFS(Source!C:C,Source!A:A,A4,Source!D:D,{"DA";"HY";"CE"}))</f>
        <v>28000</v>
      </c>
      <c r="AJ4" s="5">
        <f t="shared" ref="AJ4:AJ5" si="7">IF(AF4&gt;0,$K$1-AG4,0)</f>
        <v>44104</v>
      </c>
      <c r="AM4" s="5">
        <f t="shared" ref="AM4:AM5" si="8">IF(AK4&gt;AL4,AK4-AL4,0)</f>
        <v>0</v>
      </c>
      <c r="AN4" s="5">
        <f t="shared" ref="AN4:AN5" si="9">IF(AF4="Non",0,IF(AND(AF4="Oui",R4="Oui"),SUM(S4:Z4),IF(AND(AF4="Oui",R4="Non"),0)))</f>
        <v>0</v>
      </c>
      <c r="AO4" s="5">
        <f t="shared" ref="AO4:AO5" si="10">IF(AI4&gt;AH4,AI4-AH4,0)</f>
        <v>28000</v>
      </c>
      <c r="AP4" s="5">
        <f t="shared" ref="AP4:AP5" si="11">IF(AO4&lt;=0,AN4,IF(AND(AO4&gt;0,AN4&gt;AO4),AN4-AO4,IF(AND(AO4&gt;0,AN4&lt;AO4),0)))</f>
        <v>0</v>
      </c>
      <c r="AR4" s="5">
        <f t="shared" ref="AR4:AR5" si="12">IF(AP4&gt;AQ4,AP4-AQ4,0)</f>
        <v>0</v>
      </c>
    </row>
    <row r="5" spans="1:45" x14ac:dyDescent="0.45">
      <c r="A5">
        <v>300</v>
      </c>
      <c r="B5" t="s">
        <v>5</v>
      </c>
      <c r="C5">
        <v>4800</v>
      </c>
      <c r="D5" s="5" t="str">
        <f>IF(AND(G5&gt;C5,I5&gt;$K$1),"Oui","Non")</f>
        <v>Oui</v>
      </c>
      <c r="E5" s="3">
        <v>44097</v>
      </c>
      <c r="F5" s="4">
        <f>IF(D5="Oui",0,E5)</f>
        <v>0</v>
      </c>
      <c r="G5">
        <v>5000</v>
      </c>
      <c r="I5" s="3">
        <v>44196</v>
      </c>
      <c r="J5" s="3">
        <v>43768</v>
      </c>
      <c r="K5" s="5" t="str">
        <f t="shared" si="2"/>
        <v>Non</v>
      </c>
      <c r="L5">
        <v>2500</v>
      </c>
      <c r="M5">
        <v>1500</v>
      </c>
      <c r="N5" s="5" t="str">
        <f t="shared" si="3"/>
        <v>Non</v>
      </c>
      <c r="O5" s="5">
        <f t="shared" si="4"/>
        <v>0</v>
      </c>
      <c r="R5" s="5" t="str">
        <f t="shared" ref="R4:R5" si="13">IF(C5&lt;1000,"Non",IF(OR(P5&lt;&gt;"RL",Q5&lt;&gt;"PP"),"Oui","Non"))</f>
        <v>Oui</v>
      </c>
      <c r="S5" s="5">
        <f>SUMIFS(Source!$C:$C,Source!$A:$A,$A5,Source!$D:$D,S$2)</f>
        <v>800</v>
      </c>
      <c r="T5" s="5">
        <f>SUMIFS(Source!$C:$C,Source!$A:$A,$A5,Source!$D:$D,T$2)</f>
        <v>3500</v>
      </c>
      <c r="U5" s="5">
        <f>SUMIFS(Source!$C:$C,Source!$A:$A,$A5,Source!$D:$D,U$2)</f>
        <v>12000</v>
      </c>
      <c r="V5" s="5">
        <f>SUMIFS(Source!$C:$C,Source!$A:$A,$A5,Source!$D:$D,V$2)</f>
        <v>22000</v>
      </c>
      <c r="W5" s="5">
        <f>SUMIFS(Source!$C:$C,Source!$A:$A,$A5,Source!$D:$D,W$2)</f>
        <v>40000</v>
      </c>
      <c r="X5" s="5">
        <f>SUMIFS(Source!$C:$C,Source!$A:$A,$A5,Source!$D:$D,X$2)</f>
        <v>0</v>
      </c>
      <c r="Y5" s="5">
        <f>SUMIFS(Source!$C:$C,Source!$A:$A,$A5,Source!$D:$D,Y$2)</f>
        <v>600</v>
      </c>
      <c r="Z5" s="5">
        <f>SUMIFS(Source!$C:$C,Source!$A:$A,$A5,Source!$D:$D,Z$2)</f>
        <v>4000</v>
      </c>
      <c r="AA5" s="5">
        <f>SUMIFS(Source!$C:$C,Source!$A:$A,$A5,Source!$D:$D,AA$2)</f>
        <v>7000</v>
      </c>
      <c r="AB5" s="5">
        <f>SUMIFS(Source!$C:$C,Source!$A:$A,$A5,Source!$D:$D,AB$2)</f>
        <v>10000</v>
      </c>
      <c r="AC5" s="5" t="str">
        <f>IF(IFERROR(INDEX(B!U:U,MATCH(A5,B!A:A,0)),"Non")="Oui","Oui","Non")</f>
        <v>Oui</v>
      </c>
      <c r="AD5" s="5" t="str">
        <f t="shared" si="5"/>
        <v>Non</v>
      </c>
      <c r="AE5" s="5" t="str">
        <f>IF(IFERROR(INDEX(D!AA:AA,MATCH(A5,D!A:A,0)),"Non")="Oui","Oui","Non")</f>
        <v>Non</v>
      </c>
      <c r="AF5" t="s">
        <v>24</v>
      </c>
      <c r="AH5" s="5">
        <f t="shared" si="6"/>
        <v>82900</v>
      </c>
      <c r="AI5" s="5">
        <f>SUM(SUMIFS(Source!C:C,Source!A:A,A5,Source!D:D,{"DA";"HY";"CE"}))</f>
        <v>30000</v>
      </c>
      <c r="AJ5" s="5">
        <f t="shared" si="7"/>
        <v>44104</v>
      </c>
      <c r="AM5" s="5">
        <f t="shared" si="8"/>
        <v>0</v>
      </c>
      <c r="AN5" s="5">
        <f t="shared" si="9"/>
        <v>82900</v>
      </c>
      <c r="AO5" s="5">
        <f t="shared" si="10"/>
        <v>0</v>
      </c>
      <c r="AP5" s="5">
        <f t="shared" si="11"/>
        <v>82900</v>
      </c>
      <c r="AR5" s="5">
        <f t="shared" si="12"/>
        <v>82900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"/>
  <sheetViews>
    <sheetView topLeftCell="V1" workbookViewId="0">
      <selection activeCell="AJ2" sqref="AJ2"/>
    </sheetView>
  </sheetViews>
  <sheetFormatPr baseColWidth="10" defaultRowHeight="14.25" x14ac:dyDescent="0.45"/>
  <sheetData>
    <row r="1" spans="1:36" x14ac:dyDescent="0.45">
      <c r="T1" s="3">
        <v>44104</v>
      </c>
    </row>
    <row r="2" spans="1:36" ht="23.25" x14ac:dyDescent="0.45">
      <c r="A2" s="1" t="s">
        <v>6</v>
      </c>
      <c r="B2" s="1" t="s">
        <v>1</v>
      </c>
      <c r="C2" s="1" t="s">
        <v>2</v>
      </c>
      <c r="D2" s="1" t="s">
        <v>9</v>
      </c>
      <c r="E2" s="1" t="s">
        <v>10</v>
      </c>
      <c r="F2" s="1" t="s">
        <v>11</v>
      </c>
      <c r="G2" s="1" t="s">
        <v>12</v>
      </c>
      <c r="H2" s="1" t="s">
        <v>13</v>
      </c>
      <c r="I2" s="1" t="s">
        <v>14</v>
      </c>
      <c r="J2" s="1" t="s">
        <v>15</v>
      </c>
      <c r="K2" s="1" t="s">
        <v>16</v>
      </c>
      <c r="L2" s="1" t="s">
        <v>17</v>
      </c>
      <c r="M2" s="1" t="s">
        <v>18</v>
      </c>
      <c r="N2" s="1" t="s">
        <v>56</v>
      </c>
      <c r="O2" s="1" t="s">
        <v>57</v>
      </c>
      <c r="P2" s="1" t="s">
        <v>58</v>
      </c>
      <c r="Q2" s="1" t="s">
        <v>59</v>
      </c>
      <c r="R2" s="1" t="s">
        <v>62</v>
      </c>
      <c r="S2" s="1" t="s">
        <v>63</v>
      </c>
      <c r="T2" s="1" t="s">
        <v>45</v>
      </c>
      <c r="U2" s="1" t="s">
        <v>64</v>
      </c>
      <c r="V2" s="1" t="s">
        <v>65</v>
      </c>
      <c r="W2" s="1" t="s">
        <v>66</v>
      </c>
      <c r="X2" s="1" t="s">
        <v>67</v>
      </c>
      <c r="Y2" s="1" t="s">
        <v>68</v>
      </c>
      <c r="Z2" s="1" t="s">
        <v>60</v>
      </c>
      <c r="AA2" s="1" t="s">
        <v>69</v>
      </c>
      <c r="AB2" s="1" t="s">
        <v>70</v>
      </c>
      <c r="AC2" s="1" t="s">
        <v>71</v>
      </c>
      <c r="AD2" s="1" t="s">
        <v>72</v>
      </c>
      <c r="AE2" s="1" t="s">
        <v>61</v>
      </c>
      <c r="AF2" s="1" t="s">
        <v>73</v>
      </c>
      <c r="AG2" s="1" t="s">
        <v>74</v>
      </c>
      <c r="AH2" s="1" t="s">
        <v>75</v>
      </c>
      <c r="AI2" s="1" t="s">
        <v>76</v>
      </c>
      <c r="AJ2" s="1" t="s">
        <v>77</v>
      </c>
    </row>
    <row r="3" spans="1:36" x14ac:dyDescent="0.45">
      <c r="A3">
        <v>100</v>
      </c>
      <c r="B3" t="s">
        <v>3</v>
      </c>
      <c r="C3">
        <v>1000</v>
      </c>
      <c r="D3" s="5">
        <f>SUMIFS(Source!$C:$C,Source!$A:$A,$A3,Source!$D:$D,D$2)</f>
        <v>500</v>
      </c>
      <c r="E3" s="5">
        <f>SUMIFS(Source!$C:$C,Source!$A:$A,$A3,Source!$D:$D,E$2)</f>
        <v>2000</v>
      </c>
      <c r="F3" s="5">
        <f>SUMIFS(Source!$C:$C,Source!$A:$A,$A3,Source!$D:$D,F$2)</f>
        <v>4000</v>
      </c>
      <c r="G3" s="5">
        <f>SUMIFS(Source!$C:$C,Source!$A:$A,$A3,Source!$D:$D,G$2)</f>
        <v>12000</v>
      </c>
      <c r="H3" s="5">
        <f>SUMIFS(Source!$C:$C,Source!$A:$A,$A3,Source!$D:$D,H$2)</f>
        <v>0</v>
      </c>
      <c r="I3" s="5">
        <f>SUMIFS(Source!$C:$C,Source!$A:$A,$A3,Source!$D:$D,I$2)</f>
        <v>400</v>
      </c>
      <c r="J3" s="5">
        <f>SUMIFS(Source!$C:$C,Source!$A:$A,$A3,Source!$D:$D,J$2)</f>
        <v>800</v>
      </c>
      <c r="K3" s="5">
        <f>SUMIFS(Source!$C:$C,Source!$A:$A,$A3,Source!$D:$D,K$2)</f>
        <v>2000</v>
      </c>
      <c r="L3" s="5">
        <f>SUMIFS(Source!$C:$C,Source!$A:$A,$A3,Source!$D:$D,L$2)</f>
        <v>5000</v>
      </c>
      <c r="M3" s="5">
        <f>SUMIFS(Source!$C:$C,Source!$A:$A,$A3,Source!$D:$D,M$2)</f>
        <v>8000</v>
      </c>
      <c r="N3" s="5" t="str">
        <f>IF(C3&lt;1000,"Non",IF(OR(P3&lt;&gt;"RL",Q3&lt;&gt;"PP"),"Oui","Non"))</f>
        <v>Oui</v>
      </c>
      <c r="R3" s="7">
        <f>IF(Q3&gt;0,$T$1-Q3,0)</f>
        <v>0</v>
      </c>
      <c r="S3" s="7" t="str">
        <f>IF(I3&lt;&gt;0,"Oui","Non")</f>
        <v>Oui</v>
      </c>
      <c r="T3" s="5" t="str">
        <f>IFERROR(IF(INDEX(D!AA:AA,MATCH(A3,D!A:A,0))="Oui","Oui","Non"),"Non")</f>
        <v>Non</v>
      </c>
      <c r="U3" t="s">
        <v>25</v>
      </c>
      <c r="V3" s="5">
        <f>IF(AND(U3="Oui",OR(O3="PE",P3="PP")),Q3+18,IF(AND(U3="Oui",O3&lt;&gt;"PE",P3&lt;&gt;"PP"),Q3+9,IF(U3="Non",0)))</f>
        <v>0</v>
      </c>
      <c r="W3" s="5">
        <f>IF(AND(V3&gt;0,V3&lt;$T$1),$T$1-V3,0)</f>
        <v>0</v>
      </c>
      <c r="X3" s="5">
        <f>IF(U3="Non",0,IF(AND(U3="Oui",N3="Oui"),SUM(D3:K3),IF(AND(U3="Oui",N3="Non"),C3)))</f>
        <v>0</v>
      </c>
      <c r="Y3" s="5">
        <f>SUM(SUMIFS(Source!C:C,Source!A:A,A3,Source!D:D,{"DA";"HY";"CE"}))</f>
        <v>26000</v>
      </c>
      <c r="AB3" s="5">
        <f>IF(AI3="Oui",0,IF(Z3&gt;AA3,Z3-AA3,0))</f>
        <v>0</v>
      </c>
      <c r="AC3" s="5">
        <f>IF(U3="Non",0,IF(AND(U3="Oui",N3="Oui"),SUM(L3:M3),IF(AND(U3="Oui",N3="Non"),0)))</f>
        <v>0</v>
      </c>
      <c r="AD3" s="5">
        <f>IF(Y3&gt;X3,Y3-X3,0)</f>
        <v>26000</v>
      </c>
      <c r="AE3" s="5">
        <f>IF(AD3&lt;=0,AC3,IF(AND(AD3&gt;0,AC3&gt;AD3),AC3-AD3,IF(AND(AD3&gt;0,AC3&lt;AD3),0)))</f>
        <v>0</v>
      </c>
      <c r="AG3" s="5">
        <f>IF(AE3&gt;AF3,AE3-AF3,0)</f>
        <v>0</v>
      </c>
      <c r="AI3" t="str">
        <f>IF(V3=0,"Non",IF(YEAR($T$1)-YEAR(V3)+1&gt;5,"Oui",IF(YEAR($T$1)+1&lt;5,"Non",IF(AND(YEAR($T$1)-YEAR(V3)+1=5,$T$1&lt;DATE(YEAR($T$1),12,31)),"Non",IF(AND(YEAR($T$1)-YEAR(V3)+1=5,$T$1&gt;=DATE(YEAR($T$1),12,31)),"Oui")))))</f>
        <v>Non</v>
      </c>
      <c r="AJ3">
        <f>IF(AI3="Oui",X3,0)</f>
        <v>0</v>
      </c>
    </row>
    <row r="4" spans="1:36" x14ac:dyDescent="0.45">
      <c r="A4">
        <v>200</v>
      </c>
      <c r="B4" t="s">
        <v>4</v>
      </c>
      <c r="C4">
        <v>3500</v>
      </c>
      <c r="D4" s="5">
        <f>SUMIFS(Source!$C:$C,Source!$A:$A,$A4,Source!$D:$D,D$2)</f>
        <v>300</v>
      </c>
      <c r="E4" s="5">
        <f>SUMIFS(Source!$C:$C,Source!$A:$A,$A4,Source!$D:$D,E$2)</f>
        <v>2500</v>
      </c>
      <c r="F4" s="5">
        <f>SUMIFS(Source!$C:$C,Source!$A:$A,$A4,Source!$D:$D,F$2)</f>
        <v>8000</v>
      </c>
      <c r="G4" s="5">
        <f>SUMIFS(Source!$C:$C,Source!$A:$A,$A4,Source!$D:$D,G$2)</f>
        <v>0</v>
      </c>
      <c r="H4" s="5">
        <f>SUMIFS(Source!$C:$C,Source!$A:$A,$A4,Source!$D:$D,H$2)</f>
        <v>5000</v>
      </c>
      <c r="I4" s="5">
        <f>SUMIFS(Source!$C:$C,Source!$A:$A,$A4,Source!$D:$D,I$2)</f>
        <v>100</v>
      </c>
      <c r="J4" s="5">
        <f>SUMIFS(Source!$C:$C,Source!$A:$A,$A4,Source!$D:$D,J$2)</f>
        <v>200</v>
      </c>
      <c r="K4" s="5">
        <f>SUMIFS(Source!$C:$C,Source!$A:$A,$A4,Source!$D:$D,K$2)</f>
        <v>3000</v>
      </c>
      <c r="L4" s="5">
        <f>SUMIFS(Source!$C:$C,Source!$A:$A,$A4,Source!$D:$D,L$2)</f>
        <v>6000</v>
      </c>
      <c r="M4" s="5">
        <f>SUMIFS(Source!$C:$C,Source!$A:$A,$A4,Source!$D:$D,M$2)</f>
        <v>9000</v>
      </c>
      <c r="N4" s="5" t="str">
        <f t="shared" ref="N4:N5" si="0">IF(C4&lt;1000,"Non",IF(OR(P4&lt;&gt;"RL",Q4&lt;&gt;"PP"),"Oui","Non"))</f>
        <v>Oui</v>
      </c>
      <c r="R4" s="7">
        <f t="shared" ref="R4:R5" si="1">IF(Q4&gt;0,$T$1-Q4,0)</f>
        <v>0</v>
      </c>
      <c r="S4" s="7" t="str">
        <f t="shared" ref="S4:S5" si="2">IF(I4&lt;&gt;0,"Oui","Non")</f>
        <v>Oui</v>
      </c>
      <c r="T4" s="5" t="str">
        <f>IFERROR(IF(INDEX(D!AA:AA,MATCH(A4,D!A:A,0))="Oui","Oui","Non"),"Non")</f>
        <v>Non</v>
      </c>
      <c r="U4" t="s">
        <v>24</v>
      </c>
      <c r="V4" s="5">
        <f t="shared" ref="V4:V6" si="3">IF(AND(U4="Oui",OR(O4="PE",P4="PP")),Q4+18,IF(AND(U4="Oui",O4&lt;&gt;"PE",P4&lt;&gt;"PP"),Q4+9,IF(U4="Non",0)))</f>
        <v>9</v>
      </c>
      <c r="W4" s="5">
        <f t="shared" ref="W4:W5" si="4">IF(AND(V4&gt;0,V4&lt;$T$1),$T$1-V4,0)</f>
        <v>44095</v>
      </c>
      <c r="X4" s="5">
        <f t="shared" ref="X4:X5" si="5">IF(U4="Non",0,IF(AND(U4="Oui",N4="Oui"),SUM(D4:K4),IF(AND(U4="Oui",N4="Non"),C4)))</f>
        <v>19100</v>
      </c>
      <c r="Y4" s="5">
        <f>SUM(SUMIFS(Source!C:C,Source!A:A,A4,Source!D:D,{"DA";"HY";"CE"}))</f>
        <v>28000</v>
      </c>
      <c r="AB4" s="5">
        <f t="shared" ref="AB4:AB5" si="6">IF(AI4="Oui",0,IF(Z4&gt;AA4,Z4-AA4,0))</f>
        <v>0</v>
      </c>
      <c r="AC4" s="5">
        <f t="shared" ref="AC4:AC5" si="7">IF(U4="Non",0,IF(AND(U4="Oui",N4="Oui"),SUM(L4:M4),IF(AND(U4="Oui",N4="Non"),0)))</f>
        <v>15000</v>
      </c>
      <c r="AD4" s="5">
        <f t="shared" ref="AD4:AD5" si="8">IF(Y4&gt;X4,Y4-X4,0)</f>
        <v>8900</v>
      </c>
      <c r="AE4" s="5">
        <f t="shared" ref="AE4:AE5" si="9">IF(AD4&lt;=0,AC4,IF(AND(AD4&gt;0,AC4&gt;AD4),AC4-AD4,IF(AND(AD4&gt;0,AC4&lt;AD4),0)))</f>
        <v>6100</v>
      </c>
      <c r="AG4" s="5">
        <f t="shared" ref="AG4:AG5" si="10">IF(AE4&gt;AF4,AE4-AF4,0)</f>
        <v>6100</v>
      </c>
      <c r="AI4" t="str">
        <f t="shared" ref="AI4:AI5" si="11">IF(V4=0,"Non",IF(YEAR($T$1)-YEAR(V4)+1&gt;5,"Oui",IF(YEAR($T$1)+1&lt;5,"Non",IF(AND(YEAR($T$1)-YEAR(V4)+1=5,$T$1&lt;DATE(YEAR($T$1),12,31)),"Non",IF(AND(YEAR($T$1)-YEAR(V4)+1=5,$T$1&gt;=DATE(YEAR($T$1),12,31)),"Oui")))))</f>
        <v>Oui</v>
      </c>
      <c r="AJ4">
        <f t="shared" ref="AJ4:AJ5" si="12">IF(AI4="Oui",X4,0)</f>
        <v>19100</v>
      </c>
    </row>
    <row r="5" spans="1:36" x14ac:dyDescent="0.45">
      <c r="A5">
        <v>300</v>
      </c>
      <c r="B5" t="s">
        <v>5</v>
      </c>
      <c r="C5">
        <v>4800</v>
      </c>
      <c r="D5" s="5">
        <f>SUMIFS(Source!$C:$C,Source!$A:$A,$A5,Source!$D:$D,D$2)</f>
        <v>800</v>
      </c>
      <c r="E5" s="5">
        <f>SUMIFS(Source!$C:$C,Source!$A:$A,$A5,Source!$D:$D,E$2)</f>
        <v>3500</v>
      </c>
      <c r="F5" s="5">
        <f>SUMIFS(Source!$C:$C,Source!$A:$A,$A5,Source!$D:$D,F$2)</f>
        <v>12000</v>
      </c>
      <c r="G5" s="5">
        <f>SUMIFS(Source!$C:$C,Source!$A:$A,$A5,Source!$D:$D,G$2)</f>
        <v>22000</v>
      </c>
      <c r="H5" s="5">
        <f>SUMIFS(Source!$C:$C,Source!$A:$A,$A5,Source!$D:$D,H$2)</f>
        <v>40000</v>
      </c>
      <c r="I5" s="5">
        <f>SUMIFS(Source!$C:$C,Source!$A:$A,$A5,Source!$D:$D,I$2)</f>
        <v>0</v>
      </c>
      <c r="J5" s="5">
        <f>SUMIFS(Source!$C:$C,Source!$A:$A,$A5,Source!$D:$D,J$2)</f>
        <v>600</v>
      </c>
      <c r="K5" s="5">
        <f>SUMIFS(Source!$C:$C,Source!$A:$A,$A5,Source!$D:$D,K$2)</f>
        <v>4000</v>
      </c>
      <c r="L5" s="5">
        <f>SUMIFS(Source!$C:$C,Source!$A:$A,$A5,Source!$D:$D,L$2)</f>
        <v>7000</v>
      </c>
      <c r="M5" s="5">
        <f>SUMIFS(Source!$C:$C,Source!$A:$A,$A5,Source!$D:$D,M$2)</f>
        <v>10000</v>
      </c>
      <c r="N5" s="5" t="str">
        <f t="shared" si="0"/>
        <v>Oui</v>
      </c>
      <c r="R5" s="7">
        <f t="shared" si="1"/>
        <v>0</v>
      </c>
      <c r="S5" s="7" t="str">
        <f t="shared" si="2"/>
        <v>Non</v>
      </c>
      <c r="T5" s="5" t="str">
        <f>IFERROR(IF(INDEX(D!AA:AA,MATCH(A5,D!A:A,0))="Oui","Oui","Non"),"Non")</f>
        <v>Non</v>
      </c>
      <c r="U5" t="s">
        <v>24</v>
      </c>
      <c r="V5" s="5">
        <f t="shared" si="3"/>
        <v>9</v>
      </c>
      <c r="W5" s="5">
        <f t="shared" si="4"/>
        <v>44095</v>
      </c>
      <c r="X5" s="5">
        <f t="shared" si="5"/>
        <v>82900</v>
      </c>
      <c r="Y5" s="5">
        <f>SUM(SUMIFS(Source!C:C,Source!A:A,A5,Source!D:D,{"DA";"HY";"CE"}))</f>
        <v>30000</v>
      </c>
      <c r="AB5" s="5">
        <f t="shared" si="6"/>
        <v>0</v>
      </c>
      <c r="AC5" s="5">
        <f t="shared" si="7"/>
        <v>17000</v>
      </c>
      <c r="AD5" s="5">
        <f t="shared" si="8"/>
        <v>0</v>
      </c>
      <c r="AE5" s="5">
        <f t="shared" si="9"/>
        <v>17000</v>
      </c>
      <c r="AG5" s="5">
        <f t="shared" si="10"/>
        <v>17000</v>
      </c>
      <c r="AI5" t="str">
        <f t="shared" si="11"/>
        <v>Oui</v>
      </c>
      <c r="AJ5">
        <f t="shared" si="12"/>
        <v>82900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"/>
  <sheetViews>
    <sheetView topLeftCell="F1" workbookViewId="0">
      <selection activeCell="I15" sqref="I15"/>
    </sheetView>
  </sheetViews>
  <sheetFormatPr baseColWidth="10" defaultRowHeight="14.25" x14ac:dyDescent="0.45"/>
  <sheetData>
    <row r="1" spans="1:19" x14ac:dyDescent="0.45">
      <c r="O1" s="3">
        <v>44104</v>
      </c>
    </row>
    <row r="2" spans="1:19" x14ac:dyDescent="0.45">
      <c r="A2" s="6" t="s">
        <v>0</v>
      </c>
      <c r="B2" s="1" t="s">
        <v>1</v>
      </c>
      <c r="C2" s="1" t="s">
        <v>80</v>
      </c>
      <c r="D2" s="1" t="s">
        <v>81</v>
      </c>
      <c r="E2" s="1" t="s">
        <v>56</v>
      </c>
      <c r="F2" s="1" t="s">
        <v>82</v>
      </c>
      <c r="G2" s="1" t="s">
        <v>83</v>
      </c>
      <c r="H2" s="1" t="s">
        <v>84</v>
      </c>
      <c r="I2" s="1" t="s">
        <v>85</v>
      </c>
      <c r="J2" s="1" t="s">
        <v>86</v>
      </c>
      <c r="K2" s="1" t="s">
        <v>87</v>
      </c>
      <c r="L2" s="1" t="s">
        <v>88</v>
      </c>
      <c r="M2" s="1" t="s">
        <v>89</v>
      </c>
      <c r="N2" s="1" t="s">
        <v>90</v>
      </c>
      <c r="O2" s="1" t="s">
        <v>91</v>
      </c>
      <c r="P2" s="1" t="s">
        <v>92</v>
      </c>
      <c r="Q2" s="1" t="s">
        <v>93</v>
      </c>
      <c r="R2" s="1" t="s">
        <v>94</v>
      </c>
      <c r="S2" s="1" t="s">
        <v>95</v>
      </c>
    </row>
    <row r="3" spans="1:19" x14ac:dyDescent="0.45">
      <c r="A3">
        <v>100</v>
      </c>
      <c r="B3" t="s">
        <v>3</v>
      </c>
      <c r="C3">
        <v>1000</v>
      </c>
      <c r="G3" s="5">
        <f>IF(E3="",F3+9,IF(F3="",E3,IF(AND(F3&lt;&gt;"",F3+9&lt;=E3),F3+9,IF(AND(F3&lt;&gt;"",F3+9&gt;E3),E3))))</f>
        <v>9</v>
      </c>
      <c r="I3" s="5">
        <f>IFERROR(H3/J3,0)</f>
        <v>0</v>
      </c>
      <c r="J3" s="5">
        <f>SUM(SUMIFS(Source!C:C,Source!A:A,A3,Source!D:D,{"ET";"AT";"BT";"CT";"DT";"FT";"GT";"HT"}))</f>
        <v>21700</v>
      </c>
      <c r="K3" s="5">
        <f>IF(J3&gt;C3,J3-C3,0)</f>
        <v>20700</v>
      </c>
      <c r="L3" s="5">
        <f>SUM(SUMIFS(Source!C:C,Source!A:A,A3,Source!D:D,{"DA";"HY";"CE"}))</f>
        <v>26000</v>
      </c>
      <c r="M3" s="5">
        <f>IF($O$1-G3&gt;0,$O$1-G3,0)</f>
        <v>44095</v>
      </c>
      <c r="O3" s="5">
        <f>IFERROR(N3/J3,0)</f>
        <v>0</v>
      </c>
      <c r="P3">
        <f>IF(N3&gt;H3,N3-H3,0)</f>
        <v>0</v>
      </c>
      <c r="Q3" s="5">
        <f>IF(S3="Oui",-J3,IF(I3&gt;1,J3-H3,IF(I3&lt;=1,0)))</f>
        <v>0</v>
      </c>
      <c r="R3" s="5">
        <f>IF(S3="Oui",J3,0)</f>
        <v>0</v>
      </c>
    </row>
    <row r="4" spans="1:19" x14ac:dyDescent="0.45">
      <c r="A4">
        <v>200</v>
      </c>
      <c r="B4" t="s">
        <v>4</v>
      </c>
      <c r="C4">
        <v>3500</v>
      </c>
      <c r="G4" s="5">
        <f t="shared" ref="G4:G5" si="0">IF(E4="",F4+9,IF(F4="",E4,IF(AND(F4&lt;&gt;"",F4+9&lt;=E4),F4+9,IF(AND(F4&lt;&gt;"",F4+9&gt;E4),E4))))</f>
        <v>9</v>
      </c>
      <c r="I4" s="5">
        <f t="shared" ref="I4:I5" si="1">IFERROR(H4/J4,0)</f>
        <v>0</v>
      </c>
      <c r="J4" s="5">
        <f>SUM(SUMIFS(Source!C:C,Source!A:A,A4,Source!D:D,{"ET";"AT";"BT";"CT";"DT";"FT";"GT";"HT"}))</f>
        <v>19100</v>
      </c>
      <c r="K4" s="5">
        <f t="shared" ref="K4:K5" si="2">IF(J4&gt;C4,J4-C4,0)</f>
        <v>15600</v>
      </c>
      <c r="L4" s="5">
        <f>SUM(SUMIFS(Source!C:C,Source!A:A,A4,Source!D:D,{"DA";"HY";"CE"}))</f>
        <v>28000</v>
      </c>
      <c r="M4" s="5">
        <f t="shared" ref="M4:M5" si="3">IF($O$1-G4&gt;0,$O$1-G4,0)</f>
        <v>44095</v>
      </c>
      <c r="O4" s="5">
        <f t="shared" ref="O4:O5" si="4">IFERROR(N4/J4,0)</f>
        <v>0</v>
      </c>
      <c r="P4">
        <f t="shared" ref="P4:P5" si="5">IF(N4&gt;H4,N4-H4,0)</f>
        <v>0</v>
      </c>
      <c r="Q4" s="5">
        <f>IF(S4="Oui",-J4,IF(I4&gt;1,J4-H4,IF(I4&lt;=1,0)))</f>
        <v>0</v>
      </c>
      <c r="R4" s="5">
        <f>IF(S4="Oui",J4,0)</f>
        <v>0</v>
      </c>
    </row>
    <row r="5" spans="1:19" x14ac:dyDescent="0.45">
      <c r="A5">
        <v>300</v>
      </c>
      <c r="B5" t="s">
        <v>5</v>
      </c>
      <c r="C5">
        <v>4800</v>
      </c>
      <c r="G5" s="5">
        <f t="shared" si="0"/>
        <v>9</v>
      </c>
      <c r="I5" s="5">
        <f t="shared" si="1"/>
        <v>0</v>
      </c>
      <c r="J5" s="5">
        <f>SUM(SUMIFS(Source!C:C,Source!A:A,A5,Source!D:D,{"ET";"AT";"BT";"CT";"DT";"FT";"GT";"HT"}))</f>
        <v>82900</v>
      </c>
      <c r="K5" s="5">
        <f t="shared" si="2"/>
        <v>78100</v>
      </c>
      <c r="L5" s="5">
        <f>SUM(SUMIFS(Source!C:C,Source!A:A,A5,Source!D:D,{"DA";"HY";"CE"}))</f>
        <v>30000</v>
      </c>
      <c r="M5" s="5">
        <f t="shared" si="3"/>
        <v>44095</v>
      </c>
      <c r="O5" s="5">
        <f t="shared" si="4"/>
        <v>0</v>
      </c>
      <c r="P5">
        <f t="shared" si="5"/>
        <v>0</v>
      </c>
      <c r="Q5" s="5">
        <f>IF(S5="Oui",-J5,IF(I5&gt;1,J5-H5,IF(I5&lt;=1,0)))</f>
        <v>0</v>
      </c>
      <c r="R5" s="5">
        <f>IF(S5="Oui",J5,0)</f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"/>
  <sheetViews>
    <sheetView topLeftCell="AA1" workbookViewId="0">
      <selection activeCell="AA3" sqref="AA3"/>
    </sheetView>
  </sheetViews>
  <sheetFormatPr baseColWidth="10" defaultRowHeight="14.25" x14ac:dyDescent="0.45"/>
  <sheetData>
    <row r="1" spans="1:40" x14ac:dyDescent="0.45">
      <c r="X1" s="3">
        <v>44104</v>
      </c>
    </row>
    <row r="2" spans="1:40" ht="23.25" x14ac:dyDescent="0.45">
      <c r="A2" s="6" t="s">
        <v>19</v>
      </c>
      <c r="B2" s="1" t="s">
        <v>7</v>
      </c>
      <c r="C2" s="1" t="s">
        <v>20</v>
      </c>
      <c r="D2" s="1" t="s">
        <v>9</v>
      </c>
      <c r="E2" s="1" t="s">
        <v>10</v>
      </c>
      <c r="F2" s="1" t="s">
        <v>11</v>
      </c>
      <c r="G2" s="1" t="s">
        <v>12</v>
      </c>
      <c r="H2" s="1" t="s">
        <v>13</v>
      </c>
      <c r="I2" s="1" t="s">
        <v>14</v>
      </c>
      <c r="J2" s="1" t="s">
        <v>15</v>
      </c>
      <c r="K2" s="1" t="s">
        <v>16</v>
      </c>
      <c r="L2" s="1" t="s">
        <v>17</v>
      </c>
      <c r="M2" s="1" t="s">
        <v>18</v>
      </c>
      <c r="N2" s="1" t="s">
        <v>81</v>
      </c>
      <c r="O2" s="1" t="s">
        <v>78</v>
      </c>
      <c r="P2" s="1" t="s">
        <v>56</v>
      </c>
      <c r="Q2" s="1" t="s">
        <v>57</v>
      </c>
      <c r="R2" s="1" t="s">
        <v>58</v>
      </c>
      <c r="S2" s="1" t="s">
        <v>59</v>
      </c>
      <c r="T2" s="1" t="s">
        <v>62</v>
      </c>
      <c r="U2" s="1" t="s">
        <v>63</v>
      </c>
      <c r="V2" s="1" t="s">
        <v>45</v>
      </c>
      <c r="W2" s="1" t="s">
        <v>64</v>
      </c>
      <c r="X2" s="1" t="s">
        <v>65</v>
      </c>
      <c r="Y2" s="1" t="s">
        <v>66</v>
      </c>
      <c r="Z2" s="1" t="s">
        <v>67</v>
      </c>
      <c r="AA2" s="1" t="s">
        <v>68</v>
      </c>
      <c r="AB2" s="1" t="s">
        <v>60</v>
      </c>
      <c r="AC2" s="1" t="s">
        <v>69</v>
      </c>
      <c r="AD2" s="1" t="s">
        <v>70</v>
      </c>
      <c r="AE2" s="1" t="s">
        <v>71</v>
      </c>
      <c r="AF2" s="1" t="s">
        <v>72</v>
      </c>
      <c r="AG2" s="1" t="s">
        <v>61</v>
      </c>
      <c r="AH2" s="1" t="s">
        <v>73</v>
      </c>
      <c r="AI2" s="1" t="s">
        <v>74</v>
      </c>
      <c r="AJ2" s="1" t="s">
        <v>75</v>
      </c>
      <c r="AK2" s="1" t="s">
        <v>76</v>
      </c>
      <c r="AL2" s="1" t="s">
        <v>77</v>
      </c>
      <c r="AM2" s="2" t="s">
        <v>96</v>
      </c>
      <c r="AN2" s="1" t="s">
        <v>97</v>
      </c>
    </row>
    <row r="3" spans="1:40" x14ac:dyDescent="0.45">
      <c r="A3">
        <v>100</v>
      </c>
      <c r="B3" t="s">
        <v>3</v>
      </c>
      <c r="C3">
        <v>1000</v>
      </c>
      <c r="D3" s="5">
        <f>SUMIFS(Source!$C:$C,Source!$A:$A,$A3,Source!$D:$D,D$2)</f>
        <v>500</v>
      </c>
      <c r="E3" s="5">
        <f>SUMIFS(Source!$C:$C,Source!$A:$A,$A3,Source!$D:$D,E$2)</f>
        <v>2000</v>
      </c>
      <c r="F3" s="5">
        <f>SUMIFS(Source!$C:$C,Source!$A:$A,$A3,Source!$D:$D,F$2)</f>
        <v>4000</v>
      </c>
      <c r="G3" s="5">
        <f>SUMIFS(Source!$C:$C,Source!$A:$A,$A3,Source!$D:$D,G$2)</f>
        <v>12000</v>
      </c>
      <c r="H3" s="5">
        <f>SUMIFS(Source!$C:$C,Source!$A:$A,$A3,Source!$D:$D,H$2)</f>
        <v>0</v>
      </c>
      <c r="I3" s="5">
        <f>SUMIFS(Source!$C:$C,Source!$A:$A,$A3,Source!$D:$D,I$2)</f>
        <v>400</v>
      </c>
      <c r="J3" s="5">
        <f>SUMIFS(Source!$C:$C,Source!$A:$A,$A3,Source!$D:$D,J$2)</f>
        <v>800</v>
      </c>
      <c r="K3" s="5">
        <f>SUMIFS(Source!$C:$C,Source!$A:$A,$A3,Source!$D:$D,K$2)</f>
        <v>2000</v>
      </c>
      <c r="L3" s="5">
        <f>SUMIFS(Source!$C:$C,Source!$A:$A,$A3,Source!$D:$D,L$2)</f>
        <v>5000</v>
      </c>
      <c r="M3" s="5">
        <f>SUMIFS(Source!$C:$C,Source!$A:$A,$A3,Source!$D:$D,M$2)</f>
        <v>8000</v>
      </c>
      <c r="R3" s="5">
        <f>IF(Q3&gt;$X$1,0,($X$1-Q3)/365)</f>
        <v>120.83287671232877</v>
      </c>
      <c r="S3" t="str">
        <f>IF(AND(R3&gt;1,V3=0),"Oui","Non")</f>
        <v>Oui</v>
      </c>
      <c r="T3" s="5">
        <f>IF(S3="oui",DATE(YEAR(Q3)+1,MONTH(Q3),DAY(Q3)),"")</f>
        <v>366</v>
      </c>
      <c r="U3" s="5" t="str">
        <f>IF(V3&gt;0,"Oui","Non")</f>
        <v>Non</v>
      </c>
      <c r="V3" s="5">
        <f>IFERROR(INDEX(B!Q:Q,MATCH(A3,B!A:A,0)),0)</f>
        <v>0</v>
      </c>
      <c r="W3" s="5">
        <f>IF(U3="Non",0,$X$1-V3)</f>
        <v>0</v>
      </c>
      <c r="X3" s="5" t="str">
        <f>IF(Y3&gt;0,"Oui","Non")</f>
        <v>Non</v>
      </c>
      <c r="Z3" s="5">
        <f>IF(X3="non",0,(P3-Y3)/365)</f>
        <v>0</v>
      </c>
      <c r="AA3" s="5" t="str">
        <f>IF(OR(AND(U3="Oui",W3&gt;30,R3&lt;=3),AND(X3="Oui",Z3&lt;=3)),"Oui","Non")</f>
        <v>Non</v>
      </c>
      <c r="AB3" s="5">
        <f>IF(AA3="Non",0,IF(AND(AA3="Oui",X3="Non"),V3+30,IF(AND(AA3="oui",X3="Oui"),P3)))</f>
        <v>0</v>
      </c>
      <c r="AC3" s="5">
        <f>IF(AB3&gt;0,$X$1-AB3,0)</f>
        <v>0</v>
      </c>
      <c r="AD3" s="5">
        <f>IF(AA3="Oui",SUM(D3:K3),0)</f>
        <v>0</v>
      </c>
      <c r="AE3" s="5">
        <f>SUM(SUMIFS(Source!C:C,Source!A:A,A3,Source!D:D,{"DA";"HY";"CE"}))</f>
        <v>26000</v>
      </c>
      <c r="AH3" s="5">
        <f>IF(AF3&gt;AG3,AF3-AG3,0)</f>
        <v>0</v>
      </c>
      <c r="AI3" s="5">
        <f>IF(AA3="Oui",SUM(L3:M3),0)</f>
        <v>0</v>
      </c>
      <c r="AJ3" s="5">
        <f>IF(AE3&gt;AD3,AE3-AD3,0)</f>
        <v>26000</v>
      </c>
      <c r="AK3" s="5">
        <f>IF(AJ3&lt;=0,AI3,IF(AND(AJ3&gt;0,AI3&gt;AJ3),AI3-AJ3,IF(AND(AJ3&gt;0,AI3&lt;AJ3),0)))</f>
        <v>0</v>
      </c>
      <c r="AM3" s="5">
        <f>IF(AK3&gt;AL3,AK3-AL3,0)</f>
        <v>0</v>
      </c>
    </row>
    <row r="4" spans="1:40" x14ac:dyDescent="0.45">
      <c r="A4">
        <v>200</v>
      </c>
      <c r="B4" t="s">
        <v>4</v>
      </c>
      <c r="C4">
        <v>3500</v>
      </c>
      <c r="D4" s="5">
        <f>SUMIFS(Source!$C:$C,Source!$A:$A,$A4,Source!$D:$D,D$2)</f>
        <v>300</v>
      </c>
      <c r="E4" s="5">
        <f>SUMIFS(Source!$C:$C,Source!$A:$A,$A4,Source!$D:$D,E$2)</f>
        <v>2500</v>
      </c>
      <c r="F4" s="5">
        <f>SUMIFS(Source!$C:$C,Source!$A:$A,$A4,Source!$D:$D,F$2)</f>
        <v>8000</v>
      </c>
      <c r="G4" s="5">
        <f>SUMIFS(Source!$C:$C,Source!$A:$A,$A4,Source!$D:$D,G$2)</f>
        <v>0</v>
      </c>
      <c r="H4" s="5">
        <f>SUMIFS(Source!$C:$C,Source!$A:$A,$A4,Source!$D:$D,H$2)</f>
        <v>5000</v>
      </c>
      <c r="I4" s="5">
        <f>SUMIFS(Source!$C:$C,Source!$A:$A,$A4,Source!$D:$D,I$2)</f>
        <v>100</v>
      </c>
      <c r="J4" s="5">
        <f>SUMIFS(Source!$C:$C,Source!$A:$A,$A4,Source!$D:$D,J$2)</f>
        <v>200</v>
      </c>
      <c r="K4" s="5">
        <f>SUMIFS(Source!$C:$C,Source!$A:$A,$A4,Source!$D:$D,K$2)</f>
        <v>3000</v>
      </c>
      <c r="L4" s="5">
        <f>SUMIFS(Source!$C:$C,Source!$A:$A,$A4,Source!$D:$D,L$2)</f>
        <v>6000</v>
      </c>
      <c r="M4" s="5">
        <f>SUMIFS(Source!$C:$C,Source!$A:$A,$A4,Source!$D:$D,M$2)</f>
        <v>9000</v>
      </c>
      <c r="R4" s="5">
        <f t="shared" ref="R4:R5" si="0">IF(Q4&gt;$X$1,0,($X$1-Q4)/365)</f>
        <v>120.83287671232877</v>
      </c>
      <c r="S4" t="str">
        <f t="shared" ref="S4:S5" si="1">IF(AND(R4&gt;1,V4=0),"Oui","Non")</f>
        <v>Oui</v>
      </c>
      <c r="T4" s="5">
        <f t="shared" ref="T4:T5" si="2">IF(S4="oui",DATE(YEAR(Q4)+1,MONTH(Q4),DAY(Q4)),"")</f>
        <v>366</v>
      </c>
      <c r="U4" s="5" t="str">
        <f t="shared" ref="U4:U5" si="3">IF(V4&gt;0,"Oui","Non")</f>
        <v>Non</v>
      </c>
      <c r="V4" s="5">
        <f>IFERROR(INDEX(B!Q:Q,MATCH(A4,B!A:A,0)),0)</f>
        <v>0</v>
      </c>
      <c r="W4" s="5">
        <f t="shared" ref="W4:W5" si="4">IF(U4="Non",0,$X$1-V4)</f>
        <v>0</v>
      </c>
      <c r="X4" s="5" t="str">
        <f t="shared" ref="X4:X5" si="5">IF(Y4&gt;0,"Oui","Non")</f>
        <v>Non</v>
      </c>
      <c r="Z4" s="5">
        <f t="shared" ref="Z4:Z5" si="6">IF(X4="non",0,(P4-Y4)/365)</f>
        <v>0</v>
      </c>
      <c r="AA4" s="5" t="str">
        <f t="shared" ref="AA4:AA5" si="7">IF(OR(AND(U4="Oui",W4&gt;30,R4&lt;=3),AND(X4="Oui",Z4&lt;=3)),"Oui","Non")</f>
        <v>Non</v>
      </c>
      <c r="AB4" s="5">
        <f t="shared" ref="AB4:AB5" si="8">IF(AA4="Non",0,IF(AND(AA4="Oui",X4="Non"),V4+30,IF(AND(AA4="oui",X4="Oui"),P4)))</f>
        <v>0</v>
      </c>
      <c r="AC4" s="5">
        <f t="shared" ref="AC4:AC5" si="9">IF(AB4&gt;0,$X$1-AB4,0)</f>
        <v>0</v>
      </c>
      <c r="AD4" s="5">
        <f t="shared" ref="AD4:AD5" si="10">IF(AA4="Oui",SUM(D4:K4),0)</f>
        <v>0</v>
      </c>
      <c r="AE4" s="5">
        <f>SUM(SUMIFS(Source!C:C,Source!A:A,A4,Source!D:D,{"DA";"HY";"CE"}))</f>
        <v>28000</v>
      </c>
      <c r="AH4" s="5">
        <f t="shared" ref="AH4:AH5" si="11">IF(AF4&gt;AG4,AF4-AG4,0)</f>
        <v>0</v>
      </c>
      <c r="AI4" s="5">
        <f t="shared" ref="AI4:AI5" si="12">IF(AA4="Oui",SUM(L4:M4),0)</f>
        <v>0</v>
      </c>
      <c r="AJ4" s="5">
        <f t="shared" ref="AJ4:AJ5" si="13">IF(AE4&gt;AD4,AE4-AD4,0)</f>
        <v>28000</v>
      </c>
      <c r="AK4" s="5">
        <f t="shared" ref="AK4:AK5" si="14">IF(AJ4&lt;=0,AI4,IF(AND(AJ4&gt;0,AI4&gt;AJ4),AI4-AJ4,IF(AND(AJ4&gt;0,AI4&lt;AJ4),0)))</f>
        <v>0</v>
      </c>
      <c r="AM4" s="5">
        <f t="shared" ref="AM4:AM5" si="15">IF(AK4&gt;AL4,AK4-AL4,0)</f>
        <v>0</v>
      </c>
    </row>
    <row r="5" spans="1:40" x14ac:dyDescent="0.45">
      <c r="A5">
        <v>300</v>
      </c>
      <c r="B5" t="s">
        <v>5</v>
      </c>
      <c r="C5">
        <v>4800</v>
      </c>
      <c r="D5" s="5">
        <f>SUMIFS(Source!$C:$C,Source!$A:$A,$A5,Source!$D:$D,D$2)</f>
        <v>800</v>
      </c>
      <c r="E5" s="5">
        <f>SUMIFS(Source!$C:$C,Source!$A:$A,$A5,Source!$D:$D,E$2)</f>
        <v>3500</v>
      </c>
      <c r="F5" s="5">
        <f>SUMIFS(Source!$C:$C,Source!$A:$A,$A5,Source!$D:$D,F$2)</f>
        <v>12000</v>
      </c>
      <c r="G5" s="5">
        <f>SUMIFS(Source!$C:$C,Source!$A:$A,$A5,Source!$D:$D,G$2)</f>
        <v>22000</v>
      </c>
      <c r="H5" s="5">
        <f>SUMIFS(Source!$C:$C,Source!$A:$A,$A5,Source!$D:$D,H$2)</f>
        <v>40000</v>
      </c>
      <c r="I5" s="5">
        <f>SUMIFS(Source!$C:$C,Source!$A:$A,$A5,Source!$D:$D,I$2)</f>
        <v>0</v>
      </c>
      <c r="J5" s="5">
        <f>SUMIFS(Source!$C:$C,Source!$A:$A,$A5,Source!$D:$D,J$2)</f>
        <v>600</v>
      </c>
      <c r="K5" s="5">
        <f>SUMIFS(Source!$C:$C,Source!$A:$A,$A5,Source!$D:$D,K$2)</f>
        <v>4000</v>
      </c>
      <c r="L5" s="5">
        <f>SUMIFS(Source!$C:$C,Source!$A:$A,$A5,Source!$D:$D,L$2)</f>
        <v>7000</v>
      </c>
      <c r="M5" s="5">
        <f>SUMIFS(Source!$C:$C,Source!$A:$A,$A5,Source!$D:$D,M$2)</f>
        <v>10000</v>
      </c>
      <c r="R5" s="5">
        <f t="shared" si="0"/>
        <v>120.83287671232877</v>
      </c>
      <c r="S5" t="str">
        <f t="shared" si="1"/>
        <v>Oui</v>
      </c>
      <c r="T5" s="5">
        <f t="shared" si="2"/>
        <v>366</v>
      </c>
      <c r="U5" s="5" t="str">
        <f t="shared" si="3"/>
        <v>Non</v>
      </c>
      <c r="V5" s="5">
        <f>IFERROR(INDEX(B!Q:Q,MATCH(A5,B!A:A,0)),0)</f>
        <v>0</v>
      </c>
      <c r="W5" s="5">
        <f t="shared" si="4"/>
        <v>0</v>
      </c>
      <c r="X5" s="5" t="str">
        <f t="shared" si="5"/>
        <v>Non</v>
      </c>
      <c r="Z5" s="5">
        <f t="shared" si="6"/>
        <v>0</v>
      </c>
      <c r="AA5" s="5" t="str">
        <f t="shared" si="7"/>
        <v>Non</v>
      </c>
      <c r="AB5" s="5">
        <f t="shared" si="8"/>
        <v>0</v>
      </c>
      <c r="AC5" s="5">
        <f t="shared" si="9"/>
        <v>0</v>
      </c>
      <c r="AD5" s="5">
        <f t="shared" si="10"/>
        <v>0</v>
      </c>
      <c r="AE5" s="5">
        <f>SUM(SUMIFS(Source!C:C,Source!A:A,A5,Source!D:D,{"DA";"HY";"CE"}))</f>
        <v>30000</v>
      </c>
      <c r="AH5" s="5">
        <f t="shared" si="11"/>
        <v>0</v>
      </c>
      <c r="AI5" s="5">
        <f t="shared" si="12"/>
        <v>0</v>
      </c>
      <c r="AJ5" s="5">
        <f t="shared" si="13"/>
        <v>30000</v>
      </c>
      <c r="AK5" s="5">
        <f t="shared" si="14"/>
        <v>0</v>
      </c>
      <c r="AM5" s="5">
        <f t="shared" si="15"/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workbookViewId="0">
      <selection activeCell="C16" sqref="C16"/>
    </sheetView>
  </sheetViews>
  <sheetFormatPr baseColWidth="10" defaultRowHeight="14.25" x14ac:dyDescent="0.45"/>
  <sheetData>
    <row r="1" spans="1:4" ht="23.25" x14ac:dyDescent="0.45">
      <c r="A1" s="1" t="s">
        <v>6</v>
      </c>
      <c r="B1" s="1" t="s">
        <v>7</v>
      </c>
      <c r="C1" s="1" t="s">
        <v>2</v>
      </c>
      <c r="D1" s="1" t="s">
        <v>8</v>
      </c>
    </row>
    <row r="2" spans="1:4" x14ac:dyDescent="0.45">
      <c r="A2">
        <v>100</v>
      </c>
      <c r="B2" t="s">
        <v>3</v>
      </c>
      <c r="C2">
        <v>500</v>
      </c>
      <c r="D2" t="s">
        <v>9</v>
      </c>
    </row>
    <row r="3" spans="1:4" x14ac:dyDescent="0.45">
      <c r="A3">
        <v>200</v>
      </c>
      <c r="B3" t="s">
        <v>4</v>
      </c>
      <c r="C3">
        <v>300</v>
      </c>
      <c r="D3" t="s">
        <v>9</v>
      </c>
    </row>
    <row r="4" spans="1:4" x14ac:dyDescent="0.45">
      <c r="A4">
        <v>300</v>
      </c>
      <c r="B4" t="s">
        <v>5</v>
      </c>
      <c r="C4">
        <v>800</v>
      </c>
      <c r="D4" t="s">
        <v>9</v>
      </c>
    </row>
    <row r="5" spans="1:4" x14ac:dyDescent="0.45">
      <c r="A5">
        <v>100</v>
      </c>
      <c r="B5" t="s">
        <v>3</v>
      </c>
      <c r="C5">
        <v>2000</v>
      </c>
      <c r="D5" t="s">
        <v>10</v>
      </c>
    </row>
    <row r="6" spans="1:4" x14ac:dyDescent="0.45">
      <c r="A6">
        <v>200</v>
      </c>
      <c r="B6" t="s">
        <v>4</v>
      </c>
      <c r="C6">
        <v>2500</v>
      </c>
      <c r="D6" t="s">
        <v>10</v>
      </c>
    </row>
    <row r="7" spans="1:4" x14ac:dyDescent="0.45">
      <c r="A7">
        <v>300</v>
      </c>
      <c r="B7" t="s">
        <v>5</v>
      </c>
      <c r="C7">
        <v>3500</v>
      </c>
      <c r="D7" t="s">
        <v>10</v>
      </c>
    </row>
    <row r="8" spans="1:4" x14ac:dyDescent="0.45">
      <c r="A8">
        <v>100</v>
      </c>
      <c r="B8" t="s">
        <v>3</v>
      </c>
      <c r="C8">
        <v>4000</v>
      </c>
      <c r="D8" t="s">
        <v>11</v>
      </c>
    </row>
    <row r="9" spans="1:4" x14ac:dyDescent="0.45">
      <c r="A9">
        <v>200</v>
      </c>
      <c r="B9" t="s">
        <v>4</v>
      </c>
      <c r="C9">
        <v>8000</v>
      </c>
      <c r="D9" t="s">
        <v>11</v>
      </c>
    </row>
    <row r="10" spans="1:4" x14ac:dyDescent="0.45">
      <c r="A10">
        <v>300</v>
      </c>
      <c r="B10" t="s">
        <v>5</v>
      </c>
      <c r="C10">
        <v>12000</v>
      </c>
      <c r="D10" t="s">
        <v>11</v>
      </c>
    </row>
    <row r="11" spans="1:4" x14ac:dyDescent="0.45">
      <c r="A11">
        <v>100</v>
      </c>
      <c r="B11" t="s">
        <v>3</v>
      </c>
      <c r="C11">
        <v>12000</v>
      </c>
      <c r="D11" t="s">
        <v>12</v>
      </c>
    </row>
    <row r="12" spans="1:4" x14ac:dyDescent="0.45">
      <c r="A12">
        <v>200</v>
      </c>
      <c r="B12" t="s">
        <v>4</v>
      </c>
      <c r="C12">
        <v>0</v>
      </c>
      <c r="D12" t="s">
        <v>12</v>
      </c>
    </row>
    <row r="13" spans="1:4" x14ac:dyDescent="0.45">
      <c r="A13">
        <v>300</v>
      </c>
      <c r="B13" t="s">
        <v>5</v>
      </c>
      <c r="C13">
        <v>22000</v>
      </c>
      <c r="D13" t="s">
        <v>12</v>
      </c>
    </row>
    <row r="14" spans="1:4" x14ac:dyDescent="0.45">
      <c r="A14">
        <v>100</v>
      </c>
      <c r="B14" t="s">
        <v>3</v>
      </c>
      <c r="C14">
        <v>0</v>
      </c>
      <c r="D14" t="s">
        <v>13</v>
      </c>
    </row>
    <row r="15" spans="1:4" x14ac:dyDescent="0.45">
      <c r="A15">
        <v>200</v>
      </c>
      <c r="B15" t="s">
        <v>4</v>
      </c>
      <c r="C15">
        <v>5000</v>
      </c>
      <c r="D15" t="s">
        <v>13</v>
      </c>
    </row>
    <row r="16" spans="1:4" x14ac:dyDescent="0.45">
      <c r="A16">
        <v>300</v>
      </c>
      <c r="B16" t="s">
        <v>5</v>
      </c>
      <c r="C16">
        <v>40000</v>
      </c>
      <c r="D16" t="s">
        <v>13</v>
      </c>
    </row>
    <row r="17" spans="1:4" x14ac:dyDescent="0.45">
      <c r="A17">
        <v>100</v>
      </c>
      <c r="B17" t="s">
        <v>3</v>
      </c>
      <c r="C17">
        <v>400</v>
      </c>
      <c r="D17" t="s">
        <v>14</v>
      </c>
    </row>
    <row r="18" spans="1:4" x14ac:dyDescent="0.45">
      <c r="A18">
        <v>200</v>
      </c>
      <c r="B18" t="s">
        <v>4</v>
      </c>
      <c r="C18">
        <v>100</v>
      </c>
      <c r="D18" t="s">
        <v>14</v>
      </c>
    </row>
    <row r="19" spans="1:4" x14ac:dyDescent="0.45">
      <c r="A19">
        <v>300</v>
      </c>
      <c r="B19" t="s">
        <v>5</v>
      </c>
      <c r="C19">
        <v>0</v>
      </c>
      <c r="D19" t="s">
        <v>14</v>
      </c>
    </row>
    <row r="20" spans="1:4" x14ac:dyDescent="0.45">
      <c r="A20">
        <v>100</v>
      </c>
      <c r="B20" t="s">
        <v>3</v>
      </c>
      <c r="C20">
        <v>800</v>
      </c>
      <c r="D20" t="s">
        <v>15</v>
      </c>
    </row>
    <row r="21" spans="1:4" x14ac:dyDescent="0.45">
      <c r="A21">
        <v>200</v>
      </c>
      <c r="B21" t="s">
        <v>4</v>
      </c>
      <c r="C21">
        <v>200</v>
      </c>
      <c r="D21" t="s">
        <v>15</v>
      </c>
    </row>
    <row r="22" spans="1:4" x14ac:dyDescent="0.45">
      <c r="A22">
        <v>300</v>
      </c>
      <c r="B22" t="s">
        <v>5</v>
      </c>
      <c r="C22">
        <v>600</v>
      </c>
      <c r="D22" t="s">
        <v>15</v>
      </c>
    </row>
    <row r="23" spans="1:4" x14ac:dyDescent="0.45">
      <c r="A23">
        <v>100</v>
      </c>
      <c r="B23" t="s">
        <v>3</v>
      </c>
      <c r="C23">
        <v>2000</v>
      </c>
      <c r="D23" t="s">
        <v>16</v>
      </c>
    </row>
    <row r="24" spans="1:4" x14ac:dyDescent="0.45">
      <c r="A24">
        <v>200</v>
      </c>
      <c r="B24" t="s">
        <v>4</v>
      </c>
      <c r="C24">
        <v>3000</v>
      </c>
      <c r="D24" t="s">
        <v>16</v>
      </c>
    </row>
    <row r="25" spans="1:4" x14ac:dyDescent="0.45">
      <c r="A25">
        <v>300</v>
      </c>
      <c r="B25" t="s">
        <v>5</v>
      </c>
      <c r="C25">
        <v>4000</v>
      </c>
      <c r="D25" t="s">
        <v>16</v>
      </c>
    </row>
    <row r="26" spans="1:4" x14ac:dyDescent="0.45">
      <c r="A26">
        <v>100</v>
      </c>
      <c r="B26" t="s">
        <v>3</v>
      </c>
      <c r="C26">
        <v>5000</v>
      </c>
      <c r="D26" t="s">
        <v>17</v>
      </c>
    </row>
    <row r="27" spans="1:4" x14ac:dyDescent="0.45">
      <c r="A27">
        <v>200</v>
      </c>
      <c r="B27" t="s">
        <v>4</v>
      </c>
      <c r="C27">
        <v>6000</v>
      </c>
      <c r="D27" t="s">
        <v>17</v>
      </c>
    </row>
    <row r="28" spans="1:4" x14ac:dyDescent="0.45">
      <c r="A28">
        <v>300</v>
      </c>
      <c r="B28" t="s">
        <v>5</v>
      </c>
      <c r="C28">
        <v>7000</v>
      </c>
      <c r="D28" t="s">
        <v>17</v>
      </c>
    </row>
    <row r="29" spans="1:4" x14ac:dyDescent="0.45">
      <c r="A29">
        <v>100</v>
      </c>
      <c r="B29" t="s">
        <v>3</v>
      </c>
      <c r="C29">
        <v>8000</v>
      </c>
      <c r="D29" t="s">
        <v>18</v>
      </c>
    </row>
    <row r="30" spans="1:4" x14ac:dyDescent="0.45">
      <c r="A30">
        <v>200</v>
      </c>
      <c r="B30" t="s">
        <v>4</v>
      </c>
      <c r="C30">
        <v>9000</v>
      </c>
      <c r="D30" t="s">
        <v>18</v>
      </c>
    </row>
    <row r="31" spans="1:4" x14ac:dyDescent="0.45">
      <c r="A31">
        <v>300</v>
      </c>
      <c r="B31" t="s">
        <v>5</v>
      </c>
      <c r="C31">
        <v>10000</v>
      </c>
      <c r="D31" t="s">
        <v>18</v>
      </c>
    </row>
    <row r="32" spans="1:4" x14ac:dyDescent="0.45">
      <c r="A32">
        <v>100</v>
      </c>
      <c r="B32" t="s">
        <v>3</v>
      </c>
      <c r="C32">
        <v>11000</v>
      </c>
      <c r="D32" t="s">
        <v>21</v>
      </c>
    </row>
    <row r="33" spans="1:4" x14ac:dyDescent="0.45">
      <c r="A33">
        <v>200</v>
      </c>
      <c r="B33" t="s">
        <v>4</v>
      </c>
      <c r="C33">
        <v>12000</v>
      </c>
      <c r="D33" t="s">
        <v>21</v>
      </c>
    </row>
    <row r="34" spans="1:4" x14ac:dyDescent="0.45">
      <c r="A34">
        <v>300</v>
      </c>
      <c r="B34" t="s">
        <v>5</v>
      </c>
      <c r="C34">
        <v>13000</v>
      </c>
      <c r="D34" t="s">
        <v>21</v>
      </c>
    </row>
    <row r="35" spans="1:4" x14ac:dyDescent="0.45">
      <c r="A35">
        <v>100</v>
      </c>
      <c r="B35" t="s">
        <v>3</v>
      </c>
      <c r="C35">
        <v>14000</v>
      </c>
      <c r="D35" t="s">
        <v>22</v>
      </c>
    </row>
    <row r="36" spans="1:4" x14ac:dyDescent="0.45">
      <c r="A36">
        <v>200</v>
      </c>
      <c r="B36" t="s">
        <v>4</v>
      </c>
      <c r="C36">
        <v>15000</v>
      </c>
      <c r="D36" t="s">
        <v>22</v>
      </c>
    </row>
    <row r="37" spans="1:4" x14ac:dyDescent="0.45">
      <c r="A37">
        <v>300</v>
      </c>
      <c r="B37" t="s">
        <v>5</v>
      </c>
      <c r="C37">
        <v>16000</v>
      </c>
      <c r="D37" t="s">
        <v>22</v>
      </c>
    </row>
    <row r="38" spans="1:4" x14ac:dyDescent="0.45">
      <c r="A38">
        <v>100</v>
      </c>
      <c r="B38" t="s">
        <v>3</v>
      </c>
      <c r="C38">
        <v>1000</v>
      </c>
      <c r="D38" t="s">
        <v>23</v>
      </c>
    </row>
    <row r="39" spans="1:4" x14ac:dyDescent="0.45">
      <c r="A39">
        <v>200</v>
      </c>
      <c r="B39" t="s">
        <v>4</v>
      </c>
      <c r="C39">
        <v>1000</v>
      </c>
      <c r="D39" t="s">
        <v>23</v>
      </c>
    </row>
    <row r="40" spans="1:4" x14ac:dyDescent="0.45">
      <c r="A40">
        <v>300</v>
      </c>
      <c r="B40" t="s">
        <v>5</v>
      </c>
      <c r="C40">
        <v>1000</v>
      </c>
      <c r="D40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</vt:lpstr>
      <vt:lpstr>B</vt:lpstr>
      <vt:lpstr>C</vt:lpstr>
      <vt:lpstr>D</vt:lpstr>
      <vt:lpstr>Source</vt:lpstr>
    </vt:vector>
  </TitlesOfParts>
  <Company>KPMG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KPMG</dc:creator>
  <cp:lastModifiedBy>KPMG</cp:lastModifiedBy>
  <dcterms:created xsi:type="dcterms:W3CDTF">2020-10-23T07:37:02Z</dcterms:created>
  <dcterms:modified xsi:type="dcterms:W3CDTF">2020-10-25T09:01:28Z</dcterms:modified>
</cp:coreProperties>
</file>