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tables/table9.xml" ContentType="application/vnd.openxmlformats-officedocument.spreadsheetml.table+xml"/>
  <Override PartName="/xl/drawings/drawing8.xml" ContentType="application/vnd.openxmlformats-officedocument.drawing+xml"/>
  <Override PartName="/xl/tables/table10.xml" ContentType="application/vnd.openxmlformats-officedocument.spreadsheetml.table+xml"/>
  <Override PartName="/xl/drawings/drawing9.xml" ContentType="application/vnd.openxmlformats-officedocument.drawing+xml"/>
  <Override PartName="/xl/tables/table11.xml" ContentType="application/vnd.openxmlformats-officedocument.spreadsheetml.table+xml"/>
  <Override PartName="/xl/drawings/drawing10.xml" ContentType="application/vnd.openxmlformats-officedocument.drawing+xml"/>
  <Override PartName="/xl/tables/table12.xml" ContentType="application/vnd.openxmlformats-officedocument.spreadsheetml.table+xml"/>
  <Override PartName="/xl/drawings/drawing11.xml" ContentType="application/vnd.openxmlformats-officedocument.drawing+xml"/>
  <Override PartName="/xl/tables/table13.xml" ContentType="application/vnd.openxmlformats-officedocument.spreadsheetml.table+xml"/>
  <Override PartName="/xl/drawings/drawing12.xml" ContentType="application/vnd.openxmlformats-officedocument.drawing+xml"/>
  <Override PartName="/xl/tables/table14.xml" ContentType="application/vnd.openxmlformats-officedocument.spreadsheetml.table+xml"/>
  <Override PartName="/xl/drawings/drawing13.xml" ContentType="application/vnd.openxmlformats-officedocument.drawing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60" windowHeight="8190"/>
  </bookViews>
  <sheets>
    <sheet name="Dépenses quotidiennes" sheetId="31" r:id="rId1"/>
    <sheet name="1 Habitat" sheetId="25" r:id="rId2"/>
    <sheet name="2 Achats" sheetId="9" r:id="rId3"/>
    <sheet name="3 Carburant" sheetId="3" r:id="rId4"/>
    <sheet name="4 Entretient Véhicule" sheetId="19" r:id="rId5"/>
    <sheet name="5 Fringue" sheetId="28" r:id="rId6"/>
    <sheet name="6 Cadeaux" sheetId="27" r:id="rId7"/>
    <sheet name="7 Resto" sheetId="7" r:id="rId8"/>
    <sheet name="8 Loisirs" sheetId="23" r:id="rId9"/>
    <sheet name="9 Vacances" sheetId="24" r:id="rId10"/>
    <sheet name="10 Chat" sheetId="26" r:id="rId11"/>
    <sheet name="11 Alimentation" sheetId="10" r:id="rId12"/>
    <sheet name="TOTAUX" sheetId="8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31" l="1"/>
  <c r="B26" i="31"/>
  <c r="H20" i="31"/>
  <c r="E20" i="31"/>
  <c r="B20" i="31"/>
  <c r="H14" i="31"/>
  <c r="E14" i="31"/>
  <c r="B14" i="31"/>
  <c r="H8" i="31"/>
  <c r="E8" i="31"/>
  <c r="B8" i="31"/>
  <c r="E12" i="25" l="1"/>
  <c r="R18" i="31"/>
  <c r="Q17" i="31"/>
  <c r="Q16" i="31"/>
  <c r="Q15" i="31"/>
  <c r="Q14" i="31"/>
  <c r="Q13" i="31"/>
  <c r="Q12" i="31"/>
  <c r="Q11" i="31"/>
  <c r="Q10" i="31"/>
  <c r="L15" i="31"/>
  <c r="E28" i="28" l="1"/>
  <c r="I17" i="28"/>
  <c r="F16" i="8" s="1"/>
  <c r="I16" i="28"/>
  <c r="F15" i="8" s="1"/>
  <c r="I15" i="28"/>
  <c r="F14" i="8" s="1"/>
  <c r="I14" i="28"/>
  <c r="F13" i="8" s="1"/>
  <c r="I13" i="28"/>
  <c r="F12" i="8" s="1"/>
  <c r="I12" i="28"/>
  <c r="F11" i="8" s="1"/>
  <c r="I11" i="28"/>
  <c r="F10" i="8" s="1"/>
  <c r="I10" i="28"/>
  <c r="F9" i="8" s="1"/>
  <c r="I9" i="28"/>
  <c r="F8" i="8" s="1"/>
  <c r="I8" i="28"/>
  <c r="F7" i="8" s="1"/>
  <c r="I7" i="28"/>
  <c r="F6" i="8" s="1"/>
  <c r="I6" i="28"/>
  <c r="F5" i="8" s="1"/>
  <c r="F17" i="8" s="1"/>
  <c r="L21" i="31" s="1"/>
  <c r="E28" i="27" l="1"/>
  <c r="I17" i="27"/>
  <c r="H16" i="8" s="1"/>
  <c r="I16" i="27"/>
  <c r="H15" i="8" s="1"/>
  <c r="I15" i="27"/>
  <c r="H14" i="8" s="1"/>
  <c r="I14" i="27"/>
  <c r="H13" i="8" s="1"/>
  <c r="I13" i="27"/>
  <c r="H12" i="8" s="1"/>
  <c r="I12" i="27"/>
  <c r="H11" i="8" s="1"/>
  <c r="I11" i="27"/>
  <c r="H10" i="8" s="1"/>
  <c r="I10" i="27"/>
  <c r="H9" i="8" s="1"/>
  <c r="I9" i="27"/>
  <c r="H8" i="8" s="1"/>
  <c r="I8" i="27"/>
  <c r="H7" i="8" s="1"/>
  <c r="I7" i="27"/>
  <c r="H6" i="8" s="1"/>
  <c r="I6" i="27"/>
  <c r="H5" i="8" s="1"/>
  <c r="E22" i="26"/>
  <c r="I17" i="26"/>
  <c r="L16" i="8" s="1"/>
  <c r="I16" i="26"/>
  <c r="L15" i="8" s="1"/>
  <c r="I15" i="26"/>
  <c r="L14" i="8" s="1"/>
  <c r="I14" i="26"/>
  <c r="L13" i="8" s="1"/>
  <c r="I13" i="26"/>
  <c r="L12" i="8" s="1"/>
  <c r="I12" i="26"/>
  <c r="L11" i="8" s="1"/>
  <c r="I11" i="26"/>
  <c r="L10" i="8" s="1"/>
  <c r="I10" i="26"/>
  <c r="L9" i="8" s="1"/>
  <c r="I9" i="26"/>
  <c r="L8" i="8" s="1"/>
  <c r="I8" i="26"/>
  <c r="L7" i="8" s="1"/>
  <c r="I7" i="26"/>
  <c r="L6" i="8" s="1"/>
  <c r="I6" i="26"/>
  <c r="L5" i="8" s="1"/>
  <c r="I17" i="25"/>
  <c r="C16" i="8" s="1"/>
  <c r="I16" i="25"/>
  <c r="C15" i="8" s="1"/>
  <c r="I15" i="25"/>
  <c r="C14" i="8" s="1"/>
  <c r="I14" i="25"/>
  <c r="C13" i="8" s="1"/>
  <c r="I13" i="25"/>
  <c r="C12" i="8" s="1"/>
  <c r="I12" i="25"/>
  <c r="C11" i="8" s="1"/>
  <c r="I11" i="25"/>
  <c r="C10" i="8" s="1"/>
  <c r="I10" i="25"/>
  <c r="C9" i="8" s="1"/>
  <c r="I9" i="25"/>
  <c r="C8" i="8" s="1"/>
  <c r="I8" i="25"/>
  <c r="C7" i="8" s="1"/>
  <c r="I7" i="25"/>
  <c r="C6" i="8" s="1"/>
  <c r="I6" i="25"/>
  <c r="C5" i="8" s="1"/>
  <c r="C17" i="8" l="1"/>
  <c r="L17" i="8"/>
  <c r="H17" i="8"/>
  <c r="E2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E28" i="23"/>
  <c r="I17" i="23"/>
  <c r="I16" i="8" s="1"/>
  <c r="I16" i="23"/>
  <c r="I15" i="8" s="1"/>
  <c r="I15" i="23"/>
  <c r="I14" i="8" s="1"/>
  <c r="I14" i="23"/>
  <c r="I13" i="8" s="1"/>
  <c r="I13" i="23"/>
  <c r="I12" i="8" s="1"/>
  <c r="I12" i="23"/>
  <c r="I11" i="8" s="1"/>
  <c r="I11" i="23"/>
  <c r="I10" i="8" s="1"/>
  <c r="I10" i="23"/>
  <c r="I9" i="8" s="1"/>
  <c r="I9" i="23"/>
  <c r="I8" i="8" s="1"/>
  <c r="I8" i="23"/>
  <c r="I7" i="8" s="1"/>
  <c r="I7" i="23"/>
  <c r="I6" i="8" s="1"/>
  <c r="I6" i="23"/>
  <c r="I5" i="8" s="1"/>
  <c r="L26" i="31" l="1"/>
  <c r="L22" i="31"/>
  <c r="L17" i="31"/>
  <c r="I17" i="8"/>
  <c r="E28" i="19"/>
  <c r="I17" i="19"/>
  <c r="J16" i="8" s="1"/>
  <c r="I16" i="19"/>
  <c r="J15" i="8" s="1"/>
  <c r="I15" i="19"/>
  <c r="J14" i="8" s="1"/>
  <c r="I14" i="19"/>
  <c r="J13" i="8" s="1"/>
  <c r="I13" i="19"/>
  <c r="J12" i="8" s="1"/>
  <c r="I12" i="19"/>
  <c r="J11" i="8" s="1"/>
  <c r="I11" i="19"/>
  <c r="J10" i="8" s="1"/>
  <c r="I10" i="19"/>
  <c r="J9" i="8" s="1"/>
  <c r="I9" i="19"/>
  <c r="J8" i="8" s="1"/>
  <c r="I8" i="19"/>
  <c r="J7" i="8" s="1"/>
  <c r="I7" i="19"/>
  <c r="J6" i="8" s="1"/>
  <c r="I6" i="19"/>
  <c r="J5" i="8" s="1"/>
  <c r="I7" i="7"/>
  <c r="K5" i="8" s="1"/>
  <c r="E25" i="10"/>
  <c r="I17" i="10"/>
  <c r="M16" i="8" s="1"/>
  <c r="I16" i="10"/>
  <c r="M15" i="8" s="1"/>
  <c r="I15" i="10"/>
  <c r="M14" i="8" s="1"/>
  <c r="I14" i="10"/>
  <c r="M13" i="8" s="1"/>
  <c r="I13" i="10"/>
  <c r="M12" i="8" s="1"/>
  <c r="I12" i="10"/>
  <c r="M11" i="8" s="1"/>
  <c r="I11" i="10"/>
  <c r="M10" i="8" s="1"/>
  <c r="I10" i="10"/>
  <c r="M9" i="8" s="1"/>
  <c r="I9" i="10"/>
  <c r="M8" i="8" s="1"/>
  <c r="I8" i="10"/>
  <c r="M7" i="8" s="1"/>
  <c r="I7" i="10"/>
  <c r="M6" i="8" s="1"/>
  <c r="I6" i="10"/>
  <c r="M5" i="8" s="1"/>
  <c r="L24" i="31" l="1"/>
  <c r="J17" i="8"/>
  <c r="M17" i="8"/>
  <c r="E29" i="7"/>
  <c r="L27" i="31" l="1"/>
  <c r="L25" i="31"/>
  <c r="E28" i="9"/>
  <c r="I17" i="9" l="1"/>
  <c r="I16" i="9"/>
  <c r="I15" i="9"/>
  <c r="I14" i="9"/>
  <c r="I13" i="9"/>
  <c r="I12" i="9"/>
  <c r="I11" i="9"/>
  <c r="I10" i="9"/>
  <c r="I9" i="9"/>
  <c r="I8" i="9"/>
  <c r="I7" i="9"/>
  <c r="I6" i="9"/>
  <c r="D5" i="8" l="1"/>
  <c r="G5" i="8"/>
  <c r="D13" i="8"/>
  <c r="G13" i="8"/>
  <c r="D6" i="8"/>
  <c r="G6" i="8"/>
  <c r="D10" i="8"/>
  <c r="G10" i="8"/>
  <c r="G14" i="8"/>
  <c r="D14" i="8"/>
  <c r="G11" i="8"/>
  <c r="D11" i="8"/>
  <c r="G15" i="8"/>
  <c r="D15" i="8"/>
  <c r="D9" i="8"/>
  <c r="G9" i="8"/>
  <c r="G7" i="8"/>
  <c r="D7" i="8"/>
  <c r="G8" i="8"/>
  <c r="D8" i="8"/>
  <c r="G12" i="8"/>
  <c r="D12" i="8"/>
  <c r="G16" i="8"/>
  <c r="D16" i="8"/>
  <c r="I18" i="7"/>
  <c r="K16" i="8" s="1"/>
  <c r="I17" i="7"/>
  <c r="K15" i="8" s="1"/>
  <c r="I16" i="7"/>
  <c r="K14" i="8" s="1"/>
  <c r="I15" i="7"/>
  <c r="K13" i="8" s="1"/>
  <c r="I14" i="7"/>
  <c r="K12" i="8" s="1"/>
  <c r="I13" i="7"/>
  <c r="K11" i="8" s="1"/>
  <c r="I12" i="7"/>
  <c r="K10" i="8" s="1"/>
  <c r="I11" i="7"/>
  <c r="K9" i="8" s="1"/>
  <c r="I10" i="7"/>
  <c r="K8" i="8" s="1"/>
  <c r="I9" i="7"/>
  <c r="K7" i="8" s="1"/>
  <c r="I8" i="7"/>
  <c r="K6" i="8" s="1"/>
  <c r="C25" i="3"/>
  <c r="G17" i="3"/>
  <c r="E16" i="8" s="1"/>
  <c r="G16" i="3"/>
  <c r="E15" i="8" s="1"/>
  <c r="G15" i="3"/>
  <c r="E14" i="8" s="1"/>
  <c r="G14" i="3"/>
  <c r="E13" i="8" s="1"/>
  <c r="G13" i="3"/>
  <c r="E12" i="8" s="1"/>
  <c r="G12" i="3"/>
  <c r="E11" i="8" s="1"/>
  <c r="G11" i="3"/>
  <c r="E10" i="8" s="1"/>
  <c r="G10" i="3"/>
  <c r="E9" i="8" s="1"/>
  <c r="G9" i="3"/>
  <c r="E8" i="8" s="1"/>
  <c r="G8" i="3"/>
  <c r="E7" i="8" s="1"/>
  <c r="G7" i="3"/>
  <c r="E6" i="8" s="1"/>
  <c r="G6" i="3"/>
  <c r="E5" i="8" s="1"/>
  <c r="E17" i="8" l="1"/>
  <c r="K17" i="8"/>
  <c r="G17" i="8"/>
  <c r="D17" i="8"/>
  <c r="L20" i="31" l="1"/>
  <c r="L23" i="31"/>
  <c r="L19" i="31"/>
  <c r="L18" i="31"/>
  <c r="L28" i="31" s="1"/>
  <c r="L29" i="31" s="1"/>
  <c r="N15" i="8"/>
  <c r="P6" i="31" l="1"/>
  <c r="Q6" i="31" s="1"/>
  <c r="P7" i="31"/>
  <c r="Q7" i="31" s="1"/>
  <c r="P11" i="31"/>
  <c r="P15" i="31"/>
  <c r="P8" i="31"/>
  <c r="Q8" i="31" s="1"/>
  <c r="P12" i="31"/>
  <c r="P16" i="31"/>
  <c r="P14" i="31"/>
  <c r="P9" i="31"/>
  <c r="Q9" i="31" s="1"/>
  <c r="P13" i="31"/>
  <c r="P17" i="31"/>
  <c r="P10" i="31"/>
  <c r="Q18" i="31" l="1"/>
</calcChain>
</file>

<file path=xl/sharedStrings.xml><?xml version="1.0" encoding="utf-8"?>
<sst xmlns="http://schemas.openxmlformats.org/spreadsheetml/2006/main" count="277" uniqueCount="54">
  <si>
    <t>Date</t>
  </si>
  <si>
    <t xml:space="preserve">Montant </t>
  </si>
  <si>
    <t xml:space="preserve">Désignation de la dépense </t>
  </si>
  <si>
    <t>Total</t>
  </si>
  <si>
    <t xml:space="preserve">Date </t>
  </si>
  <si>
    <t>Montant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</si>
  <si>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</si>
  <si>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</si>
  <si>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</si>
  <si>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</si>
  <si>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</si>
  <si>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</si>
  <si>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</si>
  <si>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</si>
  <si>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</si>
  <si>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</si>
  <si>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</si>
  <si>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</si>
  <si>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Enseigne</t>
  </si>
  <si>
    <t>Mois</t>
  </si>
  <si>
    <t>Montant mensuel</t>
  </si>
  <si>
    <t>Carburant</t>
  </si>
  <si>
    <t>Alimentation</t>
  </si>
  <si>
    <t>Resto</t>
  </si>
  <si>
    <t>Vacances</t>
  </si>
  <si>
    <t>Loisirs</t>
  </si>
  <si>
    <t>Entretient vhéhicules</t>
  </si>
  <si>
    <t>Achats</t>
  </si>
  <si>
    <t>Habitat</t>
  </si>
  <si>
    <t>Chat</t>
  </si>
  <si>
    <t>cadeaux</t>
  </si>
  <si>
    <t>Panneau de contrôle des dépenses quotidienne</t>
  </si>
  <si>
    <t>Fringues</t>
  </si>
  <si>
    <t xml:space="preserve">Dépenses Fixe </t>
  </si>
  <si>
    <t>Coût</t>
  </si>
  <si>
    <t>Loyer</t>
  </si>
  <si>
    <t>Total mensuel</t>
  </si>
  <si>
    <t>Dépenses Quotidienne</t>
  </si>
  <si>
    <t>EDF</t>
  </si>
  <si>
    <t>Veolia eau</t>
  </si>
  <si>
    <t>abonnement portable</t>
  </si>
  <si>
    <t xml:space="preserve">abonnement internet </t>
  </si>
  <si>
    <t>Entretient véhicule</t>
  </si>
  <si>
    <t>Cadeaux</t>
  </si>
  <si>
    <t>Virement perso</t>
  </si>
  <si>
    <t>Cotisation de compte</t>
  </si>
  <si>
    <t>Complémentaire santé</t>
  </si>
  <si>
    <t>Maaf voiture et habitation</t>
  </si>
  <si>
    <t>Salaire</t>
  </si>
  <si>
    <t>Dépense</t>
  </si>
  <si>
    <t>Janvier</t>
  </si>
  <si>
    <t>Epargne</t>
  </si>
  <si>
    <t>réel</t>
  </si>
  <si>
    <t>Fringue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</si>
</sst>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FF00"/>
      <name val="Calibri"/>
      <family val="2"/>
      <scheme val="minor"/>
    </font>
    <font>
      <u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0DBFD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17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4" fontId="1" fillId="0" borderId="0" xfId="0" applyNumberFormat="1" applyFont="1" applyAlignment="1">
      <alignment vertical="center"/>
    </xf>
    <xf numFmtId="44" fontId="1" fillId="0" borderId="0" xfId="0" applyNumberFormat="1" applyFont="1"/>
    <xf numFmtId="44" fontId="1" fillId="0" borderId="0" xfId="0" applyNumberFormat="1" applyFont="1" applyAlignment="1">
      <alignment horizontal="left" vertical="center"/>
    </xf>
    <xf numFmtId="44" fontId="0" fillId="0" borderId="0" xfId="0" applyNumberFormat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164" fontId="6" fillId="3" borderId="4" xfId="0" applyNumberFormat="1" applyFont="1" applyFill="1" applyBorder="1" applyAlignment="1">
      <alignment vertical="center"/>
    </xf>
    <xf numFmtId="164" fontId="6" fillId="3" borderId="5" xfId="0" applyNumberFormat="1" applyFont="1" applyFill="1" applyBorder="1" applyAlignment="1">
      <alignment vertical="center"/>
    </xf>
    <xf numFmtId="164" fontId="6" fillId="3" borderId="6" xfId="0" applyNumberFormat="1" applyFont="1" applyFill="1" applyBorder="1" applyAlignment="1">
      <alignment vertical="center"/>
    </xf>
    <xf numFmtId="164" fontId="6" fillId="3" borderId="3" xfId="0" applyNumberFormat="1" applyFont="1" applyFill="1" applyBorder="1" applyAlignment="1">
      <alignment horizontal="left" vertical="center"/>
    </xf>
    <xf numFmtId="164" fontId="0" fillId="0" borderId="0" xfId="0" applyNumberFormat="1"/>
    <xf numFmtId="0" fontId="8" fillId="0" borderId="0" xfId="0" applyFont="1"/>
    <xf numFmtId="165" fontId="8" fillId="0" borderId="0" xfId="0" applyNumberFormat="1" applyFont="1" applyAlignment="1">
      <alignment horizontal="right" vertical="center"/>
    </xf>
    <xf numFmtId="0" fontId="3" fillId="0" borderId="0" xfId="0" applyFont="1"/>
    <xf numFmtId="165" fontId="3" fillId="0" borderId="0" xfId="0" applyNumberFormat="1" applyFont="1" applyAlignment="1">
      <alignment horizontal="right" vertical="center"/>
    </xf>
    <xf numFmtId="0" fontId="9" fillId="0" borderId="0" xfId="0" applyFont="1"/>
    <xf numFmtId="164" fontId="9" fillId="0" borderId="0" xfId="0" applyNumberFormat="1" applyFont="1"/>
    <xf numFmtId="164" fontId="10" fillId="0" borderId="0" xfId="0" applyNumberFormat="1" applyFont="1"/>
    <xf numFmtId="164" fontId="3" fillId="0" borderId="0" xfId="0" applyNumberFormat="1" applyFont="1"/>
    <xf numFmtId="164" fontId="11" fillId="0" borderId="0" xfId="0" applyNumberFormat="1" applyFont="1"/>
    <xf numFmtId="165" fontId="12" fillId="0" borderId="0" xfId="0" applyNumberFormat="1" applyFont="1" applyAlignment="1">
      <alignment horizontal="right" vertical="center"/>
    </xf>
    <xf numFmtId="0" fontId="10" fillId="0" borderId="0" xfId="0" applyFont="1"/>
    <xf numFmtId="0" fontId="0" fillId="4" borderId="0" xfId="0" applyFill="1"/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0" xfId="0" applyFill="1" applyBorder="1"/>
    <xf numFmtId="0" fontId="0" fillId="4" borderId="7" xfId="0" applyFill="1" applyBorder="1"/>
    <xf numFmtId="44" fontId="0" fillId="4" borderId="0" xfId="0" applyNumberFormat="1" applyFill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  <xf numFmtId="0" fontId="2" fillId="5" borderId="0" xfId="0" applyFont="1" applyFill="1"/>
    <xf numFmtId="0" fontId="13" fillId="5" borderId="0" xfId="0" applyFont="1" applyFill="1" applyAlignment="1"/>
    <xf numFmtId="164" fontId="0" fillId="5" borderId="0" xfId="0" applyNumberFormat="1" applyFill="1"/>
    <xf numFmtId="165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0" fillId="4" borderId="0" xfId="0" applyNumberFormat="1" applyFill="1"/>
    <xf numFmtId="0" fontId="0" fillId="4" borderId="0" xfId="0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14" fontId="0" fillId="4" borderId="0" xfId="0" applyNumberFormat="1" applyFill="1"/>
    <xf numFmtId="0" fontId="0" fillId="4" borderId="0" xfId="0" applyFont="1" applyFill="1"/>
    <xf numFmtId="0" fontId="0" fillId="4" borderId="0" xfId="0" applyFill="1" applyAlignment="1">
      <alignment wrapText="1"/>
    </xf>
    <xf numFmtId="0" fontId="1" fillId="4" borderId="0" xfId="0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 wrapText="1"/>
    </xf>
    <xf numFmtId="164" fontId="6" fillId="3" borderId="5" xfId="0" applyNumberFormat="1" applyFont="1" applyFill="1" applyBorder="1" applyAlignment="1">
      <alignment horizontal="left" vertical="center"/>
    </xf>
    <xf numFmtId="164" fontId="6" fillId="3" borderId="3" xfId="0" applyNumberFormat="1" applyFont="1" applyFill="1" applyBorder="1" applyAlignment="1">
      <alignment vertical="center"/>
    </xf>
    <xf numFmtId="0" fontId="15" fillId="5" borderId="0" xfId="0" applyFont="1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15" fillId="5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/>
    </xf>
  </cellXfs>
  <cellStyles count="1">
    <cellStyle name="Normal" xfId="0" builtinId="0"/>
  </cellStyles>
  <dxfs count="16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22" formatCode="mmm\-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70C0"/>
        <name val="Calibri"/>
        <scheme val="minor"/>
      </font>
      <numFmt numFmtId="22" formatCode="mmm\-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E0DBFD"/>
        </patternFill>
      </fill>
      <alignment textRotation="0" wrapText="1" indent="0" justifyLastLine="0" shrinkToFit="0" readingOrder="0"/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numFmt numFmtId="164" formatCode="#,##0.00\ &quot;€&quot;"/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</dxf>
    <dxf>
      <fill>
        <patternFill patternType="solid">
          <fgColor indexed="64"/>
          <bgColor rgb="FFE0DBFD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4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\ &quot;€&quot;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5" formatCode="#,##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\ &quot;€&quot;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5" formatCode="#,##0\ &quot;€&quot;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color rgb="FF00CC00"/>
      </font>
    </dxf>
  </dxfs>
  <tableStyles count="0" defaultTableStyle="TableStyleMedium2" defaultPivotStyle="PivotStyleLight16"/>
  <colors>
    <mruColors>
      <color rgb="FFE0DBFD"/>
      <color rgb="FF00FF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&#233;penses quotidiennes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D&#233;penses quotidiennes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114300</xdr:rowOff>
        </xdr:from>
        <xdr:to>
          <xdr:col>2</xdr:col>
          <xdr:colOff>704850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Loisirs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10</xdr:row>
          <xdr:rowOff>95250</xdr:rowOff>
        </xdr:from>
        <xdr:to>
          <xdr:col>2</xdr:col>
          <xdr:colOff>723900</xdr:colOff>
          <xdr:row>12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Vacances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16</xdr:row>
          <xdr:rowOff>95250</xdr:rowOff>
        </xdr:from>
        <xdr:to>
          <xdr:col>2</xdr:col>
          <xdr:colOff>714375</xdr:colOff>
          <xdr:row>18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22</xdr:row>
          <xdr:rowOff>76200</xdr:rowOff>
        </xdr:from>
        <xdr:to>
          <xdr:col>2</xdr:col>
          <xdr:colOff>704850</xdr:colOff>
          <xdr:row>24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Alimentation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123825</xdr:rowOff>
        </xdr:from>
        <xdr:to>
          <xdr:col>5</xdr:col>
          <xdr:colOff>704850</xdr:colOff>
          <xdr:row>6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Habitat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10</xdr:row>
          <xdr:rowOff>95250</xdr:rowOff>
        </xdr:from>
        <xdr:to>
          <xdr:col>5</xdr:col>
          <xdr:colOff>714375</xdr:colOff>
          <xdr:row>12</xdr:row>
          <xdr:rowOff>85725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Achats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16</xdr:row>
          <xdr:rowOff>95250</xdr:rowOff>
        </xdr:from>
        <xdr:to>
          <xdr:col>5</xdr:col>
          <xdr:colOff>714375</xdr:colOff>
          <xdr:row>18</xdr:row>
          <xdr:rowOff>85725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Carburant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22</xdr:row>
          <xdr:rowOff>66675</xdr:rowOff>
        </xdr:from>
        <xdr:to>
          <xdr:col>5</xdr:col>
          <xdr:colOff>714375</xdr:colOff>
          <xdr:row>24</xdr:row>
          <xdr:rowOff>57150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Entretient véhicule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4</xdr:row>
          <xdr:rowOff>114300</xdr:rowOff>
        </xdr:from>
        <xdr:to>
          <xdr:col>8</xdr:col>
          <xdr:colOff>704850</xdr:colOff>
          <xdr:row>6</xdr:row>
          <xdr:rowOff>104775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Fringue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10</xdr:row>
          <xdr:rowOff>85725</xdr:rowOff>
        </xdr:from>
        <xdr:to>
          <xdr:col>8</xdr:col>
          <xdr:colOff>714375</xdr:colOff>
          <xdr:row>12</xdr:row>
          <xdr:rowOff>76200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16</xdr:row>
          <xdr:rowOff>85725</xdr:rowOff>
        </xdr:from>
        <xdr:to>
          <xdr:col>8</xdr:col>
          <xdr:colOff>723900</xdr:colOff>
          <xdr:row>18</xdr:row>
          <xdr:rowOff>76200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22</xdr:row>
          <xdr:rowOff>57150</xdr:rowOff>
        </xdr:from>
        <xdr:to>
          <xdr:col>8</xdr:col>
          <xdr:colOff>733425</xdr:colOff>
          <xdr:row>24</xdr:row>
          <xdr:rowOff>57150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TOTAUX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</xdr:row>
      <xdr:rowOff>15240</xdr:rowOff>
    </xdr:from>
    <xdr:to>
      <xdr:col>1</xdr:col>
      <xdr:colOff>906780</xdr:colOff>
      <xdr:row>2</xdr:row>
      <xdr:rowOff>121920</xdr:rowOff>
    </xdr:to>
    <xdr:sp macro="" textlink="">
      <xdr:nvSpPr>
        <xdr:cNvPr id="4" name="Plaque 3">
          <a:hlinkClick xmlns:r="http://schemas.openxmlformats.org/officeDocument/2006/relationships" r:id="rId1"/>
        </xdr:cNvPr>
        <xdr:cNvSpPr/>
      </xdr:nvSpPr>
      <xdr:spPr>
        <a:xfrm>
          <a:off x="800100" y="198120"/>
          <a:ext cx="8991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7" name="Image 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914479</xdr:colOff>
      <xdr:row>5</xdr:row>
      <xdr:rowOff>201212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365760"/>
          <a:ext cx="914479" cy="5060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914479</xdr:colOff>
      <xdr:row>4</xdr:row>
      <xdr:rowOff>48812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" y="182880"/>
          <a:ext cx="914479" cy="5060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22939</xdr:colOff>
      <xdr:row>1</xdr:row>
      <xdr:rowOff>506012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8620" y="182880"/>
          <a:ext cx="914479" cy="50601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4" name="Tableau925" displayName="Tableau925" ref="K5:L15" totalsRowCount="1" headerRowDxfId="167" dataDxfId="166" totalsRowDxfId="165">
  <autoFilter ref="K5:L14"/>
  <tableColumns count="2">
    <tableColumn id="1" name="Dépenses Fixe " totalsRowLabel="Total" dataDxfId="164" totalsRowDxfId="163"/>
    <tableColumn id="2" name="Coût" totalsRowFunction="sum" dataDxfId="162" totalsRowDxfId="16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7" name="Tableau1028" displayName="Tableau1028" ref="K16:L28" totalsRowCount="1" headerRowDxfId="160" dataDxfId="159" totalsRowDxfId="158">
  <autoFilter ref="K16:L27"/>
  <tableColumns count="2">
    <tableColumn id="1" name="Dépenses Quotidienne" totalsRowLabel="Total" dataDxfId="157" totalsRowDxfId="156"/>
    <tableColumn id="2" name="Coût" totalsRowFunction="sum" dataDxfId="155" totalsRowDxfId="1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9" name="Tableau1530" displayName="Tableau1530" ref="N5:R18" totalsRowCount="1" headerRowDxfId="153" dataDxfId="152">
  <autoFilter ref="N5:R17"/>
  <tableColumns count="5">
    <tableColumn id="1" name="Mois" totalsRowLabel="Total" dataDxfId="151" totalsRowDxfId="150"/>
    <tableColumn id="2" name="Salaire" dataDxfId="149" totalsRowDxfId="148"/>
    <tableColumn id="3" name="Dépense" dataDxfId="147" totalsRowDxfId="146">
      <calculatedColumnFormula>$L$29</calculatedColumnFormula>
    </tableColumn>
    <tableColumn id="4" name="Epargne" totalsRowFunction="sum" dataDxfId="145" totalsRowDxfId="144">
      <calculatedColumnFormula>IF(ISBLANK(O6)," ",O6-P6)</calculatedColumnFormula>
    </tableColumn>
    <tableColumn id="5" name="réel" totalsRowFunction="sum" dataDxfId="143" totalsRowDxfId="14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6732" displayName="Tableau16732" ref="B5:E12" totalsRowCount="1" headerRowDxfId="141" dataDxfId="140" totalsRowDxfId="139">
  <autoFilter ref="B5:E11"/>
  <tableColumns count="4">
    <tableColumn id="1" name="Date" totalsRowLabel="Total" dataDxfId="138" totalsRowDxfId="137"/>
    <tableColumn id="2" name="Désignation de la dépense " dataDxfId="136" totalsRowDxfId="135"/>
    <tableColumn id="3" name="Enseigne" dataDxfId="134" totalsRowDxfId="133"/>
    <tableColumn id="4" name="Montant " totalsRowFunction="sum" dataDxfId="132" totalsRowDxfId="131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2" name="Tableau1673" displayName="Tableau1673" ref="B5:E28" totalsRowCount="1" headerRowDxfId="130" dataDxfId="129" totalsRowDxfId="128">
  <autoFilter ref="B5:E27"/>
  <tableColumns count="4">
    <tableColumn id="1" name="Date" totalsRowLabel="Total" dataDxfId="127" totalsRowDxfId="126"/>
    <tableColumn id="2" name="Désignation de la dépense " dataDxfId="125" totalsRowDxfId="124"/>
    <tableColumn id="3" name="Enseigne" dataDxfId="123" totalsRowDxfId="122"/>
    <tableColumn id="4" name="Montant " totalsRowFunction="sum" dataDxfId="121" totalsRowDxfId="120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B5:C25" totalsRowCount="1" headerRowDxfId="119" dataDxfId="118" totalsRowDxfId="117">
  <autoFilter ref="B5:C24"/>
  <tableColumns count="2">
    <tableColumn id="1" name="Date " totalsRowLabel="Total" dataDxfId="116" totalsRowDxfId="115"/>
    <tableColumn id="3" name="Montant" totalsRowFunction="count" dataDxfId="114" totalsRowDxfId="113"/>
  </tableColumns>
  <tableStyleInfo name="TableStyleMedium18" showFirstColumn="0" showLastColumn="0" showRowStripes="1" showColumnStripes="0"/>
</table>
</file>

<file path=xl/tables/table7.xml><?xml version="1.0" encoding="utf-8"?>
<table xmlns="http://schemas.openxmlformats.org/spreadsheetml/2006/main" id="14" name="Tableau16715" displayName="Tableau16715" ref="B5:E28" totalsRowCount="1" headerRowDxfId="112" dataDxfId="111" totalsRowDxfId="110">
  <autoFilter ref="B5:E27"/>
  <tableColumns count="4">
    <tableColumn id="1" name="Date" totalsRowLabel="Total" dataDxfId="109" totalsRowDxfId="108"/>
    <tableColumn id="2" name="Désignation de la dépense " dataDxfId="107" totalsRowDxfId="106"/>
    <tableColumn id="3" name="Enseigne" dataDxfId="105" totalsRowDxfId="104"/>
    <tableColumn id="4" name="Montant " totalsRowFunction="sum" dataDxfId="103" totalsRowDxfId="102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Tableau16739" displayName="Tableau16739" ref="B5:E28" totalsRowCount="1" headerRowDxfId="101" dataDxfId="100" totalsRowDxfId="99">
  <autoFilter ref="B5:E27"/>
  <tableColumns count="4">
    <tableColumn id="1" name="Date" totalsRowLabel="Total" dataDxfId="98" totalsRowDxfId="97"/>
    <tableColumn id="2" name="Désignation de la dépense " dataDxfId="96" totalsRowDxfId="95"/>
    <tableColumn id="3" name="Enseigne" dataDxfId="94" totalsRowDxfId="93"/>
    <tableColumn id="4" name="Montant " totalsRowFunction="sum" dataDxfId="92" totalsRowDxfId="91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7" name="Tableau167128" displayName="Tableau167128" ref="B5:E28" totalsRowCount="1" headerRowDxfId="90" dataDxfId="89" totalsRowDxfId="88">
  <autoFilter ref="B5:E27"/>
  <tableColumns count="4">
    <tableColumn id="1" name="Date" totalsRowLabel="Total" dataDxfId="87" totalsRowDxfId="86"/>
    <tableColumn id="2" name="Désignation de la dépense " dataDxfId="85" totalsRowDxfId="84"/>
    <tableColumn id="3" name="Enseigne" dataDxfId="83" totalsRowDxfId="82"/>
    <tableColumn id="4" name="Montant " totalsRowFunction="sum" dataDxfId="81" totalsRowDxfId="80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6" name="Tableau167" displayName="Tableau167" ref="B6:E29" totalsRowCount="1" headerRowDxfId="79" dataDxfId="78" totalsRowDxfId="77">
  <autoFilter ref="B6:E28"/>
  <tableColumns count="4">
    <tableColumn id="1" name="Date" totalsRowLabel="Total" dataDxfId="76" totalsRowDxfId="75"/>
    <tableColumn id="2" name="Désignation de la dépense " dataDxfId="74" totalsRowDxfId="73"/>
    <tableColumn id="3" name="Enseigne" dataDxfId="72" totalsRowDxfId="71"/>
    <tableColumn id="4" name="Montant " totalsRowFunction="sum" dataDxfId="70" totalsRowDxfId="69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1" name="Tableau16712" displayName="Tableau16712" ref="B5:E28" totalsRowCount="1" headerRowDxfId="68" dataDxfId="67" totalsRowDxfId="66">
  <autoFilter ref="B5:E27"/>
  <tableColumns count="4">
    <tableColumn id="1" name="Date" totalsRowLabel="Total" dataDxfId="65" totalsRowDxfId="64"/>
    <tableColumn id="2" name="Désignation de la dépense " dataDxfId="63" totalsRowDxfId="62"/>
    <tableColumn id="3" name="Enseigne" dataDxfId="61" totalsRowDxfId="60"/>
    <tableColumn id="4" name="Montant " totalsRowFunction="sum" dataDxfId="59" totalsRowDxfId="58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2" name="Tableau1671213" displayName="Tableau1671213" ref="B5:E28" totalsRowCount="1" headerRowDxfId="57" dataDxfId="56" totalsRowDxfId="55">
  <autoFilter ref="B5:E27"/>
  <tableColumns count="4">
    <tableColumn id="1" name="Date" totalsRowLabel="Total" dataDxfId="54" totalsRowDxfId="53"/>
    <tableColumn id="2" name="Désignation de la dépense " dataDxfId="52" totalsRowDxfId="51"/>
    <tableColumn id="3" name="Enseigne" dataDxfId="50" totalsRowDxfId="49"/>
    <tableColumn id="4" name="Montant " totalsRowFunction="sum" dataDxfId="48" totalsRowDxfId="47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5" name="Tableau16746" displayName="Tableau16746" ref="B5:E22" totalsRowCount="1" headerRowDxfId="46" dataDxfId="45" totalsRowDxfId="44">
  <autoFilter ref="B5:E21"/>
  <tableColumns count="4">
    <tableColumn id="1" name="Date" totalsRowLabel="Total" dataDxfId="43" totalsRowDxfId="42"/>
    <tableColumn id="2" name="Désignation de la dépense " dataDxfId="41" totalsRowDxfId="40"/>
    <tableColumn id="3" name="Enseigne" dataDxfId="39" totalsRowDxfId="38"/>
    <tableColumn id="4" name="Montant " totalsRowFunction="sum" dataDxfId="37" totalsRowDxfId="36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id="3" name="Tableau1674" displayName="Tableau1674" ref="B5:E25" totalsRowCount="1" headerRowDxfId="35" dataDxfId="34" totalsRowDxfId="33">
  <autoFilter ref="B5:E24"/>
  <tableColumns count="4">
    <tableColumn id="1" name="Date" totalsRowLabel="Total" dataDxfId="32" totalsRowDxfId="31"/>
    <tableColumn id="2" name="Désignation de la dépense " dataDxfId="30" totalsRowDxfId="29"/>
    <tableColumn id="3" name="Enseigne" dataDxfId="28" totalsRowDxfId="27"/>
    <tableColumn id="4" name="Montant " totalsRowFunction="sum" dataDxfId="26" totalsRowDxfId="25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id="13" name="Tableau13" displayName="Tableau13" ref="B4:M17" totalsRowCount="1" headerRowDxfId="24">
  <autoFilter ref="B4:M16"/>
  <tableColumns count="12">
    <tableColumn id="1" name="Mois" totalsRowLabel="Total" dataDxfId="23" totalsRowDxfId="22"/>
    <tableColumn id="4" name="Habitat" totalsRowFunction="sum" dataDxfId="21" totalsRowDxfId="20">
      <calculatedColumnFormula>'1 Habitat'!I6</calculatedColumnFormula>
    </tableColumn>
    <tableColumn id="8" name="Achats" totalsRowFunction="sum" dataDxfId="19" totalsRowDxfId="18">
      <calculatedColumnFormula>'2 Achats'!I6</calculatedColumnFormula>
    </tableColumn>
    <tableColumn id="9" name="Carburant" totalsRowFunction="sum" dataDxfId="17" totalsRowDxfId="16">
      <calculatedColumnFormula>'3 Carburant'!G6</calculatedColumnFormula>
    </tableColumn>
    <tableColumn id="2" name="Fringues" totalsRowFunction="sum" dataDxfId="15" totalsRowDxfId="14">
      <calculatedColumnFormula>'5 Fringue'!I6</calculatedColumnFormula>
    </tableColumn>
    <tableColumn id="10" name="Entretient vhéhicules" totalsRowFunction="sum" dataDxfId="13" totalsRowDxfId="12">
      <calculatedColumnFormula>'2 Achats'!I6</calculatedColumnFormula>
    </tableColumn>
    <tableColumn id="6" name="cadeaux" totalsRowFunction="sum" dataDxfId="11" totalsRowDxfId="10">
      <calculatedColumnFormula>'6 Cadeaux'!I6</calculatedColumnFormula>
    </tableColumn>
    <tableColumn id="11" name="Loisirs" totalsRowFunction="sum" dataDxfId="9" totalsRowDxfId="8">
      <calculatedColumnFormula>'8 Loisirs'!I6</calculatedColumnFormula>
    </tableColumn>
    <tableColumn id="14" name="Vacances" totalsRowFunction="sum" dataDxfId="7" totalsRowDxfId="6">
      <calculatedColumnFormula>'4 Entretient Véhicule'!I6</calculatedColumnFormula>
    </tableColumn>
    <tableColumn id="12" name="Resto" totalsRowFunction="sum" dataDxfId="5" totalsRowDxfId="4">
      <calculatedColumnFormula>'7 Resto'!I7</calculatedColumnFormula>
    </tableColumn>
    <tableColumn id="5" name="Chat" totalsRowFunction="sum" dataDxfId="3" totalsRowDxfId="2">
      <calculatedColumnFormula>'10 Chat'!I6</calculatedColumnFormula>
    </tableColumn>
    <tableColumn id="13" name="Alimentation" totalsRowFunction="sum" dataDxfId="1" totalsRowDxfId="0">
      <calculatedColumnFormula>'11 Alimentation'!I6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table" Target="../tables/table2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30"/>
  <sheetViews>
    <sheetView tabSelected="1" workbookViewId="0">
      <selection activeCell="E27" sqref="E27"/>
    </sheetView>
  </sheetViews>
  <sheetFormatPr baseColWidth="10" defaultColWidth="11.5703125" defaultRowHeight="15" x14ac:dyDescent="0.25"/>
  <cols>
    <col min="1" max="1" width="4.7109375" style="30" customWidth="1"/>
    <col min="2" max="2" width="11.5703125" style="30" customWidth="1"/>
    <col min="3" max="4" width="11.5703125" style="30"/>
    <col min="5" max="5" width="15.85546875" style="30" customWidth="1"/>
    <col min="6" max="9" width="11.5703125" style="30"/>
    <col min="10" max="10" width="5.28515625" style="30" customWidth="1"/>
    <col min="11" max="11" width="26.85546875" style="30" customWidth="1"/>
    <col min="12" max="12" width="7.7109375" style="30" customWidth="1"/>
    <col min="13" max="13" width="3.7109375" style="30" customWidth="1"/>
    <col min="14" max="16384" width="11.5703125" style="30"/>
  </cols>
  <sheetData>
    <row r="1" spans="1:18" s="38" customFormat="1" ht="12" customHeight="1" x14ac:dyDescent="0.25">
      <c r="B1" s="58" t="s">
        <v>31</v>
      </c>
      <c r="C1" s="58"/>
      <c r="D1" s="58"/>
      <c r="E1" s="58"/>
      <c r="F1" s="58"/>
      <c r="G1" s="58"/>
      <c r="H1" s="39"/>
      <c r="I1" s="39"/>
    </row>
    <row r="2" spans="1:18" s="38" customFormat="1" ht="12" customHeight="1" x14ac:dyDescent="0.35">
      <c r="B2" s="58"/>
      <c r="C2" s="58"/>
      <c r="D2" s="58"/>
      <c r="E2" s="58"/>
      <c r="F2" s="58"/>
      <c r="G2" s="58"/>
      <c r="H2" s="40"/>
      <c r="I2" s="40"/>
    </row>
    <row r="3" spans="1:18" s="38" customFormat="1" ht="12" customHeight="1" x14ac:dyDescent="0.35">
      <c r="B3" s="58"/>
      <c r="C3" s="58"/>
      <c r="D3" s="58"/>
      <c r="E3" s="58"/>
      <c r="F3" s="58"/>
      <c r="G3" s="58"/>
      <c r="H3" s="40"/>
      <c r="I3" s="40"/>
    </row>
    <row r="4" spans="1:18" ht="12" customHeight="1" x14ac:dyDescent="0.25"/>
    <row r="5" spans="1:18" ht="14.45" customHeight="1" x14ac:dyDescent="0.25">
      <c r="B5" s="10"/>
      <c r="C5" s="11"/>
      <c r="E5" s="10"/>
      <c r="F5" s="11"/>
      <c r="H5" s="10"/>
      <c r="I5" s="11"/>
      <c r="K5" s="43" t="s">
        <v>33</v>
      </c>
      <c r="L5" s="42" t="s">
        <v>34</v>
      </c>
      <c r="N5" s="21" t="s">
        <v>19</v>
      </c>
      <c r="O5" s="21" t="s">
        <v>48</v>
      </c>
      <c r="P5" s="21" t="s">
        <v>49</v>
      </c>
      <c r="Q5" s="21" t="s">
        <v>51</v>
      </c>
      <c r="R5" s="21" t="s">
        <v>52</v>
      </c>
    </row>
    <row r="6" spans="1:18" ht="14.45" customHeight="1" x14ac:dyDescent="0.25">
      <c r="B6" s="12"/>
      <c r="C6" s="13"/>
      <c r="E6" s="12"/>
      <c r="F6" s="13"/>
      <c r="H6" s="12"/>
      <c r="I6" s="13"/>
      <c r="K6" s="21" t="s">
        <v>35</v>
      </c>
      <c r="L6" s="22">
        <v>350</v>
      </c>
      <c r="N6" s="21" t="s">
        <v>50</v>
      </c>
      <c r="O6" s="24">
        <v>2756</v>
      </c>
      <c r="P6" s="25">
        <f t="shared" ref="P6:P17" ca="1" si="0">$L$29</f>
        <v>1254.075</v>
      </c>
      <c r="Q6" s="27">
        <f ca="1">IF(ISBLANK(O6)," ",O6-P6)</f>
        <v>1501.925</v>
      </c>
      <c r="R6" s="26"/>
    </row>
    <row r="7" spans="1:18" ht="14.45" customHeight="1" x14ac:dyDescent="0.25">
      <c r="B7" s="12"/>
      <c r="C7" s="13"/>
      <c r="E7" s="12"/>
      <c r="F7" s="13"/>
      <c r="H7" s="12"/>
      <c r="I7" s="13"/>
      <c r="K7" s="21" t="s">
        <v>38</v>
      </c>
      <c r="L7" s="22">
        <v>175.97</v>
      </c>
      <c r="N7" s="21" t="s">
        <v>7</v>
      </c>
      <c r="O7" s="24">
        <v>2990</v>
      </c>
      <c r="P7" s="25">
        <f t="shared" ca="1" si="0"/>
        <v>1254.075</v>
      </c>
      <c r="Q7" s="27">
        <f t="shared" ref="Q7:Q17" ca="1" si="1">IF(ISBLANK(O7)," ",O7-P7)</f>
        <v>1735.925</v>
      </c>
      <c r="R7" s="26">
        <v>1900</v>
      </c>
    </row>
    <row r="8" spans="1:18" ht="14.45" customHeight="1" x14ac:dyDescent="0.25">
      <c r="B8" s="57">
        <f ca="1">(SUM(Tableau13[Loisirs])-INDEX(Tableau13[Loisirs],MONTH(TODAY())))/(MONTH(TODAY())-1)</f>
        <v>74.694999999999993</v>
      </c>
      <c r="C8" s="14"/>
      <c r="D8" s="31"/>
      <c r="E8" s="17">
        <f ca="1">(SUM(Tableau13[Habitat])-INDEX(Tableau13[Habitat],MONTH(TODAY())))/(MONTH(TODAY())-1)</f>
        <v>14.75</v>
      </c>
      <c r="F8" s="14"/>
      <c r="G8" s="31"/>
      <c r="H8" s="17">
        <f ca="1">(SUM(Tableau13[Fringues])-INDEX(Tableau13[Fringues],MONTH(TODAY())))/(MONTH(TODAY())-1)</f>
        <v>48.75</v>
      </c>
      <c r="I8" s="14"/>
      <c r="K8" s="21" t="s">
        <v>39</v>
      </c>
      <c r="L8" s="22">
        <v>54.38</v>
      </c>
      <c r="N8" s="21" t="s">
        <v>8</v>
      </c>
      <c r="O8" s="24">
        <v>1756</v>
      </c>
      <c r="P8" s="25">
        <f t="shared" ca="1" si="0"/>
        <v>1254.075</v>
      </c>
      <c r="Q8" s="27">
        <f t="shared" ca="1" si="1"/>
        <v>501.92499999999995</v>
      </c>
      <c r="R8" s="26">
        <v>400</v>
      </c>
    </row>
    <row r="9" spans="1:18" ht="14.45" customHeight="1" x14ac:dyDescent="0.25">
      <c r="A9" s="32"/>
      <c r="B9" s="15"/>
      <c r="C9" s="16"/>
      <c r="D9" s="31"/>
      <c r="E9" s="56"/>
      <c r="F9" s="16"/>
      <c r="G9" s="31"/>
      <c r="H9" s="15"/>
      <c r="I9" s="16"/>
      <c r="K9" s="21" t="s">
        <v>40</v>
      </c>
      <c r="L9" s="22">
        <v>15.99</v>
      </c>
      <c r="N9" s="21" t="s">
        <v>9</v>
      </c>
      <c r="O9" s="24">
        <v>1759.05</v>
      </c>
      <c r="P9" s="25">
        <f t="shared" ca="1" si="0"/>
        <v>1254.075</v>
      </c>
      <c r="Q9" s="27">
        <f t="shared" ca="1" si="1"/>
        <v>504.97499999999991</v>
      </c>
      <c r="R9" s="26"/>
    </row>
    <row r="10" spans="1:18" ht="14.45" customHeight="1" x14ac:dyDescent="0.25">
      <c r="B10" s="31"/>
      <c r="C10" s="31"/>
      <c r="D10" s="31"/>
      <c r="E10" s="31"/>
      <c r="F10" s="31"/>
      <c r="G10" s="31"/>
      <c r="H10" s="31"/>
      <c r="I10" s="31"/>
      <c r="K10" s="21" t="s">
        <v>41</v>
      </c>
      <c r="L10" s="22">
        <v>31.98</v>
      </c>
      <c r="N10" s="21" t="s">
        <v>10</v>
      </c>
      <c r="O10" s="24"/>
      <c r="P10" s="25">
        <f t="shared" ca="1" si="0"/>
        <v>1254.075</v>
      </c>
      <c r="Q10" s="27" t="str">
        <f t="shared" si="1"/>
        <v xml:space="preserve"> </v>
      </c>
      <c r="R10" s="26"/>
    </row>
    <row r="11" spans="1:18" ht="14.45" customHeight="1" x14ac:dyDescent="0.25">
      <c r="B11" s="10"/>
      <c r="C11" s="11"/>
      <c r="E11" s="10"/>
      <c r="F11" s="11"/>
      <c r="H11" s="10"/>
      <c r="I11" s="11"/>
      <c r="K11" s="21" t="s">
        <v>44</v>
      </c>
      <c r="L11" s="28">
        <v>45</v>
      </c>
      <c r="N11" s="21" t="s">
        <v>11</v>
      </c>
      <c r="O11" s="24"/>
      <c r="P11" s="25">
        <f t="shared" ca="1" si="0"/>
        <v>1254.075</v>
      </c>
      <c r="Q11" s="27" t="str">
        <f t="shared" si="1"/>
        <v xml:space="preserve"> </v>
      </c>
      <c r="R11" s="26"/>
    </row>
    <row r="12" spans="1:18" ht="14.45" customHeight="1" x14ac:dyDescent="0.25">
      <c r="B12" s="12"/>
      <c r="C12" s="13"/>
      <c r="E12" s="12"/>
      <c r="F12" s="13"/>
      <c r="H12" s="12"/>
      <c r="I12" s="13"/>
      <c r="K12" s="21" t="s">
        <v>45</v>
      </c>
      <c r="L12" s="22">
        <v>5.05</v>
      </c>
      <c r="N12" s="21" t="s">
        <v>12</v>
      </c>
      <c r="O12" s="24"/>
      <c r="P12" s="25">
        <f t="shared" ca="1" si="0"/>
        <v>1254.075</v>
      </c>
      <c r="Q12" s="27" t="str">
        <f t="shared" si="1"/>
        <v xml:space="preserve"> </v>
      </c>
      <c r="R12" s="26"/>
    </row>
    <row r="13" spans="1:18" ht="14.45" customHeight="1" x14ac:dyDescent="0.25">
      <c r="B13" s="12"/>
      <c r="C13" s="13"/>
      <c r="E13" s="12"/>
      <c r="F13" s="13"/>
      <c r="H13" s="12"/>
      <c r="I13" s="13"/>
      <c r="K13" s="21" t="s">
        <v>47</v>
      </c>
      <c r="L13" s="22">
        <v>45.96</v>
      </c>
      <c r="N13" s="21" t="s">
        <v>13</v>
      </c>
      <c r="O13" s="24"/>
      <c r="P13" s="25">
        <f t="shared" ca="1" si="0"/>
        <v>1254.075</v>
      </c>
      <c r="Q13" s="27" t="str">
        <f t="shared" si="1"/>
        <v xml:space="preserve"> </v>
      </c>
      <c r="R13" s="26"/>
    </row>
    <row r="14" spans="1:18" ht="14.45" customHeight="1" x14ac:dyDescent="0.25">
      <c r="B14" s="17">
        <f ca="1">(SUM(Tableau13[Vacances])-INDEX(Tableau13[Vacances],MONTH(TODAY())))/(MONTH(TODAY())-1)</f>
        <v>0</v>
      </c>
      <c r="C14" s="14"/>
      <c r="D14" s="31"/>
      <c r="E14" s="17">
        <f ca="1">(SUM(Tableau13[Achats])-INDEX(Tableau13[Achats],MONTH(TODAY())))/(MONTH(TODAY())-1)</f>
        <v>0</v>
      </c>
      <c r="F14" s="14"/>
      <c r="G14" s="31"/>
      <c r="H14" s="17">
        <f ca="1">(SUM(Tableau13[cadeaux])-INDEX(Tableau13[cadeaux],MONTH(TODAY())))/(MONTH(TODAY())-1)</f>
        <v>48.712499999999999</v>
      </c>
      <c r="I14" s="14"/>
      <c r="K14" s="21" t="s">
        <v>46</v>
      </c>
      <c r="L14" s="22">
        <v>33.85</v>
      </c>
      <c r="N14" s="21" t="s">
        <v>14</v>
      </c>
      <c r="O14" s="24"/>
      <c r="P14" s="25">
        <f t="shared" ca="1" si="0"/>
        <v>1254.075</v>
      </c>
      <c r="Q14" s="27" t="str">
        <f t="shared" si="1"/>
        <v xml:space="preserve"> </v>
      </c>
      <c r="R14" s="26"/>
    </row>
    <row r="15" spans="1:18" ht="14.45" customHeight="1" x14ac:dyDescent="0.25">
      <c r="B15" s="15"/>
      <c r="C15" s="16"/>
      <c r="D15" s="31"/>
      <c r="E15" s="15"/>
      <c r="F15" s="16"/>
      <c r="G15" s="31"/>
      <c r="H15" s="15"/>
      <c r="I15" s="16"/>
      <c r="K15" s="21" t="s">
        <v>3</v>
      </c>
      <c r="L15" s="22">
        <f>SUBTOTAL(109,Tableau925[Coût])</f>
        <v>758.18000000000006</v>
      </c>
      <c r="N15" s="21" t="s">
        <v>15</v>
      </c>
      <c r="O15" s="24"/>
      <c r="P15" s="25">
        <f t="shared" ca="1" si="0"/>
        <v>1254.075</v>
      </c>
      <c r="Q15" s="27" t="str">
        <f t="shared" si="1"/>
        <v xml:space="preserve"> </v>
      </c>
      <c r="R15" s="26"/>
    </row>
    <row r="16" spans="1:18" ht="14.45" customHeight="1" x14ac:dyDescent="0.25">
      <c r="B16" s="31"/>
      <c r="C16" s="31"/>
      <c r="D16" s="31"/>
      <c r="E16" s="31"/>
      <c r="F16" s="31"/>
      <c r="G16" s="31"/>
      <c r="H16" s="31"/>
      <c r="I16" s="31"/>
      <c r="K16" s="43" t="s">
        <v>37</v>
      </c>
      <c r="L16" s="42" t="s">
        <v>34</v>
      </c>
      <c r="M16" s="33"/>
      <c r="N16" s="21" t="s">
        <v>16</v>
      </c>
      <c r="O16" s="24"/>
      <c r="P16" s="25">
        <f t="shared" ca="1" si="0"/>
        <v>1254.075</v>
      </c>
      <c r="Q16" s="27" t="str">
        <f t="shared" si="1"/>
        <v xml:space="preserve"> </v>
      </c>
      <c r="R16" s="26"/>
    </row>
    <row r="17" spans="2:18" ht="14.45" customHeight="1" x14ac:dyDescent="0.25">
      <c r="B17" s="10"/>
      <c r="C17" s="11"/>
      <c r="E17" s="10"/>
      <c r="F17" s="11"/>
      <c r="H17" s="10"/>
      <c r="I17" s="11"/>
      <c r="K17" s="21" t="s">
        <v>28</v>
      </c>
      <c r="L17" s="22">
        <f ca="1">E8</f>
        <v>14.75</v>
      </c>
      <c r="N17" s="21" t="s">
        <v>17</v>
      </c>
      <c r="O17" s="24"/>
      <c r="P17" s="25">
        <f t="shared" ca="1" si="0"/>
        <v>1254.075</v>
      </c>
      <c r="Q17" s="27" t="str">
        <f t="shared" si="1"/>
        <v xml:space="preserve"> </v>
      </c>
      <c r="R17" s="26"/>
    </row>
    <row r="18" spans="2:18" ht="14.45" customHeight="1" x14ac:dyDescent="0.25">
      <c r="B18" s="12"/>
      <c r="C18" s="13"/>
      <c r="E18" s="12"/>
      <c r="F18" s="13"/>
      <c r="H18" s="12"/>
      <c r="I18" s="13"/>
      <c r="K18" s="21" t="s">
        <v>27</v>
      </c>
      <c r="L18" s="22">
        <f ca="1">E14</f>
        <v>0</v>
      </c>
      <c r="N18" s="21" t="s">
        <v>3</v>
      </c>
      <c r="O18" s="23"/>
      <c r="P18" s="29"/>
      <c r="Q18" s="27">
        <f ca="1">SUBTOTAL(109,Tableau1530[Epargne])</f>
        <v>4244.75</v>
      </c>
      <c r="R18" s="18">
        <f>SUBTOTAL(109,Tableau1530[réel])</f>
        <v>2300</v>
      </c>
    </row>
    <row r="19" spans="2:18" ht="14.45" customHeight="1" x14ac:dyDescent="0.25">
      <c r="B19" s="12"/>
      <c r="C19" s="13"/>
      <c r="E19" s="12"/>
      <c r="F19" s="13"/>
      <c r="H19" s="12"/>
      <c r="I19" s="13"/>
      <c r="K19" s="21" t="s">
        <v>21</v>
      </c>
      <c r="L19" s="22">
        <f ca="1">E20</f>
        <v>88.472499999999997</v>
      </c>
    </row>
    <row r="20" spans="2:18" ht="14.45" customHeight="1" x14ac:dyDescent="0.25">
      <c r="B20" s="17">
        <f ca="1">(SUM(Tableau13[Chat])-INDEX(Tableau13[Chat],MONTH(TODAY())))/(MONTH(TODAY())-1)</f>
        <v>20.392500000000002</v>
      </c>
      <c r="C20" s="14"/>
      <c r="D20" s="31"/>
      <c r="E20" s="17">
        <f ca="1">(SUM(Tableau13[Carburant])-INDEX(Tableau13[Carburant],MONTH(TODAY())))/(MONTH(TODAY())-1)</f>
        <v>88.472499999999997</v>
      </c>
      <c r="F20" s="14"/>
      <c r="G20" s="31"/>
      <c r="H20" s="17">
        <f ca="1">(SUM(Tableau13[Resto])-INDEX(Tableau13[Resto],MONTH(TODAY())))/(MONTH(TODAY())-1)</f>
        <v>44.424999999999997</v>
      </c>
      <c r="I20" s="14"/>
      <c r="K20" s="21" t="s">
        <v>42</v>
      </c>
      <c r="L20" s="22">
        <f ca="1">E26</f>
        <v>0</v>
      </c>
    </row>
    <row r="21" spans="2:18" ht="14.45" customHeight="1" x14ac:dyDescent="0.25">
      <c r="B21" s="15"/>
      <c r="C21" s="16"/>
      <c r="D21" s="31"/>
      <c r="E21" s="15"/>
      <c r="F21" s="16"/>
      <c r="G21" s="31"/>
      <c r="H21" s="15"/>
      <c r="I21" s="16"/>
      <c r="K21" s="21" t="s">
        <v>32</v>
      </c>
      <c r="L21" s="22">
        <f ca="1">H8</f>
        <v>48.75</v>
      </c>
    </row>
    <row r="22" spans="2:18" ht="14.45" customHeight="1" x14ac:dyDescent="0.25">
      <c r="B22" s="31"/>
      <c r="C22" s="31"/>
      <c r="D22" s="31"/>
      <c r="E22" s="31"/>
      <c r="F22" s="31"/>
      <c r="G22" s="31"/>
      <c r="H22" s="31"/>
      <c r="I22" s="31"/>
      <c r="K22" s="21" t="s">
        <v>43</v>
      </c>
      <c r="L22" s="22">
        <f ca="1">H14</f>
        <v>48.712499999999999</v>
      </c>
    </row>
    <row r="23" spans="2:18" ht="14.45" customHeight="1" x14ac:dyDescent="0.25">
      <c r="B23" s="10"/>
      <c r="C23" s="11"/>
      <c r="D23" s="34"/>
      <c r="E23" s="10"/>
      <c r="F23" s="11"/>
      <c r="K23" s="21" t="s">
        <v>23</v>
      </c>
      <c r="L23" s="22">
        <f ca="1">H20</f>
        <v>44.424999999999997</v>
      </c>
    </row>
    <row r="24" spans="2:18" ht="14.45" customHeight="1" x14ac:dyDescent="0.25">
      <c r="B24" s="12"/>
      <c r="C24" s="13"/>
      <c r="E24" s="12"/>
      <c r="F24" s="13"/>
      <c r="K24" s="21" t="s">
        <v>25</v>
      </c>
      <c r="L24" s="22">
        <f ca="1">B8</f>
        <v>74.694999999999993</v>
      </c>
    </row>
    <row r="25" spans="2:18" ht="14.45" customHeight="1" x14ac:dyDescent="0.25">
      <c r="B25" s="12"/>
      <c r="C25" s="13"/>
      <c r="E25" s="12"/>
      <c r="F25" s="13"/>
      <c r="K25" s="21" t="s">
        <v>24</v>
      </c>
      <c r="L25" s="22">
        <f ca="1">B14</f>
        <v>0</v>
      </c>
    </row>
    <row r="26" spans="2:18" ht="14.45" customHeight="1" x14ac:dyDescent="0.25">
      <c r="B26" s="17">
        <f ca="1">(SUM(Tableau13[Alimentation])-INDEX(Tableau13[Alimentation],MONTH(TODAY())))/(MONTH(TODAY())-1)</f>
        <v>155.69749999999999</v>
      </c>
      <c r="C26" s="14"/>
      <c r="D26" s="31"/>
      <c r="E26" s="17">
        <f ca="1">(SUM(Tableau13[Entretient vhéhicules])-INDEX(Tableau13[Entretient vhéhicules],MONTH(TODAY())))/(MONTH(TODAY())-1)</f>
        <v>0</v>
      </c>
      <c r="F26" s="14"/>
      <c r="G26" s="31"/>
      <c r="H26" s="35"/>
      <c r="I26" s="36"/>
      <c r="K26" s="21" t="s">
        <v>29</v>
      </c>
      <c r="L26" s="22">
        <f ca="1">B20</f>
        <v>20.392500000000002</v>
      </c>
    </row>
    <row r="27" spans="2:18" ht="14.45" customHeight="1" x14ac:dyDescent="0.25">
      <c r="B27" s="15"/>
      <c r="C27" s="16"/>
      <c r="D27" s="31"/>
      <c r="E27" s="15"/>
      <c r="F27" s="16"/>
      <c r="G27" s="31"/>
      <c r="H27" s="36"/>
      <c r="I27" s="36"/>
      <c r="K27" s="21" t="s">
        <v>22</v>
      </c>
      <c r="L27" s="22">
        <f ca="1">B26</f>
        <v>155.69749999999999</v>
      </c>
    </row>
    <row r="28" spans="2:18" ht="14.45" customHeight="1" x14ac:dyDescent="0.25">
      <c r="K28" s="21" t="s">
        <v>3</v>
      </c>
      <c r="L28" s="22">
        <f ca="1">SUBTOTAL(109,Tableau1028[Coût])</f>
        <v>495.89499999999998</v>
      </c>
    </row>
    <row r="29" spans="2:18" ht="14.45" customHeight="1" x14ac:dyDescent="0.25">
      <c r="K29" s="19" t="s">
        <v>36</v>
      </c>
      <c r="L29" s="20">
        <f ca="1">Tableau925[[#Totals],[Coût]]+Tableau1028[[#Totals],[Coût]]</f>
        <v>1254.075</v>
      </c>
    </row>
    <row r="30" spans="2:18" ht="14.45" customHeight="1" x14ac:dyDescent="0.25"/>
  </sheetData>
  <mergeCells count="1">
    <mergeCell ref="B1:G3"/>
  </mergeCells>
  <conditionalFormatting sqref="Q6:Q17">
    <cfRule type="cellIs" dxfId="168" priority="1" operator="greaterThan">
      <formula>50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</xdr:col>
                    <xdr:colOff>57150</xdr:colOff>
                    <xdr:row>4</xdr:row>
                    <xdr:rowOff>114300</xdr:rowOff>
                  </from>
                  <to>
                    <xdr:col>2</xdr:col>
                    <xdr:colOff>704850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76200</xdr:colOff>
                    <xdr:row>10</xdr:row>
                    <xdr:rowOff>95250</xdr:rowOff>
                  </from>
                  <to>
                    <xdr:col>2</xdr:col>
                    <xdr:colOff>723900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66675</xdr:colOff>
                    <xdr:row>16</xdr:row>
                    <xdr:rowOff>95250</xdr:rowOff>
                  </from>
                  <to>
                    <xdr:col>2</xdr:col>
                    <xdr:colOff>714375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57150</xdr:colOff>
                    <xdr:row>22</xdr:row>
                    <xdr:rowOff>76200</xdr:rowOff>
                  </from>
                  <to>
                    <xdr:col>2</xdr:col>
                    <xdr:colOff>704850</xdr:colOff>
                    <xdr:row>24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57150</xdr:colOff>
                    <xdr:row>4</xdr:row>
                    <xdr:rowOff>123825</xdr:rowOff>
                  </from>
                  <to>
                    <xdr:col>5</xdr:col>
                    <xdr:colOff>704850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6_Cliquer">
                <anchor moveWithCells="1" sizeWithCells="1">
                  <from>
                    <xdr:col>4</xdr:col>
                    <xdr:colOff>66675</xdr:colOff>
                    <xdr:row>10</xdr:row>
                    <xdr:rowOff>95250</xdr:rowOff>
                  </from>
                  <to>
                    <xdr:col>5</xdr:col>
                    <xdr:colOff>714375</xdr:colOff>
                    <xdr:row>12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7_Cliquer">
                <anchor moveWithCells="1" sizeWithCells="1">
                  <from>
                    <xdr:col>4</xdr:col>
                    <xdr:colOff>66675</xdr:colOff>
                    <xdr:row>16</xdr:row>
                    <xdr:rowOff>95250</xdr:rowOff>
                  </from>
                  <to>
                    <xdr:col>5</xdr:col>
                    <xdr:colOff>714375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Bouton8_Cliquer">
                <anchor moveWithCells="1" sizeWithCells="1">
                  <from>
                    <xdr:col>4</xdr:col>
                    <xdr:colOff>66675</xdr:colOff>
                    <xdr:row>22</xdr:row>
                    <xdr:rowOff>66675</xdr:rowOff>
                  </from>
                  <to>
                    <xdr:col>5</xdr:col>
                    <xdr:colOff>714375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Bouton9_Cliquer">
                <anchor moveWithCells="1" sizeWithCells="1">
                  <from>
                    <xdr:col>7</xdr:col>
                    <xdr:colOff>57150</xdr:colOff>
                    <xdr:row>4</xdr:row>
                    <xdr:rowOff>114300</xdr:rowOff>
                  </from>
                  <to>
                    <xdr:col>8</xdr:col>
                    <xdr:colOff>704850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Bouton10_Cliquer">
                <anchor moveWithCells="1" sizeWithCells="1">
                  <from>
                    <xdr:col>7</xdr:col>
                    <xdr:colOff>66675</xdr:colOff>
                    <xdr:row>10</xdr:row>
                    <xdr:rowOff>85725</xdr:rowOff>
                  </from>
                  <to>
                    <xdr:col>8</xdr:col>
                    <xdr:colOff>714375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Bouton11_Cliquer">
                <anchor moveWithCells="1" sizeWithCells="1">
                  <from>
                    <xdr:col>7</xdr:col>
                    <xdr:colOff>76200</xdr:colOff>
                    <xdr:row>16</xdr:row>
                    <xdr:rowOff>85725</xdr:rowOff>
                  </from>
                  <to>
                    <xdr:col>8</xdr:col>
                    <xdr:colOff>723900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Bouton12_Cliquer">
                <anchor moveWithCells="1" sizeWithCells="1">
                  <from>
                    <xdr:col>7</xdr:col>
                    <xdr:colOff>85725</xdr:colOff>
                    <xdr:row>22</xdr:row>
                    <xdr:rowOff>57150</xdr:rowOff>
                  </from>
                  <to>
                    <xdr:col>8</xdr:col>
                    <xdr:colOff>733425</xdr:colOff>
                    <xdr:row>24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3">
    <tablePart r:id="rId16"/>
    <tablePart r:id="rId17"/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B1:I28"/>
  <sheetViews>
    <sheetView workbookViewId="0">
      <selection activeCell="E10" sqref="E10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58" t="s">
        <v>28</v>
      </c>
      <c r="D1" s="59"/>
      <c r="E1" s="41"/>
      <c r="I1" s="41"/>
    </row>
    <row r="2" spans="2:9" s="38" customFormat="1" ht="12" customHeight="1" x14ac:dyDescent="0.25">
      <c r="C2" s="59"/>
      <c r="D2" s="59"/>
      <c r="E2" s="41"/>
      <c r="I2" s="41"/>
    </row>
    <row r="3" spans="2:9" s="38" customFormat="1" ht="12" customHeight="1" x14ac:dyDescent="0.25">
      <c r="C3" s="59"/>
      <c r="D3" s="59"/>
      <c r="E3" s="41"/>
      <c r="I3" s="41"/>
    </row>
    <row r="4" spans="2:9" ht="12" customHeight="1" x14ac:dyDescent="0.25"/>
    <row r="5" spans="2:9" ht="28.15" customHeight="1" x14ac:dyDescent="0.25">
      <c r="B5" s="37" t="s">
        <v>0</v>
      </c>
      <c r="C5" s="45" t="s">
        <v>2</v>
      </c>
      <c r="D5" s="37" t="s">
        <v>18</v>
      </c>
      <c r="E5" s="31" t="s">
        <v>1</v>
      </c>
      <c r="H5" s="46" t="s">
        <v>19</v>
      </c>
      <c r="I5" s="55" t="s">
        <v>20</v>
      </c>
    </row>
    <row r="6" spans="2:9" ht="21.6" customHeight="1" x14ac:dyDescent="0.25">
      <c r="B6" s="47">
        <v>42782</v>
      </c>
      <c r="E6" s="44">
        <v>12.3</v>
      </c>
      <c r="H6" s="30" t="s">
        <v>6</v>
      </c>
      <c r="I6" s="44">
        <f>SUMPRODUCT((MONTH(Tableau16732[Date])=MONTH(1&amp;"Janvier"))*Tableau16732[[Montant ]])</f>
        <v>0</v>
      </c>
    </row>
    <row r="7" spans="2:9" ht="21.6" customHeight="1" x14ac:dyDescent="0.25">
      <c r="B7" s="47">
        <v>42854</v>
      </c>
      <c r="E7" s="44">
        <v>36</v>
      </c>
      <c r="H7" s="30" t="s">
        <v>7</v>
      </c>
      <c r="I7" s="44">
        <f>SUMPRODUCT((MONTH(Tableau16732[Date])=MONTH(2&amp;"Février"))*Tableau16732[[Montant ]])</f>
        <v>12.3</v>
      </c>
    </row>
    <row r="8" spans="2:9" ht="21.6" customHeight="1" x14ac:dyDescent="0.25">
      <c r="B8" s="47">
        <v>42854</v>
      </c>
      <c r="E8" s="44">
        <v>10.7</v>
      </c>
      <c r="H8" s="30" t="s">
        <v>8</v>
      </c>
      <c r="I8" s="44">
        <f>SUMPRODUCT((MONTH(Tableau16732[Date])=MONTH(3&amp;"Mars"))*Tableau16732[[Montant ]])</f>
        <v>0</v>
      </c>
    </row>
    <row r="9" spans="2:9" ht="21.6" customHeight="1" x14ac:dyDescent="0.25">
      <c r="B9" s="47">
        <v>42876</v>
      </c>
      <c r="E9" s="44">
        <v>15</v>
      </c>
      <c r="H9" s="30" t="s">
        <v>9</v>
      </c>
      <c r="I9" s="44">
        <f>SUMPRODUCT((MONTH(Tableau16732[Date])=MONTH(4&amp;"Avril"))*Tableau16732[[Montant ]])</f>
        <v>46.7</v>
      </c>
    </row>
    <row r="10" spans="2:9" ht="21.6" customHeight="1" x14ac:dyDescent="0.25">
      <c r="H10" s="30" t="s">
        <v>10</v>
      </c>
      <c r="I10" s="44">
        <f>SUMPRODUCT((MONTH(Tableau16732[Date])=MONTH(5&amp;"Mai"))*Tableau16732[[Montant ]])</f>
        <v>15</v>
      </c>
    </row>
    <row r="11" spans="2:9" ht="21.6" customHeight="1" x14ac:dyDescent="0.25">
      <c r="H11" s="30" t="s">
        <v>11</v>
      </c>
      <c r="I11" s="44">
        <f>SUMPRODUCT((MONTH(Tableau16732[Date])=MONTH(6&amp;"Juin"))*Tableau16732[[Montant ]])</f>
        <v>0</v>
      </c>
    </row>
    <row r="12" spans="2:9" ht="21.6" customHeight="1" x14ac:dyDescent="0.25">
      <c r="B12" s="30" t="s">
        <v>3</v>
      </c>
      <c r="E12" s="44">
        <f>SUBTOTAL(109,Tableau16732[[Montant ]])</f>
        <v>74</v>
      </c>
      <c r="H12" s="30" t="s">
        <v>12</v>
      </c>
      <c r="I12" s="44">
        <f>SUMPRODUCT((MONTH(Tableau16732[Date])=MONTH(7&amp;"Juillet"))*Tableau16732[[Montant ]])</f>
        <v>0</v>
      </c>
    </row>
    <row r="13" spans="2:9" ht="21.6" customHeight="1" x14ac:dyDescent="0.25">
      <c r="H13" s="30" t="s">
        <v>13</v>
      </c>
      <c r="I13" s="44">
        <f>SUMPRODUCT((MONTH(Tableau16732[Date])=MONTH(8&amp;"Août"))*Tableau16732[[Montant ]])</f>
        <v>0</v>
      </c>
    </row>
    <row r="14" spans="2:9" ht="21.6" customHeight="1" x14ac:dyDescent="0.25">
      <c r="H14" s="30" t="s">
        <v>14</v>
      </c>
      <c r="I14" s="44">
        <f>SUMPRODUCT((MONTH(Tableau16732[Date])=MONTH(9&amp;"septembre"))*Tableau16732[[Montant ]])</f>
        <v>0</v>
      </c>
    </row>
    <row r="15" spans="2:9" ht="21.6" customHeight="1" x14ac:dyDescent="0.25">
      <c r="H15" s="30" t="s">
        <v>15</v>
      </c>
      <c r="I15" s="44">
        <f>SUMPRODUCT((MONTH(Tableau16732[Date])=MONTH(10&amp;"octobre"))*Tableau16732[[Montant ]])</f>
        <v>0</v>
      </c>
    </row>
    <row r="16" spans="2:9" ht="21.6" customHeight="1" x14ac:dyDescent="0.25">
      <c r="H16" s="30" t="s">
        <v>16</v>
      </c>
      <c r="I16" s="44">
        <f>SUMPRODUCT((MONTH(Tableau16732[Date])=MONTH(11&amp;"Novembre"))*Tableau16732[[Montant ]])</f>
        <v>0</v>
      </c>
    </row>
    <row r="17" spans="8:9" ht="21.6" customHeight="1" x14ac:dyDescent="0.25">
      <c r="H17" s="30" t="s">
        <v>17</v>
      </c>
      <c r="I17" s="44">
        <f>SUMPRODUCT((MONTH(Tableau16732[Date])=MONTH(12&amp;"Décembre"))*Tableau16732[[Montant ]])</f>
        <v>0</v>
      </c>
    </row>
    <row r="18" spans="8:9" ht="21.6" customHeight="1" x14ac:dyDescent="0.25"/>
    <row r="19" spans="8:9" ht="21.6" customHeight="1" x14ac:dyDescent="0.25"/>
    <row r="20" spans="8:9" ht="21.6" customHeight="1" x14ac:dyDescent="0.25"/>
    <row r="21" spans="8:9" ht="21.6" customHeight="1" x14ac:dyDescent="0.25"/>
    <row r="22" spans="8:9" ht="21.6" customHeight="1" x14ac:dyDescent="0.25"/>
    <row r="23" spans="8:9" ht="21.6" customHeight="1" x14ac:dyDescent="0.25"/>
    <row r="24" spans="8:9" ht="21.6" customHeight="1" x14ac:dyDescent="0.25"/>
    <row r="25" spans="8:9" ht="21.6" customHeight="1" x14ac:dyDescent="0.25"/>
    <row r="26" spans="8:9" ht="21.6" customHeight="1" x14ac:dyDescent="0.25"/>
    <row r="27" spans="8:9" ht="21.6" customHeight="1" x14ac:dyDescent="0.25"/>
    <row r="28" spans="8:9" ht="21.6" customHeight="1" x14ac:dyDescent="0.25"/>
  </sheetData>
  <mergeCells count="1">
    <mergeCell ref="C1:D3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/>
  </sheetPr>
  <dimension ref="B1:I28"/>
  <sheetViews>
    <sheetView workbookViewId="0">
      <selection activeCell="K13" sqref="K13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58" t="s">
        <v>27</v>
      </c>
      <c r="D1" s="58"/>
      <c r="E1" s="58"/>
      <c r="I1" s="41"/>
    </row>
    <row r="2" spans="2:9" s="38" customFormat="1" ht="12" customHeight="1" x14ac:dyDescent="0.25">
      <c r="C2" s="58"/>
      <c r="D2" s="58"/>
      <c r="E2" s="58"/>
      <c r="I2" s="41"/>
    </row>
    <row r="3" spans="2:9" s="38" customFormat="1" ht="12" customHeight="1" x14ac:dyDescent="0.25">
      <c r="C3" s="58"/>
      <c r="D3" s="58"/>
      <c r="E3" s="58"/>
      <c r="I3" s="41"/>
    </row>
    <row r="4" spans="2:9" ht="12" customHeight="1" x14ac:dyDescent="0.25"/>
    <row r="5" spans="2:9" ht="28.15" customHeight="1" x14ac:dyDescent="0.25">
      <c r="B5" s="37" t="s">
        <v>0</v>
      </c>
      <c r="C5" s="45" t="s">
        <v>2</v>
      </c>
      <c r="D5" s="37" t="s">
        <v>18</v>
      </c>
      <c r="E5" s="31" t="s">
        <v>1</v>
      </c>
      <c r="H5" s="46" t="s">
        <v>19</v>
      </c>
      <c r="I5" s="55" t="s">
        <v>20</v>
      </c>
    </row>
    <row r="6" spans="2:9" ht="21.6" customHeight="1" x14ac:dyDescent="0.25">
      <c r="B6" s="47"/>
      <c r="H6" s="30" t="s">
        <v>6</v>
      </c>
      <c r="I6" s="44">
        <f>SUMPRODUCT((MONTH(Tableau1673[Date])=MONTH(1&amp;"Janvier"))*Tableau1673[[Montant ]])</f>
        <v>0</v>
      </c>
    </row>
    <row r="7" spans="2:9" ht="21.6" customHeight="1" x14ac:dyDescent="0.25">
      <c r="B7" s="47"/>
      <c r="H7" s="30" t="s">
        <v>7</v>
      </c>
      <c r="I7" s="44">
        <f>SUMPRODUCT((MONTH(Tableau1673[Date])=MONTH(2&amp;"Février"))*Tableau1673[[Montant ]])</f>
        <v>0</v>
      </c>
    </row>
    <row r="8" spans="2:9" ht="21.6" customHeight="1" x14ac:dyDescent="0.25">
      <c r="H8" s="30" t="s">
        <v>8</v>
      </c>
      <c r="I8" s="44">
        <f>SUMPRODUCT((MONTH(Tableau1673[Date])=MONTH(3&amp;"Mars"))*Tableau1673[[Montant ]])</f>
        <v>0</v>
      </c>
    </row>
    <row r="9" spans="2:9" ht="21.6" customHeight="1" x14ac:dyDescent="0.25">
      <c r="H9" s="30" t="s">
        <v>9</v>
      </c>
      <c r="I9" s="44">
        <f>SUMPRODUCT((MONTH(Tableau1673[Date])=MONTH(4&amp;"Avril"))*Tableau1673[[Montant ]])</f>
        <v>0</v>
      </c>
    </row>
    <row r="10" spans="2:9" ht="21.6" customHeight="1" x14ac:dyDescent="0.25">
      <c r="H10" s="30" t="s">
        <v>10</v>
      </c>
      <c r="I10" s="44">
        <f>SUMPRODUCT((MONTH(Tableau1673[Date])=MONTH(5&amp;"Mai"))*Tableau1673[[Montant ]])</f>
        <v>0</v>
      </c>
    </row>
    <row r="11" spans="2:9" ht="21.6" customHeight="1" x14ac:dyDescent="0.25">
      <c r="H11" s="30" t="s">
        <v>11</v>
      </c>
      <c r="I11" s="44">
        <f>SUMPRODUCT((MONTH(Tableau1673[Date])=MONTH(6&amp;"Juin"))*Tableau1673[[Montant ]])</f>
        <v>0</v>
      </c>
    </row>
    <row r="12" spans="2:9" ht="21.6" customHeight="1" x14ac:dyDescent="0.25">
      <c r="H12" s="30" t="s">
        <v>12</v>
      </c>
      <c r="I12" s="44">
        <f>SUMPRODUCT((MONTH(Tableau1673[Date])=MONTH(7&amp;"Juillet"))*Tableau1673[[Montant ]])</f>
        <v>0</v>
      </c>
    </row>
    <row r="13" spans="2:9" ht="21.6" customHeight="1" x14ac:dyDescent="0.25">
      <c r="H13" s="30" t="s">
        <v>13</v>
      </c>
      <c r="I13" s="44">
        <f>SUMPRODUCT((MONTH(Tableau1673[Date])=MONTH(8&amp;"Août"))*Tableau1673[[Montant ]])</f>
        <v>0</v>
      </c>
    </row>
    <row r="14" spans="2:9" ht="21.6" customHeight="1" x14ac:dyDescent="0.25">
      <c r="H14" s="30" t="s">
        <v>14</v>
      </c>
      <c r="I14" s="44">
        <f>SUMPRODUCT((MONTH(Tableau1673[Date])=MONTH(9&amp;"septembre"))*Tableau1673[[Montant ]])</f>
        <v>0</v>
      </c>
    </row>
    <row r="15" spans="2:9" ht="21.6" customHeight="1" x14ac:dyDescent="0.25">
      <c r="H15" s="30" t="s">
        <v>15</v>
      </c>
      <c r="I15" s="44">
        <f>SUMPRODUCT((MONTH(Tableau1673[Date])=MONTH(10&amp;"octobre"))*Tableau1673[[Montant ]])</f>
        <v>0</v>
      </c>
    </row>
    <row r="16" spans="2:9" ht="21.6" customHeight="1" x14ac:dyDescent="0.25">
      <c r="H16" s="30" t="s">
        <v>16</v>
      </c>
      <c r="I16" s="44">
        <f>SUMPRODUCT((MONTH(Tableau1673[Date])=MONTH(11&amp;"Novembre"))*Tableau1673[[Montant ]])</f>
        <v>0</v>
      </c>
    </row>
    <row r="17" spans="2:9" ht="21.6" customHeight="1" x14ac:dyDescent="0.25">
      <c r="H17" s="30" t="s">
        <v>17</v>
      </c>
      <c r="I17" s="44">
        <f>SUMPRODUCT((MONTH(Tableau1673[Date])=MONTH(12&amp;"Décembre"))*Tableau1673[[Montant ]])</f>
        <v>0</v>
      </c>
    </row>
    <row r="18" spans="2:9" ht="21.6" customHeight="1" x14ac:dyDescent="0.25"/>
    <row r="19" spans="2:9" ht="21.6" customHeight="1" x14ac:dyDescent="0.25"/>
    <row r="20" spans="2:9" ht="21.6" customHeight="1" x14ac:dyDescent="0.25"/>
    <row r="21" spans="2:9" ht="21.6" customHeight="1" x14ac:dyDescent="0.25"/>
    <row r="22" spans="2:9" ht="21.6" customHeight="1" x14ac:dyDescent="0.25"/>
    <row r="23" spans="2:9" ht="21.6" customHeight="1" x14ac:dyDescent="0.25"/>
    <row r="24" spans="2:9" ht="21.6" customHeight="1" x14ac:dyDescent="0.25"/>
    <row r="25" spans="2:9" ht="21.6" customHeight="1" x14ac:dyDescent="0.25"/>
    <row r="26" spans="2:9" ht="21.6" customHeight="1" x14ac:dyDescent="0.25"/>
    <row r="27" spans="2:9" ht="21.6" customHeight="1" x14ac:dyDescent="0.25"/>
    <row r="28" spans="2:9" ht="21.6" customHeight="1" x14ac:dyDescent="0.25">
      <c r="B28" s="30" t="s">
        <v>3</v>
      </c>
      <c r="E28" s="44">
        <f>SUBTOTAL(109,Tableau1673[[Montant ]])</f>
        <v>0</v>
      </c>
    </row>
  </sheetData>
  <mergeCells count="1">
    <mergeCell ref="C1:E3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</sheetPr>
  <dimension ref="B1:G25"/>
  <sheetViews>
    <sheetView workbookViewId="0">
      <selection activeCell="G1" sqref="G1:G1048576"/>
    </sheetView>
  </sheetViews>
  <sheetFormatPr baseColWidth="10" defaultColWidth="11.5703125" defaultRowHeight="15" x14ac:dyDescent="0.25"/>
  <cols>
    <col min="1" max="2" width="14.7109375" style="30" customWidth="1"/>
    <col min="3" max="3" width="14.28515625" style="30" customWidth="1"/>
    <col min="4" max="7" width="10.7109375" style="30" customWidth="1"/>
    <col min="8" max="16384" width="11.5703125" style="30"/>
  </cols>
  <sheetData>
    <row r="1" spans="2:7" s="38" customFormat="1" ht="12" customHeight="1" x14ac:dyDescent="0.25">
      <c r="C1" s="58" t="s">
        <v>21</v>
      </c>
      <c r="D1" s="58"/>
      <c r="E1" s="58"/>
      <c r="F1" s="58"/>
    </row>
    <row r="2" spans="2:7" s="38" customFormat="1" ht="12" customHeight="1" x14ac:dyDescent="0.25">
      <c r="C2" s="58"/>
      <c r="D2" s="58"/>
      <c r="E2" s="58"/>
      <c r="F2" s="58"/>
    </row>
    <row r="3" spans="2:7" s="38" customFormat="1" ht="12" customHeight="1" x14ac:dyDescent="0.25">
      <c r="C3" s="58"/>
      <c r="D3" s="58"/>
      <c r="E3" s="58"/>
      <c r="F3" s="58"/>
    </row>
    <row r="4" spans="2:7" ht="12" customHeight="1" x14ac:dyDescent="0.25"/>
    <row r="5" spans="2:7" s="48" customFormat="1" ht="30" x14ac:dyDescent="0.25">
      <c r="B5" s="52" t="s">
        <v>4</v>
      </c>
      <c r="C5" s="52" t="s">
        <v>5</v>
      </c>
      <c r="F5" s="46" t="s">
        <v>19</v>
      </c>
      <c r="G5" s="46" t="s">
        <v>20</v>
      </c>
    </row>
    <row r="6" spans="2:7" ht="21.6" customHeight="1" x14ac:dyDescent="0.25">
      <c r="B6" s="47">
        <v>42751</v>
      </c>
      <c r="C6" s="44">
        <v>47.16</v>
      </c>
      <c r="F6" s="30" t="s">
        <v>6</v>
      </c>
      <c r="G6" s="44">
        <f>SUMPRODUCT((MONTH(Tableau4[[Date ]])=MONTH(1&amp;"Janvier"))*Tableau4[Montant])</f>
        <v>47.16</v>
      </c>
    </row>
    <row r="7" spans="2:7" ht="21.6" customHeight="1" x14ac:dyDescent="0.25">
      <c r="B7" s="47">
        <v>42768</v>
      </c>
      <c r="C7" s="44">
        <v>63.17</v>
      </c>
      <c r="F7" s="30" t="s">
        <v>7</v>
      </c>
      <c r="G7" s="44">
        <f>SUMPRODUCT((MONTH(Tableau4[[Date ]])=MONTH(2&amp;"Février"))*Tableau4[Montant])</f>
        <v>120.37</v>
      </c>
    </row>
    <row r="8" spans="2:7" ht="21.6" customHeight="1" x14ac:dyDescent="0.25">
      <c r="B8" s="47">
        <v>42782</v>
      </c>
      <c r="C8" s="44">
        <v>57.2</v>
      </c>
      <c r="F8" s="30" t="s">
        <v>8</v>
      </c>
      <c r="G8" s="44">
        <f>SUMPRODUCT((MONTH(Tableau4[[Date ]])=MONTH(3&amp;"Mars"))*Tableau4[Montant])</f>
        <v>62.72</v>
      </c>
    </row>
    <row r="9" spans="2:7" ht="21.6" customHeight="1" x14ac:dyDescent="0.25">
      <c r="B9" s="47">
        <v>42801</v>
      </c>
      <c r="C9" s="44">
        <v>62.72</v>
      </c>
      <c r="F9" s="30" t="s">
        <v>9</v>
      </c>
      <c r="G9" s="44">
        <f>SUMPRODUCT((MONTH(Tableau4[[Date ]])=MONTH(4&amp;"Avril"))*Tableau4[Montant])</f>
        <v>123.63999999999999</v>
      </c>
    </row>
    <row r="10" spans="2:7" ht="21.6" customHeight="1" x14ac:dyDescent="0.25">
      <c r="B10" s="47">
        <v>42834</v>
      </c>
      <c r="C10" s="44">
        <v>66.739999999999995</v>
      </c>
      <c r="F10" s="30" t="s">
        <v>10</v>
      </c>
      <c r="G10" s="44">
        <f>SUMPRODUCT((MONTH(Tableau4[[Date ]])=MONTH(5&amp;"Mai"))*Tableau4[Montant])</f>
        <v>63.64</v>
      </c>
    </row>
    <row r="11" spans="2:7" ht="21.6" customHeight="1" x14ac:dyDescent="0.25">
      <c r="B11" s="47">
        <v>42849</v>
      </c>
      <c r="C11" s="44">
        <v>56.9</v>
      </c>
      <c r="F11" s="30" t="s">
        <v>11</v>
      </c>
      <c r="G11" s="44">
        <f>SUMPRODUCT((MONTH(Tableau4[[Date ]])=MONTH(6&amp;"Juin"))*Tableau4[Montant])</f>
        <v>0</v>
      </c>
    </row>
    <row r="12" spans="2:7" ht="21.6" customHeight="1" x14ac:dyDescent="0.25">
      <c r="B12" s="47">
        <v>42863</v>
      </c>
      <c r="C12" s="44">
        <v>63.64</v>
      </c>
      <c r="F12" s="30" t="s">
        <v>12</v>
      </c>
      <c r="G12" s="44">
        <f>SUMPRODUCT((MONTH(Tableau4[[Date ]])=MONTH(7&amp;"Juillet"))*Tableau4[Montant])</f>
        <v>0</v>
      </c>
    </row>
    <row r="13" spans="2:7" ht="21.6" customHeight="1" x14ac:dyDescent="0.25">
      <c r="C13" s="44"/>
      <c r="F13" s="30" t="s">
        <v>13</v>
      </c>
      <c r="G13" s="44">
        <f>SUMPRODUCT((MONTH(Tableau4[[Date ]])=MONTH(8&amp;"Août"))*Tableau4[Montant])</f>
        <v>0</v>
      </c>
    </row>
    <row r="14" spans="2:7" ht="21.6" customHeight="1" x14ac:dyDescent="0.25">
      <c r="C14" s="44"/>
      <c r="F14" s="30" t="s">
        <v>14</v>
      </c>
      <c r="G14" s="44">
        <f>SUMPRODUCT((MONTH(Tableau4[[Date ]])=MONTH(9&amp;"septembre"))*Tableau4[Montant])</f>
        <v>0</v>
      </c>
    </row>
    <row r="15" spans="2:7" ht="21.6" customHeight="1" x14ac:dyDescent="0.25">
      <c r="C15" s="44"/>
      <c r="F15" s="30" t="s">
        <v>15</v>
      </c>
      <c r="G15" s="44">
        <f>SUMPRODUCT((MONTH(Tableau4[[Date ]])=MONTH(10&amp;"octobre"))*Tableau4[Montant])</f>
        <v>0</v>
      </c>
    </row>
    <row r="16" spans="2:7" ht="21.6" customHeight="1" x14ac:dyDescent="0.25">
      <c r="C16" s="44"/>
      <c r="F16" s="30" t="s">
        <v>16</v>
      </c>
      <c r="G16" s="44">
        <f>SUMPRODUCT((MONTH(Tableau4[[Date ]])=MONTH(11&amp;"Novembre"))*Tableau4[Montant])</f>
        <v>0</v>
      </c>
    </row>
    <row r="17" spans="2:7" ht="21.6" customHeight="1" x14ac:dyDescent="0.25">
      <c r="C17" s="44"/>
      <c r="F17" s="30" t="s">
        <v>17</v>
      </c>
      <c r="G17" s="44">
        <f>SUMPRODUCT((MONTH(Tableau4[[Date ]])=MONTH(12&amp;"Décembre"))*Tableau4[Montant])</f>
        <v>0</v>
      </c>
    </row>
    <row r="18" spans="2:7" ht="21.6" customHeight="1" x14ac:dyDescent="0.25">
      <c r="C18" s="44"/>
    </row>
    <row r="19" spans="2:7" ht="21.6" customHeight="1" x14ac:dyDescent="0.25">
      <c r="C19" s="44"/>
    </row>
    <row r="20" spans="2:7" ht="21.6" customHeight="1" x14ac:dyDescent="0.25">
      <c r="C20" s="44"/>
    </row>
    <row r="21" spans="2:7" ht="21.6" customHeight="1" x14ac:dyDescent="0.25">
      <c r="C21" s="44"/>
    </row>
    <row r="22" spans="2:7" ht="21.6" customHeight="1" x14ac:dyDescent="0.25">
      <c r="C22" s="44"/>
    </row>
    <row r="23" spans="2:7" ht="21.6" customHeight="1" x14ac:dyDescent="0.25">
      <c r="C23" s="44"/>
    </row>
    <row r="24" spans="2:7" ht="21.6" customHeight="1" x14ac:dyDescent="0.25">
      <c r="C24" s="44"/>
    </row>
    <row r="25" spans="2:7" ht="21.6" customHeight="1" x14ac:dyDescent="0.25">
      <c r="B25" s="30" t="s">
        <v>3</v>
      </c>
      <c r="C25" s="30">
        <f>SUBTOTAL(103,Tableau4[Montant])</f>
        <v>7</v>
      </c>
    </row>
  </sheetData>
  <mergeCells count="1">
    <mergeCell ref="C1:F3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/>
  </sheetPr>
  <dimension ref="B1:I28"/>
  <sheetViews>
    <sheetView workbookViewId="0">
      <selection activeCell="M13" sqref="M13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58" t="s">
        <v>42</v>
      </c>
      <c r="D1" s="58"/>
      <c r="E1" s="58"/>
      <c r="I1" s="41"/>
    </row>
    <row r="2" spans="2:9" s="38" customFormat="1" ht="12" customHeight="1" x14ac:dyDescent="0.25">
      <c r="C2" s="58"/>
      <c r="D2" s="58"/>
      <c r="E2" s="58"/>
      <c r="I2" s="41"/>
    </row>
    <row r="3" spans="2:9" s="38" customFormat="1" ht="12" customHeight="1" x14ac:dyDescent="0.25">
      <c r="C3" s="58"/>
      <c r="D3" s="58"/>
      <c r="E3" s="58"/>
      <c r="I3" s="41"/>
    </row>
    <row r="4" spans="2:9" ht="12" customHeight="1" x14ac:dyDescent="0.25"/>
    <row r="5" spans="2:9" s="48" customFormat="1" ht="30" x14ac:dyDescent="0.25">
      <c r="B5" s="52" t="s">
        <v>0</v>
      </c>
      <c r="C5" s="53" t="s">
        <v>2</v>
      </c>
      <c r="D5" s="52" t="s">
        <v>18</v>
      </c>
      <c r="E5" s="54" t="s">
        <v>1</v>
      </c>
      <c r="H5" s="46" t="s">
        <v>19</v>
      </c>
      <c r="I5" s="55" t="s">
        <v>20</v>
      </c>
    </row>
    <row r="6" spans="2:9" ht="22.15" customHeight="1" x14ac:dyDescent="0.25">
      <c r="B6" s="47"/>
      <c r="H6" s="30" t="s">
        <v>6</v>
      </c>
      <c r="I6" s="44">
        <f>SUMPRODUCT((MONTH(Tableau16715[Date])=MONTH(1&amp;"Janvier"))*Tableau16715[[Montant ]])</f>
        <v>0</v>
      </c>
    </row>
    <row r="7" spans="2:9" ht="22.15" customHeight="1" x14ac:dyDescent="0.25">
      <c r="B7" s="47"/>
      <c r="H7" s="30" t="s">
        <v>7</v>
      </c>
      <c r="I7" s="44">
        <f>SUMPRODUCT((MONTH(Tableau16715[Date])=MONTH(2&amp;"Février"))*Tableau16715[[Montant ]])</f>
        <v>0</v>
      </c>
    </row>
    <row r="8" spans="2:9" ht="22.15" customHeight="1" x14ac:dyDescent="0.25">
      <c r="B8" s="47"/>
      <c r="H8" s="30" t="s">
        <v>8</v>
      </c>
      <c r="I8" s="44">
        <f>SUMPRODUCT((MONTH(Tableau16715[Date])=MONTH(3&amp;"Mars"))*Tableau16715[[Montant ]])</f>
        <v>0</v>
      </c>
    </row>
    <row r="9" spans="2:9" ht="22.15" customHeight="1" x14ac:dyDescent="0.25">
      <c r="B9" s="47"/>
      <c r="H9" s="30" t="s">
        <v>9</v>
      </c>
      <c r="I9" s="44">
        <f>SUMPRODUCT((MONTH(Tableau16715[Date])=MONTH(4&amp;"Avril"))*Tableau16715[[Montant ]])</f>
        <v>0</v>
      </c>
    </row>
    <row r="10" spans="2:9" ht="22.15" customHeight="1" x14ac:dyDescent="0.25">
      <c r="B10" s="47"/>
      <c r="H10" s="30" t="s">
        <v>10</v>
      </c>
      <c r="I10" s="44">
        <f>SUMPRODUCT((MONTH(Tableau16715[Date])=MONTH(5&amp;"Mai"))*Tableau16715[[Montant ]])</f>
        <v>0</v>
      </c>
    </row>
    <row r="11" spans="2:9" ht="22.15" customHeight="1" x14ac:dyDescent="0.25">
      <c r="B11" s="47"/>
      <c r="H11" s="30" t="s">
        <v>11</v>
      </c>
      <c r="I11" s="44">
        <f>SUMPRODUCT((MONTH(Tableau16715[Date])=MONTH(6&amp;"Juin"))*Tableau16715[[Montant ]])</f>
        <v>0</v>
      </c>
    </row>
    <row r="12" spans="2:9" ht="22.15" customHeight="1" x14ac:dyDescent="0.25">
      <c r="B12" s="47"/>
      <c r="H12" s="30" t="s">
        <v>12</v>
      </c>
      <c r="I12" s="44">
        <f>SUMPRODUCT((MONTH(Tableau16715[Date])=MONTH(7&amp;"Juillet"))*Tableau16715[[Montant ]])</f>
        <v>0</v>
      </c>
    </row>
    <row r="13" spans="2:9" ht="22.15" customHeight="1" x14ac:dyDescent="0.25">
      <c r="B13" s="47"/>
      <c r="H13" s="30" t="s">
        <v>13</v>
      </c>
      <c r="I13" s="44">
        <f>SUMPRODUCT((MONTH(Tableau16715[Date])=MONTH(8&amp;"Août"))*Tableau16715[[Montant ]])</f>
        <v>0</v>
      </c>
    </row>
    <row r="14" spans="2:9" ht="22.15" customHeight="1" x14ac:dyDescent="0.25">
      <c r="H14" s="30" t="s">
        <v>14</v>
      </c>
      <c r="I14" s="44">
        <f>SUMPRODUCT((MONTH(Tableau16715[Date])=MONTH(9&amp;"septembre"))*Tableau16715[[Montant ]])</f>
        <v>0</v>
      </c>
    </row>
    <row r="15" spans="2:9" ht="22.15" customHeight="1" x14ac:dyDescent="0.25">
      <c r="H15" s="30" t="s">
        <v>15</v>
      </c>
      <c r="I15" s="44">
        <f>SUMPRODUCT((MONTH(Tableau16715[Date])=MONTH(10&amp;"octobre"))*Tableau16715[[Montant ]])</f>
        <v>0</v>
      </c>
    </row>
    <row r="16" spans="2:9" ht="22.15" customHeight="1" x14ac:dyDescent="0.25">
      <c r="H16" s="30" t="s">
        <v>16</v>
      </c>
      <c r="I16" s="44">
        <f>SUMPRODUCT((MONTH(Tableau16715[Date])=MONTH(11&amp;"Novembre"))*Tableau16715[[Montant ]])</f>
        <v>0</v>
      </c>
    </row>
    <row r="17" spans="2:9" ht="22.15" customHeight="1" x14ac:dyDescent="0.25">
      <c r="H17" s="30" t="s">
        <v>17</v>
      </c>
      <c r="I17" s="44">
        <f>SUMPRODUCT((MONTH(Tableau16715[Date])=MONTH(12&amp;"Décembre"))*Tableau16715[[Montant ]])</f>
        <v>0</v>
      </c>
    </row>
    <row r="18" spans="2:9" ht="22.15" customHeight="1" x14ac:dyDescent="0.25"/>
    <row r="19" spans="2:9" ht="22.15" customHeight="1" x14ac:dyDescent="0.25"/>
    <row r="20" spans="2:9" ht="22.15" customHeight="1" x14ac:dyDescent="0.25"/>
    <row r="21" spans="2:9" ht="22.15" customHeight="1" x14ac:dyDescent="0.25"/>
    <row r="22" spans="2:9" ht="22.15" customHeight="1" x14ac:dyDescent="0.25"/>
    <row r="23" spans="2:9" ht="22.15" customHeight="1" x14ac:dyDescent="0.25"/>
    <row r="24" spans="2:9" ht="22.15" customHeight="1" x14ac:dyDescent="0.25"/>
    <row r="25" spans="2:9" ht="22.15" customHeight="1" x14ac:dyDescent="0.25"/>
    <row r="26" spans="2:9" ht="22.15" customHeight="1" x14ac:dyDescent="0.25"/>
    <row r="27" spans="2:9" ht="22.15" customHeight="1" x14ac:dyDescent="0.25"/>
    <row r="28" spans="2:9" ht="22.15" customHeight="1" x14ac:dyDescent="0.25">
      <c r="B28" s="30" t="s">
        <v>3</v>
      </c>
      <c r="E28" s="44">
        <f>SUBTOTAL(109,Tableau16715[[Montant ]])</f>
        <v>0</v>
      </c>
    </row>
  </sheetData>
  <mergeCells count="1">
    <mergeCell ref="C1:E3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/>
  </sheetPr>
  <dimension ref="B1:I28"/>
  <sheetViews>
    <sheetView workbookViewId="0">
      <selection activeCell="D7" sqref="C6:D7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58" t="s">
        <v>53</v>
      </c>
      <c r="D1" s="58"/>
      <c r="E1" s="58"/>
      <c r="I1" s="41"/>
    </row>
    <row r="2" spans="2:9" s="38" customFormat="1" ht="12" customHeight="1" x14ac:dyDescent="0.25">
      <c r="C2" s="58"/>
      <c r="D2" s="58"/>
      <c r="E2" s="58"/>
      <c r="I2" s="41"/>
    </row>
    <row r="3" spans="2:9" s="38" customFormat="1" ht="12" customHeight="1" x14ac:dyDescent="0.25">
      <c r="C3" s="58"/>
      <c r="D3" s="58"/>
      <c r="E3" s="58"/>
      <c r="I3" s="41"/>
    </row>
    <row r="4" spans="2:9" ht="12" customHeight="1" x14ac:dyDescent="0.25"/>
    <row r="5" spans="2:9" s="48" customFormat="1" ht="28.15" customHeight="1" x14ac:dyDescent="0.25">
      <c r="B5" s="52" t="s">
        <v>0</v>
      </c>
      <c r="C5" s="53" t="s">
        <v>2</v>
      </c>
      <c r="D5" s="52" t="s">
        <v>18</v>
      </c>
      <c r="E5" s="54" t="s">
        <v>1</v>
      </c>
      <c r="H5" s="46" t="s">
        <v>19</v>
      </c>
      <c r="I5" s="55" t="s">
        <v>20</v>
      </c>
    </row>
    <row r="6" spans="2:9" ht="21.6" customHeight="1" x14ac:dyDescent="0.25">
      <c r="B6" s="47">
        <v>42839</v>
      </c>
      <c r="E6" s="44">
        <v>195</v>
      </c>
      <c r="H6" s="30" t="s">
        <v>6</v>
      </c>
      <c r="I6" s="44">
        <f>SUMPRODUCT((MONTH(Tableau16739[Date])=MONTH(1&amp;"Janvier"))*Tableau16739[[Montant ]])</f>
        <v>0</v>
      </c>
    </row>
    <row r="7" spans="2:9" ht="21.6" customHeight="1" x14ac:dyDescent="0.25">
      <c r="B7" s="47"/>
      <c r="H7" s="30" t="s">
        <v>7</v>
      </c>
      <c r="I7" s="44">
        <f>SUMPRODUCT((MONTH(Tableau16739[Date])=MONTH(2&amp;"Février"))*Tableau16739[[Montant ]])</f>
        <v>0</v>
      </c>
    </row>
    <row r="8" spans="2:9" ht="21.6" customHeight="1" x14ac:dyDescent="0.25">
      <c r="H8" s="30" t="s">
        <v>8</v>
      </c>
      <c r="I8" s="44">
        <f>SUMPRODUCT((MONTH(Tableau16739[Date])=MONTH(3&amp;"Mars"))*Tableau16739[[Montant ]])</f>
        <v>0</v>
      </c>
    </row>
    <row r="9" spans="2:9" ht="21.6" customHeight="1" x14ac:dyDescent="0.25">
      <c r="H9" s="30" t="s">
        <v>9</v>
      </c>
      <c r="I9" s="44">
        <f>SUMPRODUCT((MONTH(Tableau16739[Date])=MONTH(4&amp;"Avril"))*Tableau16739[[Montant ]])</f>
        <v>195</v>
      </c>
    </row>
    <row r="10" spans="2:9" ht="21.6" customHeight="1" x14ac:dyDescent="0.25">
      <c r="H10" s="30" t="s">
        <v>10</v>
      </c>
      <c r="I10" s="44">
        <f>SUMPRODUCT((MONTH(Tableau16739[Date])=MONTH(5&amp;"Mai"))*Tableau16739[[Montant ]])</f>
        <v>0</v>
      </c>
    </row>
    <row r="11" spans="2:9" ht="21.6" customHeight="1" x14ac:dyDescent="0.25">
      <c r="H11" s="30" t="s">
        <v>11</v>
      </c>
      <c r="I11" s="44">
        <f>SUMPRODUCT((MONTH(Tableau16739[Date])=MONTH(6&amp;"Juin"))*Tableau16739[[Montant ]])</f>
        <v>0</v>
      </c>
    </row>
    <row r="12" spans="2:9" ht="21.6" customHeight="1" x14ac:dyDescent="0.25">
      <c r="H12" s="30" t="s">
        <v>12</v>
      </c>
      <c r="I12" s="44">
        <f>SUMPRODUCT((MONTH(Tableau16739[Date])=MONTH(7&amp;"Juillet"))*Tableau16739[[Montant ]])</f>
        <v>0</v>
      </c>
    </row>
    <row r="13" spans="2:9" ht="21.6" customHeight="1" x14ac:dyDescent="0.25">
      <c r="H13" s="30" t="s">
        <v>13</v>
      </c>
      <c r="I13" s="44">
        <f>SUMPRODUCT((MONTH(Tableau16739[Date])=MONTH(8&amp;"Août"))*Tableau16739[[Montant ]])</f>
        <v>0</v>
      </c>
    </row>
    <row r="14" spans="2:9" ht="21.6" customHeight="1" x14ac:dyDescent="0.25">
      <c r="H14" s="30" t="s">
        <v>14</v>
      </c>
      <c r="I14" s="44">
        <f>SUMPRODUCT((MONTH(Tableau16739[Date])=MONTH(9&amp;"septembre"))*Tableau16739[[Montant ]])</f>
        <v>0</v>
      </c>
    </row>
    <row r="15" spans="2:9" ht="21.6" customHeight="1" x14ac:dyDescent="0.25">
      <c r="H15" s="30" t="s">
        <v>15</v>
      </c>
      <c r="I15" s="44">
        <f>SUMPRODUCT((MONTH(Tableau16739[Date])=MONTH(10&amp;"octobre"))*Tableau16739[[Montant ]])</f>
        <v>0</v>
      </c>
    </row>
    <row r="16" spans="2:9" ht="21.6" customHeight="1" x14ac:dyDescent="0.25">
      <c r="H16" s="30" t="s">
        <v>16</v>
      </c>
      <c r="I16" s="44">
        <f>SUMPRODUCT((MONTH(Tableau16739[Date])=MONTH(11&amp;"Novembre"))*Tableau16739[[Montant ]])</f>
        <v>0</v>
      </c>
    </row>
    <row r="17" spans="2:9" ht="21.6" customHeight="1" x14ac:dyDescent="0.25">
      <c r="H17" s="30" t="s">
        <v>17</v>
      </c>
      <c r="I17" s="44">
        <f>SUMPRODUCT((MONTH(Tableau16739[Date])=MONTH(12&amp;"Décembre"))*Tableau16739[[Montant ]])</f>
        <v>0</v>
      </c>
    </row>
    <row r="18" spans="2:9" ht="21.6" customHeight="1" x14ac:dyDescent="0.25"/>
    <row r="19" spans="2:9" ht="21.6" customHeight="1" x14ac:dyDescent="0.25"/>
    <row r="20" spans="2:9" ht="21.6" customHeight="1" x14ac:dyDescent="0.25"/>
    <row r="21" spans="2:9" ht="21.6" customHeight="1" x14ac:dyDescent="0.25"/>
    <row r="22" spans="2:9" ht="21.6" customHeight="1" x14ac:dyDescent="0.25"/>
    <row r="23" spans="2:9" ht="21.6" customHeight="1" x14ac:dyDescent="0.25"/>
    <row r="24" spans="2:9" ht="21.6" customHeight="1" x14ac:dyDescent="0.25"/>
    <row r="25" spans="2:9" ht="21.6" customHeight="1" x14ac:dyDescent="0.25"/>
    <row r="26" spans="2:9" ht="21.6" customHeight="1" x14ac:dyDescent="0.25"/>
    <row r="27" spans="2:9" ht="21.6" customHeight="1" x14ac:dyDescent="0.25"/>
    <row r="28" spans="2:9" ht="21.6" customHeight="1" x14ac:dyDescent="0.25">
      <c r="B28" s="30" t="s">
        <v>3</v>
      </c>
      <c r="E28" s="44">
        <f>SUBTOTAL(109,Tableau16739[[Montant ]])</f>
        <v>195</v>
      </c>
    </row>
  </sheetData>
  <mergeCells count="1">
    <mergeCell ref="C1:E3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/>
  </sheetPr>
  <dimension ref="B1:I28"/>
  <sheetViews>
    <sheetView workbookViewId="0">
      <selection activeCell="D12" sqref="C6:D12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58" t="s">
        <v>43</v>
      </c>
      <c r="D1" s="58"/>
      <c r="E1" s="41"/>
      <c r="I1" s="41"/>
    </row>
    <row r="2" spans="2:9" s="38" customFormat="1" ht="12" customHeight="1" x14ac:dyDescent="0.25">
      <c r="C2" s="58"/>
      <c r="D2" s="58"/>
      <c r="E2" s="41"/>
      <c r="I2" s="41"/>
    </row>
    <row r="3" spans="2:9" s="38" customFormat="1" ht="12" customHeight="1" x14ac:dyDescent="0.25">
      <c r="C3" s="58"/>
      <c r="D3" s="58"/>
      <c r="E3" s="41"/>
      <c r="I3" s="41"/>
    </row>
    <row r="4" spans="2:9" ht="12" customHeight="1" x14ac:dyDescent="0.25"/>
    <row r="5" spans="2:9" s="48" customFormat="1" ht="30" x14ac:dyDescent="0.25">
      <c r="B5" s="52" t="s">
        <v>0</v>
      </c>
      <c r="C5" s="53" t="s">
        <v>2</v>
      </c>
      <c r="D5" s="52" t="s">
        <v>18</v>
      </c>
      <c r="E5" s="54" t="s">
        <v>1</v>
      </c>
      <c r="H5" s="46" t="s">
        <v>19</v>
      </c>
      <c r="I5" s="55" t="s">
        <v>20</v>
      </c>
    </row>
    <row r="6" spans="2:9" ht="22.15" customHeight="1" x14ac:dyDescent="0.25">
      <c r="B6" s="47">
        <v>42756</v>
      </c>
      <c r="E6" s="44">
        <v>30</v>
      </c>
      <c r="H6" s="30" t="s">
        <v>6</v>
      </c>
      <c r="I6" s="44">
        <f>SUMPRODUCT((MONTH(Tableau167128[Date])=MONTH(1&amp;"Janvier"))*Tableau167128[[Montant ]])</f>
        <v>140</v>
      </c>
    </row>
    <row r="7" spans="2:9" ht="22.15" customHeight="1" x14ac:dyDescent="0.25">
      <c r="B7" s="47">
        <v>42777</v>
      </c>
      <c r="E7" s="44">
        <v>15</v>
      </c>
      <c r="H7" s="30" t="s">
        <v>7</v>
      </c>
      <c r="I7" s="44">
        <f>SUMPRODUCT((MONTH(Tableau167128[Date])=MONTH(2&amp;"Février"))*Tableau167128[[Montant ]])</f>
        <v>44.9</v>
      </c>
    </row>
    <row r="8" spans="2:9" ht="22.15" customHeight="1" x14ac:dyDescent="0.25">
      <c r="B8" s="47">
        <v>42763</v>
      </c>
      <c r="E8" s="44">
        <v>110</v>
      </c>
      <c r="H8" s="30" t="s">
        <v>8</v>
      </c>
      <c r="I8" s="44">
        <f>SUMPRODUCT((MONTH(Tableau167128[Date])=MONTH(3&amp;"Mars"))*Tableau167128[[Montant ]])</f>
        <v>0</v>
      </c>
    </row>
    <row r="9" spans="2:9" ht="22.15" customHeight="1" x14ac:dyDescent="0.25">
      <c r="B9" s="47">
        <v>42784</v>
      </c>
      <c r="E9" s="44">
        <v>29.9</v>
      </c>
      <c r="H9" s="30" t="s">
        <v>9</v>
      </c>
      <c r="I9" s="44">
        <f>SUMPRODUCT((MONTH(Tableau167128[Date])=MONTH(4&amp;"Avril"))*Tableau167128[[Montant ]])</f>
        <v>9.9499999999999993</v>
      </c>
    </row>
    <row r="10" spans="2:9" ht="22.15" customHeight="1" x14ac:dyDescent="0.25">
      <c r="B10" s="47">
        <v>42840</v>
      </c>
      <c r="E10" s="44">
        <v>9.9499999999999993</v>
      </c>
      <c r="H10" s="30" t="s">
        <v>10</v>
      </c>
      <c r="I10" s="44">
        <f>SUMPRODUCT((MONTH(Tableau167128[Date])=MONTH(5&amp;"Mai"))*Tableau167128[[Montant ]])</f>
        <v>20</v>
      </c>
    </row>
    <row r="11" spans="2:9" ht="22.15" customHeight="1" x14ac:dyDescent="0.25">
      <c r="B11" s="47">
        <v>42862</v>
      </c>
      <c r="E11" s="44">
        <v>20</v>
      </c>
      <c r="H11" s="30" t="s">
        <v>11</v>
      </c>
      <c r="I11" s="44">
        <f>SUMPRODUCT((MONTH(Tableau167128[Date])=MONTH(6&amp;"Juin"))*Tableau167128[[Montant ]])</f>
        <v>0</v>
      </c>
    </row>
    <row r="12" spans="2:9" ht="22.15" customHeight="1" x14ac:dyDescent="0.25">
      <c r="B12" s="47"/>
      <c r="H12" s="30" t="s">
        <v>12</v>
      </c>
      <c r="I12" s="44">
        <f>SUMPRODUCT((MONTH(Tableau167128[Date])=MONTH(7&amp;"Juillet"))*Tableau167128[[Montant ]])</f>
        <v>0</v>
      </c>
    </row>
    <row r="13" spans="2:9" ht="22.15" customHeight="1" x14ac:dyDescent="0.25">
      <c r="B13" s="47"/>
      <c r="H13" s="30" t="s">
        <v>13</v>
      </c>
      <c r="I13" s="44">
        <f>SUMPRODUCT((MONTH(Tableau167128[Date])=MONTH(8&amp;"Août"))*Tableau167128[[Montant ]])</f>
        <v>0</v>
      </c>
    </row>
    <row r="14" spans="2:9" ht="22.15" customHeight="1" x14ac:dyDescent="0.25">
      <c r="H14" s="30" t="s">
        <v>14</v>
      </c>
      <c r="I14" s="44">
        <f>SUMPRODUCT((MONTH(Tableau167128[Date])=MONTH(9&amp;"septembre"))*Tableau167128[[Montant ]])</f>
        <v>0</v>
      </c>
    </row>
    <row r="15" spans="2:9" ht="22.15" customHeight="1" x14ac:dyDescent="0.25">
      <c r="H15" s="30" t="s">
        <v>15</v>
      </c>
      <c r="I15" s="44">
        <f>SUMPRODUCT((MONTH(Tableau167128[Date])=MONTH(10&amp;"octobre"))*Tableau167128[[Montant ]])</f>
        <v>0</v>
      </c>
    </row>
    <row r="16" spans="2:9" ht="22.15" customHeight="1" x14ac:dyDescent="0.25">
      <c r="H16" s="30" t="s">
        <v>16</v>
      </c>
      <c r="I16" s="44">
        <f>SUMPRODUCT((MONTH(Tableau167128[Date])=MONTH(11&amp;"Novembre"))*Tableau167128[[Montant ]])</f>
        <v>0</v>
      </c>
    </row>
    <row r="17" spans="2:9" ht="22.15" customHeight="1" x14ac:dyDescent="0.25">
      <c r="H17" s="30" t="s">
        <v>17</v>
      </c>
      <c r="I17" s="44">
        <f>SUMPRODUCT((MONTH(Tableau167128[Date])=MONTH(12&amp;"Décembre"))*Tableau167128[[Montant ]])</f>
        <v>0</v>
      </c>
    </row>
    <row r="18" spans="2:9" ht="22.15" customHeight="1" x14ac:dyDescent="0.25"/>
    <row r="19" spans="2:9" ht="22.15" customHeight="1" x14ac:dyDescent="0.25"/>
    <row r="20" spans="2:9" ht="22.15" customHeight="1" x14ac:dyDescent="0.25"/>
    <row r="21" spans="2:9" ht="22.15" customHeight="1" x14ac:dyDescent="0.25"/>
    <row r="22" spans="2:9" ht="22.15" customHeight="1" x14ac:dyDescent="0.25"/>
    <row r="23" spans="2:9" ht="22.15" customHeight="1" x14ac:dyDescent="0.25"/>
    <row r="24" spans="2:9" ht="22.15" customHeight="1" x14ac:dyDescent="0.25"/>
    <row r="25" spans="2:9" ht="22.15" customHeight="1" x14ac:dyDescent="0.25"/>
    <row r="26" spans="2:9" ht="22.15" customHeight="1" x14ac:dyDescent="0.25"/>
    <row r="27" spans="2:9" ht="22.15" customHeight="1" x14ac:dyDescent="0.25"/>
    <row r="28" spans="2:9" ht="22.15" customHeight="1" x14ac:dyDescent="0.25">
      <c r="B28" s="30" t="s">
        <v>3</v>
      </c>
      <c r="E28" s="44">
        <f>SUBTOTAL(109,Tableau167128[[Montant ]])</f>
        <v>214.85</v>
      </c>
    </row>
  </sheetData>
  <mergeCells count="1">
    <mergeCell ref="C1:D3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/>
  </sheetPr>
  <dimension ref="B2:I29"/>
  <sheetViews>
    <sheetView topLeftCell="A2" workbookViewId="0">
      <selection activeCell="C7" sqref="C7:D15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2" spans="2:9" s="38" customFormat="1" ht="12" customHeight="1" x14ac:dyDescent="0.25">
      <c r="C2" s="58" t="s">
        <v>23</v>
      </c>
      <c r="D2" s="58"/>
      <c r="E2" s="41"/>
      <c r="I2" s="41"/>
    </row>
    <row r="3" spans="2:9" s="38" customFormat="1" ht="12" customHeight="1" x14ac:dyDescent="0.25">
      <c r="C3" s="58"/>
      <c r="D3" s="58"/>
      <c r="E3" s="41"/>
      <c r="I3" s="41"/>
    </row>
    <row r="4" spans="2:9" s="38" customFormat="1" ht="12" customHeight="1" x14ac:dyDescent="0.25">
      <c r="C4" s="58"/>
      <c r="D4" s="58"/>
      <c r="E4" s="41"/>
      <c r="I4" s="41"/>
    </row>
    <row r="5" spans="2:9" ht="12" customHeight="1" x14ac:dyDescent="0.25"/>
    <row r="6" spans="2:9" s="48" customFormat="1" ht="30" x14ac:dyDescent="0.25">
      <c r="B6" s="52" t="s">
        <v>0</v>
      </c>
      <c r="C6" s="53" t="s">
        <v>2</v>
      </c>
      <c r="D6" s="52" t="s">
        <v>18</v>
      </c>
      <c r="E6" s="54" t="s">
        <v>1</v>
      </c>
      <c r="H6" s="46" t="s">
        <v>19</v>
      </c>
      <c r="I6" s="55" t="s">
        <v>20</v>
      </c>
    </row>
    <row r="7" spans="2:9" ht="22.15" customHeight="1" x14ac:dyDescent="0.25">
      <c r="B7" s="47">
        <v>42742</v>
      </c>
      <c r="E7" s="44">
        <v>20.2</v>
      </c>
      <c r="H7" s="30" t="s">
        <v>6</v>
      </c>
      <c r="I7" s="44">
        <f>SUMPRODUCT((MONTH(Tableau167[Date])=MONTH(1&amp;"Janvier"))*Tableau167[[Montant ]])</f>
        <v>97.9</v>
      </c>
    </row>
    <row r="8" spans="2:9" ht="22.15" customHeight="1" x14ac:dyDescent="0.25">
      <c r="B8" s="47">
        <v>42749</v>
      </c>
      <c r="E8" s="44">
        <v>69</v>
      </c>
      <c r="H8" s="30" t="s">
        <v>7</v>
      </c>
      <c r="I8" s="44">
        <f>SUMPRODUCT((MONTH(Tableau167[Date])=MONTH(2&amp;"Février"))*Tableau167[[Montant ]])</f>
        <v>0</v>
      </c>
    </row>
    <row r="9" spans="2:9" ht="22.15" customHeight="1" x14ac:dyDescent="0.25">
      <c r="B9" s="47">
        <v>42762</v>
      </c>
      <c r="E9" s="44">
        <v>8.6999999999999993</v>
      </c>
      <c r="H9" s="30" t="s">
        <v>8</v>
      </c>
      <c r="I9" s="44">
        <f>SUMPRODUCT((MONTH(Tableau167[Date])=MONTH(3&amp;"Mars"))*Tableau167[[Montant ]])</f>
        <v>68.3</v>
      </c>
    </row>
    <row r="10" spans="2:9" ht="22.15" customHeight="1" x14ac:dyDescent="0.25">
      <c r="B10" s="47">
        <v>42813</v>
      </c>
      <c r="E10" s="44">
        <v>9.1</v>
      </c>
      <c r="H10" s="30" t="s">
        <v>9</v>
      </c>
      <c r="I10" s="44">
        <f>SUMPRODUCT((MONTH(Tableau167[Date])=MONTH(4&amp;"Avril"))*Tableau167[[Montant ]])</f>
        <v>11.5</v>
      </c>
    </row>
    <row r="11" spans="2:9" ht="22.15" customHeight="1" x14ac:dyDescent="0.25">
      <c r="B11" s="47">
        <v>42813</v>
      </c>
      <c r="E11" s="44">
        <v>9.1999999999999993</v>
      </c>
      <c r="H11" s="30" t="s">
        <v>10</v>
      </c>
      <c r="I11" s="44">
        <f>SUMPRODUCT((MONTH(Tableau167[Date])=MONTH(5&amp;"Mai"))*Tableau167[[Montant ]])</f>
        <v>44.6</v>
      </c>
    </row>
    <row r="12" spans="2:9" ht="22.15" customHeight="1" x14ac:dyDescent="0.25">
      <c r="B12" s="47">
        <v>42819</v>
      </c>
      <c r="E12" s="44">
        <v>50</v>
      </c>
      <c r="H12" s="30" t="s">
        <v>11</v>
      </c>
      <c r="I12" s="44">
        <f>SUMPRODUCT((MONTH(Tableau167[Date])=MONTH(6&amp;"Juin"))*Tableau167[[Montant ]])</f>
        <v>0</v>
      </c>
    </row>
    <row r="13" spans="2:9" ht="22.15" customHeight="1" x14ac:dyDescent="0.25">
      <c r="B13" s="47">
        <v>42849</v>
      </c>
      <c r="E13" s="44">
        <v>11.5</v>
      </c>
      <c r="H13" s="30" t="s">
        <v>12</v>
      </c>
      <c r="I13" s="44">
        <f>SUMPRODUCT((MONTH(Tableau167[Date])=MONTH(7&amp;"Juillet"))*Tableau167[[Montant ]])</f>
        <v>0</v>
      </c>
    </row>
    <row r="14" spans="2:9" ht="22.15" customHeight="1" x14ac:dyDescent="0.25">
      <c r="B14" s="47">
        <v>42861</v>
      </c>
      <c r="E14" s="44">
        <v>35.1</v>
      </c>
      <c r="H14" s="30" t="s">
        <v>13</v>
      </c>
      <c r="I14" s="44">
        <f>SUMPRODUCT((MONTH(Tableau167[Date])=MONTH(8&amp;"Août"))*Tableau167[[Montant ]])</f>
        <v>0</v>
      </c>
    </row>
    <row r="15" spans="2:9" ht="22.15" customHeight="1" x14ac:dyDescent="0.25">
      <c r="B15" s="47">
        <v>42866</v>
      </c>
      <c r="E15" s="44">
        <v>9.5</v>
      </c>
      <c r="H15" s="30" t="s">
        <v>14</v>
      </c>
      <c r="I15" s="44">
        <f>SUMPRODUCT((MONTH(Tableau167[Date])=MONTH(9&amp;"septembre"))*Tableau167[[Montant ]])</f>
        <v>0</v>
      </c>
    </row>
    <row r="16" spans="2:9" ht="22.15" customHeight="1" x14ac:dyDescent="0.25">
      <c r="H16" s="30" t="s">
        <v>15</v>
      </c>
      <c r="I16" s="44">
        <f>SUMPRODUCT((MONTH(Tableau167[Date])=MONTH(10&amp;"octobre"))*Tableau167[[Montant ]])</f>
        <v>0</v>
      </c>
    </row>
    <row r="17" spans="2:9" ht="22.15" customHeight="1" x14ac:dyDescent="0.25">
      <c r="H17" s="30" t="s">
        <v>16</v>
      </c>
      <c r="I17" s="44">
        <f>SUMPRODUCT((MONTH(Tableau167[Date])=MONTH(11&amp;"Novembre"))*Tableau167[[Montant ]])</f>
        <v>0</v>
      </c>
    </row>
    <row r="18" spans="2:9" ht="22.15" customHeight="1" x14ac:dyDescent="0.25">
      <c r="H18" s="30" t="s">
        <v>17</v>
      </c>
      <c r="I18" s="44">
        <f>SUMPRODUCT((MONTH(Tableau167[Date])=MONTH(12&amp;"Décembre"))*Tableau167[[Montant ]])</f>
        <v>0</v>
      </c>
    </row>
    <row r="19" spans="2:9" ht="22.15" customHeight="1" x14ac:dyDescent="0.25"/>
    <row r="20" spans="2:9" ht="22.15" customHeight="1" x14ac:dyDescent="0.25"/>
    <row r="21" spans="2:9" ht="22.15" customHeight="1" x14ac:dyDescent="0.25"/>
    <row r="22" spans="2:9" ht="22.15" customHeight="1" x14ac:dyDescent="0.25"/>
    <row r="23" spans="2:9" ht="22.15" customHeight="1" x14ac:dyDescent="0.25"/>
    <row r="24" spans="2:9" ht="22.15" customHeight="1" x14ac:dyDescent="0.25"/>
    <row r="25" spans="2:9" ht="22.15" customHeight="1" x14ac:dyDescent="0.25"/>
    <row r="26" spans="2:9" ht="22.15" customHeight="1" x14ac:dyDescent="0.25"/>
    <row r="27" spans="2:9" ht="22.15" customHeight="1" x14ac:dyDescent="0.25"/>
    <row r="28" spans="2:9" ht="22.15" customHeight="1" x14ac:dyDescent="0.25"/>
    <row r="29" spans="2:9" ht="22.15" customHeight="1" x14ac:dyDescent="0.25">
      <c r="B29" s="30" t="s">
        <v>3</v>
      </c>
      <c r="E29" s="44">
        <f>SUBTOTAL(109,Tableau167[[Montant ]])</f>
        <v>222.29999999999998</v>
      </c>
    </row>
  </sheetData>
  <mergeCells count="1">
    <mergeCell ref="C2:D4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/>
  </sheetPr>
  <dimension ref="B1:I28"/>
  <sheetViews>
    <sheetView workbookViewId="0">
      <selection activeCell="D11" sqref="C6:D11"/>
    </sheetView>
  </sheetViews>
  <sheetFormatPr baseColWidth="10" defaultColWidth="11.5703125" defaultRowHeight="15" x14ac:dyDescent="0.25"/>
  <cols>
    <col min="1" max="2" width="14.7109375" style="30" customWidth="1"/>
    <col min="3" max="3" width="24.7109375" style="49" customWidth="1"/>
    <col min="4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60" t="s">
        <v>25</v>
      </c>
      <c r="D1" s="60"/>
      <c r="E1" s="41"/>
      <c r="I1" s="41"/>
    </row>
    <row r="2" spans="2:9" s="38" customFormat="1" ht="12" customHeight="1" x14ac:dyDescent="0.25">
      <c r="C2" s="60"/>
      <c r="D2" s="60"/>
      <c r="E2" s="41"/>
      <c r="I2" s="41"/>
    </row>
    <row r="3" spans="2:9" s="38" customFormat="1" ht="12" customHeight="1" x14ac:dyDescent="0.25">
      <c r="C3" s="60"/>
      <c r="D3" s="60"/>
      <c r="E3" s="41"/>
      <c r="I3" s="41"/>
    </row>
    <row r="4" spans="2:9" ht="12" customHeight="1" x14ac:dyDescent="0.25"/>
    <row r="5" spans="2:9" s="48" customFormat="1" ht="30" x14ac:dyDescent="0.25">
      <c r="B5" s="52" t="s">
        <v>0</v>
      </c>
      <c r="C5" s="53" t="s">
        <v>2</v>
      </c>
      <c r="D5" s="52" t="s">
        <v>18</v>
      </c>
      <c r="E5" s="54" t="s">
        <v>1</v>
      </c>
      <c r="H5" s="46" t="s">
        <v>19</v>
      </c>
      <c r="I5" s="55" t="s">
        <v>20</v>
      </c>
    </row>
    <row r="6" spans="2:9" ht="33" customHeight="1" x14ac:dyDescent="0.25">
      <c r="B6" s="47">
        <v>42756</v>
      </c>
      <c r="E6" s="44">
        <v>110.97</v>
      </c>
      <c r="H6" s="30" t="s">
        <v>6</v>
      </c>
      <c r="I6" s="44">
        <f>SUMPRODUCT((MONTH(Tableau16712[Date])=MONTH(1&amp;"Janvier"))*Tableau16712[[Montant ]])</f>
        <v>136.62</v>
      </c>
    </row>
    <row r="7" spans="2:9" ht="33" customHeight="1" x14ac:dyDescent="0.25">
      <c r="B7" s="47">
        <v>42756</v>
      </c>
      <c r="E7" s="44">
        <v>25.65</v>
      </c>
      <c r="H7" s="30" t="s">
        <v>7</v>
      </c>
      <c r="I7" s="44">
        <f>SUMPRODUCT((MONTH(Tableau16712[Date])=MONTH(2&amp;"Février"))*Tableau16712[[Montant ]])</f>
        <v>162.16</v>
      </c>
    </row>
    <row r="8" spans="2:9" ht="33" customHeight="1" x14ac:dyDescent="0.25">
      <c r="B8" s="47">
        <v>42784</v>
      </c>
      <c r="E8" s="44">
        <v>2.9</v>
      </c>
      <c r="H8" s="30" t="s">
        <v>8</v>
      </c>
      <c r="I8" s="44">
        <f>SUMPRODUCT((MONTH(Tableau16712[Date])=MONTH(3&amp;"Mars"))*Tableau16712[[Montant ]])</f>
        <v>0</v>
      </c>
    </row>
    <row r="9" spans="2:9" ht="33" customHeight="1" x14ac:dyDescent="0.25">
      <c r="B9" s="47">
        <v>42782</v>
      </c>
      <c r="E9" s="44">
        <v>159.26</v>
      </c>
      <c r="H9" s="30" t="s">
        <v>9</v>
      </c>
      <c r="I9" s="44">
        <f>SUMPRODUCT((MONTH(Tableau16712[Date])=MONTH(4&amp;"Avril"))*Tableau16712[[Montant ]])</f>
        <v>0</v>
      </c>
    </row>
    <row r="10" spans="2:9" ht="33" customHeight="1" x14ac:dyDescent="0.25">
      <c r="B10" s="47"/>
      <c r="H10" s="30" t="s">
        <v>10</v>
      </c>
      <c r="I10" s="44">
        <f>SUMPRODUCT((MONTH(Tableau16712[Date])=MONTH(5&amp;"Mai"))*Tableau16712[[Montant ]])</f>
        <v>0</v>
      </c>
    </row>
    <row r="11" spans="2:9" ht="33" customHeight="1" x14ac:dyDescent="0.25">
      <c r="B11" s="47"/>
      <c r="H11" s="30" t="s">
        <v>11</v>
      </c>
      <c r="I11" s="44">
        <f>SUMPRODUCT((MONTH(Tableau16712[Date])=MONTH(6&amp;"Juin"))*Tableau16712[[Montant ]])</f>
        <v>0</v>
      </c>
    </row>
    <row r="12" spans="2:9" ht="33" customHeight="1" x14ac:dyDescent="0.25">
      <c r="B12" s="47"/>
      <c r="H12" s="30" t="s">
        <v>12</v>
      </c>
      <c r="I12" s="44">
        <f>SUMPRODUCT((MONTH(Tableau16712[Date])=MONTH(7&amp;"Juillet"))*Tableau16712[[Montant ]])</f>
        <v>0</v>
      </c>
    </row>
    <row r="13" spans="2:9" ht="33" customHeight="1" x14ac:dyDescent="0.25">
      <c r="B13" s="47"/>
      <c r="H13" s="30" t="s">
        <v>13</v>
      </c>
      <c r="I13" s="44">
        <f>SUMPRODUCT((MONTH(Tableau16712[Date])=MONTH(8&amp;"Août"))*Tableau16712[[Montant ]])</f>
        <v>0</v>
      </c>
    </row>
    <row r="14" spans="2:9" ht="33" customHeight="1" x14ac:dyDescent="0.25">
      <c r="H14" s="30" t="s">
        <v>14</v>
      </c>
      <c r="I14" s="44">
        <f>SUMPRODUCT((MONTH(Tableau16712[Date])=MONTH(9&amp;"septembre"))*Tableau16712[[Montant ]])</f>
        <v>0</v>
      </c>
    </row>
    <row r="15" spans="2:9" ht="33" customHeight="1" x14ac:dyDescent="0.25">
      <c r="H15" s="30" t="s">
        <v>15</v>
      </c>
      <c r="I15" s="44">
        <f>SUMPRODUCT((MONTH(Tableau16712[Date])=MONTH(10&amp;"octobre"))*Tableau16712[[Montant ]])</f>
        <v>0</v>
      </c>
    </row>
    <row r="16" spans="2:9" ht="33" customHeight="1" x14ac:dyDescent="0.25">
      <c r="H16" s="30" t="s">
        <v>16</v>
      </c>
      <c r="I16" s="44">
        <f>SUMPRODUCT((MONTH(Tableau16712[Date])=MONTH(11&amp;"Novembre"))*Tableau16712[[Montant ]])</f>
        <v>0</v>
      </c>
    </row>
    <row r="17" spans="2:9" ht="33" customHeight="1" x14ac:dyDescent="0.25">
      <c r="H17" s="30" t="s">
        <v>17</v>
      </c>
      <c r="I17" s="44">
        <f>SUMPRODUCT((MONTH(Tableau16712[Date])=MONTH(12&amp;"Décembre"))*Tableau16712[[Montant ]])</f>
        <v>0</v>
      </c>
    </row>
    <row r="18" spans="2:9" ht="33" customHeight="1" x14ac:dyDescent="0.25"/>
    <row r="19" spans="2:9" ht="33" customHeight="1" x14ac:dyDescent="0.25"/>
    <row r="20" spans="2:9" ht="33" customHeight="1" x14ac:dyDescent="0.25"/>
    <row r="21" spans="2:9" ht="33" customHeight="1" x14ac:dyDescent="0.25"/>
    <row r="22" spans="2:9" ht="33" customHeight="1" x14ac:dyDescent="0.25"/>
    <row r="23" spans="2:9" ht="33" customHeight="1" x14ac:dyDescent="0.25"/>
    <row r="24" spans="2:9" ht="33" customHeight="1" x14ac:dyDescent="0.25"/>
    <row r="25" spans="2:9" ht="33" customHeight="1" x14ac:dyDescent="0.25"/>
    <row r="26" spans="2:9" ht="33" customHeight="1" x14ac:dyDescent="0.25"/>
    <row r="27" spans="2:9" ht="33" customHeight="1" x14ac:dyDescent="0.25"/>
    <row r="28" spans="2:9" ht="22.15" customHeight="1" x14ac:dyDescent="0.25">
      <c r="B28" s="30" t="s">
        <v>3</v>
      </c>
      <c r="E28" s="44">
        <f>SUBTOTAL(109,Tableau16712[[Montant ]])</f>
        <v>298.77999999999997</v>
      </c>
    </row>
  </sheetData>
  <mergeCells count="1">
    <mergeCell ref="C1:D3"/>
  </mergeCell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0"/>
  </sheetPr>
  <dimension ref="B1:I28"/>
  <sheetViews>
    <sheetView workbookViewId="0">
      <selection activeCell="K11" sqref="K11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30" customWidth="1"/>
    <col min="6" max="6" width="10.7109375" style="44" customWidth="1"/>
    <col min="7" max="8" width="10.7109375" style="30" customWidth="1"/>
    <col min="9" max="9" width="10.7109375" style="44" customWidth="1"/>
    <col min="10" max="10" width="13.7109375" style="30" customWidth="1"/>
    <col min="11" max="16384" width="11.5703125" style="30"/>
  </cols>
  <sheetData>
    <row r="1" spans="2:9" s="38" customFormat="1" ht="12" customHeight="1" x14ac:dyDescent="0.25">
      <c r="C1" s="58" t="s">
        <v>24</v>
      </c>
      <c r="D1" s="58"/>
      <c r="E1" s="58"/>
      <c r="F1" s="41"/>
      <c r="I1" s="41"/>
    </row>
    <row r="2" spans="2:9" s="38" customFormat="1" ht="12" customHeight="1" x14ac:dyDescent="0.25">
      <c r="C2" s="58"/>
      <c r="D2" s="58"/>
      <c r="E2" s="58"/>
      <c r="F2" s="41"/>
      <c r="I2" s="41"/>
    </row>
    <row r="3" spans="2:9" s="38" customFormat="1" ht="12" customHeight="1" x14ac:dyDescent="0.25">
      <c r="C3" s="58"/>
      <c r="D3" s="58"/>
      <c r="E3" s="58"/>
      <c r="F3" s="41"/>
      <c r="I3" s="41"/>
    </row>
    <row r="4" spans="2:9" ht="12" customHeight="1" x14ac:dyDescent="0.25"/>
    <row r="5" spans="2:9" s="48" customFormat="1" ht="30" x14ac:dyDescent="0.25">
      <c r="B5" s="52" t="s">
        <v>0</v>
      </c>
      <c r="C5" s="53" t="s">
        <v>2</v>
      </c>
      <c r="D5" s="52" t="s">
        <v>18</v>
      </c>
      <c r="E5" s="54" t="s">
        <v>1</v>
      </c>
      <c r="H5" s="46" t="s">
        <v>19</v>
      </c>
      <c r="I5" s="55" t="s">
        <v>20</v>
      </c>
    </row>
    <row r="6" spans="2:9" ht="22.15" customHeight="1" x14ac:dyDescent="0.25">
      <c r="B6" s="47"/>
      <c r="E6" s="44"/>
      <c r="F6" s="30"/>
      <c r="H6" s="30" t="s">
        <v>6</v>
      </c>
      <c r="I6" s="44">
        <f>SUMPRODUCT((MONTH(Tableau1671213[Date])=MONTH(1&amp;"Janvier"))*Tableau1671213[[Montant ]])</f>
        <v>0</v>
      </c>
    </row>
    <row r="7" spans="2:9" ht="22.15" customHeight="1" x14ac:dyDescent="0.25">
      <c r="B7" s="47"/>
      <c r="E7" s="44"/>
      <c r="F7" s="30"/>
      <c r="H7" s="30" t="s">
        <v>7</v>
      </c>
      <c r="I7" s="44">
        <f>SUMPRODUCT((MONTH(Tableau1671213[Date])=MONTH(2&amp;"Février"))*Tableau1671213[[Montant ]])</f>
        <v>0</v>
      </c>
    </row>
    <row r="8" spans="2:9" ht="22.15" customHeight="1" x14ac:dyDescent="0.25">
      <c r="B8" s="47"/>
      <c r="E8" s="44"/>
      <c r="F8" s="30"/>
      <c r="H8" s="30" t="s">
        <v>8</v>
      </c>
      <c r="I8" s="44">
        <f>SUMPRODUCT((MONTH(Tableau1671213[Date])=MONTH(3&amp;"Mars"))*Tableau1671213[[Montant ]])</f>
        <v>0</v>
      </c>
    </row>
    <row r="9" spans="2:9" ht="22.15" customHeight="1" x14ac:dyDescent="0.25">
      <c r="B9" s="47"/>
      <c r="E9" s="44"/>
      <c r="F9" s="30"/>
      <c r="H9" s="30" t="s">
        <v>9</v>
      </c>
      <c r="I9" s="44">
        <f>SUMPRODUCT((MONTH(Tableau1671213[Date])=MONTH(4&amp;"Avril"))*Tableau1671213[[Montant ]])</f>
        <v>0</v>
      </c>
    </row>
    <row r="10" spans="2:9" ht="22.15" customHeight="1" x14ac:dyDescent="0.25">
      <c r="B10" s="47"/>
      <c r="E10" s="44"/>
      <c r="F10" s="30"/>
      <c r="H10" s="30" t="s">
        <v>10</v>
      </c>
      <c r="I10" s="44">
        <f>SUMPRODUCT((MONTH(Tableau1671213[Date])=MONTH(5&amp;"Mai"))*Tableau1671213[[Montant ]])</f>
        <v>0</v>
      </c>
    </row>
    <row r="11" spans="2:9" ht="22.15" customHeight="1" x14ac:dyDescent="0.25">
      <c r="B11" s="47"/>
      <c r="E11" s="44"/>
      <c r="F11" s="30"/>
      <c r="H11" s="30" t="s">
        <v>11</v>
      </c>
      <c r="I11" s="44">
        <f>SUMPRODUCT((MONTH(Tableau1671213[Date])=MONTH(6&amp;"Juin"))*Tableau1671213[[Montant ]])</f>
        <v>0</v>
      </c>
    </row>
    <row r="12" spans="2:9" ht="22.15" customHeight="1" x14ac:dyDescent="0.25">
      <c r="B12" s="47"/>
      <c r="E12" s="44"/>
      <c r="F12" s="30"/>
      <c r="H12" s="30" t="s">
        <v>12</v>
      </c>
      <c r="I12" s="44">
        <f>SUMPRODUCT((MONTH(Tableau1671213[Date])=MONTH(7&amp;"Juillet"))*Tableau1671213[[Montant ]])</f>
        <v>0</v>
      </c>
    </row>
    <row r="13" spans="2:9" ht="22.15" customHeight="1" x14ac:dyDescent="0.25">
      <c r="B13" s="47"/>
      <c r="E13" s="44"/>
      <c r="F13" s="30"/>
      <c r="H13" s="30" t="s">
        <v>13</v>
      </c>
      <c r="I13" s="44">
        <f>SUMPRODUCT((MONTH(Tableau1671213[Date])=MONTH(8&amp;"Août"))*Tableau1671213[[Montant ]])</f>
        <v>0</v>
      </c>
    </row>
    <row r="14" spans="2:9" ht="22.15" customHeight="1" x14ac:dyDescent="0.25">
      <c r="E14" s="44"/>
      <c r="F14" s="30"/>
      <c r="H14" s="30" t="s">
        <v>14</v>
      </c>
      <c r="I14" s="44">
        <f>SUMPRODUCT((MONTH(Tableau1671213[Date])=MONTH(9&amp;"septembre"))*Tableau1671213[[Montant ]])</f>
        <v>0</v>
      </c>
    </row>
    <row r="15" spans="2:9" ht="22.15" customHeight="1" x14ac:dyDescent="0.25">
      <c r="E15" s="44"/>
      <c r="F15" s="30"/>
      <c r="H15" s="30" t="s">
        <v>15</v>
      </c>
      <c r="I15" s="44">
        <f>SUMPRODUCT((MONTH(Tableau1671213[Date])=MONTH(10&amp;"octobre"))*Tableau1671213[[Montant ]])</f>
        <v>0</v>
      </c>
    </row>
    <row r="16" spans="2:9" ht="22.15" customHeight="1" x14ac:dyDescent="0.25">
      <c r="E16" s="44"/>
      <c r="F16" s="30"/>
      <c r="H16" s="30" t="s">
        <v>16</v>
      </c>
      <c r="I16" s="44">
        <f>SUMPRODUCT((MONTH(Tableau1671213[Date])=MONTH(11&amp;"Novembre"))*Tableau1671213[[Montant ]])</f>
        <v>0</v>
      </c>
    </row>
    <row r="17" spans="2:9" ht="22.15" customHeight="1" x14ac:dyDescent="0.25">
      <c r="E17" s="44"/>
      <c r="F17" s="30"/>
      <c r="H17" s="30" t="s">
        <v>17</v>
      </c>
      <c r="I17" s="44">
        <f>SUMPRODUCT((MONTH(Tableau1671213[Date])=MONTH(12&amp;"Décembre"))*Tableau1671213[[Montant ]])</f>
        <v>0</v>
      </c>
    </row>
    <row r="18" spans="2:9" ht="22.15" customHeight="1" x14ac:dyDescent="0.25">
      <c r="E18" s="44"/>
      <c r="F18" s="30"/>
    </row>
    <row r="19" spans="2:9" ht="22.15" customHeight="1" x14ac:dyDescent="0.25">
      <c r="E19" s="44"/>
      <c r="F19" s="30"/>
    </row>
    <row r="20" spans="2:9" ht="22.15" customHeight="1" x14ac:dyDescent="0.25">
      <c r="E20" s="44"/>
      <c r="F20" s="30"/>
    </row>
    <row r="21" spans="2:9" ht="22.15" customHeight="1" x14ac:dyDescent="0.25">
      <c r="E21" s="44"/>
      <c r="F21" s="30"/>
    </row>
    <row r="22" spans="2:9" ht="22.15" customHeight="1" x14ac:dyDescent="0.25">
      <c r="E22" s="44"/>
      <c r="F22" s="30"/>
    </row>
    <row r="23" spans="2:9" ht="22.15" customHeight="1" x14ac:dyDescent="0.25">
      <c r="E23" s="44"/>
      <c r="F23" s="30"/>
    </row>
    <row r="24" spans="2:9" ht="22.15" customHeight="1" x14ac:dyDescent="0.25">
      <c r="E24" s="44"/>
      <c r="F24" s="30"/>
    </row>
    <row r="25" spans="2:9" ht="22.15" customHeight="1" x14ac:dyDescent="0.25">
      <c r="E25" s="44"/>
      <c r="F25" s="30"/>
    </row>
    <row r="26" spans="2:9" ht="22.15" customHeight="1" x14ac:dyDescent="0.25">
      <c r="E26" s="44"/>
      <c r="F26" s="30"/>
    </row>
    <row r="27" spans="2:9" ht="22.15" customHeight="1" x14ac:dyDescent="0.25">
      <c r="E27" s="44"/>
      <c r="F27" s="30"/>
    </row>
    <row r="28" spans="2:9" ht="22.15" customHeight="1" x14ac:dyDescent="0.25">
      <c r="B28" s="30" t="s">
        <v>3</v>
      </c>
      <c r="E28" s="44">
        <f>SUBTOTAL(109,Tableau1671213[[Montant ]])</f>
        <v>0</v>
      </c>
      <c r="F28" s="30"/>
    </row>
  </sheetData>
  <mergeCells count="1">
    <mergeCell ref="C1:E3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0"/>
  </sheetPr>
  <dimension ref="B1:I22"/>
  <sheetViews>
    <sheetView workbookViewId="0">
      <selection activeCell="D9" sqref="C6:D9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58" t="s">
        <v>29</v>
      </c>
      <c r="D1" s="58"/>
      <c r="E1" s="58"/>
      <c r="I1" s="41"/>
    </row>
    <row r="2" spans="2:9" s="38" customFormat="1" ht="12" customHeight="1" x14ac:dyDescent="0.25">
      <c r="C2" s="58"/>
      <c r="D2" s="58"/>
      <c r="E2" s="58"/>
      <c r="I2" s="41"/>
    </row>
    <row r="3" spans="2:9" s="38" customFormat="1" ht="12" customHeight="1" x14ac:dyDescent="0.25">
      <c r="C3" s="58"/>
      <c r="D3" s="58"/>
      <c r="E3" s="58"/>
      <c r="I3" s="41"/>
    </row>
    <row r="4" spans="2:9" ht="12" customHeight="1" x14ac:dyDescent="0.25"/>
    <row r="5" spans="2:9" s="48" customFormat="1" ht="31.9" customHeight="1" x14ac:dyDescent="0.25">
      <c r="B5" s="50" t="s">
        <v>0</v>
      </c>
      <c r="C5" s="46" t="s">
        <v>2</v>
      </c>
      <c r="D5" s="50" t="s">
        <v>18</v>
      </c>
      <c r="E5" s="51" t="s">
        <v>1</v>
      </c>
      <c r="H5" s="46" t="s">
        <v>19</v>
      </c>
      <c r="I5" s="55" t="s">
        <v>20</v>
      </c>
    </row>
    <row r="6" spans="2:9" ht="28.15" customHeight="1" x14ac:dyDescent="0.25">
      <c r="B6" s="47">
        <v>42784</v>
      </c>
      <c r="E6" s="44">
        <v>69.900000000000006</v>
      </c>
      <c r="H6" s="30" t="s">
        <v>6</v>
      </c>
      <c r="I6" s="44">
        <f>SUMPRODUCT((MONTH(Tableau16746[Date])=MONTH(1&amp;"Janvier"))*Tableau16746[[Montant ]])</f>
        <v>0</v>
      </c>
    </row>
    <row r="7" spans="2:9" ht="28.15" customHeight="1" x14ac:dyDescent="0.25">
      <c r="B7" s="47">
        <v>42854</v>
      </c>
      <c r="E7" s="44">
        <v>11.67</v>
      </c>
      <c r="H7" s="30" t="s">
        <v>7</v>
      </c>
      <c r="I7" s="44">
        <f>SUMPRODUCT((MONTH(Tableau16746[Date])=MONTH(2&amp;"Février"))*Tableau16746[[Montant ]])</f>
        <v>69.900000000000006</v>
      </c>
    </row>
    <row r="8" spans="2:9" ht="28.15" customHeight="1" x14ac:dyDescent="0.25">
      <c r="B8" s="47"/>
      <c r="D8" s="49"/>
      <c r="H8" s="30" t="s">
        <v>8</v>
      </c>
      <c r="I8" s="44">
        <f>SUMPRODUCT((MONTH(Tableau16746[Date])=MONTH(3&amp;"Mars"))*Tableau16746[[Montant ]])</f>
        <v>0</v>
      </c>
    </row>
    <row r="9" spans="2:9" ht="28.15" customHeight="1" x14ac:dyDescent="0.25">
      <c r="B9" s="47"/>
      <c r="H9" s="30" t="s">
        <v>9</v>
      </c>
      <c r="I9" s="44">
        <f>SUMPRODUCT((MONTH(Tableau16746[Date])=MONTH(4&amp;"Avril"))*Tableau16746[[Montant ]])</f>
        <v>11.67</v>
      </c>
    </row>
    <row r="10" spans="2:9" ht="28.15" customHeight="1" x14ac:dyDescent="0.25">
      <c r="H10" s="30" t="s">
        <v>10</v>
      </c>
      <c r="I10" s="44">
        <f>SUMPRODUCT((MONTH(Tableau16746[Date])=MONTH(5&amp;"Mai"))*Tableau16746[[Montant ]])</f>
        <v>0</v>
      </c>
    </row>
    <row r="11" spans="2:9" ht="28.15" customHeight="1" x14ac:dyDescent="0.25">
      <c r="H11" s="30" t="s">
        <v>11</v>
      </c>
      <c r="I11" s="44">
        <f>SUMPRODUCT((MONTH(Tableau16746[Date])=MONTH(6&amp;"Juin"))*Tableau16746[[Montant ]])</f>
        <v>0</v>
      </c>
    </row>
    <row r="12" spans="2:9" ht="28.15" customHeight="1" x14ac:dyDescent="0.25">
      <c r="H12" s="30" t="s">
        <v>12</v>
      </c>
      <c r="I12" s="44">
        <f>SUMPRODUCT((MONTH(Tableau16746[Date])=MONTH(7&amp;"Juillet"))*Tableau16746[[Montant ]])</f>
        <v>0</v>
      </c>
    </row>
    <row r="13" spans="2:9" ht="28.15" customHeight="1" x14ac:dyDescent="0.25">
      <c r="H13" s="30" t="s">
        <v>13</v>
      </c>
      <c r="I13" s="44">
        <f>SUMPRODUCT((MONTH(Tableau16746[Date])=MONTH(8&amp;"Août"))*Tableau16746[[Montant ]])</f>
        <v>0</v>
      </c>
    </row>
    <row r="14" spans="2:9" ht="28.15" customHeight="1" x14ac:dyDescent="0.25">
      <c r="H14" s="30" t="s">
        <v>14</v>
      </c>
      <c r="I14" s="44">
        <f>SUMPRODUCT((MONTH(Tableau16746[Date])=MONTH(9&amp;"septembre"))*Tableau16746[[Montant ]])</f>
        <v>0</v>
      </c>
    </row>
    <row r="15" spans="2:9" ht="28.15" customHeight="1" x14ac:dyDescent="0.25">
      <c r="H15" s="30" t="s">
        <v>15</v>
      </c>
      <c r="I15" s="44">
        <f>SUMPRODUCT((MONTH(Tableau16746[Date])=MONTH(10&amp;"octobre"))*Tableau16746[[Montant ]])</f>
        <v>0</v>
      </c>
    </row>
    <row r="16" spans="2:9" ht="28.15" customHeight="1" x14ac:dyDescent="0.25">
      <c r="H16" s="30" t="s">
        <v>16</v>
      </c>
      <c r="I16" s="44">
        <f>SUMPRODUCT((MONTH(Tableau16746[Date])=MONTH(11&amp;"Novembre"))*Tableau16746[[Montant ]])</f>
        <v>0</v>
      </c>
    </row>
    <row r="17" spans="2:9" ht="28.15" customHeight="1" x14ac:dyDescent="0.25">
      <c r="H17" s="30" t="s">
        <v>17</v>
      </c>
      <c r="I17" s="44">
        <f>SUMPRODUCT((MONTH(Tableau16746[Date])=MONTH(12&amp;"Décembre"))*Tableau16746[[Montant ]])</f>
        <v>0</v>
      </c>
    </row>
    <row r="18" spans="2:9" ht="28.15" customHeight="1" x14ac:dyDescent="0.25"/>
    <row r="19" spans="2:9" ht="28.15" customHeight="1" x14ac:dyDescent="0.25"/>
    <row r="20" spans="2:9" ht="28.15" customHeight="1" x14ac:dyDescent="0.25"/>
    <row r="21" spans="2:9" ht="28.15" customHeight="1" x14ac:dyDescent="0.25"/>
    <row r="22" spans="2:9" ht="19.899999999999999" customHeight="1" x14ac:dyDescent="0.25">
      <c r="B22" s="30" t="s">
        <v>3</v>
      </c>
      <c r="E22" s="44">
        <f>SUBTOTAL(109,Tableau16746[[Montant ]])</f>
        <v>81.570000000000007</v>
      </c>
    </row>
  </sheetData>
  <mergeCells count="1">
    <mergeCell ref="C1:E3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0"/>
  </sheetPr>
  <dimension ref="B1:I25"/>
  <sheetViews>
    <sheetView topLeftCell="A15" workbookViewId="0">
      <selection activeCell="H34" sqref="H34"/>
    </sheetView>
  </sheetViews>
  <sheetFormatPr baseColWidth="10" defaultColWidth="11.5703125" defaultRowHeight="15" x14ac:dyDescent="0.25"/>
  <cols>
    <col min="1" max="2" width="14.7109375" style="30" customWidth="1"/>
    <col min="3" max="4" width="24.7109375" style="30" customWidth="1"/>
    <col min="5" max="5" width="10.7109375" style="44" customWidth="1"/>
    <col min="6" max="8" width="10.7109375" style="30" customWidth="1"/>
    <col min="9" max="9" width="10.7109375" style="44" customWidth="1"/>
    <col min="10" max="16384" width="11.5703125" style="30"/>
  </cols>
  <sheetData>
    <row r="1" spans="2:9" s="38" customFormat="1" ht="12" customHeight="1" x14ac:dyDescent="0.25">
      <c r="C1" s="58" t="s">
        <v>22</v>
      </c>
      <c r="D1" s="61"/>
      <c r="E1" s="61"/>
      <c r="F1" s="61"/>
      <c r="I1" s="41"/>
    </row>
    <row r="2" spans="2:9" s="38" customFormat="1" ht="12" customHeight="1" x14ac:dyDescent="0.25">
      <c r="C2" s="61"/>
      <c r="D2" s="61"/>
      <c r="E2" s="61"/>
      <c r="F2" s="61"/>
      <c r="I2" s="41"/>
    </row>
    <row r="3" spans="2:9" s="38" customFormat="1" ht="12" customHeight="1" x14ac:dyDescent="0.25">
      <c r="C3" s="61"/>
      <c r="D3" s="61"/>
      <c r="E3" s="61"/>
      <c r="F3" s="61"/>
      <c r="I3" s="41"/>
    </row>
    <row r="4" spans="2:9" ht="12" customHeight="1" x14ac:dyDescent="0.25"/>
    <row r="5" spans="2:9" s="48" customFormat="1" ht="31.9" customHeight="1" x14ac:dyDescent="0.25">
      <c r="B5" s="50" t="s">
        <v>0</v>
      </c>
      <c r="C5" s="46" t="s">
        <v>2</v>
      </c>
      <c r="D5" s="50" t="s">
        <v>18</v>
      </c>
      <c r="E5" s="51" t="s">
        <v>1</v>
      </c>
      <c r="H5" s="46" t="s">
        <v>19</v>
      </c>
      <c r="I5" s="55" t="s">
        <v>20</v>
      </c>
    </row>
    <row r="6" spans="2:9" ht="28.15" customHeight="1" x14ac:dyDescent="0.25">
      <c r="B6" s="47">
        <v>42743</v>
      </c>
      <c r="E6" s="44">
        <v>7.84</v>
      </c>
      <c r="H6" s="30" t="s">
        <v>6</v>
      </c>
      <c r="I6" s="44">
        <f>SUMPRODUCT((MONTH(Tableau1674[Date])=MONTH(1&amp;"Janvier"))*Tableau1674[[Montant ]])</f>
        <v>174.06</v>
      </c>
    </row>
    <row r="7" spans="2:9" ht="28.15" customHeight="1" x14ac:dyDescent="0.25">
      <c r="B7" s="47">
        <v>42743</v>
      </c>
      <c r="E7" s="44">
        <v>29.2</v>
      </c>
      <c r="H7" s="30" t="s">
        <v>7</v>
      </c>
      <c r="I7" s="44">
        <f>SUMPRODUCT((MONTH(Tableau1674[Date])=MONTH(2&amp;"Février"))*Tableau1674[[Montant ]])</f>
        <v>142.62</v>
      </c>
    </row>
    <row r="8" spans="2:9" ht="28.15" customHeight="1" x14ac:dyDescent="0.25">
      <c r="B8" s="47">
        <v>42741</v>
      </c>
      <c r="D8" s="49"/>
      <c r="E8" s="44">
        <v>19.100000000000001</v>
      </c>
      <c r="H8" s="30" t="s">
        <v>8</v>
      </c>
      <c r="I8" s="44">
        <f>SUMPRODUCT((MONTH(Tableau1674[Date])=MONTH(3&amp;"Mars"))*Tableau1674[[Montant ]])</f>
        <v>162.15</v>
      </c>
    </row>
    <row r="9" spans="2:9" ht="28.15" customHeight="1" x14ac:dyDescent="0.25">
      <c r="B9" s="47">
        <v>42747</v>
      </c>
      <c r="E9" s="44">
        <v>35.11</v>
      </c>
      <c r="H9" s="30" t="s">
        <v>9</v>
      </c>
      <c r="I9" s="44">
        <f>SUMPRODUCT((MONTH(Tableau1674[Date])=MONTH(4&amp;"Avril"))*Tableau1674[[Montant ]])</f>
        <v>143.95999999999998</v>
      </c>
    </row>
    <row r="10" spans="2:9" ht="28.15" customHeight="1" x14ac:dyDescent="0.25">
      <c r="B10" s="47">
        <v>42766</v>
      </c>
      <c r="E10" s="44">
        <v>82.81</v>
      </c>
      <c r="H10" s="30" t="s">
        <v>10</v>
      </c>
      <c r="I10" s="44">
        <f>SUMPRODUCT((MONTH(Tableau1674[Date])=MONTH(5&amp;"Mai"))*Tableau1674[[Montant ]])</f>
        <v>67.960000000000008</v>
      </c>
    </row>
    <row r="11" spans="2:9" ht="28.15" customHeight="1" x14ac:dyDescent="0.25">
      <c r="B11" s="47">
        <v>42784</v>
      </c>
      <c r="E11" s="44">
        <v>8.33</v>
      </c>
      <c r="H11" s="30" t="s">
        <v>11</v>
      </c>
      <c r="I11" s="44">
        <f>SUMPRODUCT((MONTH(Tableau1674[Date])=MONTH(6&amp;"Juin"))*Tableau1674[[Montant ]])</f>
        <v>0</v>
      </c>
    </row>
    <row r="12" spans="2:9" ht="28.15" customHeight="1" x14ac:dyDescent="0.25">
      <c r="B12" s="47">
        <v>42788</v>
      </c>
      <c r="E12" s="44">
        <v>134.29</v>
      </c>
      <c r="H12" s="30" t="s">
        <v>12</v>
      </c>
      <c r="I12" s="44">
        <f>SUMPRODUCT((MONTH(Tableau1674[Date])=MONTH(7&amp;"Juillet"))*Tableau1674[[Montant ]])</f>
        <v>0</v>
      </c>
    </row>
    <row r="13" spans="2:9" ht="28.15" customHeight="1" x14ac:dyDescent="0.25">
      <c r="B13" s="47">
        <v>42796</v>
      </c>
      <c r="E13" s="44">
        <v>13.92</v>
      </c>
      <c r="H13" s="30" t="s">
        <v>13</v>
      </c>
      <c r="I13" s="44">
        <f>SUMPRODUCT((MONTH(Tableau1674[Date])=MONTH(8&amp;"Août"))*Tableau1674[[Montant ]])</f>
        <v>0</v>
      </c>
    </row>
    <row r="14" spans="2:9" ht="28.15" customHeight="1" x14ac:dyDescent="0.25">
      <c r="B14" s="47">
        <v>42805</v>
      </c>
      <c r="E14" s="44">
        <v>14.54</v>
      </c>
      <c r="H14" s="30" t="s">
        <v>14</v>
      </c>
      <c r="I14" s="44">
        <f>SUMPRODUCT((MONTH(Tableau1674[Date])=MONTH(9&amp;"septembre"))*Tableau1674[[Montant ]])</f>
        <v>0</v>
      </c>
    </row>
    <row r="15" spans="2:9" ht="28.15" customHeight="1" x14ac:dyDescent="0.25">
      <c r="B15" s="47">
        <v>42808</v>
      </c>
      <c r="E15" s="44">
        <v>48.34</v>
      </c>
      <c r="H15" s="30" t="s">
        <v>15</v>
      </c>
      <c r="I15" s="44">
        <f>SUMPRODUCT((MONTH(Tableau1674[Date])=MONTH(10&amp;"octobre"))*Tableau1674[[Montant ]])</f>
        <v>0</v>
      </c>
    </row>
    <row r="16" spans="2:9" ht="28.15" customHeight="1" x14ac:dyDescent="0.25">
      <c r="B16" s="47">
        <v>42824</v>
      </c>
      <c r="E16" s="44">
        <v>85.35</v>
      </c>
      <c r="H16" s="30" t="s">
        <v>16</v>
      </c>
      <c r="I16" s="44">
        <f>SUMPRODUCT((MONTH(Tableau1674[Date])=MONTH(11&amp;"Novembre"))*Tableau1674[[Montant ]])</f>
        <v>0</v>
      </c>
    </row>
    <row r="17" spans="2:9" ht="28.15" customHeight="1" x14ac:dyDescent="0.25">
      <c r="B17" s="47">
        <v>42841</v>
      </c>
      <c r="E17" s="44">
        <v>76.819999999999993</v>
      </c>
      <c r="H17" s="30" t="s">
        <v>17</v>
      </c>
      <c r="I17" s="44">
        <f>SUMPRODUCT((MONTH(Tableau1674[Date])=MONTH(12&amp;"Décembre"))*Tableau1674[[Montant ]])</f>
        <v>0</v>
      </c>
    </row>
    <row r="18" spans="2:9" ht="28.15" customHeight="1" x14ac:dyDescent="0.25">
      <c r="B18" s="47">
        <v>42854</v>
      </c>
      <c r="E18" s="44">
        <v>67.14</v>
      </c>
    </row>
    <row r="19" spans="2:9" ht="28.15" customHeight="1" x14ac:dyDescent="0.25">
      <c r="B19" s="47">
        <v>42861</v>
      </c>
      <c r="E19" s="44">
        <v>8.76</v>
      </c>
    </row>
    <row r="20" spans="2:9" ht="28.15" customHeight="1" x14ac:dyDescent="0.25">
      <c r="B20" s="47">
        <v>42861</v>
      </c>
      <c r="E20" s="44">
        <v>7.73</v>
      </c>
    </row>
    <row r="21" spans="2:9" ht="28.15" customHeight="1" x14ac:dyDescent="0.25">
      <c r="B21" s="47">
        <v>42868</v>
      </c>
      <c r="E21" s="44">
        <v>51.47</v>
      </c>
    </row>
    <row r="22" spans="2:9" ht="28.15" customHeight="1" x14ac:dyDescent="0.25">
      <c r="B22" s="47"/>
    </row>
    <row r="23" spans="2:9" ht="28.15" customHeight="1" x14ac:dyDescent="0.25">
      <c r="B23" s="47"/>
    </row>
    <row r="24" spans="2:9" ht="28.15" customHeight="1" x14ac:dyDescent="0.25"/>
    <row r="25" spans="2:9" ht="19.899999999999999" customHeight="1" x14ac:dyDescent="0.25">
      <c r="B25" s="30" t="s">
        <v>3</v>
      </c>
      <c r="E25" s="44">
        <f>SUBTOTAL(109,Tableau1674[[Montant ]])</f>
        <v>690.75000000000011</v>
      </c>
    </row>
  </sheetData>
  <mergeCells count="1">
    <mergeCell ref="C1:F3"/>
  </mergeCell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N18"/>
  <sheetViews>
    <sheetView topLeftCell="A7" workbookViewId="0">
      <selection activeCell="C18" sqref="C18"/>
    </sheetView>
  </sheetViews>
  <sheetFormatPr baseColWidth="10" defaultRowHeight="15" x14ac:dyDescent="0.25"/>
  <cols>
    <col min="1" max="1" width="5.7109375" customWidth="1"/>
    <col min="2" max="13" width="13" customWidth="1"/>
    <col min="14" max="14" width="14.140625" customWidth="1"/>
    <col min="15" max="15" width="12.140625" bestFit="1" customWidth="1"/>
  </cols>
  <sheetData>
    <row r="2" spans="2:14" ht="56.45" customHeight="1" x14ac:dyDescent="0.25"/>
    <row r="3" spans="2:14" s="2" customFormat="1" ht="15.75" hidden="1" x14ac:dyDescent="0.25">
      <c r="B3"/>
      <c r="C3"/>
      <c r="D3"/>
      <c r="E3"/>
      <c r="F3"/>
      <c r="G3"/>
      <c r="H3"/>
      <c r="I3"/>
      <c r="J3"/>
      <c r="K3"/>
      <c r="L3"/>
      <c r="M3"/>
    </row>
    <row r="4" spans="2:14" ht="34.9" customHeight="1" x14ac:dyDescent="0.25">
      <c r="B4" s="2" t="s">
        <v>19</v>
      </c>
      <c r="C4" s="2" t="s">
        <v>28</v>
      </c>
      <c r="D4" s="2" t="s">
        <v>27</v>
      </c>
      <c r="E4" s="2" t="s">
        <v>21</v>
      </c>
      <c r="F4" s="2" t="s">
        <v>32</v>
      </c>
      <c r="G4" s="2" t="s">
        <v>26</v>
      </c>
      <c r="H4" s="2" t="s">
        <v>30</v>
      </c>
      <c r="I4" s="2" t="s">
        <v>25</v>
      </c>
      <c r="J4" s="2" t="s">
        <v>24</v>
      </c>
      <c r="K4" s="2" t="s">
        <v>23</v>
      </c>
      <c r="L4" s="2" t="s">
        <v>29</v>
      </c>
      <c r="M4" s="2" t="s">
        <v>22</v>
      </c>
    </row>
    <row r="5" spans="2:14" ht="22.9" customHeight="1" x14ac:dyDescent="0.25">
      <c r="B5" s="3">
        <v>42736</v>
      </c>
      <c r="C5" s="7">
        <f>'1 Habitat'!I6</f>
        <v>0</v>
      </c>
      <c r="D5" s="5">
        <f>'2 Achats'!I6</f>
        <v>0</v>
      </c>
      <c r="E5" s="5">
        <f>'3 Carburant'!G6</f>
        <v>47.16</v>
      </c>
      <c r="F5" s="5">
        <f>'5 Fringue'!I6</f>
        <v>0</v>
      </c>
      <c r="G5" s="5">
        <f>'2 Achats'!I6</f>
        <v>0</v>
      </c>
      <c r="H5" s="5">
        <f>'6 Cadeaux'!I6</f>
        <v>140</v>
      </c>
      <c r="I5" s="5">
        <f>'8 Loisirs'!I6</f>
        <v>136.62</v>
      </c>
      <c r="J5" s="5">
        <f>'4 Entretient Véhicule'!I6</f>
        <v>0</v>
      </c>
      <c r="K5" s="5">
        <f>'7 Resto'!I7</f>
        <v>97.9</v>
      </c>
      <c r="L5" s="5">
        <f>'10 Chat'!I6</f>
        <v>0</v>
      </c>
      <c r="M5" s="5">
        <f>'11 Alimentation'!I6</f>
        <v>174.06</v>
      </c>
    </row>
    <row r="6" spans="2:14" ht="22.9" customHeight="1" x14ac:dyDescent="0.25">
      <c r="B6" s="3">
        <v>42767</v>
      </c>
      <c r="C6" s="7">
        <f>'1 Habitat'!I7</f>
        <v>12.3</v>
      </c>
      <c r="D6" s="5">
        <f>'2 Achats'!I7</f>
        <v>0</v>
      </c>
      <c r="E6" s="5">
        <f>'3 Carburant'!G7</f>
        <v>120.37</v>
      </c>
      <c r="F6" s="5">
        <f>'5 Fringue'!I7</f>
        <v>0</v>
      </c>
      <c r="G6" s="5">
        <f>'2 Achats'!I7</f>
        <v>0</v>
      </c>
      <c r="H6" s="5">
        <f>'6 Cadeaux'!I7</f>
        <v>44.9</v>
      </c>
      <c r="I6" s="5">
        <f>'8 Loisirs'!I7</f>
        <v>162.16</v>
      </c>
      <c r="J6" s="5">
        <f>'4 Entretient Véhicule'!I7</f>
        <v>0</v>
      </c>
      <c r="K6" s="5">
        <f>'7 Resto'!I8</f>
        <v>0</v>
      </c>
      <c r="L6" s="5">
        <f>'10 Chat'!I7</f>
        <v>69.900000000000006</v>
      </c>
      <c r="M6" s="5">
        <f>'11 Alimentation'!I7</f>
        <v>142.62</v>
      </c>
    </row>
    <row r="7" spans="2:14" ht="22.9" customHeight="1" x14ac:dyDescent="0.25">
      <c r="B7" s="3">
        <v>42795</v>
      </c>
      <c r="C7" s="7">
        <f>'1 Habitat'!I8</f>
        <v>0</v>
      </c>
      <c r="D7" s="5">
        <f>'2 Achats'!I8</f>
        <v>0</v>
      </c>
      <c r="E7" s="5">
        <f>'3 Carburant'!G8</f>
        <v>62.72</v>
      </c>
      <c r="F7" s="5">
        <f>'5 Fringue'!I8</f>
        <v>0</v>
      </c>
      <c r="G7" s="5">
        <f>'2 Achats'!I8</f>
        <v>0</v>
      </c>
      <c r="H7" s="5">
        <f>'6 Cadeaux'!I8</f>
        <v>0</v>
      </c>
      <c r="I7" s="5">
        <f>'8 Loisirs'!I8</f>
        <v>0</v>
      </c>
      <c r="J7" s="5">
        <f>'4 Entretient Véhicule'!I8</f>
        <v>0</v>
      </c>
      <c r="K7" s="5">
        <f>'7 Resto'!I9</f>
        <v>68.3</v>
      </c>
      <c r="L7" s="5">
        <f>'10 Chat'!I8</f>
        <v>0</v>
      </c>
      <c r="M7" s="5">
        <f>'11 Alimentation'!I8</f>
        <v>162.15</v>
      </c>
    </row>
    <row r="8" spans="2:14" ht="22.9" customHeight="1" x14ac:dyDescent="0.25">
      <c r="B8" s="3">
        <v>42826</v>
      </c>
      <c r="C8" s="7">
        <f>'1 Habitat'!I9</f>
        <v>46.7</v>
      </c>
      <c r="D8" s="5">
        <f>'2 Achats'!I9</f>
        <v>0</v>
      </c>
      <c r="E8" s="5">
        <f>'3 Carburant'!G9</f>
        <v>123.63999999999999</v>
      </c>
      <c r="F8" s="5">
        <f>'5 Fringue'!I9</f>
        <v>195</v>
      </c>
      <c r="G8" s="5">
        <f>'2 Achats'!I9</f>
        <v>0</v>
      </c>
      <c r="H8" s="5">
        <f>'6 Cadeaux'!I9</f>
        <v>9.9499999999999993</v>
      </c>
      <c r="I8" s="5">
        <f>'8 Loisirs'!I9</f>
        <v>0</v>
      </c>
      <c r="J8" s="5">
        <f>'4 Entretient Véhicule'!I9</f>
        <v>0</v>
      </c>
      <c r="K8" s="5">
        <f>'7 Resto'!I10</f>
        <v>11.5</v>
      </c>
      <c r="L8" s="5">
        <f>'10 Chat'!I9</f>
        <v>11.67</v>
      </c>
      <c r="M8" s="5">
        <f>'11 Alimentation'!I9</f>
        <v>143.95999999999998</v>
      </c>
    </row>
    <row r="9" spans="2:14" ht="22.9" customHeight="1" x14ac:dyDescent="0.25">
      <c r="B9" s="3">
        <v>42856</v>
      </c>
      <c r="C9" s="7">
        <f>'1 Habitat'!I10</f>
        <v>15</v>
      </c>
      <c r="D9" s="5">
        <f>'2 Achats'!I10</f>
        <v>0</v>
      </c>
      <c r="E9" s="5">
        <f>'3 Carburant'!G10</f>
        <v>63.64</v>
      </c>
      <c r="F9" s="5">
        <f>'5 Fringue'!I10</f>
        <v>0</v>
      </c>
      <c r="G9" s="5">
        <f>'2 Achats'!I10</f>
        <v>0</v>
      </c>
      <c r="H9" s="5">
        <f>'6 Cadeaux'!I10</f>
        <v>20</v>
      </c>
      <c r="I9" s="5">
        <f>'8 Loisirs'!I10</f>
        <v>0</v>
      </c>
      <c r="J9" s="5">
        <f>'4 Entretient Véhicule'!I10</f>
        <v>0</v>
      </c>
      <c r="K9" s="5">
        <f>'7 Resto'!I11</f>
        <v>44.6</v>
      </c>
      <c r="L9" s="5">
        <f>'10 Chat'!I10</f>
        <v>0</v>
      </c>
      <c r="M9" s="5">
        <f>'11 Alimentation'!I10</f>
        <v>67.960000000000008</v>
      </c>
    </row>
    <row r="10" spans="2:14" ht="22.9" customHeight="1" x14ac:dyDescent="0.25">
      <c r="B10" s="3">
        <v>42887</v>
      </c>
      <c r="C10" s="7">
        <f>'1 Habitat'!I11</f>
        <v>0</v>
      </c>
      <c r="D10" s="5">
        <f>'2 Achats'!I11</f>
        <v>0</v>
      </c>
      <c r="E10" s="5">
        <f>'3 Carburant'!G11</f>
        <v>0</v>
      </c>
      <c r="F10" s="5">
        <f>'5 Fringue'!I11</f>
        <v>0</v>
      </c>
      <c r="G10" s="5">
        <f>'2 Achats'!I11</f>
        <v>0</v>
      </c>
      <c r="H10" s="5">
        <f>'6 Cadeaux'!I11</f>
        <v>0</v>
      </c>
      <c r="I10" s="5">
        <f>'8 Loisirs'!I11</f>
        <v>0</v>
      </c>
      <c r="J10" s="5">
        <f>'4 Entretient Véhicule'!I11</f>
        <v>0</v>
      </c>
      <c r="K10" s="5">
        <f>'7 Resto'!I12</f>
        <v>0</v>
      </c>
      <c r="L10" s="5">
        <f>'10 Chat'!I11</f>
        <v>0</v>
      </c>
      <c r="M10" s="5">
        <f>'11 Alimentation'!I11</f>
        <v>0</v>
      </c>
    </row>
    <row r="11" spans="2:14" ht="22.9" customHeight="1" x14ac:dyDescent="0.25">
      <c r="B11" s="3">
        <v>42917</v>
      </c>
      <c r="C11" s="7">
        <f>'1 Habitat'!I12</f>
        <v>0</v>
      </c>
      <c r="D11" s="5">
        <f>'2 Achats'!I12</f>
        <v>0</v>
      </c>
      <c r="E11" s="5">
        <f>'3 Carburant'!G12</f>
        <v>0</v>
      </c>
      <c r="F11" s="5">
        <f>'5 Fringue'!I12</f>
        <v>0</v>
      </c>
      <c r="G11" s="5">
        <f>'2 Achats'!I12</f>
        <v>0</v>
      </c>
      <c r="H11" s="5">
        <f>'6 Cadeaux'!I12</f>
        <v>0</v>
      </c>
      <c r="I11" s="5">
        <f>'8 Loisirs'!I12</f>
        <v>0</v>
      </c>
      <c r="J11" s="5">
        <f>'4 Entretient Véhicule'!I12</f>
        <v>0</v>
      </c>
      <c r="K11" s="5">
        <f>'7 Resto'!I13</f>
        <v>0</v>
      </c>
      <c r="L11" s="5">
        <f>'10 Chat'!I12</f>
        <v>0</v>
      </c>
      <c r="M11" s="5">
        <f>'11 Alimentation'!I12</f>
        <v>0</v>
      </c>
    </row>
    <row r="12" spans="2:14" ht="22.9" customHeight="1" x14ac:dyDescent="0.25">
      <c r="B12" s="3">
        <v>42948</v>
      </c>
      <c r="C12" s="7">
        <f>'1 Habitat'!I13</f>
        <v>0</v>
      </c>
      <c r="D12" s="5">
        <f>'2 Achats'!I13</f>
        <v>0</v>
      </c>
      <c r="E12" s="5">
        <f>'3 Carburant'!G13</f>
        <v>0</v>
      </c>
      <c r="F12" s="5">
        <f>'5 Fringue'!I13</f>
        <v>0</v>
      </c>
      <c r="G12" s="5">
        <f>'2 Achats'!I13</f>
        <v>0</v>
      </c>
      <c r="H12" s="5">
        <f>'6 Cadeaux'!I13</f>
        <v>0</v>
      </c>
      <c r="I12" s="5">
        <f>'8 Loisirs'!I13</f>
        <v>0</v>
      </c>
      <c r="J12" s="5">
        <f>'4 Entretient Véhicule'!I13</f>
        <v>0</v>
      </c>
      <c r="K12" s="5">
        <f>'7 Resto'!I14</f>
        <v>0</v>
      </c>
      <c r="L12" s="5">
        <f>'10 Chat'!I13</f>
        <v>0</v>
      </c>
      <c r="M12" s="5">
        <f>'11 Alimentation'!I13</f>
        <v>0</v>
      </c>
    </row>
    <row r="13" spans="2:14" ht="22.9" customHeight="1" x14ac:dyDescent="0.25">
      <c r="B13" s="3">
        <v>42979</v>
      </c>
      <c r="C13" s="7">
        <f>'1 Habitat'!I14</f>
        <v>0</v>
      </c>
      <c r="D13" s="5">
        <f>'2 Achats'!I14</f>
        <v>0</v>
      </c>
      <c r="E13" s="5">
        <f>'3 Carburant'!G14</f>
        <v>0</v>
      </c>
      <c r="F13" s="5">
        <f>'5 Fringue'!I14</f>
        <v>0</v>
      </c>
      <c r="G13" s="5">
        <f>'2 Achats'!I14</f>
        <v>0</v>
      </c>
      <c r="H13" s="5">
        <f>'6 Cadeaux'!I14</f>
        <v>0</v>
      </c>
      <c r="I13" s="5">
        <f>'8 Loisirs'!I14</f>
        <v>0</v>
      </c>
      <c r="J13" s="5">
        <f>'4 Entretient Véhicule'!I14</f>
        <v>0</v>
      </c>
      <c r="K13" s="5">
        <f>'7 Resto'!I15</f>
        <v>0</v>
      </c>
      <c r="L13" s="5">
        <f>'10 Chat'!I14</f>
        <v>0</v>
      </c>
      <c r="M13" s="5">
        <f>'11 Alimentation'!I14</f>
        <v>0</v>
      </c>
    </row>
    <row r="14" spans="2:14" ht="22.9" customHeight="1" x14ac:dyDescent="0.25">
      <c r="B14" s="3">
        <v>43009</v>
      </c>
      <c r="C14" s="7">
        <f>'1 Habitat'!I15</f>
        <v>0</v>
      </c>
      <c r="D14" s="5">
        <f>'2 Achats'!I15</f>
        <v>0</v>
      </c>
      <c r="E14" s="5">
        <f>'3 Carburant'!G15</f>
        <v>0</v>
      </c>
      <c r="F14" s="5">
        <f>'5 Fringue'!I15</f>
        <v>0</v>
      </c>
      <c r="G14" s="5">
        <f>'2 Achats'!I15</f>
        <v>0</v>
      </c>
      <c r="H14" s="5">
        <f>'6 Cadeaux'!I15</f>
        <v>0</v>
      </c>
      <c r="I14" s="5">
        <f>'8 Loisirs'!I15</f>
        <v>0</v>
      </c>
      <c r="J14" s="5">
        <f>'4 Entretient Véhicule'!I15</f>
        <v>0</v>
      </c>
      <c r="K14" s="5">
        <f>'7 Resto'!I16</f>
        <v>0</v>
      </c>
      <c r="L14" s="5">
        <f>'10 Chat'!I15</f>
        <v>0</v>
      </c>
      <c r="M14" s="5">
        <f>'11 Alimentation'!I15</f>
        <v>0</v>
      </c>
    </row>
    <row r="15" spans="2:14" ht="22.9" customHeight="1" x14ac:dyDescent="0.25">
      <c r="B15" s="3">
        <v>43040</v>
      </c>
      <c r="C15" s="7">
        <f>'1 Habitat'!I16</f>
        <v>0</v>
      </c>
      <c r="D15" s="5">
        <f>'2 Achats'!I16</f>
        <v>0</v>
      </c>
      <c r="E15" s="5">
        <f>'3 Carburant'!G16</f>
        <v>0</v>
      </c>
      <c r="F15" s="5">
        <f>'5 Fringue'!I16</f>
        <v>0</v>
      </c>
      <c r="G15" s="5">
        <f>'2 Achats'!I16</f>
        <v>0</v>
      </c>
      <c r="H15" s="5">
        <f>'6 Cadeaux'!I16</f>
        <v>0</v>
      </c>
      <c r="I15" s="5">
        <f>'8 Loisirs'!I16</f>
        <v>0</v>
      </c>
      <c r="J15" s="5">
        <f>'4 Entretient Véhicule'!I16</f>
        <v>0</v>
      </c>
      <c r="K15" s="5">
        <f>'7 Resto'!I17</f>
        <v>0</v>
      </c>
      <c r="L15" s="5">
        <f>'10 Chat'!I16</f>
        <v>0</v>
      </c>
      <c r="M15" s="5">
        <f>'11 Alimentation'!I16</f>
        <v>0</v>
      </c>
      <c r="N15" s="9">
        <f>SUM(Tableau13[[#Totals],[Habitat]:[Alimentation]])</f>
        <v>2194.7799999999997</v>
      </c>
    </row>
    <row r="16" spans="2:14" ht="22.9" customHeight="1" x14ac:dyDescent="0.25">
      <c r="B16" s="3">
        <v>43070</v>
      </c>
      <c r="C16" s="7">
        <f>'1 Habitat'!I17</f>
        <v>0</v>
      </c>
      <c r="D16" s="5">
        <f>'2 Achats'!I17</f>
        <v>0</v>
      </c>
      <c r="E16" s="5">
        <f>'3 Carburant'!G17</f>
        <v>0</v>
      </c>
      <c r="F16" s="5">
        <f>'5 Fringue'!I17</f>
        <v>0</v>
      </c>
      <c r="G16" s="5">
        <f>'2 Achats'!I17</f>
        <v>0</v>
      </c>
      <c r="H16" s="5">
        <f>'6 Cadeaux'!I17</f>
        <v>0</v>
      </c>
      <c r="I16" s="5">
        <f>'8 Loisirs'!I17</f>
        <v>0</v>
      </c>
      <c r="J16" s="5">
        <f>'4 Entretient Véhicule'!I17</f>
        <v>0</v>
      </c>
      <c r="K16" s="5">
        <f>'7 Resto'!I18</f>
        <v>0</v>
      </c>
      <c r="L16" s="5">
        <f>'10 Chat'!I17</f>
        <v>0</v>
      </c>
      <c r="M16" s="5">
        <f>'11 Alimentation'!I17</f>
        <v>0</v>
      </c>
      <c r="N16" s="4"/>
    </row>
    <row r="17" spans="2:14" ht="22.9" customHeight="1" x14ac:dyDescent="0.25">
      <c r="B17" s="1" t="s">
        <v>3</v>
      </c>
      <c r="C17" s="8">
        <f>SUBTOTAL(109,Tableau13[Habitat])</f>
        <v>74</v>
      </c>
      <c r="D17" s="5">
        <f>SUBTOTAL(109,Tableau13[Achats])</f>
        <v>0</v>
      </c>
      <c r="E17" s="5">
        <f>SUBTOTAL(109,Tableau13[Carburant])</f>
        <v>417.53</v>
      </c>
      <c r="F17" s="5">
        <f>SUBTOTAL(109,Tableau13[Fringues])</f>
        <v>195</v>
      </c>
      <c r="G17" s="5">
        <f>SUBTOTAL(109,Tableau13[Entretient vhéhicules])</f>
        <v>0</v>
      </c>
      <c r="H17" s="5">
        <f>SUBTOTAL(109,Tableau13[cadeaux])</f>
        <v>214.85</v>
      </c>
      <c r="I17" s="5">
        <f>SUBTOTAL(109,Tableau13[Loisirs])</f>
        <v>298.77999999999997</v>
      </c>
      <c r="J17" s="5">
        <f>SUBTOTAL(109,Tableau13[Vacances])</f>
        <v>0</v>
      </c>
      <c r="K17" s="5">
        <f>SUBTOTAL(109,Tableau13[Resto])</f>
        <v>222.29999999999998</v>
      </c>
      <c r="L17" s="5">
        <f>SUBTOTAL(109,Tableau13[Chat])</f>
        <v>81.570000000000007</v>
      </c>
      <c r="M17" s="5">
        <f>SUBTOTAL(109,Tableau13[Alimentation])</f>
        <v>690.75</v>
      </c>
    </row>
    <row r="18" spans="2:14" s="4" customFormat="1" x14ac:dyDescent="0.25">
      <c r="B18"/>
      <c r="C18"/>
      <c r="D18" s="6"/>
      <c r="E18" s="6"/>
      <c r="F18" s="6"/>
      <c r="G18" s="6"/>
      <c r="H18" s="6"/>
      <c r="I18" s="6"/>
      <c r="J18" s="6"/>
      <c r="K18" s="6"/>
      <c r="L18" s="6"/>
      <c r="M18" s="6"/>
      <c r="N18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Dépenses quotidiennes</vt:lpstr>
      <vt:lpstr>1 Habitat</vt:lpstr>
      <vt:lpstr>2 Achats</vt:lpstr>
      <vt:lpstr>3 Carburant</vt:lpstr>
      <vt:lpstr>4 Entretient Véhicule</vt:lpstr>
      <vt:lpstr>5 Fringue</vt:lpstr>
      <vt:lpstr>6 Cadeaux</vt:lpstr>
      <vt:lpstr>7 Resto</vt:lpstr>
      <vt:lpstr>8 Loisirs</vt:lpstr>
      <vt:lpstr>9 Vacances</vt:lpstr>
      <vt:lpstr>10 Chat</vt:lpstr>
      <vt:lpstr>11 Alimentation</vt:lpstr>
      <vt:lpstr>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petitgerard</dc:creator>
  <cp:lastModifiedBy>olivier</cp:lastModifiedBy>
  <dcterms:created xsi:type="dcterms:W3CDTF">2016-07-06T17:57:46Z</dcterms:created>
  <dcterms:modified xsi:type="dcterms:W3CDTF">2017-05-22T21:19:21Z</dcterms:modified>
</cp:coreProperties>
</file>