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8800" windowHeight="12435"/>
  </bookViews>
  <sheets>
    <sheet name="Objectif" sheetId="1" r:id="rId1"/>
    <sheet name="Janvier-16" sheetId="2" r:id="rId2"/>
    <sheet name="Fevrier-16" sheetId="3" r:id="rId3"/>
  </sheets>
  <externalReferences>
    <externalReference r:id="rId4"/>
  </externalReferences>
  <definedNames>
    <definedName name="_xlnm._FilterDatabase" localSheetId="2" hidden="1">'Fevrier-16'!$A$38:$E$61</definedName>
    <definedName name="_xlnm._FilterDatabase" localSheetId="1" hidden="1">'Janvier-16'!$A$38:$E$61</definedName>
    <definedName name="_xlnm.Criteria" localSheetId="2">'Fevrier-16'!$E$12</definedName>
    <definedName name="_xlnm.Criteria" localSheetId="1">'Janvier-16'!$E$12</definedName>
    <definedName name="DAte" localSheetId="2">#REF!</definedName>
    <definedName name="DAte">#REF!</definedName>
    <definedName name="Deuxmillequinze" localSheetId="2">#REF!</definedName>
    <definedName name="Deuxmillequinze">#REF!</definedName>
    <definedName name="deuxmillesize" localSheetId="2">#REF!</definedName>
    <definedName name="deuxmillesize">#REF!</definedName>
    <definedName name="Marché">[1]Menu!$B:$B</definedName>
    <definedName name="Num" comment="Numéro du mois en soumission ">'Janvier-16'!$F$24:$F$36+'Fevrier-16'!$F$24:$F$36+'[1]Mars-16'!$F$24:$F$36</definedName>
    <definedName name="Résultat">[1]Menu!$C:$C</definedName>
    <definedName name="Salle">[1]Menu!$A:$A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D6" i="1"/>
  <c r="G25" i="2"/>
  <c r="G26" i="2"/>
  <c r="G27" i="2"/>
  <c r="G28" i="2"/>
  <c r="G29" i="2"/>
  <c r="G30" i="2"/>
  <c r="G31" i="2"/>
  <c r="G32" i="2"/>
  <c r="G33" i="2"/>
  <c r="G34" i="2"/>
  <c r="G35" i="2"/>
  <c r="G36" i="2"/>
  <c r="G24" i="2"/>
  <c r="D8" i="1"/>
  <c r="D10" i="1" s="1"/>
  <c r="D12" i="1" s="1"/>
  <c r="D14" i="1" s="1"/>
  <c r="D16" i="1" s="1"/>
  <c r="D18" i="1" s="1"/>
  <c r="D20" i="1" s="1"/>
  <c r="D22" i="1" s="1"/>
  <c r="D24" i="1" s="1"/>
  <c r="D26" i="1" s="1"/>
  <c r="D28" i="1" s="1"/>
  <c r="F28" i="1" s="1"/>
  <c r="F26" i="1" l="1"/>
  <c r="F24" i="1"/>
  <c r="F22" i="1"/>
  <c r="F20" i="1"/>
  <c r="F18" i="1"/>
  <c r="F16" i="1"/>
  <c r="F14" i="1"/>
  <c r="F12" i="1"/>
  <c r="F10" i="1"/>
  <c r="F8" i="1"/>
  <c r="G48" i="3"/>
  <c r="E48" i="3"/>
  <c r="M43" i="3"/>
  <c r="L43" i="3"/>
  <c r="J43" i="3"/>
  <c r="I43" i="3"/>
  <c r="M42" i="3"/>
  <c r="L42" i="3"/>
  <c r="J42" i="3"/>
  <c r="I42" i="3"/>
  <c r="M41" i="3"/>
  <c r="L41" i="3"/>
  <c r="J41" i="3"/>
  <c r="I41" i="3"/>
  <c r="M40" i="3"/>
  <c r="L40" i="3"/>
  <c r="J40" i="3"/>
  <c r="I40" i="3"/>
  <c r="M39" i="3"/>
  <c r="L39" i="3"/>
  <c r="J39" i="3"/>
  <c r="I39" i="3"/>
  <c r="M38" i="3"/>
  <c r="M44" i="3" s="1"/>
  <c r="L38" i="3"/>
  <c r="L44" i="3" s="1"/>
  <c r="J38" i="3"/>
  <c r="J44" i="3" s="1"/>
  <c r="I38" i="3"/>
  <c r="I44" i="3" s="1"/>
  <c r="G37" i="3"/>
  <c r="E37" i="3"/>
  <c r="G36" i="3"/>
  <c r="F36" i="3"/>
  <c r="G35" i="3"/>
  <c r="F35" i="3"/>
  <c r="G34" i="3"/>
  <c r="F34" i="3"/>
  <c r="G33" i="3"/>
  <c r="F33" i="3"/>
  <c r="G32" i="3"/>
  <c r="F32" i="3"/>
  <c r="G31" i="3"/>
  <c r="F31" i="3"/>
  <c r="G30" i="3"/>
  <c r="F30" i="3"/>
  <c r="G29" i="3"/>
  <c r="F29" i="3"/>
  <c r="G28" i="3"/>
  <c r="F28" i="3"/>
  <c r="G27" i="3"/>
  <c r="F27" i="3"/>
  <c r="G26" i="3"/>
  <c r="F26" i="3"/>
  <c r="G25" i="3"/>
  <c r="F25" i="3"/>
  <c r="G24" i="3"/>
  <c r="F24" i="3"/>
  <c r="I8" i="3"/>
  <c r="I7" i="3"/>
  <c r="I6" i="3"/>
  <c r="G6" i="3"/>
  <c r="K5" i="3"/>
  <c r="I5" i="3"/>
  <c r="G5" i="3"/>
  <c r="K4" i="3"/>
  <c r="I4" i="3"/>
  <c r="G4" i="3"/>
  <c r="O3" i="3"/>
  <c r="N3" i="3"/>
  <c r="M3" i="3"/>
  <c r="L3" i="3"/>
  <c r="K3" i="3"/>
  <c r="I3" i="3"/>
  <c r="G3" i="3"/>
  <c r="A1" i="3"/>
  <c r="G48" i="2"/>
  <c r="E48" i="2"/>
  <c r="M43" i="2"/>
  <c r="L43" i="2"/>
  <c r="J43" i="2"/>
  <c r="I43" i="2"/>
  <c r="M42" i="2"/>
  <c r="L42" i="2"/>
  <c r="J42" i="2"/>
  <c r="I42" i="2"/>
  <c r="M41" i="2"/>
  <c r="L41" i="2"/>
  <c r="J41" i="2"/>
  <c r="I41" i="2"/>
  <c r="M40" i="2"/>
  <c r="L40" i="2"/>
  <c r="J40" i="2"/>
  <c r="I40" i="2"/>
  <c r="M39" i="2"/>
  <c r="L39" i="2"/>
  <c r="J39" i="2"/>
  <c r="I39" i="2"/>
  <c r="M38" i="2"/>
  <c r="M44" i="2" s="1"/>
  <c r="L38" i="2"/>
  <c r="L44" i="2" s="1"/>
  <c r="J38" i="2"/>
  <c r="J44" i="2" s="1"/>
  <c r="I38" i="2"/>
  <c r="I44" i="2" s="1"/>
  <c r="G37" i="2"/>
  <c r="E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I8" i="2"/>
  <c r="I7" i="2"/>
  <c r="I6" i="2"/>
  <c r="G6" i="2"/>
  <c r="K5" i="2"/>
  <c r="I5" i="2"/>
  <c r="G5" i="2"/>
  <c r="K4" i="2"/>
  <c r="I4" i="2"/>
  <c r="G4" i="2"/>
  <c r="O3" i="2"/>
  <c r="N3" i="2"/>
  <c r="M3" i="2"/>
  <c r="L3" i="2"/>
  <c r="K3" i="2"/>
  <c r="I3" i="2"/>
  <c r="G3" i="2"/>
  <c r="A1" i="2"/>
  <c r="L30" i="1"/>
  <c r="K30" i="1"/>
  <c r="H30" i="1"/>
  <c r="I26" i="1" s="1"/>
  <c r="G30" i="1"/>
  <c r="E30" i="1"/>
  <c r="I28" i="1"/>
  <c r="I20" i="1"/>
  <c r="I12" i="1"/>
  <c r="F30" i="1"/>
  <c r="I6" i="1" l="1"/>
  <c r="I14" i="1"/>
  <c r="I22" i="1"/>
  <c r="I8" i="1"/>
  <c r="I16" i="1"/>
  <c r="I24" i="1"/>
  <c r="I10" i="1"/>
  <c r="I18" i="1"/>
  <c r="I30" i="1" l="1"/>
</calcChain>
</file>

<file path=xl/sharedStrings.xml><?xml version="1.0" encoding="utf-8"?>
<sst xmlns="http://schemas.openxmlformats.org/spreadsheetml/2006/main" count="186" uniqueCount="60">
  <si>
    <t>ÉVÉNEMENT</t>
  </si>
  <si>
    <t>BRUT sans tx</t>
  </si>
  <si>
    <t>Objectifs</t>
  </si>
  <si>
    <t>Tentatif</t>
  </si>
  <si>
    <t>Réel</t>
  </si>
  <si>
    <t>%</t>
  </si>
  <si>
    <t>Total</t>
  </si>
  <si>
    <t>Visite de nouveau client</t>
  </si>
  <si>
    <t>Salle visité</t>
  </si>
  <si>
    <t>Marché</t>
  </si>
  <si>
    <t>Résultat</t>
  </si>
  <si>
    <t>Salle</t>
  </si>
  <si>
    <t>Résultats</t>
  </si>
  <si>
    <t>Montant  en soumission</t>
  </si>
  <si>
    <t>Montant contrat</t>
  </si>
  <si>
    <t>Total visite</t>
  </si>
  <si>
    <t>Total contrat</t>
  </si>
  <si>
    <t>Myriam St Pierre</t>
  </si>
  <si>
    <t>Principal</t>
  </si>
  <si>
    <t>Corporatif</t>
  </si>
  <si>
    <t>Soumission</t>
  </si>
  <si>
    <t>Gouvernail</t>
  </si>
  <si>
    <t>Corpo</t>
  </si>
  <si>
    <t xml:space="preserve">Soumission </t>
  </si>
  <si>
    <t>Mariage Stéphanie Gilbert</t>
  </si>
  <si>
    <t>Mariage</t>
  </si>
  <si>
    <t>Party de Noël</t>
  </si>
  <si>
    <t>Refus</t>
  </si>
  <si>
    <t>Brunch Famille Richard</t>
  </si>
  <si>
    <t>SMERF</t>
  </si>
  <si>
    <t>Chapiteau</t>
  </si>
  <si>
    <t>Contrat</t>
  </si>
  <si>
    <t>Coaching Ann Cooper</t>
  </si>
  <si>
    <t>Exterieur</t>
  </si>
  <si>
    <t>Le Concierge</t>
  </si>
  <si>
    <t>École</t>
  </si>
  <si>
    <t>Cours après moi</t>
  </si>
  <si>
    <t>Autre</t>
  </si>
  <si>
    <t>Funérailles Mme Bourgeois</t>
  </si>
  <si>
    <t>Mariage Chrystian et Sadija</t>
  </si>
  <si>
    <t>Party de retraitre</t>
  </si>
  <si>
    <t>Mariage M. Duthu et Mme Bondesen</t>
  </si>
  <si>
    <t>Beenox</t>
  </si>
  <si>
    <t>Carnaval de Québec</t>
  </si>
  <si>
    <t>Gecko Alliance</t>
  </si>
  <si>
    <t>Party de noel</t>
  </si>
  <si>
    <t>Date de l'événement</t>
  </si>
  <si>
    <t>Revenu estimé (av. Taxes)</t>
  </si>
  <si>
    <t>Moyenne:</t>
  </si>
  <si>
    <t>NB /2016</t>
  </si>
  <si>
    <t>NB /2017</t>
  </si>
  <si>
    <t xml:space="preserve">Party de noel </t>
  </si>
  <si>
    <t>Funérailles</t>
  </si>
  <si>
    <t>Annulation ou refus</t>
  </si>
  <si>
    <t>Raison</t>
  </si>
  <si>
    <t>Je dois cumuler le nombre de réservations fait par mois. Donc dans le mois de naniver (cellule F6, je dois savoir combien de fois il a de reservation dans mes mois Janvier-16 et décembre-16</t>
  </si>
  <si>
    <t xml:space="preserve">J'ai 24 mois comme ça à cumuler mais je chercher juste pour 2016. </t>
  </si>
  <si>
    <t xml:space="preserve">J'ai tenter de nommer la plage, sans succès. </t>
  </si>
  <si>
    <t>NB.SI('Janvier-16'!F24:F36+Fevrier-16;1)</t>
  </si>
  <si>
    <t xml:space="preserve">Je suis en mesure pour un mois, mais dès que j'ajoute un mois, ca ne fonctionne pas.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</si>
</sst>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 * #,##0.00_)\ &quot;$&quot;_ ;_ * \(#,##0.00\)\ &quot;$&quot;_ ;_ * &quot;-&quot;??_)\ &quot;$&quot;_ ;_ @_ "/>
    <numFmt numFmtId="165" formatCode="#,##0.00\ &quot;$&quot;"/>
    <numFmt numFmtId="166" formatCode="#,##0.00\ _$"/>
    <numFmt numFmtId="167" formatCode="#,##0\ &quot;$&quot;"/>
    <numFmt numFmtId="168" formatCode="[$-F800]dddd\,\ mmmm\ dd\,\ yyyy"/>
    <numFmt numFmtId="169" formatCode="dd/mmmm"/>
    <numFmt numFmtId="170" formatCode="_ * #,##0.00_ \ [$$-C0C]_ ;_ * \-#,##0.00\ \ [$$-C0C]_ ;_ * &quot;-&quot;??_ \ [$$-C0C]_ ;_ @_ "/>
    <numFmt numFmtId="171" formatCode="yyyy"/>
    <numFmt numFmtId="172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54"/>
      <name val="Arial"/>
      <family val="2"/>
    </font>
    <font>
      <b/>
      <sz val="10"/>
      <color indexed="54"/>
      <name val="Arial"/>
      <family val="2"/>
    </font>
    <font>
      <sz val="10"/>
      <color indexed="48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auto="1"/>
      </right>
      <top/>
      <bottom/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</cellStyleXfs>
  <cellXfs count="12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/>
    </xf>
    <xf numFmtId="165" fontId="4" fillId="2" borderId="2" xfId="0" applyNumberFormat="1" applyFont="1" applyFill="1" applyBorder="1" applyAlignment="1" applyProtection="1">
      <alignment horizontal="center" vertical="center"/>
    </xf>
    <xf numFmtId="165" fontId="4" fillId="2" borderId="1" xfId="0" applyNumberFormat="1" applyFont="1" applyFill="1" applyBorder="1" applyAlignment="1" applyProtection="1">
      <alignment horizontal="center" vertical="center"/>
    </xf>
    <xf numFmtId="165" fontId="4" fillId="0" borderId="1" xfId="0" applyNumberFormat="1" applyFont="1" applyBorder="1" applyAlignment="1" applyProtection="1">
      <alignment horizontal="center" vertical="center"/>
    </xf>
    <xf numFmtId="165" fontId="4" fillId="0" borderId="1" xfId="0" applyNumberFormat="1" applyFont="1" applyFill="1" applyBorder="1" applyAlignment="1" applyProtection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10" fontId="0" fillId="2" borderId="1" xfId="0" applyNumberFormat="1" applyFont="1" applyFill="1" applyBorder="1" applyAlignment="1">
      <alignment horizontal="center" vertical="center"/>
    </xf>
    <xf numFmtId="10" fontId="0" fillId="0" borderId="1" xfId="0" applyNumberFormat="1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5" fontId="5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6" fillId="0" borderId="0" xfId="2" applyProtection="1">
      <protection locked="0"/>
    </xf>
    <xf numFmtId="0" fontId="9" fillId="4" borderId="0" xfId="2" applyFont="1" applyFill="1" applyAlignment="1" applyProtection="1">
      <alignment horizontal="center"/>
      <protection locked="0"/>
    </xf>
    <xf numFmtId="0" fontId="11" fillId="2" borderId="10" xfId="2" applyFont="1" applyFill="1" applyBorder="1" applyAlignment="1" applyProtection="1">
      <alignment horizontal="center" wrapText="1"/>
      <protection locked="0"/>
    </xf>
    <xf numFmtId="0" fontId="9" fillId="2" borderId="11" xfId="2" applyFont="1" applyFill="1" applyBorder="1" applyAlignment="1" applyProtection="1">
      <alignment horizontal="center"/>
      <protection locked="0"/>
    </xf>
    <xf numFmtId="0" fontId="9" fillId="0" borderId="0" xfId="2" applyFont="1" applyAlignment="1" applyProtection="1">
      <alignment horizontal="center"/>
      <protection locked="0"/>
    </xf>
    <xf numFmtId="0" fontId="6" fillId="0" borderId="0" xfId="2" applyAlignment="1" applyProtection="1">
      <alignment horizontal="left"/>
      <protection locked="0"/>
    </xf>
    <xf numFmtId="0" fontId="6" fillId="0" borderId="12" xfId="2" applyBorder="1" applyProtection="1">
      <protection locked="0"/>
    </xf>
    <xf numFmtId="0" fontId="6" fillId="0" borderId="13" xfId="2" applyBorder="1" applyProtection="1">
      <protection locked="0"/>
    </xf>
    <xf numFmtId="165" fontId="0" fillId="0" borderId="14" xfId="3" applyNumberFormat="1" applyFont="1" applyBorder="1" applyProtection="1">
      <protection locked="0"/>
    </xf>
    <xf numFmtId="0" fontId="6" fillId="0" borderId="15" xfId="2" applyBorder="1" applyProtection="1">
      <protection locked="0"/>
    </xf>
    <xf numFmtId="0" fontId="6" fillId="0" borderId="16" xfId="2" applyBorder="1" applyProtection="1">
      <protection locked="0"/>
    </xf>
    <xf numFmtId="0" fontId="6" fillId="0" borderId="2" xfId="2" applyBorder="1" applyProtection="1">
      <protection locked="0"/>
    </xf>
    <xf numFmtId="0" fontId="6" fillId="0" borderId="1" xfId="2" applyBorder="1" applyProtection="1">
      <protection locked="0"/>
    </xf>
    <xf numFmtId="164" fontId="0" fillId="0" borderId="0" xfId="3" applyFont="1" applyProtection="1">
      <protection locked="0"/>
    </xf>
    <xf numFmtId="0" fontId="6" fillId="0" borderId="17" xfId="2" applyBorder="1" applyProtection="1">
      <protection locked="0"/>
    </xf>
    <xf numFmtId="0" fontId="6" fillId="0" borderId="18" xfId="2" applyBorder="1" applyProtection="1">
      <protection locked="0"/>
    </xf>
    <xf numFmtId="0" fontId="6" fillId="0" borderId="19" xfId="2" applyBorder="1" applyProtection="1">
      <protection locked="0"/>
    </xf>
    <xf numFmtId="164" fontId="0" fillId="0" borderId="0" xfId="3" applyFont="1" applyFill="1" applyBorder="1" applyProtection="1">
      <protection locked="0"/>
    </xf>
    <xf numFmtId="0" fontId="6" fillId="0" borderId="0" xfId="2" applyBorder="1" applyProtection="1">
      <protection locked="0"/>
    </xf>
    <xf numFmtId="0" fontId="6" fillId="0" borderId="20" xfId="2" applyBorder="1" applyProtection="1">
      <protection locked="0"/>
    </xf>
    <xf numFmtId="0" fontId="6" fillId="0" borderId="21" xfId="2" applyBorder="1" applyProtection="1">
      <protection locked="0"/>
    </xf>
    <xf numFmtId="0" fontId="1" fillId="0" borderId="0" xfId="2" applyFont="1" applyBorder="1" applyProtection="1">
      <protection locked="0"/>
    </xf>
    <xf numFmtId="0" fontId="6" fillId="5" borderId="0" xfId="2" applyFill="1" applyProtection="1">
      <protection locked="0"/>
    </xf>
    <xf numFmtId="0" fontId="9" fillId="0" borderId="0" xfId="2" applyFont="1" applyBorder="1" applyAlignment="1" applyProtection="1">
      <alignment horizontal="center"/>
      <protection locked="0"/>
    </xf>
    <xf numFmtId="0" fontId="9" fillId="4" borderId="19" xfId="2" applyFont="1" applyFill="1" applyBorder="1" applyAlignment="1" applyProtection="1">
      <alignment horizontal="center"/>
      <protection locked="0"/>
    </xf>
    <xf numFmtId="0" fontId="9" fillId="4" borderId="24" xfId="2" applyFont="1" applyFill="1" applyBorder="1" applyAlignment="1" applyProtection="1">
      <alignment horizontal="center"/>
      <protection locked="0"/>
    </xf>
    <xf numFmtId="168" fontId="6" fillId="0" borderId="1" xfId="2" applyNumberFormat="1" applyBorder="1" applyAlignment="1">
      <alignment horizontal="left"/>
    </xf>
    <xf numFmtId="14" fontId="6" fillId="0" borderId="1" xfId="2" applyNumberFormat="1" applyBorder="1" applyAlignment="1" applyProtection="1">
      <alignment horizontal="left"/>
      <protection locked="0"/>
    </xf>
    <xf numFmtId="165" fontId="6" fillId="0" borderId="0" xfId="2" applyNumberFormat="1" applyProtection="1">
      <protection locked="0"/>
    </xf>
    <xf numFmtId="14" fontId="12" fillId="0" borderId="1" xfId="2" applyNumberFormat="1" applyFont="1" applyBorder="1" applyAlignment="1" applyProtection="1">
      <alignment horizontal="left"/>
      <protection locked="0"/>
    </xf>
    <xf numFmtId="165" fontId="6" fillId="0" borderId="0" xfId="2" applyNumberFormat="1" applyFill="1" applyProtection="1">
      <protection locked="0"/>
    </xf>
    <xf numFmtId="0" fontId="6" fillId="0" borderId="0" xfId="2" applyFont="1" applyProtection="1">
      <protection locked="0"/>
    </xf>
    <xf numFmtId="165" fontId="6" fillId="0" borderId="0" xfId="2" applyNumberFormat="1" applyFont="1" applyFill="1" applyProtection="1">
      <protection locked="0"/>
    </xf>
    <xf numFmtId="168" fontId="6" fillId="0" borderId="1" xfId="2" applyNumberFormat="1" applyFont="1" applyBorder="1" applyAlignment="1">
      <alignment horizontal="left"/>
    </xf>
    <xf numFmtId="0" fontId="12" fillId="0" borderId="0" xfId="2" applyFont="1" applyProtection="1">
      <protection locked="0"/>
    </xf>
    <xf numFmtId="165" fontId="12" fillId="0" borderId="0" xfId="2" applyNumberFormat="1" applyFont="1" applyFill="1" applyProtection="1">
      <protection locked="0"/>
    </xf>
    <xf numFmtId="0" fontId="13" fillId="6" borderId="0" xfId="2" applyFont="1" applyFill="1" applyProtection="1">
      <protection locked="0"/>
    </xf>
    <xf numFmtId="169" fontId="14" fillId="6" borderId="19" xfId="2" applyNumberFormat="1" applyFont="1" applyFill="1" applyBorder="1" applyAlignment="1" applyProtection="1">
      <alignment horizontal="left"/>
      <protection locked="0"/>
    </xf>
    <xf numFmtId="169" fontId="14" fillId="6" borderId="24" xfId="2" applyNumberFormat="1" applyFont="1" applyFill="1" applyBorder="1" applyAlignment="1" applyProtection="1">
      <alignment horizontal="left"/>
      <protection locked="0"/>
    </xf>
    <xf numFmtId="165" fontId="13" fillId="6" borderId="0" xfId="2" applyNumberFormat="1" applyFont="1" applyFill="1" applyProtection="1">
      <protection locked="0"/>
    </xf>
    <xf numFmtId="0" fontId="9" fillId="2" borderId="1" xfId="2" applyFont="1" applyFill="1" applyBorder="1" applyAlignment="1" applyProtection="1">
      <alignment horizontal="center" vertical="center"/>
      <protection locked="0"/>
    </xf>
    <xf numFmtId="0" fontId="9" fillId="2" borderId="1" xfId="2" applyFont="1" applyFill="1" applyBorder="1" applyAlignment="1">
      <alignment horizontal="center" vertical="center"/>
    </xf>
    <xf numFmtId="0" fontId="9" fillId="0" borderId="0" xfId="2" applyFont="1" applyProtection="1">
      <protection locked="0"/>
    </xf>
    <xf numFmtId="0" fontId="6" fillId="0" borderId="1" xfId="2" applyBorder="1" applyAlignment="1">
      <alignment horizontal="center"/>
    </xf>
    <xf numFmtId="170" fontId="6" fillId="0" borderId="25" xfId="2" applyNumberFormat="1" applyFill="1" applyBorder="1" applyProtection="1">
      <protection locked="0"/>
    </xf>
    <xf numFmtId="0" fontId="9" fillId="4" borderId="26" xfId="2" applyFont="1" applyFill="1" applyBorder="1" applyAlignment="1" applyProtection="1">
      <alignment horizontal="center"/>
      <protection locked="0"/>
    </xf>
    <xf numFmtId="0" fontId="9" fillId="4" borderId="25" xfId="2" applyFont="1" applyFill="1" applyBorder="1" applyAlignment="1" applyProtection="1">
      <alignment horizontal="center"/>
      <protection locked="0"/>
    </xf>
    <xf numFmtId="14" fontId="6" fillId="0" borderId="19" xfId="2" applyNumberFormat="1" applyBorder="1" applyAlignment="1" applyProtection="1">
      <alignment horizontal="left"/>
      <protection locked="0"/>
    </xf>
    <xf numFmtId="14" fontId="6" fillId="0" borderId="24" xfId="2" applyNumberFormat="1" applyBorder="1" applyAlignment="1" applyProtection="1">
      <alignment horizontal="left"/>
      <protection locked="0"/>
    </xf>
    <xf numFmtId="171" fontId="6" fillId="0" borderId="0" xfId="2" applyNumberFormat="1" applyProtection="1">
      <protection locked="0"/>
    </xf>
    <xf numFmtId="14" fontId="6" fillId="0" borderId="19" xfId="2" applyNumberFormat="1" applyFont="1" applyBorder="1" applyAlignment="1" applyProtection="1">
      <alignment horizontal="left"/>
      <protection locked="0"/>
    </xf>
    <xf numFmtId="14" fontId="6" fillId="0" borderId="24" xfId="2" applyNumberFormat="1" applyFont="1" applyBorder="1" applyAlignment="1" applyProtection="1">
      <alignment horizontal="left"/>
      <protection locked="0"/>
    </xf>
    <xf numFmtId="14" fontId="6" fillId="0" borderId="0" xfId="2" applyNumberFormat="1" applyProtection="1">
      <protection locked="0"/>
    </xf>
    <xf numFmtId="164" fontId="6" fillId="0" borderId="0" xfId="2" applyNumberFormat="1" applyProtection="1">
      <protection locked="0"/>
    </xf>
    <xf numFmtId="0" fontId="15" fillId="7" borderId="27" xfId="2" applyNumberFormat="1" applyFont="1" applyFill="1" applyBorder="1" applyAlignment="1" applyProtection="1">
      <alignment horizontal="center"/>
    </xf>
    <xf numFmtId="0" fontId="15" fillId="7" borderId="27" xfId="2" applyFont="1" applyFill="1" applyBorder="1" applyAlignment="1" applyProtection="1">
      <alignment horizontal="center"/>
    </xf>
    <xf numFmtId="170" fontId="15" fillId="7" borderId="27" xfId="2" applyNumberFormat="1" applyFont="1" applyFill="1" applyBorder="1" applyAlignment="1" applyProtection="1">
      <alignment horizontal="center"/>
    </xf>
    <xf numFmtId="14" fontId="6" fillId="0" borderId="26" xfId="2" applyNumberFormat="1" applyBorder="1" applyAlignment="1" applyProtection="1">
      <alignment horizontal="left"/>
      <protection locked="0"/>
    </xf>
    <xf numFmtId="14" fontId="6" fillId="0" borderId="25" xfId="2" applyNumberFormat="1" applyBorder="1" applyAlignment="1" applyProtection="1">
      <alignment horizontal="left"/>
      <protection locked="0"/>
    </xf>
    <xf numFmtId="169" fontId="14" fillId="6" borderId="26" xfId="2" applyNumberFormat="1" applyFont="1" applyFill="1" applyBorder="1" applyAlignment="1" applyProtection="1">
      <alignment horizontal="left"/>
      <protection locked="0"/>
    </xf>
    <xf numFmtId="169" fontId="14" fillId="6" borderId="0" xfId="2" applyNumberFormat="1" applyFont="1" applyFill="1" applyBorder="1" applyAlignment="1" applyProtection="1">
      <alignment horizontal="left"/>
      <protection locked="0"/>
    </xf>
    <xf numFmtId="14" fontId="12" fillId="0" borderId="19" xfId="2" applyNumberFormat="1" applyFont="1" applyBorder="1" applyAlignment="1" applyProtection="1">
      <alignment horizontal="left"/>
      <protection locked="0"/>
    </xf>
    <xf numFmtId="14" fontId="12" fillId="0" borderId="24" xfId="2" applyNumberFormat="1" applyFont="1" applyBorder="1" applyAlignment="1" applyProtection="1">
      <alignment horizontal="left"/>
      <protection locked="0"/>
    </xf>
    <xf numFmtId="0" fontId="6" fillId="0" borderId="24" xfId="2" applyBorder="1" applyProtection="1">
      <protection locked="0"/>
    </xf>
    <xf numFmtId="14" fontId="12" fillId="0" borderId="26" xfId="2" applyNumberFormat="1" applyFont="1" applyBorder="1" applyAlignment="1" applyProtection="1">
      <alignment horizontal="left"/>
      <protection locked="0"/>
    </xf>
    <xf numFmtId="172" fontId="3" fillId="0" borderId="1" xfId="0" applyNumberFormat="1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67" fontId="7" fillId="0" borderId="1" xfId="1" applyNumberFormat="1" applyFont="1" applyBorder="1" applyAlignment="1">
      <alignment horizontal="center" vertical="center"/>
    </xf>
    <xf numFmtId="167" fontId="0" fillId="0" borderId="1" xfId="1" applyNumberFormat="1" applyFont="1" applyBorder="1" applyAlignment="1">
      <alignment horizontal="center" vertical="center"/>
    </xf>
    <xf numFmtId="9" fontId="7" fillId="0" borderId="1" xfId="1" applyNumberFormat="1" applyFont="1" applyBorder="1" applyAlignment="1">
      <alignment horizontal="center" vertical="center"/>
    </xf>
    <xf numFmtId="9" fontId="0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0" xfId="0" applyAlignment="1">
      <alignment horizontal="center" vertical="top" wrapText="1"/>
    </xf>
    <xf numFmtId="0" fontId="0" fillId="0" borderId="28" xfId="0" applyBorder="1" applyAlignment="1">
      <alignment horizontal="center" vertical="top" wrapText="1"/>
    </xf>
    <xf numFmtId="171" fontId="2" fillId="0" borderId="1" xfId="0" applyNumberFormat="1" applyFont="1" applyBorder="1" applyAlignment="1" applyProtection="1">
      <alignment horizontal="center" vertical="center"/>
    </xf>
    <xf numFmtId="0" fontId="3" fillId="0" borderId="1" xfId="0" applyNumberFormat="1" applyFont="1" applyBorder="1" applyAlignment="1" applyProtection="1">
      <alignment horizontal="center"/>
    </xf>
    <xf numFmtId="165" fontId="3" fillId="0" borderId="2" xfId="0" applyNumberFormat="1" applyFont="1" applyBorder="1" applyAlignment="1" applyProtection="1">
      <alignment horizontal="center"/>
    </xf>
    <xf numFmtId="165" fontId="3" fillId="0" borderId="3" xfId="0" applyNumberFormat="1" applyFont="1" applyBorder="1" applyAlignment="1" applyProtection="1">
      <alignment horizontal="center"/>
    </xf>
    <xf numFmtId="165" fontId="3" fillId="0" borderId="4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horizontal="center" vertical="center"/>
    </xf>
    <xf numFmtId="1" fontId="7" fillId="0" borderId="1" xfId="1" applyNumberFormat="1" applyFont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 vertical="center"/>
    </xf>
    <xf numFmtId="167" fontId="7" fillId="2" borderId="1" xfId="1" applyNumberFormat="1" applyFont="1" applyFill="1" applyBorder="1" applyAlignment="1">
      <alignment horizontal="center" vertical="center"/>
    </xf>
    <xf numFmtId="167" fontId="0" fillId="2" borderId="1" xfId="1" applyNumberFormat="1" applyFont="1" applyFill="1" applyBorder="1" applyAlignment="1">
      <alignment horizontal="center" vertical="center"/>
    </xf>
    <xf numFmtId="9" fontId="7" fillId="2" borderId="1" xfId="1" applyNumberFormat="1" applyFont="1" applyFill="1" applyBorder="1" applyAlignment="1">
      <alignment horizontal="center" vertical="center"/>
    </xf>
    <xf numFmtId="9" fontId="0" fillId="2" borderId="1" xfId="1" applyNumberFormat="1" applyFont="1" applyFill="1" applyBorder="1" applyAlignment="1">
      <alignment horizontal="center" vertical="center"/>
    </xf>
    <xf numFmtId="9" fontId="7" fillId="0" borderId="6" xfId="1" applyNumberFormat="1" applyFont="1" applyBorder="1" applyAlignment="1">
      <alignment horizontal="center" vertical="center"/>
    </xf>
    <xf numFmtId="9" fontId="7" fillId="0" borderId="7" xfId="1" applyNumberFormat="1" applyFont="1" applyBorder="1" applyAlignment="1">
      <alignment horizontal="center" vertical="center"/>
    </xf>
    <xf numFmtId="0" fontId="9" fillId="2" borderId="8" xfId="2" applyFont="1" applyFill="1" applyBorder="1" applyAlignment="1" applyProtection="1">
      <alignment horizontal="center"/>
      <protection locked="0"/>
    </xf>
    <xf numFmtId="0" fontId="9" fillId="2" borderId="9" xfId="2" applyFont="1" applyFill="1" applyBorder="1" applyAlignment="1" applyProtection="1">
      <alignment horizontal="center"/>
      <protection locked="0"/>
    </xf>
    <xf numFmtId="0" fontId="6" fillId="0" borderId="0" xfId="2" applyAlignment="1" applyProtection="1">
      <alignment horizontal="center"/>
      <protection locked="0"/>
    </xf>
    <xf numFmtId="0" fontId="8" fillId="0" borderId="0" xfId="2" applyFont="1" applyAlignment="1" applyProtection="1">
      <alignment horizontal="center"/>
      <protection locked="0"/>
    </xf>
    <xf numFmtId="0" fontId="9" fillId="4" borderId="0" xfId="2" applyFont="1" applyFill="1" applyAlignment="1" applyProtection="1">
      <alignment horizontal="center"/>
      <protection locked="0"/>
    </xf>
    <xf numFmtId="0" fontId="10" fillId="2" borderId="8" xfId="2" applyFont="1" applyFill="1" applyBorder="1" applyAlignment="1" applyProtection="1">
      <alignment horizontal="center"/>
      <protection locked="0"/>
    </xf>
    <xf numFmtId="0" fontId="10" fillId="2" borderId="9" xfId="2" applyFont="1" applyFill="1" applyBorder="1" applyAlignment="1" applyProtection="1">
      <alignment horizontal="center"/>
      <protection locked="0"/>
    </xf>
    <xf numFmtId="0" fontId="6" fillId="0" borderId="0" xfId="2" applyAlignment="1" applyProtection="1">
      <alignment horizontal="left"/>
      <protection locked="0"/>
    </xf>
    <xf numFmtId="0" fontId="9" fillId="4" borderId="22" xfId="2" applyFont="1" applyFill="1" applyBorder="1" applyAlignment="1" applyProtection="1">
      <alignment horizontal="center"/>
      <protection locked="0"/>
    </xf>
    <xf numFmtId="0" fontId="9" fillId="4" borderId="23" xfId="2" applyFont="1" applyFill="1" applyBorder="1" applyAlignment="1" applyProtection="1">
      <alignment horizontal="center"/>
      <protection locked="0"/>
    </xf>
    <xf numFmtId="165" fontId="13" fillId="6" borderId="0" xfId="2" applyNumberFormat="1" applyFont="1" applyFill="1" applyAlignment="1" applyProtection="1">
      <alignment horizontal="center"/>
      <protection locked="0"/>
    </xf>
    <xf numFmtId="0" fontId="6" fillId="0" borderId="0" xfId="2" applyAlignment="1" applyProtection="1">
      <alignment horizontal="left" wrapText="1"/>
      <protection locked="0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veilleux/Desktop/Rapport%20de%20ve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-15"/>
      <sheetName val="Juin-15"/>
      <sheetName val="Juillet-15"/>
      <sheetName val="Août-15"/>
      <sheetName val="Septembre-15"/>
      <sheetName val="Octobre-15"/>
      <sheetName val="Novembre-15"/>
      <sheetName val="Décembre-15"/>
      <sheetName val="Janvier-16"/>
      <sheetName val="Fevrier-16"/>
      <sheetName val="Mars-16"/>
      <sheetName val="Avril-16"/>
      <sheetName val="Mai-16"/>
      <sheetName val="Juin-16"/>
      <sheetName val="Juillet-16"/>
      <sheetName val="Août-16"/>
      <sheetName val="Sept-16"/>
      <sheetName val="Oct-16"/>
      <sheetName val="Nov-16"/>
      <sheetName val="Déc-16"/>
      <sheetName val="Rapport annuels"/>
      <sheetName val="Objectif vente - mois"/>
      <sheetName val="Objectif vente - marché"/>
      <sheetName val="Menu"/>
      <sheetName val="Comparatifs 2013 à 20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4">
          <cell r="F24">
            <v>3</v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1">
          <cell r="A1" t="str">
            <v>Principal</v>
          </cell>
          <cell r="B1" t="str">
            <v>Corporatif</v>
          </cell>
          <cell r="C1" t="str">
            <v>Soumission</v>
          </cell>
        </row>
        <row r="2">
          <cell r="A2" t="str">
            <v>Gouvernail</v>
          </cell>
          <cell r="B2" t="str">
            <v>Mariage</v>
          </cell>
          <cell r="C2" t="str">
            <v>Contrat</v>
          </cell>
        </row>
        <row r="3">
          <cell r="A3" t="str">
            <v>Extérieur</v>
          </cell>
          <cell r="B3" t="str">
            <v>SMERF</v>
          </cell>
          <cell r="C3" t="str">
            <v>Refus</v>
          </cell>
        </row>
        <row r="4">
          <cell r="A4" t="str">
            <v>Chapiteau</v>
          </cell>
          <cell r="B4" t="str">
            <v>Party de noel</v>
          </cell>
        </row>
        <row r="5">
          <cell r="A5" t="str">
            <v>Conférence</v>
          </cell>
          <cell r="B5" t="str">
            <v>École</v>
          </cell>
        </row>
        <row r="6">
          <cell r="B6" t="str">
            <v>Autre</v>
          </cell>
        </row>
      </sheetData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externalLinkPath" Target="/private/var/folders/r4/99vsbwys5k9_4dn8kmxr0s700000gn/T/com.microsoft.Outlook/Outlook%20Temp/suivi%20vente%20d&#233;fi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/private/var/folders/r4/99vsbwys5k9_4dn8kmxr0s700000gn/T/com.microsoft.Outlook/Outlook%20Temp/suivi%20vente%20d&#233;f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selection activeCell="E1" sqref="E1:L2"/>
    </sheetView>
  </sheetViews>
  <sheetFormatPr baseColWidth="10" defaultRowHeight="15" x14ac:dyDescent="0.25"/>
  <cols>
    <col min="3" max="3" width="36.7109375" customWidth="1"/>
    <col min="8" max="8" width="11.85546875" bestFit="1" customWidth="1"/>
  </cols>
  <sheetData>
    <row r="1" spans="1:12" x14ac:dyDescent="0.25">
      <c r="E1" s="101">
        <v>42370</v>
      </c>
      <c r="F1" s="101"/>
      <c r="G1" s="101"/>
      <c r="H1" s="101"/>
      <c r="I1" s="101"/>
      <c r="J1" s="101"/>
      <c r="K1" s="101"/>
      <c r="L1" s="101"/>
    </row>
    <row r="2" spans="1:12" x14ac:dyDescent="0.25">
      <c r="E2" s="101"/>
      <c r="F2" s="101"/>
      <c r="G2" s="101"/>
      <c r="H2" s="101"/>
      <c r="I2" s="101"/>
      <c r="J2" s="101"/>
      <c r="K2" s="101"/>
      <c r="L2" s="101"/>
    </row>
    <row r="3" spans="1:12" x14ac:dyDescent="0.25">
      <c r="E3" s="102" t="s">
        <v>0</v>
      </c>
      <c r="F3" s="102"/>
      <c r="G3" s="102"/>
      <c r="H3" s="103" t="s">
        <v>1</v>
      </c>
      <c r="I3" s="104"/>
      <c r="J3" s="104"/>
      <c r="K3" s="104"/>
      <c r="L3" s="105"/>
    </row>
    <row r="4" spans="1:12" x14ac:dyDescent="0.25">
      <c r="A4" s="97" t="s">
        <v>55</v>
      </c>
      <c r="B4" s="97"/>
      <c r="C4" s="98"/>
      <c r="D4" s="1"/>
      <c r="E4" s="2" t="s">
        <v>2</v>
      </c>
      <c r="F4" s="3" t="s">
        <v>3</v>
      </c>
      <c r="G4" s="3" t="s">
        <v>4</v>
      </c>
      <c r="H4" s="4" t="s">
        <v>2</v>
      </c>
      <c r="I4" s="5" t="s">
        <v>5</v>
      </c>
      <c r="J4" s="6" t="s">
        <v>3</v>
      </c>
      <c r="K4" s="6" t="s">
        <v>4</v>
      </c>
      <c r="L4" s="7" t="s">
        <v>5</v>
      </c>
    </row>
    <row r="5" spans="1:12" x14ac:dyDescent="0.25">
      <c r="A5" s="97"/>
      <c r="B5" s="97"/>
      <c r="C5" s="98"/>
      <c r="D5" s="1"/>
      <c r="E5" s="8"/>
      <c r="F5" s="92"/>
      <c r="G5" s="8"/>
      <c r="H5" s="9"/>
      <c r="I5" s="10"/>
      <c r="J5" s="11"/>
      <c r="K5" s="12"/>
      <c r="L5" s="11"/>
    </row>
    <row r="6" spans="1:12" x14ac:dyDescent="0.25">
      <c r="A6" s="97"/>
      <c r="B6" s="97"/>
      <c r="C6" s="98"/>
      <c r="D6" s="86">
        <f>MONTH(E1)</f>
        <v>1</v>
      </c>
      <c r="E6" s="87">
        <v>3</v>
      </c>
      <c r="F6" s="91">
        <f>COUNTIF('Janvier-16'!$F$24:$F$36,MONTH(D6))</f>
        <v>0</v>
      </c>
      <c r="G6" s="89"/>
      <c r="H6" s="14">
        <v>8000</v>
      </c>
      <c r="I6" s="15">
        <f>H6/H30</f>
        <v>8.8888888888888889E-3</v>
      </c>
      <c r="J6" s="16"/>
      <c r="K6" s="12"/>
      <c r="L6" s="16"/>
    </row>
    <row r="7" spans="1:12" x14ac:dyDescent="0.25">
      <c r="A7" s="97"/>
      <c r="B7" s="97"/>
      <c r="C7" s="98"/>
      <c r="D7" s="1"/>
      <c r="E7" s="88"/>
      <c r="F7" s="92"/>
      <c r="G7" s="90"/>
      <c r="H7" s="17"/>
      <c r="I7" s="18"/>
      <c r="J7" s="13"/>
      <c r="K7" s="12"/>
      <c r="L7" s="16"/>
    </row>
    <row r="8" spans="1:12" x14ac:dyDescent="0.25">
      <c r="A8" s="97"/>
      <c r="B8" s="97"/>
      <c r="C8" s="98"/>
      <c r="D8" s="86">
        <f>EDATE(D6,1)</f>
        <v>32</v>
      </c>
      <c r="E8" s="87">
        <v>5</v>
      </c>
      <c r="F8" s="91">
        <f>COUNTIF('Janvier-16'!$F$24:$F$36,MONTH(D8))</f>
        <v>1</v>
      </c>
      <c r="G8" s="89"/>
      <c r="H8" s="14">
        <v>14000</v>
      </c>
      <c r="I8" s="15">
        <f>H8/H30</f>
        <v>1.5555555555555555E-2</v>
      </c>
      <c r="J8" s="16"/>
      <c r="K8" s="12"/>
      <c r="L8" s="16"/>
    </row>
    <row r="9" spans="1:12" x14ac:dyDescent="0.25">
      <c r="A9" s="97"/>
      <c r="B9" s="97"/>
      <c r="C9" s="98"/>
      <c r="D9" s="1"/>
      <c r="E9" s="88"/>
      <c r="F9" s="92"/>
      <c r="G9" s="90"/>
      <c r="H9" s="17"/>
      <c r="I9" s="18"/>
      <c r="J9" s="13"/>
      <c r="K9" s="12"/>
      <c r="L9" s="16"/>
    </row>
    <row r="10" spans="1:12" x14ac:dyDescent="0.25">
      <c r="A10" s="97"/>
      <c r="B10" s="97"/>
      <c r="C10" s="98"/>
      <c r="D10" s="86">
        <f t="shared" ref="D10" si="0">EDATE(D8,1)</f>
        <v>61</v>
      </c>
      <c r="E10" s="87">
        <v>6</v>
      </c>
      <c r="F10" s="91">
        <f>COUNTIF('Janvier-16'!$F$24:$F$36,MONTH(D10))</f>
        <v>0</v>
      </c>
      <c r="G10" s="89"/>
      <c r="H10" s="14">
        <v>20000</v>
      </c>
      <c r="I10" s="15">
        <f>H10/H30</f>
        <v>2.2222222222222223E-2</v>
      </c>
      <c r="J10" s="16"/>
      <c r="K10" s="12"/>
      <c r="L10" s="16"/>
    </row>
    <row r="11" spans="1:12" x14ac:dyDescent="0.25">
      <c r="A11" s="97"/>
      <c r="B11" s="97"/>
      <c r="C11" s="98"/>
      <c r="D11" s="20"/>
      <c r="E11" s="88"/>
      <c r="F11" s="92"/>
      <c r="G11" s="90"/>
      <c r="H11" s="17"/>
      <c r="I11" s="18"/>
      <c r="J11" s="13"/>
      <c r="K11" s="12"/>
      <c r="L11" s="16"/>
    </row>
    <row r="12" spans="1:12" x14ac:dyDescent="0.25">
      <c r="A12" s="97"/>
      <c r="B12" s="97"/>
      <c r="C12" s="98"/>
      <c r="D12" s="86">
        <f t="shared" ref="D12" si="1">EDATE(D10,1)</f>
        <v>92</v>
      </c>
      <c r="E12" s="87">
        <v>8</v>
      </c>
      <c r="F12" s="91">
        <f>COUNTIF('Janvier-16'!$F$24:$F$36,MONTH(D12))</f>
        <v>0</v>
      </c>
      <c r="G12" s="89"/>
      <c r="H12" s="14">
        <v>35000</v>
      </c>
      <c r="I12" s="15">
        <f>H12/H30</f>
        <v>3.888888888888889E-2</v>
      </c>
      <c r="J12" s="16"/>
      <c r="K12" s="12"/>
      <c r="L12" s="16"/>
    </row>
    <row r="13" spans="1:12" x14ac:dyDescent="0.25">
      <c r="A13" s="97"/>
      <c r="B13" s="97"/>
      <c r="C13" s="98"/>
      <c r="D13" s="20"/>
      <c r="E13" s="88"/>
      <c r="F13" s="92"/>
      <c r="G13" s="90"/>
      <c r="H13" s="17"/>
      <c r="I13" s="18"/>
      <c r="J13" s="13"/>
      <c r="K13" s="12"/>
      <c r="L13" s="16"/>
    </row>
    <row r="14" spans="1:12" x14ac:dyDescent="0.25">
      <c r="A14" s="97"/>
      <c r="B14" s="97"/>
      <c r="C14" s="98"/>
      <c r="D14" s="86">
        <f t="shared" ref="D14" si="2">EDATE(D12,1)</f>
        <v>122</v>
      </c>
      <c r="E14" s="87">
        <v>15</v>
      </c>
      <c r="F14" s="91">
        <f>COUNTIF('Janvier-16'!$F$24:$F$36,MONTH(D14))</f>
        <v>2</v>
      </c>
      <c r="G14" s="89"/>
      <c r="H14" s="14">
        <v>73000</v>
      </c>
      <c r="I14" s="15">
        <f>H14/H30</f>
        <v>8.1111111111111106E-2</v>
      </c>
      <c r="J14" s="16"/>
      <c r="K14" s="12"/>
      <c r="L14" s="16"/>
    </row>
    <row r="15" spans="1:12" x14ac:dyDescent="0.25">
      <c r="A15" t="s">
        <v>56</v>
      </c>
      <c r="D15" s="20"/>
      <c r="E15" s="88"/>
      <c r="F15" s="92"/>
      <c r="G15" s="90"/>
      <c r="H15" s="17"/>
      <c r="I15" s="18"/>
      <c r="J15" s="13"/>
      <c r="K15" s="12"/>
      <c r="L15" s="16"/>
    </row>
    <row r="16" spans="1:12" ht="15.75" x14ac:dyDescent="0.25">
      <c r="A16" t="s">
        <v>57</v>
      </c>
      <c r="D16" s="86">
        <f t="shared" ref="D16" si="3">EDATE(D14,1)</f>
        <v>153</v>
      </c>
      <c r="E16" s="87">
        <v>20</v>
      </c>
      <c r="F16" s="91">
        <f>COUNTIF('Janvier-16'!$F$24:$F$36,MONTH(D16))</f>
        <v>2</v>
      </c>
      <c r="G16" s="89"/>
      <c r="H16" s="19">
        <v>95000</v>
      </c>
      <c r="I16" s="15">
        <f>H16/H30</f>
        <v>0.10555555555555556</v>
      </c>
      <c r="J16" s="16"/>
      <c r="K16" s="12"/>
      <c r="L16" s="16"/>
    </row>
    <row r="17" spans="1:12" x14ac:dyDescent="0.25">
      <c r="A17" s="99" t="s">
        <v>59</v>
      </c>
      <c r="B17" s="99"/>
      <c r="C17" s="100"/>
      <c r="D17" s="20"/>
      <c r="E17" s="88"/>
      <c r="F17" s="92"/>
      <c r="G17" s="90"/>
      <c r="H17" s="17"/>
      <c r="I17" s="18"/>
      <c r="J17" s="13"/>
      <c r="K17" s="12"/>
      <c r="L17" s="16"/>
    </row>
    <row r="18" spans="1:12" x14ac:dyDescent="0.25">
      <c r="A18" s="99"/>
      <c r="B18" s="99"/>
      <c r="C18" s="100"/>
      <c r="D18" s="86">
        <f t="shared" ref="D18" si="4">EDATE(D16,1)</f>
        <v>183</v>
      </c>
      <c r="E18" s="87">
        <v>16</v>
      </c>
      <c r="F18" s="91">
        <f>COUNTIF('Janvier-16'!$F$24:$F$36,MONTH(D18))</f>
        <v>2</v>
      </c>
      <c r="G18" s="89"/>
      <c r="H18" s="14">
        <v>85000</v>
      </c>
      <c r="I18" s="15">
        <f>H18/H30</f>
        <v>9.4444444444444442E-2</v>
      </c>
      <c r="J18" s="16"/>
      <c r="K18" s="12"/>
      <c r="L18" s="16"/>
    </row>
    <row r="19" spans="1:12" x14ac:dyDescent="0.25">
      <c r="A19" s="99"/>
      <c r="B19" s="99"/>
      <c r="C19" s="100"/>
      <c r="D19" s="20"/>
      <c r="E19" s="88"/>
      <c r="F19" s="92"/>
      <c r="G19" s="90"/>
      <c r="H19" s="17"/>
      <c r="I19" s="18"/>
      <c r="J19" s="13"/>
      <c r="K19" s="12"/>
      <c r="L19" s="16"/>
    </row>
    <row r="20" spans="1:12" x14ac:dyDescent="0.25">
      <c r="A20" s="99"/>
      <c r="B20" s="99"/>
      <c r="C20" s="100"/>
      <c r="D20" s="86">
        <f t="shared" ref="D20" si="5">EDATE(D18,1)</f>
        <v>214</v>
      </c>
      <c r="E20" s="87">
        <v>20</v>
      </c>
      <c r="F20" s="91">
        <f>COUNTIF('Janvier-16'!$F$24:$F$36,MONTH(D20))</f>
        <v>1</v>
      </c>
      <c r="G20" s="89"/>
      <c r="H20" s="14">
        <v>180000</v>
      </c>
      <c r="I20" s="15">
        <f>H20/H30</f>
        <v>0.2</v>
      </c>
      <c r="J20" s="16"/>
      <c r="K20" s="12"/>
      <c r="L20" s="16"/>
    </row>
    <row r="21" spans="1:12" x14ac:dyDescent="0.25">
      <c r="A21" t="s">
        <v>58</v>
      </c>
      <c r="D21" s="20"/>
      <c r="E21" s="88"/>
      <c r="F21" s="92"/>
      <c r="G21" s="90"/>
      <c r="H21" s="17"/>
      <c r="I21" s="18"/>
      <c r="J21" s="13"/>
      <c r="K21" s="12"/>
      <c r="L21" s="16"/>
    </row>
    <row r="22" spans="1:12" x14ac:dyDescent="0.25">
      <c r="D22" s="86">
        <f t="shared" ref="D22" si="6">EDATE(D20,1)</f>
        <v>245</v>
      </c>
      <c r="E22" s="87">
        <v>20</v>
      </c>
      <c r="F22" s="91">
        <f>COUNTIF('Janvier-16'!$F$24:$F$36,MONTH(D22))</f>
        <v>0</v>
      </c>
      <c r="G22" s="89"/>
      <c r="H22" s="14">
        <v>115000</v>
      </c>
      <c r="I22" s="15">
        <f>H22/H30</f>
        <v>0.12777777777777777</v>
      </c>
      <c r="J22" s="16"/>
      <c r="K22" s="12"/>
      <c r="L22" s="16"/>
    </row>
    <row r="23" spans="1:12" x14ac:dyDescent="0.25">
      <c r="D23" s="20"/>
      <c r="E23" s="88"/>
      <c r="F23" s="92"/>
      <c r="G23" s="90"/>
      <c r="H23" s="17"/>
      <c r="I23" s="18"/>
      <c r="J23" s="13"/>
      <c r="K23" s="12"/>
      <c r="L23" s="16"/>
    </row>
    <row r="24" spans="1:12" x14ac:dyDescent="0.25">
      <c r="D24" s="86">
        <f t="shared" ref="D24" si="7">EDATE(D22,1)</f>
        <v>275</v>
      </c>
      <c r="E24" s="87">
        <v>10</v>
      </c>
      <c r="F24" s="91">
        <f>COUNTIF('Janvier-16'!$F$24:$F$36,MONTH(D24))</f>
        <v>0</v>
      </c>
      <c r="G24" s="89"/>
      <c r="H24" s="14">
        <v>70000</v>
      </c>
      <c r="I24" s="15">
        <f>H24/H30</f>
        <v>7.7777777777777779E-2</v>
      </c>
      <c r="J24" s="16"/>
      <c r="K24" s="12"/>
      <c r="L24" s="16"/>
    </row>
    <row r="25" spans="1:12" x14ac:dyDescent="0.25">
      <c r="D25" s="20"/>
      <c r="E25" s="88"/>
      <c r="F25" s="92"/>
      <c r="G25" s="90"/>
      <c r="H25" s="17"/>
      <c r="I25" s="18"/>
      <c r="J25" s="13"/>
      <c r="K25" s="12"/>
      <c r="L25" s="16"/>
    </row>
    <row r="26" spans="1:12" x14ac:dyDescent="0.25">
      <c r="D26" s="86">
        <f t="shared" ref="D26" si="8">EDATE(D24,1)</f>
        <v>306</v>
      </c>
      <c r="E26" s="87">
        <v>10</v>
      </c>
      <c r="F26" s="91">
        <f>COUNTIF('Janvier-16'!$F$24:$F$36,MONTH(D26))</f>
        <v>0</v>
      </c>
      <c r="G26" s="89"/>
      <c r="H26" s="14">
        <v>85000</v>
      </c>
      <c r="I26" s="15">
        <f>H26/H30</f>
        <v>9.4444444444444442E-2</v>
      </c>
      <c r="J26" s="16"/>
      <c r="K26" s="12"/>
      <c r="L26" s="16"/>
    </row>
    <row r="27" spans="1:12" x14ac:dyDescent="0.25">
      <c r="D27" s="20"/>
      <c r="E27" s="88"/>
      <c r="F27" s="92"/>
      <c r="G27" s="90"/>
      <c r="H27" s="17"/>
      <c r="I27" s="18"/>
      <c r="J27" s="13"/>
      <c r="K27" s="12"/>
      <c r="L27" s="16"/>
    </row>
    <row r="28" spans="1:12" x14ac:dyDescent="0.25">
      <c r="D28" s="86">
        <f t="shared" ref="D28" si="9">EDATE(D26,1)</f>
        <v>336</v>
      </c>
      <c r="E28" s="87">
        <v>17</v>
      </c>
      <c r="F28" s="91">
        <f>COUNTIF('Janvier-16'!$F$24:$F$36,MONTH(D28))</f>
        <v>0</v>
      </c>
      <c r="G28" s="89"/>
      <c r="H28" s="14">
        <v>120000</v>
      </c>
      <c r="I28" s="15">
        <f>H28/H30</f>
        <v>0.13333333333333333</v>
      </c>
      <c r="J28" s="16"/>
      <c r="K28" s="12"/>
      <c r="L28" s="16"/>
    </row>
    <row r="29" spans="1:12" x14ac:dyDescent="0.25">
      <c r="D29" s="20"/>
      <c r="E29" s="88"/>
      <c r="F29" s="92"/>
      <c r="G29" s="90"/>
      <c r="H29" s="17"/>
      <c r="I29" s="18"/>
      <c r="J29" s="13"/>
      <c r="K29" s="12"/>
      <c r="L29" s="16"/>
    </row>
    <row r="30" spans="1:12" x14ac:dyDescent="0.25">
      <c r="D30" s="106" t="s">
        <v>6</v>
      </c>
      <c r="E30" s="107">
        <f>SUM(E28+E26+E24+E22+E20+E18+E16+E14+E12+E10+E8+E6)</f>
        <v>150</v>
      </c>
      <c r="F30" s="107">
        <f>SUM(F28+F26+F24+F22+F20+F18+F16+F14+F12+F10+F8+F6)</f>
        <v>8</v>
      </c>
      <c r="G30" s="107">
        <f>SUM(G28+G26+G24+G22+G20+G18+G16+G14+G12+G10+G8+G6)</f>
        <v>0</v>
      </c>
      <c r="H30" s="109">
        <f>SUM(H28+H26+H24+H22+H20+H18+H16+H14+H12+H10+H8+H6)</f>
        <v>900000</v>
      </c>
      <c r="I30" s="111">
        <f>SUM(I6+I8+I10+I12+I14+I16+I18+I20+I22+I24+I26+I28)</f>
        <v>0.99999999999999989</v>
      </c>
      <c r="J30" s="113"/>
      <c r="K30" s="93">
        <f>SUM(K6+K8+K10+K12+K14+K16+K18+K20+K22+K24+K26+K28)</f>
        <v>0</v>
      </c>
      <c r="L30" s="95">
        <f t="shared" ref="L30" si="10">SUM(L6+L8+L10+L12+L14+L16+L18+L20+L22+L24+L26+L28)</f>
        <v>0</v>
      </c>
    </row>
    <row r="31" spans="1:12" x14ac:dyDescent="0.25">
      <c r="D31" s="106"/>
      <c r="E31" s="108"/>
      <c r="F31" s="108"/>
      <c r="G31" s="108"/>
      <c r="H31" s="110"/>
      <c r="I31" s="112"/>
      <c r="J31" s="114"/>
      <c r="K31" s="94"/>
      <c r="L31" s="96"/>
    </row>
  </sheetData>
  <mergeCells count="14">
    <mergeCell ref="K30:K31"/>
    <mergeCell ref="L30:L31"/>
    <mergeCell ref="A4:C14"/>
    <mergeCell ref="A17:C20"/>
    <mergeCell ref="E1:L2"/>
    <mergeCell ref="E3:G3"/>
    <mergeCell ref="H3:L3"/>
    <mergeCell ref="D30:D31"/>
    <mergeCell ref="E30:E31"/>
    <mergeCell ref="F30:F31"/>
    <mergeCell ref="G30:G31"/>
    <mergeCell ref="H30:H31"/>
    <mergeCell ref="I30:I31"/>
    <mergeCell ref="J30:J3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S61"/>
  <sheetViews>
    <sheetView topLeftCell="A17" workbookViewId="0">
      <selection activeCell="B33" sqref="B33"/>
    </sheetView>
  </sheetViews>
  <sheetFormatPr baseColWidth="10" defaultColWidth="12.42578125" defaultRowHeight="15.75" x14ac:dyDescent="0.25"/>
  <cols>
    <col min="1" max="1" width="42.85546875" style="21" bestFit="1" customWidth="1"/>
    <col min="2" max="2" width="21.85546875" style="21" customWidth="1"/>
    <col min="3" max="3" width="22.42578125" style="21" bestFit="1" customWidth="1"/>
    <col min="4" max="5" width="35" style="21" customWidth="1"/>
    <col min="6" max="6" width="12.42578125" style="21"/>
    <col min="7" max="7" width="8.5703125" style="21" bestFit="1" customWidth="1"/>
    <col min="8" max="8" width="13.85546875" style="21" bestFit="1" customWidth="1"/>
    <col min="9" max="9" width="13.28515625" style="21" customWidth="1"/>
    <col min="10" max="10" width="12.42578125" style="21"/>
    <col min="11" max="11" width="17.140625" style="21" customWidth="1"/>
    <col min="12" max="13" width="14.42578125" style="21" customWidth="1"/>
    <col min="14" max="14" width="13.85546875" style="21" customWidth="1"/>
    <col min="15" max="15" width="13.28515625" style="21" customWidth="1"/>
    <col min="16" max="16" width="26.28515625" style="21" customWidth="1"/>
    <col min="17" max="17" width="14.140625" style="21" customWidth="1"/>
    <col min="18" max="18" width="13.28515625" style="21" customWidth="1"/>
    <col min="19" max="20" width="14.42578125" style="21" customWidth="1"/>
    <col min="21" max="21" width="13.28515625" style="21" bestFit="1" customWidth="1"/>
    <col min="22" max="22" width="18.85546875" style="21" bestFit="1" customWidth="1"/>
    <col min="23" max="30" width="14.42578125" style="21" bestFit="1" customWidth="1"/>
    <col min="31" max="31" width="39.85546875" style="21" bestFit="1" customWidth="1"/>
    <col min="32" max="16384" width="12.42578125" style="21"/>
  </cols>
  <sheetData>
    <row r="1" spans="1:19" ht="24" thickBot="1" x14ac:dyDescent="0.4">
      <c r="A1" s="118" t="str">
        <f ca="1">MID(CELL("filename",$A$3),SEARCH("]",CELL("filename",$A$3))+1,99)</f>
        <v>Janvier-16</v>
      </c>
      <c r="B1" s="118"/>
      <c r="C1" s="118"/>
      <c r="D1" s="118"/>
      <c r="E1" s="118"/>
    </row>
    <row r="2" spans="1:19" s="25" customFormat="1" ht="25.5" thickBot="1" x14ac:dyDescent="0.3">
      <c r="A2" s="22" t="s">
        <v>7</v>
      </c>
      <c r="B2" s="119" t="s">
        <v>8</v>
      </c>
      <c r="C2" s="119"/>
      <c r="D2" s="22" t="s">
        <v>9</v>
      </c>
      <c r="E2" s="22" t="s">
        <v>10</v>
      </c>
      <c r="F2" s="120" t="s">
        <v>11</v>
      </c>
      <c r="G2" s="121"/>
      <c r="H2" s="115" t="s">
        <v>9</v>
      </c>
      <c r="I2" s="116"/>
      <c r="J2" s="115" t="s">
        <v>12</v>
      </c>
      <c r="K2" s="116"/>
      <c r="L2" s="23" t="s">
        <v>13</v>
      </c>
      <c r="M2" s="23" t="s">
        <v>14</v>
      </c>
      <c r="N2" s="24" t="s">
        <v>15</v>
      </c>
      <c r="O2" s="24" t="s">
        <v>16</v>
      </c>
    </row>
    <row r="3" spans="1:19" ht="16.5" thickBot="1" x14ac:dyDescent="0.3">
      <c r="A3" s="21" t="s">
        <v>17</v>
      </c>
      <c r="B3" s="117" t="s">
        <v>18</v>
      </c>
      <c r="C3" s="117"/>
      <c r="D3" s="21" t="s">
        <v>19</v>
      </c>
      <c r="E3" s="26" t="s">
        <v>20</v>
      </c>
      <c r="F3" s="27" t="s">
        <v>21</v>
      </c>
      <c r="G3" s="28">
        <f>COUNTIF(B3:B21,"Gouvernail")</f>
        <v>3</v>
      </c>
      <c r="H3" s="27" t="s">
        <v>22</v>
      </c>
      <c r="I3" s="28">
        <f>COUNTIF(D3:D21,"Corporatif")</f>
        <v>6</v>
      </c>
      <c r="J3" s="27" t="s">
        <v>23</v>
      </c>
      <c r="K3" s="28">
        <f>COUNTIF(E3:E21,"Soumission")</f>
        <v>11</v>
      </c>
      <c r="L3" s="29">
        <f>SUM(E24:E36)</f>
        <v>71814</v>
      </c>
      <c r="M3" s="29">
        <f>SUM(E40:E47)</f>
        <v>2240</v>
      </c>
      <c r="N3" s="30">
        <f>COUNTA(B3:B21)</f>
        <v>13</v>
      </c>
      <c r="O3" s="31">
        <f>COUNTA(A40:A47)</f>
        <v>2</v>
      </c>
    </row>
    <row r="4" spans="1:19" x14ac:dyDescent="0.25">
      <c r="A4" s="21" t="s">
        <v>24</v>
      </c>
      <c r="B4" s="117" t="s">
        <v>18</v>
      </c>
      <c r="C4" s="117"/>
      <c r="D4" s="21" t="s">
        <v>25</v>
      </c>
      <c r="E4" s="26" t="s">
        <v>20</v>
      </c>
      <c r="F4" s="27" t="s">
        <v>18</v>
      </c>
      <c r="G4" s="28">
        <f>COUNTIF(B3:B21,"Principal")</f>
        <v>9</v>
      </c>
      <c r="H4" s="27" t="s">
        <v>26</v>
      </c>
      <c r="I4" s="32">
        <f>COUNTIF(D3:D21,"Party de noel")</f>
        <v>1</v>
      </c>
      <c r="J4" s="33" t="s">
        <v>27</v>
      </c>
      <c r="K4" s="33">
        <f>COUNTIF(E3:E21,"Refus")</f>
        <v>0</v>
      </c>
      <c r="L4" s="34"/>
      <c r="M4" s="34"/>
    </row>
    <row r="5" spans="1:19" x14ac:dyDescent="0.25">
      <c r="A5" s="21" t="s">
        <v>28</v>
      </c>
      <c r="B5" s="117" t="s">
        <v>21</v>
      </c>
      <c r="C5" s="117"/>
      <c r="D5" s="21" t="s">
        <v>29</v>
      </c>
      <c r="E5" s="26" t="s">
        <v>20</v>
      </c>
      <c r="F5" s="27" t="s">
        <v>30</v>
      </c>
      <c r="G5" s="28">
        <f>COUNTIF(B3:B21,"Chapiteau")</f>
        <v>1</v>
      </c>
      <c r="H5" s="27" t="s">
        <v>29</v>
      </c>
      <c r="I5" s="32">
        <f>COUNTIF(D3:D21,"SMERF")</f>
        <v>3</v>
      </c>
      <c r="J5" s="33" t="s">
        <v>31</v>
      </c>
      <c r="K5" s="33">
        <f>COUNTIF(E3:E21,"Contrat")</f>
        <v>2</v>
      </c>
      <c r="L5" s="34"/>
      <c r="M5" s="34"/>
    </row>
    <row r="6" spans="1:19" ht="16.5" thickBot="1" x14ac:dyDescent="0.3">
      <c r="A6" s="21" t="s">
        <v>32</v>
      </c>
      <c r="B6" s="117" t="s">
        <v>18</v>
      </c>
      <c r="C6" s="117"/>
      <c r="D6" s="21" t="s">
        <v>29</v>
      </c>
      <c r="E6" s="26" t="s">
        <v>20</v>
      </c>
      <c r="F6" s="35" t="s">
        <v>33</v>
      </c>
      <c r="G6" s="36">
        <f>COUNTIF(B3:B21,"Exterieur")</f>
        <v>0</v>
      </c>
      <c r="H6" s="27" t="s">
        <v>25</v>
      </c>
      <c r="I6" s="28">
        <f>COUNTIF(D3:D21,"Mariage")</f>
        <v>3</v>
      </c>
      <c r="J6" s="37"/>
      <c r="L6" s="38"/>
      <c r="M6" s="34"/>
    </row>
    <row r="7" spans="1:19" x14ac:dyDescent="0.25">
      <c r="A7" s="21" t="s">
        <v>34</v>
      </c>
      <c r="B7" s="117" t="s">
        <v>18</v>
      </c>
      <c r="C7" s="117"/>
      <c r="D7" s="21" t="s">
        <v>19</v>
      </c>
      <c r="E7" s="26" t="s">
        <v>20</v>
      </c>
      <c r="H7" s="27" t="s">
        <v>35</v>
      </c>
      <c r="I7" s="28">
        <f>COUNTIF(D3:D21,"École")</f>
        <v>0</v>
      </c>
      <c r="K7" s="39"/>
      <c r="L7" s="39"/>
      <c r="M7" s="39"/>
    </row>
    <row r="8" spans="1:19" ht="16.5" thickBot="1" x14ac:dyDescent="0.3">
      <c r="A8" s="21" t="s">
        <v>36</v>
      </c>
      <c r="B8" s="117" t="s">
        <v>18</v>
      </c>
      <c r="C8" s="117"/>
      <c r="D8" s="21" t="s">
        <v>19</v>
      </c>
      <c r="E8" s="26" t="s">
        <v>20</v>
      </c>
      <c r="H8" s="40" t="s">
        <v>37</v>
      </c>
      <c r="I8" s="41">
        <f>COUNTIF(D3:D21,"Autre")</f>
        <v>0</v>
      </c>
      <c r="K8" s="42"/>
      <c r="L8" s="39"/>
      <c r="M8" s="39"/>
    </row>
    <row r="9" spans="1:19" x14ac:dyDescent="0.25">
      <c r="A9" s="21" t="s">
        <v>38</v>
      </c>
      <c r="B9" s="117" t="s">
        <v>18</v>
      </c>
      <c r="C9" s="117"/>
      <c r="D9" s="21" t="s">
        <v>29</v>
      </c>
      <c r="E9" s="26" t="s">
        <v>31</v>
      </c>
      <c r="K9" s="39"/>
      <c r="L9" s="39"/>
      <c r="M9" s="39"/>
    </row>
    <row r="10" spans="1:19" x14ac:dyDescent="0.25">
      <c r="A10" s="21" t="s">
        <v>39</v>
      </c>
      <c r="B10" s="117" t="s">
        <v>18</v>
      </c>
      <c r="C10" s="117"/>
      <c r="D10" s="21" t="s">
        <v>25</v>
      </c>
      <c r="E10" s="26" t="s">
        <v>20</v>
      </c>
      <c r="K10" s="39"/>
      <c r="L10" s="39"/>
      <c r="M10" s="39"/>
    </row>
    <row r="11" spans="1:19" x14ac:dyDescent="0.25">
      <c r="A11" s="43" t="s">
        <v>40</v>
      </c>
      <c r="B11" s="117" t="s">
        <v>21</v>
      </c>
      <c r="C11" s="117"/>
      <c r="D11" s="21" t="s">
        <v>19</v>
      </c>
      <c r="E11" s="26" t="s">
        <v>20</v>
      </c>
      <c r="K11" s="39"/>
      <c r="L11" s="39"/>
      <c r="M11" s="39"/>
    </row>
    <row r="12" spans="1:19" x14ac:dyDescent="0.25">
      <c r="A12" s="43" t="s">
        <v>41</v>
      </c>
      <c r="B12" s="117" t="s">
        <v>21</v>
      </c>
      <c r="C12" s="117"/>
      <c r="D12" s="21" t="s">
        <v>25</v>
      </c>
      <c r="E12" s="26" t="s">
        <v>20</v>
      </c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</row>
    <row r="13" spans="1:19" x14ac:dyDescent="0.25">
      <c r="A13" s="43" t="s">
        <v>42</v>
      </c>
      <c r="B13" s="117" t="s">
        <v>30</v>
      </c>
      <c r="C13" s="117"/>
      <c r="D13" s="21" t="s">
        <v>19</v>
      </c>
      <c r="E13" s="26" t="s">
        <v>20</v>
      </c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</row>
    <row r="14" spans="1:19" x14ac:dyDescent="0.25">
      <c r="A14" s="43" t="s">
        <v>43</v>
      </c>
      <c r="B14" s="117" t="s">
        <v>18</v>
      </c>
      <c r="C14" s="117"/>
      <c r="D14" s="21" t="s">
        <v>19</v>
      </c>
      <c r="E14" s="26" t="s">
        <v>31</v>
      </c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</row>
    <row r="15" spans="1:19" x14ac:dyDescent="0.25">
      <c r="A15" s="43" t="s">
        <v>44</v>
      </c>
      <c r="B15" s="117" t="s">
        <v>18</v>
      </c>
      <c r="C15" s="117"/>
      <c r="D15" s="21" t="s">
        <v>45</v>
      </c>
      <c r="E15" s="26" t="s">
        <v>20</v>
      </c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</row>
    <row r="16" spans="1:19" x14ac:dyDescent="0.25">
      <c r="B16" s="117"/>
      <c r="C16" s="117"/>
      <c r="E16" s="26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</row>
    <row r="17" spans="1:19" x14ac:dyDescent="0.25">
      <c r="B17" s="117"/>
      <c r="C17" s="117"/>
      <c r="E17" s="26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</row>
    <row r="18" spans="1:19" x14ac:dyDescent="0.25">
      <c r="B18" s="117"/>
      <c r="C18" s="117"/>
      <c r="E18" s="26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</row>
    <row r="19" spans="1:19" x14ac:dyDescent="0.25">
      <c r="B19" s="117"/>
      <c r="C19" s="117"/>
      <c r="E19" s="26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</row>
    <row r="20" spans="1:19" x14ac:dyDescent="0.25">
      <c r="B20" s="117"/>
      <c r="C20" s="117"/>
      <c r="E20" s="26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</row>
    <row r="21" spans="1:19" ht="16.5" thickBot="1" x14ac:dyDescent="0.3">
      <c r="B21" s="117"/>
      <c r="C21" s="117"/>
      <c r="E21" s="26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</row>
    <row r="22" spans="1:19" s="25" customFormat="1" x14ac:dyDescent="0.25">
      <c r="A22" s="22" t="s">
        <v>20</v>
      </c>
      <c r="B22" s="123" t="s">
        <v>46</v>
      </c>
      <c r="C22" s="124"/>
      <c r="D22" s="22" t="s">
        <v>9</v>
      </c>
      <c r="E22" s="22" t="s">
        <v>47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</row>
    <row r="23" spans="1:19" s="25" customFormat="1" x14ac:dyDescent="0.25">
      <c r="A23" s="22"/>
      <c r="B23" s="45">
        <v>2016</v>
      </c>
      <c r="C23" s="46">
        <v>2017</v>
      </c>
      <c r="D23" s="22"/>
      <c r="E23" s="22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</row>
    <row r="24" spans="1:19" x14ac:dyDescent="0.25">
      <c r="A24" s="21" t="s">
        <v>17</v>
      </c>
      <c r="B24" s="47">
        <v>42602</v>
      </c>
      <c r="C24" s="48"/>
      <c r="D24" s="21" t="s">
        <v>19</v>
      </c>
      <c r="E24" s="49">
        <v>9900</v>
      </c>
      <c r="F24" s="25">
        <f>IF(B24="","",MONTH(B24))</f>
        <v>8</v>
      </c>
      <c r="G24" s="25" t="str">
        <f>IF(C24="","",MONTH(C24))</f>
        <v/>
      </c>
    </row>
    <row r="25" spans="1:19" x14ac:dyDescent="0.25">
      <c r="A25" s="21" t="s">
        <v>24</v>
      </c>
      <c r="B25" s="50"/>
      <c r="C25" s="47">
        <v>42973</v>
      </c>
      <c r="D25" s="21" t="s">
        <v>25</v>
      </c>
      <c r="E25" s="51">
        <v>12200</v>
      </c>
      <c r="F25" s="25" t="str">
        <f>IF(B25="","",MONTH(B25))</f>
        <v/>
      </c>
      <c r="G25" s="25">
        <f t="shared" ref="G25:G36" si="0">IF(C25="","",MONTH(C25))</f>
        <v>8</v>
      </c>
    </row>
    <row r="26" spans="1:19" x14ac:dyDescent="0.25">
      <c r="A26" s="21" t="s">
        <v>28</v>
      </c>
      <c r="B26" s="33"/>
      <c r="C26" s="47">
        <v>42736</v>
      </c>
      <c r="D26" s="52" t="s">
        <v>29</v>
      </c>
      <c r="E26" s="53">
        <v>2164</v>
      </c>
      <c r="F26" s="25" t="str">
        <f t="shared" ref="F26:F36" si="1">IF(B26="","",MONTH(B26))</f>
        <v/>
      </c>
      <c r="G26" s="25">
        <f t="shared" si="0"/>
        <v>1</v>
      </c>
    </row>
    <row r="27" spans="1:19" x14ac:dyDescent="0.25">
      <c r="A27" s="21" t="s">
        <v>32</v>
      </c>
      <c r="B27" s="47">
        <v>42524</v>
      </c>
      <c r="C27" s="47"/>
      <c r="D27" s="52" t="s">
        <v>29</v>
      </c>
      <c r="E27" s="53">
        <v>10200</v>
      </c>
      <c r="F27" s="25">
        <f t="shared" si="1"/>
        <v>6</v>
      </c>
      <c r="G27" s="25" t="str">
        <f t="shared" si="0"/>
        <v/>
      </c>
    </row>
    <row r="28" spans="1:19" s="52" customFormat="1" x14ac:dyDescent="0.25">
      <c r="A28" s="21" t="s">
        <v>34</v>
      </c>
      <c r="B28" s="47">
        <v>42565</v>
      </c>
      <c r="C28" s="47"/>
      <c r="D28" s="52" t="s">
        <v>19</v>
      </c>
      <c r="E28" s="53">
        <v>10850</v>
      </c>
      <c r="F28" s="25">
        <f t="shared" si="1"/>
        <v>7</v>
      </c>
      <c r="G28" s="25" t="str">
        <f t="shared" si="0"/>
        <v/>
      </c>
    </row>
    <row r="29" spans="1:19" x14ac:dyDescent="0.25">
      <c r="A29" s="52" t="s">
        <v>36</v>
      </c>
      <c r="B29" s="54">
        <v>42518</v>
      </c>
      <c r="C29" s="47"/>
      <c r="D29" s="52" t="s">
        <v>19</v>
      </c>
      <c r="E29" s="53">
        <v>6000</v>
      </c>
      <c r="F29" s="25">
        <f t="shared" si="1"/>
        <v>5</v>
      </c>
      <c r="G29" s="25" t="str">
        <f t="shared" si="0"/>
        <v/>
      </c>
    </row>
    <row r="30" spans="1:19" s="52" customFormat="1" x14ac:dyDescent="0.25">
      <c r="A30" s="52" t="s">
        <v>39</v>
      </c>
      <c r="B30" s="54">
        <v>42504</v>
      </c>
      <c r="C30" s="47"/>
      <c r="D30" s="52" t="s">
        <v>25</v>
      </c>
      <c r="E30" s="53">
        <v>8000</v>
      </c>
      <c r="F30" s="25">
        <f t="shared" si="1"/>
        <v>5</v>
      </c>
      <c r="G30" s="25" t="str">
        <f t="shared" si="0"/>
        <v/>
      </c>
    </row>
    <row r="31" spans="1:19" s="52" customFormat="1" x14ac:dyDescent="0.25">
      <c r="A31" s="52" t="s">
        <v>42</v>
      </c>
      <c r="B31" s="54">
        <v>42539</v>
      </c>
      <c r="C31" s="47"/>
      <c r="D31" s="52" t="s">
        <v>19</v>
      </c>
      <c r="E31" s="53">
        <v>6000</v>
      </c>
      <c r="F31" s="25">
        <f t="shared" si="1"/>
        <v>6</v>
      </c>
      <c r="G31" s="25" t="str">
        <f t="shared" si="0"/>
        <v/>
      </c>
    </row>
    <row r="32" spans="1:19" s="52" customFormat="1" x14ac:dyDescent="0.25">
      <c r="A32" s="52" t="s">
        <v>41</v>
      </c>
      <c r="B32" s="54">
        <v>42574</v>
      </c>
      <c r="C32" s="47"/>
      <c r="D32" s="52" t="s">
        <v>25</v>
      </c>
      <c r="E32" s="53">
        <v>4000</v>
      </c>
      <c r="F32" s="25">
        <f t="shared" si="1"/>
        <v>7</v>
      </c>
      <c r="G32" s="25" t="str">
        <f t="shared" si="0"/>
        <v/>
      </c>
    </row>
    <row r="33" spans="1:16" s="52" customFormat="1" x14ac:dyDescent="0.25">
      <c r="A33" s="52" t="s">
        <v>40</v>
      </c>
      <c r="B33" s="54">
        <v>42427</v>
      </c>
      <c r="C33" s="47"/>
      <c r="D33" s="52" t="s">
        <v>19</v>
      </c>
      <c r="E33" s="53">
        <v>2500</v>
      </c>
      <c r="F33" s="25">
        <f t="shared" si="1"/>
        <v>2</v>
      </c>
      <c r="G33" s="25" t="str">
        <f t="shared" si="0"/>
        <v/>
      </c>
    </row>
    <row r="34" spans="1:16" x14ac:dyDescent="0.25">
      <c r="A34" s="55"/>
      <c r="B34" s="54"/>
      <c r="C34" s="47"/>
      <c r="D34" s="55"/>
      <c r="E34" s="56"/>
      <c r="F34" s="25" t="str">
        <f t="shared" si="1"/>
        <v/>
      </c>
      <c r="G34" s="25" t="str">
        <f t="shared" si="0"/>
        <v/>
      </c>
    </row>
    <row r="35" spans="1:16" x14ac:dyDescent="0.25">
      <c r="A35" s="55"/>
      <c r="B35" s="54"/>
      <c r="C35" s="47"/>
      <c r="D35" s="55"/>
      <c r="E35" s="56"/>
      <c r="F35" s="25" t="str">
        <f t="shared" si="1"/>
        <v/>
      </c>
      <c r="G35" s="25" t="str">
        <f t="shared" si="0"/>
        <v/>
      </c>
    </row>
    <row r="36" spans="1:16" x14ac:dyDescent="0.25">
      <c r="B36" s="54"/>
      <c r="C36" s="47"/>
      <c r="E36" s="51"/>
      <c r="F36" s="25" t="str">
        <f t="shared" si="1"/>
        <v/>
      </c>
      <c r="G36" s="25" t="str">
        <f t="shared" si="0"/>
        <v/>
      </c>
      <c r="I36" s="39"/>
      <c r="J36" s="39"/>
    </row>
    <row r="37" spans="1:16" s="63" customFormat="1" ht="16.5" thickBot="1" x14ac:dyDescent="0.3">
      <c r="A37" s="57" t="s">
        <v>6</v>
      </c>
      <c r="B37" s="58"/>
      <c r="C37" s="59"/>
      <c r="D37" s="57"/>
      <c r="E37" s="60">
        <f>SUM(E24:E36)</f>
        <v>71814</v>
      </c>
      <c r="F37" s="57" t="s">
        <v>48</v>
      </c>
      <c r="G37" s="125">
        <f>AVERAGE(E24:E36,)</f>
        <v>6528.545454545455</v>
      </c>
      <c r="H37" s="125"/>
      <c r="I37" s="61" t="s">
        <v>49</v>
      </c>
      <c r="J37" s="62" t="s">
        <v>50</v>
      </c>
      <c r="K37" s="61" t="s">
        <v>9</v>
      </c>
      <c r="L37" s="61">
        <v>2016</v>
      </c>
      <c r="M37" s="61">
        <v>2017</v>
      </c>
    </row>
    <row r="38" spans="1:16" s="25" customFormat="1" ht="16.5" thickBot="1" x14ac:dyDescent="0.3">
      <c r="A38" s="22" t="s">
        <v>31</v>
      </c>
      <c r="B38" s="123" t="s">
        <v>46</v>
      </c>
      <c r="C38" s="124"/>
      <c r="D38" s="22" t="s">
        <v>9</v>
      </c>
      <c r="E38" s="22" t="s">
        <v>47</v>
      </c>
      <c r="I38" s="64">
        <f>COUNTIFS(B40:B47,"&gt;0",D40:D47,"Corporatif")</f>
        <v>1</v>
      </c>
      <c r="J38" s="64">
        <f>COUNTIFS(C40:C47,"&gt;0",D40:D47,"Corporatif")</f>
        <v>0</v>
      </c>
      <c r="K38" s="33" t="s">
        <v>19</v>
      </c>
      <c r="L38" s="65">
        <f>SUMIFS($E40:$E47,B40:B47,"&gt;0",D40:D47,K38)</f>
        <v>240</v>
      </c>
      <c r="M38" s="65">
        <f>SUMIFS($E40:$E47,C40:C47,"&gt;0",D40:D47,K38)</f>
        <v>0</v>
      </c>
    </row>
    <row r="39" spans="1:16" s="25" customFormat="1" ht="16.5" thickBot="1" x14ac:dyDescent="0.3">
      <c r="A39" s="22"/>
      <c r="B39" s="66">
        <v>2016</v>
      </c>
      <c r="C39" s="67">
        <v>2017</v>
      </c>
      <c r="D39" s="22"/>
      <c r="E39" s="22"/>
      <c r="I39" s="64">
        <f>COUNTIFS(B40:B47,"&gt;0",D40:D47,"Party de noel")</f>
        <v>0</v>
      </c>
      <c r="J39" s="64">
        <f>COUNTIFS(C40:C47,"&gt;0",D40:D47,"Party de noel")</f>
        <v>0</v>
      </c>
      <c r="K39" s="33" t="s">
        <v>51</v>
      </c>
      <c r="L39" s="65">
        <f>SUMIFS($E40:$E47,B40:B47,"&gt;0",D40:D47,"Party de noel")</f>
        <v>0</v>
      </c>
      <c r="M39" s="65">
        <f>SUMIFS($E40:$E47,C40:C47,"&gt;0",D40:D47,"Party de noel")</f>
        <v>0</v>
      </c>
    </row>
    <row r="40" spans="1:16" ht="16.5" thickBot="1" x14ac:dyDescent="0.3">
      <c r="A40" s="21" t="s">
        <v>52</v>
      </c>
      <c r="B40" s="68">
        <v>42379</v>
      </c>
      <c r="C40" s="69"/>
      <c r="D40" s="21" t="s">
        <v>29</v>
      </c>
      <c r="E40" s="49">
        <v>2000</v>
      </c>
      <c r="F40" s="70"/>
      <c r="I40" s="64">
        <f>COUNTIFS(B40:B47,"&gt;0",D40:D47,"SMERF")</f>
        <v>1</v>
      </c>
      <c r="J40" s="64">
        <f>COUNTIFS(C40:C47,"&gt;0",D40:D47,"SMERF")</f>
        <v>0</v>
      </c>
      <c r="K40" s="33" t="s">
        <v>29</v>
      </c>
      <c r="L40" s="65">
        <f>SUMIFS($E40:$E47,B40:B47,"&gt;0",D40:D47,K40)</f>
        <v>2000</v>
      </c>
      <c r="M40" s="65">
        <f>SUMIFS($E40:$E47,C40:C47,"&gt;0",D40:D47,K40)</f>
        <v>0</v>
      </c>
    </row>
    <row r="41" spans="1:16" ht="16.5" thickBot="1" x14ac:dyDescent="0.3">
      <c r="A41" s="52" t="s">
        <v>43</v>
      </c>
      <c r="B41" s="71">
        <v>42381</v>
      </c>
      <c r="C41" s="72"/>
      <c r="D41" s="52" t="s">
        <v>19</v>
      </c>
      <c r="E41" s="53">
        <v>240</v>
      </c>
      <c r="F41" s="70"/>
      <c r="I41" s="64">
        <f>COUNTIFS(B40:B47,"&gt;0",D40:D47,"Mariage")</f>
        <v>0</v>
      </c>
      <c r="J41" s="64">
        <f>COUNTIFS(C40:C47,"&gt;0",D40:D47,"Mariage")</f>
        <v>0</v>
      </c>
      <c r="K41" s="33" t="s">
        <v>25</v>
      </c>
      <c r="L41" s="65">
        <f>SUMIFS($E40:$E47,B40:B47,"&gt;0",D40:D47,K41)</f>
        <v>0</v>
      </c>
      <c r="M41" s="65">
        <f>SUMIFS($E40:$E47,C40:C47,"&gt;0",D40:D47,K41)</f>
        <v>0</v>
      </c>
    </row>
    <row r="42" spans="1:16" ht="16.5" thickBot="1" x14ac:dyDescent="0.3">
      <c r="B42" s="68"/>
      <c r="C42" s="69"/>
      <c r="E42" s="51"/>
      <c r="F42" s="70"/>
      <c r="I42" s="64">
        <f>COUNTIFS(B40:B47,"&gt;0",D40:D47,"École")</f>
        <v>0</v>
      </c>
      <c r="J42" s="64">
        <f>COUNTIFS(C40:C47,"&gt;0",D40:D47,"École")</f>
        <v>0</v>
      </c>
      <c r="K42" s="33" t="s">
        <v>35</v>
      </c>
      <c r="L42" s="65">
        <f>SUMIFS($E40:$E47,B40:B47,"&gt;0",D40:D47,K42)</f>
        <v>0</v>
      </c>
      <c r="M42" s="65">
        <f>SUMIFS($E40:$E47,C40:C47,"&gt;0",D40:D47,K42)</f>
        <v>0</v>
      </c>
      <c r="N42" s="73"/>
    </row>
    <row r="43" spans="1:16" ht="16.5" thickBot="1" x14ac:dyDescent="0.3">
      <c r="B43" s="68"/>
      <c r="C43" s="69"/>
      <c r="E43" s="51"/>
      <c r="F43" s="70"/>
      <c r="I43" s="64">
        <f>COUNTIFS(B40:B47,"&gt;0",D40:D47,"Autre")</f>
        <v>0</v>
      </c>
      <c r="J43" s="64">
        <f>COUNTIFS(C40:C47,"&gt;0",D40:D47,"Autre")</f>
        <v>0</v>
      </c>
      <c r="K43" s="33" t="s">
        <v>37</v>
      </c>
      <c r="L43" s="65">
        <f>SUMIFS($E40:$E47,B40:B47,"&gt;0",D40:D47,K43)</f>
        <v>0</v>
      </c>
      <c r="M43" s="65">
        <f>SUMIFS($E40:$E47,C40:C47,"&gt;0",D40:D47,K43)</f>
        <v>0</v>
      </c>
      <c r="N43" s="74"/>
    </row>
    <row r="44" spans="1:16" x14ac:dyDescent="0.25">
      <c r="B44" s="68"/>
      <c r="C44" s="69"/>
      <c r="E44" s="51"/>
      <c r="F44" s="70"/>
      <c r="I44" s="75">
        <f>SUM(I38:I43)</f>
        <v>2</v>
      </c>
      <c r="J44" s="75">
        <f>SUM(J38:J43)</f>
        <v>0</v>
      </c>
      <c r="K44" s="76"/>
      <c r="L44" s="77">
        <f>SUM(L38:L43)</f>
        <v>2240</v>
      </c>
      <c r="M44" s="77">
        <f>SUM(M38:M43)</f>
        <v>0</v>
      </c>
    </row>
    <row r="45" spans="1:16" x14ac:dyDescent="0.25">
      <c r="B45" s="68"/>
      <c r="C45" s="69"/>
      <c r="E45" s="51"/>
      <c r="F45" s="70"/>
      <c r="I45" s="39"/>
      <c r="J45" s="39"/>
      <c r="K45" s="26"/>
      <c r="L45" s="74"/>
      <c r="M45" s="74"/>
    </row>
    <row r="46" spans="1:16" x14ac:dyDescent="0.25">
      <c r="B46" s="68"/>
      <c r="C46" s="69"/>
      <c r="E46" s="51"/>
      <c r="F46" s="70"/>
      <c r="M46" s="74"/>
    </row>
    <row r="47" spans="1:16" ht="16.5" thickBot="1" x14ac:dyDescent="0.3">
      <c r="B47" s="78"/>
      <c r="C47" s="79"/>
      <c r="E47" s="51"/>
      <c r="F47" s="70"/>
      <c r="I47" s="63"/>
      <c r="J47" s="63"/>
    </row>
    <row r="48" spans="1:16" s="63" customFormat="1" ht="16.5" thickBot="1" x14ac:dyDescent="0.3">
      <c r="A48" s="57" t="s">
        <v>6</v>
      </c>
      <c r="B48" s="80"/>
      <c r="C48" s="81"/>
      <c r="D48" s="57"/>
      <c r="E48" s="60">
        <f>SUM(E40:E47)</f>
        <v>2240</v>
      </c>
      <c r="F48" s="57" t="s">
        <v>48</v>
      </c>
      <c r="G48" s="125">
        <f>AVERAGE(E40:E47,)</f>
        <v>746.66666666666663</v>
      </c>
      <c r="H48" s="125"/>
      <c r="I48" s="25"/>
      <c r="J48" s="25"/>
      <c r="K48" s="21"/>
      <c r="L48" s="21"/>
      <c r="M48" s="21"/>
      <c r="N48" s="21"/>
      <c r="O48" s="21"/>
      <c r="P48" s="21"/>
    </row>
    <row r="49" spans="1:16" s="25" customFormat="1" x14ac:dyDescent="0.25">
      <c r="A49" s="22" t="s">
        <v>53</v>
      </c>
      <c r="B49" s="119" t="s">
        <v>54</v>
      </c>
      <c r="C49" s="119"/>
      <c r="D49" s="119"/>
      <c r="E49" s="119"/>
      <c r="I49" s="21"/>
      <c r="J49" s="21"/>
      <c r="K49" s="21"/>
      <c r="L49" s="21"/>
      <c r="M49" s="21"/>
      <c r="N49" s="21"/>
      <c r="O49" s="21"/>
      <c r="P49" s="21"/>
    </row>
    <row r="50" spans="1:16" x14ac:dyDescent="0.25">
      <c r="B50" s="126"/>
      <c r="C50" s="126"/>
      <c r="D50" s="126"/>
      <c r="E50" s="126"/>
    </row>
    <row r="51" spans="1:16" x14ac:dyDescent="0.25">
      <c r="B51" s="126"/>
      <c r="C51" s="126"/>
      <c r="D51" s="126"/>
      <c r="E51" s="126"/>
    </row>
    <row r="52" spans="1:16" x14ac:dyDescent="0.25">
      <c r="B52" s="126"/>
      <c r="C52" s="126"/>
      <c r="D52" s="126"/>
      <c r="E52" s="126"/>
    </row>
    <row r="53" spans="1:16" x14ac:dyDescent="0.25">
      <c r="B53" s="126"/>
      <c r="C53" s="126"/>
      <c r="D53" s="126"/>
      <c r="E53" s="126"/>
    </row>
    <row r="54" spans="1:16" x14ac:dyDescent="0.25">
      <c r="B54" s="126"/>
      <c r="C54" s="126"/>
      <c r="D54" s="126"/>
      <c r="E54" s="126"/>
    </row>
    <row r="55" spans="1:16" x14ac:dyDescent="0.25">
      <c r="B55" s="122"/>
      <c r="C55" s="122"/>
      <c r="D55" s="122"/>
      <c r="E55" s="122"/>
    </row>
    <row r="56" spans="1:16" x14ac:dyDescent="0.25">
      <c r="B56" s="122"/>
      <c r="C56" s="122"/>
      <c r="D56" s="122"/>
      <c r="E56" s="122"/>
    </row>
    <row r="57" spans="1:16" x14ac:dyDescent="0.25">
      <c r="B57" s="122"/>
      <c r="C57" s="122"/>
      <c r="D57" s="122"/>
      <c r="E57" s="122"/>
    </row>
    <row r="58" spans="1:16" x14ac:dyDescent="0.25">
      <c r="B58" s="122"/>
      <c r="C58" s="122"/>
      <c r="D58" s="122"/>
      <c r="E58" s="122"/>
    </row>
    <row r="59" spans="1:16" x14ac:dyDescent="0.25">
      <c r="B59" s="122"/>
      <c r="C59" s="122"/>
      <c r="D59" s="122"/>
      <c r="E59" s="122"/>
    </row>
    <row r="60" spans="1:16" x14ac:dyDescent="0.25">
      <c r="B60" s="122"/>
      <c r="C60" s="122"/>
      <c r="D60" s="122"/>
      <c r="E60" s="122"/>
    </row>
    <row r="61" spans="1:16" x14ac:dyDescent="0.25">
      <c r="B61" s="122"/>
      <c r="C61" s="122"/>
      <c r="D61" s="122"/>
      <c r="E61" s="122"/>
    </row>
  </sheetData>
  <dataConsolidate>
    <dataRefs count="1">
      <dataRef ref="C3:D21" sheet="Mai-15" r:id="rId1"/>
    </dataRefs>
  </dataConsolidate>
  <mergeCells count="41">
    <mergeCell ref="B57:E57"/>
    <mergeCell ref="B58:E58"/>
    <mergeCell ref="B59:E59"/>
    <mergeCell ref="B60:E60"/>
    <mergeCell ref="B61:E61"/>
    <mergeCell ref="B56:E56"/>
    <mergeCell ref="B22:C22"/>
    <mergeCell ref="G37:H37"/>
    <mergeCell ref="B38:C38"/>
    <mergeCell ref="G48:H48"/>
    <mergeCell ref="B49:E49"/>
    <mergeCell ref="B50:E50"/>
    <mergeCell ref="B51:E51"/>
    <mergeCell ref="B52:E52"/>
    <mergeCell ref="B53:E53"/>
    <mergeCell ref="B54:E54"/>
    <mergeCell ref="B55:E55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J2:K2"/>
    <mergeCell ref="B3:C3"/>
    <mergeCell ref="B9:C9"/>
    <mergeCell ref="A1:E1"/>
    <mergeCell ref="B2:C2"/>
    <mergeCell ref="F2:G2"/>
    <mergeCell ref="H2:I2"/>
    <mergeCell ref="B4:C4"/>
    <mergeCell ref="B5:C5"/>
    <mergeCell ref="B6:C6"/>
    <mergeCell ref="B7:C7"/>
    <mergeCell ref="B8:C8"/>
  </mergeCells>
  <dataValidations count="4">
    <dataValidation type="date" allowBlank="1" showInputMessage="1" showErrorMessage="1" sqref="B25:B26 C24">
      <formula1>42005</formula1>
      <formula2>42369</formula2>
    </dataValidation>
    <dataValidation type="list" allowBlank="1" showInputMessage="1" showErrorMessage="1" sqref="E3:E21">
      <formula1>Résultat</formula1>
    </dataValidation>
    <dataValidation type="list" allowBlank="1" showInputMessage="1" showErrorMessage="1" sqref="D40:D48 D24:D35 D3:D21">
      <formula1>Marché</formula1>
    </dataValidation>
    <dataValidation type="list" allowBlank="1" showInputMessage="1" showErrorMessage="1" sqref="B3:B21 C4:C20">
      <formula1>Salle</formula1>
    </dataValidation>
  </dataValidations>
  <pageMargins left="0.25" right="0.25" top="0.75000000000000011" bottom="0.75000000000000011" header="0.30000000000000004" footer="0.30000000000000004"/>
  <pageSetup paperSize="5" scale="69" orientation="landscape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S61"/>
  <sheetViews>
    <sheetView zoomScale="80" zoomScaleNormal="80" zoomScalePageLayoutView="80" workbookViewId="0">
      <selection activeCell="F24" sqref="F24"/>
    </sheetView>
  </sheetViews>
  <sheetFormatPr baseColWidth="10" defaultColWidth="12.42578125" defaultRowHeight="15.75" x14ac:dyDescent="0.25"/>
  <cols>
    <col min="1" max="1" width="42.85546875" style="21" bestFit="1" customWidth="1"/>
    <col min="2" max="2" width="21.85546875" style="21" customWidth="1"/>
    <col min="3" max="3" width="18.7109375" style="21" customWidth="1"/>
    <col min="4" max="5" width="35" style="21" customWidth="1"/>
    <col min="6" max="6" width="12.42578125" style="21"/>
    <col min="7" max="7" width="8.5703125" style="21" bestFit="1" customWidth="1"/>
    <col min="8" max="8" width="12.42578125" style="21"/>
    <col min="9" max="9" width="13.28515625" style="21" customWidth="1"/>
    <col min="10" max="10" width="12.42578125" style="21"/>
    <col min="11" max="11" width="17.140625" style="21" customWidth="1"/>
    <col min="12" max="13" width="14.42578125" style="21" customWidth="1"/>
    <col min="14" max="14" width="13.85546875" style="21" customWidth="1"/>
    <col min="15" max="15" width="13.28515625" style="21" customWidth="1"/>
    <col min="16" max="16" width="26.28515625" style="21" customWidth="1"/>
    <col min="17" max="17" width="14.140625" style="21" customWidth="1"/>
    <col min="18" max="18" width="13.28515625" style="21" customWidth="1"/>
    <col min="19" max="20" width="14.42578125" style="21" customWidth="1"/>
    <col min="21" max="21" width="13.28515625" style="21" bestFit="1" customWidth="1"/>
    <col min="22" max="22" width="18.85546875" style="21" bestFit="1" customWidth="1"/>
    <col min="23" max="30" width="14.42578125" style="21" bestFit="1" customWidth="1"/>
    <col min="31" max="31" width="39.85546875" style="21" bestFit="1" customWidth="1"/>
    <col min="32" max="16384" width="12.42578125" style="21"/>
  </cols>
  <sheetData>
    <row r="1" spans="1:19" ht="24" thickBot="1" x14ac:dyDescent="0.4">
      <c r="A1" s="118" t="str">
        <f ca="1">MID(CELL("filename",$A$3),SEARCH("]",CELL("filename",$A$3))+1,99)</f>
        <v>Fevrier-16</v>
      </c>
      <c r="B1" s="118"/>
      <c r="C1" s="118"/>
      <c r="D1" s="118"/>
      <c r="E1" s="118"/>
    </row>
    <row r="2" spans="1:19" s="25" customFormat="1" ht="25.5" thickBot="1" x14ac:dyDescent="0.3">
      <c r="A2" s="22" t="s">
        <v>7</v>
      </c>
      <c r="B2" s="119" t="s">
        <v>8</v>
      </c>
      <c r="C2" s="119"/>
      <c r="D2" s="22" t="s">
        <v>9</v>
      </c>
      <c r="E2" s="22" t="s">
        <v>10</v>
      </c>
      <c r="F2" s="120" t="s">
        <v>11</v>
      </c>
      <c r="G2" s="121"/>
      <c r="H2" s="115" t="s">
        <v>9</v>
      </c>
      <c r="I2" s="116"/>
      <c r="J2" s="115" t="s">
        <v>12</v>
      </c>
      <c r="K2" s="116"/>
      <c r="L2" s="23" t="s">
        <v>13</v>
      </c>
      <c r="M2" s="23" t="s">
        <v>14</v>
      </c>
      <c r="N2" s="24" t="s">
        <v>15</v>
      </c>
      <c r="O2" s="24" t="s">
        <v>16</v>
      </c>
    </row>
    <row r="3" spans="1:19" ht="16.5" thickBot="1" x14ac:dyDescent="0.3">
      <c r="B3" s="117"/>
      <c r="C3" s="117"/>
      <c r="E3" s="26"/>
      <c r="F3" s="27" t="s">
        <v>21</v>
      </c>
      <c r="G3" s="28">
        <f>COUNTIF(B3:B21,"Gouvernail")</f>
        <v>0</v>
      </c>
      <c r="H3" s="27" t="s">
        <v>22</v>
      </c>
      <c r="I3" s="28">
        <f>COUNTIF(D3:D21,"Corporatif")</f>
        <v>0</v>
      </c>
      <c r="J3" s="27" t="s">
        <v>23</v>
      </c>
      <c r="K3" s="28">
        <f>COUNTIF(E3:E21,"Soumission")</f>
        <v>0</v>
      </c>
      <c r="L3" s="29">
        <f>SUM(E24:E36)</f>
        <v>0</v>
      </c>
      <c r="M3" s="29">
        <f>SUM(E40:E47)</f>
        <v>0</v>
      </c>
      <c r="N3" s="30">
        <f>COUNTA(B3:B21)</f>
        <v>0</v>
      </c>
      <c r="O3" s="31">
        <f>COUNTA(A40:A47)</f>
        <v>0</v>
      </c>
    </row>
    <row r="4" spans="1:19" x14ac:dyDescent="0.25">
      <c r="B4" s="117"/>
      <c r="C4" s="117"/>
      <c r="E4" s="26"/>
      <c r="F4" s="27" t="s">
        <v>18</v>
      </c>
      <c r="G4" s="28">
        <f>COUNTIF(B3:B21,"Principal")</f>
        <v>0</v>
      </c>
      <c r="H4" s="27" t="s">
        <v>26</v>
      </c>
      <c r="I4" s="32">
        <f>COUNTIF(D3:D21,"Party de noel")</f>
        <v>0</v>
      </c>
      <c r="J4" s="33" t="s">
        <v>27</v>
      </c>
      <c r="K4" s="33">
        <f>COUNTIF(E3:E21,"Refus")</f>
        <v>0</v>
      </c>
      <c r="L4" s="34"/>
      <c r="M4" s="34"/>
    </row>
    <row r="5" spans="1:19" x14ac:dyDescent="0.25">
      <c r="B5" s="117"/>
      <c r="C5" s="117"/>
      <c r="E5" s="26"/>
      <c r="F5" s="27" t="s">
        <v>30</v>
      </c>
      <c r="G5" s="28">
        <f>COUNTIF(B3:B21,"Chapiteau")</f>
        <v>0</v>
      </c>
      <c r="H5" s="27" t="s">
        <v>29</v>
      </c>
      <c r="I5" s="32">
        <f>COUNTIF(D3:D21,"SMERF")</f>
        <v>0</v>
      </c>
      <c r="J5" s="33" t="s">
        <v>31</v>
      </c>
      <c r="K5" s="33">
        <f>COUNTIF(E3:E21,"Contrat")</f>
        <v>0</v>
      </c>
      <c r="L5" s="34"/>
      <c r="M5" s="34"/>
    </row>
    <row r="6" spans="1:19" ht="16.5" thickBot="1" x14ac:dyDescent="0.3">
      <c r="B6" s="117"/>
      <c r="C6" s="117"/>
      <c r="E6" s="26"/>
      <c r="F6" s="35" t="s">
        <v>33</v>
      </c>
      <c r="G6" s="36">
        <f>COUNTIF(B3:B21,"Exterieur")</f>
        <v>0</v>
      </c>
      <c r="H6" s="27" t="s">
        <v>25</v>
      </c>
      <c r="I6" s="28">
        <f>COUNTIF(D3:D21,"Mariage")</f>
        <v>0</v>
      </c>
      <c r="J6" s="37"/>
      <c r="L6" s="38"/>
      <c r="M6" s="34"/>
    </row>
    <row r="7" spans="1:19" x14ac:dyDescent="0.25">
      <c r="B7" s="117"/>
      <c r="C7" s="117"/>
      <c r="E7" s="26"/>
      <c r="H7" s="27" t="s">
        <v>35</v>
      </c>
      <c r="I7" s="28">
        <f>COUNTIF(D3:D21,"École")</f>
        <v>0</v>
      </c>
      <c r="K7" s="39"/>
      <c r="L7" s="39"/>
      <c r="M7" s="39"/>
    </row>
    <row r="8" spans="1:19" ht="16.5" thickBot="1" x14ac:dyDescent="0.3">
      <c r="B8" s="117"/>
      <c r="C8" s="117"/>
      <c r="E8" s="26"/>
      <c r="H8" s="40" t="s">
        <v>37</v>
      </c>
      <c r="I8" s="41">
        <f>COUNTIF(D3:D21,"Autre")</f>
        <v>0</v>
      </c>
      <c r="K8" s="42"/>
      <c r="L8" s="39"/>
      <c r="M8" s="39"/>
    </row>
    <row r="9" spans="1:19" x14ac:dyDescent="0.25">
      <c r="B9" s="117"/>
      <c r="C9" s="117"/>
      <c r="E9" s="26"/>
      <c r="K9" s="39"/>
      <c r="L9" s="39"/>
      <c r="M9" s="39"/>
    </row>
    <row r="10" spans="1:19" x14ac:dyDescent="0.25">
      <c r="B10" s="117"/>
      <c r="C10" s="117"/>
      <c r="E10" s="26"/>
      <c r="K10" s="39"/>
      <c r="L10" s="39"/>
      <c r="M10" s="39"/>
    </row>
    <row r="11" spans="1:19" x14ac:dyDescent="0.25">
      <c r="B11" s="117"/>
      <c r="C11" s="117"/>
      <c r="E11" s="26"/>
      <c r="K11" s="39"/>
      <c r="L11" s="39"/>
      <c r="M11" s="39"/>
    </row>
    <row r="12" spans="1:19" x14ac:dyDescent="0.25">
      <c r="B12" s="117"/>
      <c r="C12" s="117"/>
      <c r="E12" s="26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</row>
    <row r="13" spans="1:19" x14ac:dyDescent="0.25">
      <c r="B13" s="117"/>
      <c r="C13" s="117"/>
      <c r="E13" s="26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</row>
    <row r="14" spans="1:19" x14ac:dyDescent="0.25">
      <c r="B14" s="117"/>
      <c r="C14" s="117"/>
      <c r="E14" s="26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</row>
    <row r="15" spans="1:19" x14ac:dyDescent="0.25">
      <c r="B15" s="117"/>
      <c r="C15" s="117"/>
      <c r="E15" s="26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</row>
    <row r="16" spans="1:19" x14ac:dyDescent="0.25">
      <c r="B16" s="117"/>
      <c r="C16" s="117"/>
      <c r="E16" s="26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</row>
    <row r="17" spans="1:19" x14ac:dyDescent="0.25">
      <c r="B17" s="117"/>
      <c r="C17" s="117"/>
      <c r="E17" s="26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</row>
    <row r="18" spans="1:19" x14ac:dyDescent="0.25">
      <c r="B18" s="117"/>
      <c r="C18" s="117"/>
      <c r="E18" s="26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</row>
    <row r="19" spans="1:19" x14ac:dyDescent="0.25">
      <c r="B19" s="117"/>
      <c r="C19" s="117"/>
      <c r="E19" s="26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</row>
    <row r="20" spans="1:19" x14ac:dyDescent="0.25">
      <c r="B20" s="117"/>
      <c r="C20" s="117"/>
      <c r="E20" s="26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</row>
    <row r="21" spans="1:19" ht="16.5" thickBot="1" x14ac:dyDescent="0.3">
      <c r="B21" s="117"/>
      <c r="C21" s="117"/>
      <c r="E21" s="26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</row>
    <row r="22" spans="1:19" s="25" customFormat="1" x14ac:dyDescent="0.25">
      <c r="A22" s="22" t="s">
        <v>20</v>
      </c>
      <c r="B22" s="123" t="s">
        <v>46</v>
      </c>
      <c r="C22" s="124"/>
      <c r="D22" s="22" t="s">
        <v>9</v>
      </c>
      <c r="E22" s="22" t="s">
        <v>47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</row>
    <row r="23" spans="1:19" s="25" customFormat="1" ht="16.5" thickBot="1" x14ac:dyDescent="0.3">
      <c r="A23" s="22"/>
      <c r="B23" s="66">
        <v>2016</v>
      </c>
      <c r="C23" s="67">
        <v>2017</v>
      </c>
      <c r="D23" s="22"/>
      <c r="E23" s="22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</row>
    <row r="24" spans="1:19" x14ac:dyDescent="0.25">
      <c r="B24" s="71">
        <v>42370</v>
      </c>
      <c r="C24" s="69"/>
      <c r="E24" s="49"/>
      <c r="F24" s="25">
        <f>IF(B24="","",MONTH(B24))</f>
        <v>1</v>
      </c>
      <c r="G24" s="25" t="str">
        <f>IF(C24="","",MONTH(C24))</f>
        <v/>
      </c>
    </row>
    <row r="25" spans="1:19" x14ac:dyDescent="0.25">
      <c r="B25" s="82"/>
      <c r="C25" s="83"/>
      <c r="E25" s="51"/>
      <c r="F25" s="25" t="str">
        <f t="shared" ref="F25:G36" si="0">IF(B25="","",MONTH(B25))</f>
        <v/>
      </c>
      <c r="G25" s="25" t="str">
        <f t="shared" si="0"/>
        <v/>
      </c>
    </row>
    <row r="26" spans="1:19" x14ac:dyDescent="0.25">
      <c r="A26" s="55"/>
      <c r="B26" s="37"/>
      <c r="C26" s="84"/>
      <c r="D26" s="55"/>
      <c r="E26" s="56"/>
      <c r="F26" s="25" t="str">
        <f t="shared" si="0"/>
        <v/>
      </c>
      <c r="G26" s="25" t="str">
        <f t="shared" si="0"/>
        <v/>
      </c>
    </row>
    <row r="27" spans="1:19" x14ac:dyDescent="0.25">
      <c r="A27" s="55"/>
      <c r="B27" s="68"/>
      <c r="C27" s="69"/>
      <c r="D27" s="55"/>
      <c r="E27" s="56"/>
      <c r="F27" s="25" t="str">
        <f t="shared" si="0"/>
        <v/>
      </c>
      <c r="G27" s="25" t="str">
        <f t="shared" si="0"/>
        <v/>
      </c>
    </row>
    <row r="28" spans="1:19" s="52" customFormat="1" x14ac:dyDescent="0.25">
      <c r="A28" s="55"/>
      <c r="B28" s="68"/>
      <c r="C28" s="69"/>
      <c r="D28" s="55"/>
      <c r="E28" s="56"/>
      <c r="F28" s="25" t="str">
        <f t="shared" si="0"/>
        <v/>
      </c>
      <c r="G28" s="25" t="str">
        <f t="shared" si="0"/>
        <v/>
      </c>
    </row>
    <row r="29" spans="1:19" x14ac:dyDescent="0.25">
      <c r="A29" s="55"/>
      <c r="B29" s="68"/>
      <c r="C29" s="69"/>
      <c r="D29" s="55"/>
      <c r="E29" s="56"/>
      <c r="F29" s="25" t="str">
        <f t="shared" si="0"/>
        <v/>
      </c>
      <c r="G29" s="25" t="str">
        <f t="shared" si="0"/>
        <v/>
      </c>
    </row>
    <row r="30" spans="1:19" x14ac:dyDescent="0.25">
      <c r="A30" s="55"/>
      <c r="B30" s="37"/>
      <c r="C30" s="84"/>
      <c r="D30" s="55"/>
      <c r="E30" s="56"/>
      <c r="F30" s="25" t="str">
        <f t="shared" si="0"/>
        <v/>
      </c>
      <c r="G30" s="25" t="str">
        <f t="shared" si="0"/>
        <v/>
      </c>
    </row>
    <row r="31" spans="1:19" x14ac:dyDescent="0.25">
      <c r="A31" s="55"/>
      <c r="B31" s="68"/>
      <c r="C31" s="69"/>
      <c r="D31" s="55"/>
      <c r="E31" s="56"/>
      <c r="F31" s="25" t="str">
        <f t="shared" si="0"/>
        <v/>
      </c>
      <c r="G31" s="25" t="str">
        <f t="shared" si="0"/>
        <v/>
      </c>
    </row>
    <row r="32" spans="1:19" x14ac:dyDescent="0.25">
      <c r="A32" s="55"/>
      <c r="B32" s="68"/>
      <c r="C32" s="69"/>
      <c r="D32" s="55"/>
      <c r="E32" s="56"/>
      <c r="F32" s="25" t="str">
        <f t="shared" si="0"/>
        <v/>
      </c>
      <c r="G32" s="25" t="str">
        <f t="shared" si="0"/>
        <v/>
      </c>
    </row>
    <row r="33" spans="1:16" x14ac:dyDescent="0.25">
      <c r="A33" s="55"/>
      <c r="B33" s="68"/>
      <c r="C33" s="69"/>
      <c r="D33" s="55"/>
      <c r="E33" s="56"/>
      <c r="F33" s="25" t="str">
        <f t="shared" si="0"/>
        <v/>
      </c>
      <c r="G33" s="25" t="str">
        <f t="shared" si="0"/>
        <v/>
      </c>
    </row>
    <row r="34" spans="1:16" x14ac:dyDescent="0.25">
      <c r="A34" s="55"/>
      <c r="B34" s="71"/>
      <c r="C34" s="72"/>
      <c r="D34" s="55"/>
      <c r="E34" s="56"/>
      <c r="F34" s="25" t="str">
        <f t="shared" si="0"/>
        <v/>
      </c>
      <c r="G34" s="25" t="str">
        <f t="shared" si="0"/>
        <v/>
      </c>
    </row>
    <row r="35" spans="1:16" x14ac:dyDescent="0.25">
      <c r="A35" s="55"/>
      <c r="B35" s="68"/>
      <c r="C35" s="69"/>
      <c r="D35" s="55"/>
      <c r="E35" s="56"/>
      <c r="F35" s="25" t="str">
        <f t="shared" si="0"/>
        <v/>
      </c>
      <c r="G35" s="25" t="str">
        <f t="shared" si="0"/>
        <v/>
      </c>
    </row>
    <row r="36" spans="1:16" ht="16.5" thickBot="1" x14ac:dyDescent="0.3">
      <c r="B36" s="85"/>
      <c r="C36" s="83"/>
      <c r="E36" s="51"/>
      <c r="F36" s="25" t="str">
        <f t="shared" si="0"/>
        <v/>
      </c>
      <c r="G36" s="25" t="str">
        <f t="shared" si="0"/>
        <v/>
      </c>
      <c r="I36" s="39"/>
      <c r="J36" s="39"/>
    </row>
    <row r="37" spans="1:16" s="63" customFormat="1" ht="16.5" thickBot="1" x14ac:dyDescent="0.3">
      <c r="A37" s="57" t="s">
        <v>6</v>
      </c>
      <c r="B37" s="58"/>
      <c r="C37" s="59"/>
      <c r="D37" s="57"/>
      <c r="E37" s="60">
        <f>SUM(E24:E36)</f>
        <v>0</v>
      </c>
      <c r="F37" s="57" t="s">
        <v>48</v>
      </c>
      <c r="G37" s="125">
        <f>AVERAGE(E24:E36,)</f>
        <v>0</v>
      </c>
      <c r="H37" s="125"/>
      <c r="I37" s="61" t="s">
        <v>49</v>
      </c>
      <c r="J37" s="62" t="s">
        <v>50</v>
      </c>
      <c r="K37" s="61" t="s">
        <v>9</v>
      </c>
      <c r="L37" s="61">
        <v>2016</v>
      </c>
      <c r="M37" s="61">
        <v>2017</v>
      </c>
    </row>
    <row r="38" spans="1:16" s="25" customFormat="1" ht="16.5" thickBot="1" x14ac:dyDescent="0.3">
      <c r="A38" s="22" t="s">
        <v>31</v>
      </c>
      <c r="B38" s="123" t="s">
        <v>46</v>
      </c>
      <c r="C38" s="124"/>
      <c r="D38" s="22" t="s">
        <v>9</v>
      </c>
      <c r="E38" s="22" t="s">
        <v>47</v>
      </c>
      <c r="I38" s="64">
        <f>COUNTIFS(B40:B47,"&gt;0",D40:D47,"Corporatif")</f>
        <v>0</v>
      </c>
      <c r="J38" s="64">
        <f>COUNTIFS(C40:C47,"&gt;0",D40:D47,"Corporatif")</f>
        <v>0</v>
      </c>
      <c r="K38" s="33" t="s">
        <v>19</v>
      </c>
      <c r="L38" s="65">
        <f>SUMIFS($E40:$E47,B40:B47,"&gt;0",D40:D47,K38)</f>
        <v>0</v>
      </c>
      <c r="M38" s="65">
        <f>SUMIFS($E40:$E47,C40:C47,"&gt;0",D40:D47,K38)</f>
        <v>0</v>
      </c>
    </row>
    <row r="39" spans="1:16" s="25" customFormat="1" ht="16.5" thickBot="1" x14ac:dyDescent="0.3">
      <c r="A39" s="22"/>
      <c r="B39" s="66">
        <v>2016</v>
      </c>
      <c r="C39" s="67">
        <v>2017</v>
      </c>
      <c r="D39" s="22"/>
      <c r="E39" s="22"/>
      <c r="I39" s="64">
        <f>COUNTIFS(B40:B47,"&gt;0",D40:D47,"Party de noel")</f>
        <v>0</v>
      </c>
      <c r="J39" s="64">
        <f>COUNTIFS(C40:C47,"&gt;0",D40:D47,"Party de noel")</f>
        <v>0</v>
      </c>
      <c r="K39" s="33" t="s">
        <v>51</v>
      </c>
      <c r="L39" s="65">
        <f>SUMIFS($E40:$E47,B40:B47,"&gt;0",D40:D47,"Party de noel")</f>
        <v>0</v>
      </c>
      <c r="M39" s="65">
        <f>SUMIFS($E40:$E47,C40:C47,"&gt;0",D40:D47,"Party de noel")</f>
        <v>0</v>
      </c>
    </row>
    <row r="40" spans="1:16" ht="16.5" thickBot="1" x14ac:dyDescent="0.3">
      <c r="B40" s="68"/>
      <c r="C40" s="69"/>
      <c r="E40" s="49"/>
      <c r="F40" s="70"/>
      <c r="I40" s="64">
        <f>COUNTIFS(B40:B47,"&gt;0",D40:D47,"SMERF")</f>
        <v>0</v>
      </c>
      <c r="J40" s="64">
        <f>COUNTIFS(C40:C47,"&gt;0",D40:D47,"SMERF")</f>
        <v>0</v>
      </c>
      <c r="K40" s="33" t="s">
        <v>29</v>
      </c>
      <c r="L40" s="65">
        <f>SUMIFS($E40:$E47,B40:B47,"&gt;0",D40:D47,K40)</f>
        <v>0</v>
      </c>
      <c r="M40" s="65">
        <f>SUMIFS($E40:$E47,C40:C47,"&gt;0",D40:D47,K40)</f>
        <v>0</v>
      </c>
    </row>
    <row r="41" spans="1:16" ht="16.5" thickBot="1" x14ac:dyDescent="0.3">
      <c r="B41" s="82"/>
      <c r="C41" s="83"/>
      <c r="E41" s="51"/>
      <c r="F41" s="70"/>
      <c r="I41" s="64">
        <f>COUNTIFS(B40:B47,"&gt;0",D40:D47,"Mariage")</f>
        <v>0</v>
      </c>
      <c r="J41" s="64">
        <f>COUNTIFS(C40:C47,"&gt;0",D40:D47,"Mariage")</f>
        <v>0</v>
      </c>
      <c r="K41" s="33" t="s">
        <v>25</v>
      </c>
      <c r="L41" s="65">
        <f>SUMIFS($E40:$E47,B40:B47,"&gt;0",D40:D47,K41)</f>
        <v>0</v>
      </c>
      <c r="M41" s="65">
        <f>SUMIFS($E40:$E47,C40:C47,"&gt;0",D40:D47,K41)</f>
        <v>0</v>
      </c>
    </row>
    <row r="42" spans="1:16" ht="16.5" thickBot="1" x14ac:dyDescent="0.3">
      <c r="B42" s="68"/>
      <c r="C42" s="69"/>
      <c r="E42" s="51"/>
      <c r="F42" s="70"/>
      <c r="I42" s="64">
        <f>COUNTIFS(B40:B47,"&gt;0",D40:D47,"École")</f>
        <v>0</v>
      </c>
      <c r="J42" s="64">
        <f>COUNTIFS(C40:C47,"&gt;0",D40:D47,"École")</f>
        <v>0</v>
      </c>
      <c r="K42" s="33" t="s">
        <v>35</v>
      </c>
      <c r="L42" s="65">
        <f>SUMIFS($E40:$E47,B40:B47,"&gt;0",D40:D47,K42)</f>
        <v>0</v>
      </c>
      <c r="M42" s="65">
        <f>SUMIFS($E40:$E47,C40:C47,"&gt;0",D40:D47,K42)</f>
        <v>0</v>
      </c>
      <c r="N42" s="73"/>
    </row>
    <row r="43" spans="1:16" ht="16.5" thickBot="1" x14ac:dyDescent="0.3">
      <c r="B43" s="68"/>
      <c r="C43" s="69"/>
      <c r="E43" s="51"/>
      <c r="F43" s="70"/>
      <c r="I43" s="64">
        <f>COUNTIFS(B40:B47,"&gt;0",D40:D47,"Autre")</f>
        <v>0</v>
      </c>
      <c r="J43" s="64">
        <f>COUNTIFS(C40:C47,"&gt;0",D40:D47,"Autre")</f>
        <v>0</v>
      </c>
      <c r="K43" s="33" t="s">
        <v>37</v>
      </c>
      <c r="L43" s="65">
        <f>SUMIFS($E40:$E47,B40:B47,"&gt;0",D40:D47,K43)</f>
        <v>0</v>
      </c>
      <c r="M43" s="65">
        <f>SUMIFS($E40:$E47,C40:C47,"&gt;0",D40:D47,K43)</f>
        <v>0</v>
      </c>
      <c r="N43" s="74"/>
    </row>
    <row r="44" spans="1:16" x14ac:dyDescent="0.25">
      <c r="B44" s="68"/>
      <c r="C44" s="69"/>
      <c r="E44" s="51"/>
      <c r="F44" s="70"/>
      <c r="I44" s="75">
        <f>SUM(I38:I43)</f>
        <v>0</v>
      </c>
      <c r="J44" s="75">
        <f>SUM(J38:J43)</f>
        <v>0</v>
      </c>
      <c r="K44" s="76"/>
      <c r="L44" s="77">
        <f>SUM(L38:L43)</f>
        <v>0</v>
      </c>
      <c r="M44" s="77">
        <f>SUM(M38:M43)</f>
        <v>0</v>
      </c>
    </row>
    <row r="45" spans="1:16" x14ac:dyDescent="0.25">
      <c r="B45" s="68"/>
      <c r="C45" s="69"/>
      <c r="E45" s="51"/>
      <c r="F45" s="70"/>
      <c r="I45" s="39"/>
      <c r="J45" s="39"/>
      <c r="K45" s="26"/>
      <c r="L45" s="74"/>
      <c r="M45" s="74"/>
    </row>
    <row r="46" spans="1:16" x14ac:dyDescent="0.25">
      <c r="B46" s="68"/>
      <c r="C46" s="69"/>
      <c r="E46" s="51"/>
      <c r="F46" s="70"/>
      <c r="M46" s="74"/>
    </row>
    <row r="47" spans="1:16" ht="16.5" thickBot="1" x14ac:dyDescent="0.3">
      <c r="B47" s="78"/>
      <c r="C47" s="79"/>
      <c r="E47" s="51"/>
      <c r="F47" s="70"/>
      <c r="I47" s="63"/>
      <c r="J47" s="63"/>
    </row>
    <row r="48" spans="1:16" s="63" customFormat="1" ht="16.5" thickBot="1" x14ac:dyDescent="0.3">
      <c r="A48" s="57" t="s">
        <v>6</v>
      </c>
      <c r="B48" s="80"/>
      <c r="C48" s="81"/>
      <c r="D48" s="57"/>
      <c r="E48" s="60">
        <f>SUM(E40:E47)</f>
        <v>0</v>
      </c>
      <c r="F48" s="57" t="s">
        <v>48</v>
      </c>
      <c r="G48" s="125">
        <f>AVERAGE(E40:E47,)</f>
        <v>0</v>
      </c>
      <c r="H48" s="125"/>
      <c r="I48" s="25"/>
      <c r="J48" s="25"/>
      <c r="K48" s="21"/>
      <c r="L48" s="21"/>
      <c r="M48" s="21"/>
      <c r="N48" s="21"/>
      <c r="O48" s="21"/>
      <c r="P48" s="21"/>
    </row>
    <row r="49" spans="1:16" s="25" customFormat="1" x14ac:dyDescent="0.25">
      <c r="A49" s="22" t="s">
        <v>53</v>
      </c>
      <c r="B49" s="119" t="s">
        <v>54</v>
      </c>
      <c r="C49" s="119"/>
      <c r="D49" s="119"/>
      <c r="E49" s="119"/>
      <c r="I49" s="21"/>
      <c r="J49" s="21"/>
      <c r="K49" s="21"/>
      <c r="L49" s="21"/>
      <c r="M49" s="21"/>
      <c r="N49" s="21"/>
      <c r="O49" s="21"/>
      <c r="P49" s="21"/>
    </row>
    <row r="50" spans="1:16" x14ac:dyDescent="0.25">
      <c r="B50" s="126"/>
      <c r="C50" s="126"/>
      <c r="D50" s="126"/>
      <c r="E50" s="126"/>
    </row>
    <row r="51" spans="1:16" x14ac:dyDescent="0.25">
      <c r="B51" s="126"/>
      <c r="C51" s="126"/>
      <c r="D51" s="126"/>
      <c r="E51" s="126"/>
    </row>
    <row r="52" spans="1:16" x14ac:dyDescent="0.25">
      <c r="B52" s="126"/>
      <c r="C52" s="126"/>
      <c r="D52" s="126"/>
      <c r="E52" s="126"/>
    </row>
    <row r="53" spans="1:16" x14ac:dyDescent="0.25">
      <c r="B53" s="126"/>
      <c r="C53" s="126"/>
      <c r="D53" s="126"/>
      <c r="E53" s="126"/>
    </row>
    <row r="54" spans="1:16" x14ac:dyDescent="0.25">
      <c r="B54" s="126"/>
      <c r="C54" s="126"/>
      <c r="D54" s="126"/>
      <c r="E54" s="126"/>
    </row>
    <row r="55" spans="1:16" x14ac:dyDescent="0.25">
      <c r="B55" s="122"/>
      <c r="C55" s="122"/>
      <c r="D55" s="122"/>
      <c r="E55" s="122"/>
    </row>
    <row r="56" spans="1:16" x14ac:dyDescent="0.25">
      <c r="B56" s="122"/>
      <c r="C56" s="122"/>
      <c r="D56" s="122"/>
      <c r="E56" s="122"/>
    </row>
    <row r="57" spans="1:16" x14ac:dyDescent="0.25">
      <c r="B57" s="122"/>
      <c r="C57" s="122"/>
      <c r="D57" s="122"/>
      <c r="E57" s="122"/>
    </row>
    <row r="58" spans="1:16" x14ac:dyDescent="0.25">
      <c r="B58" s="122"/>
      <c r="C58" s="122"/>
      <c r="D58" s="122"/>
      <c r="E58" s="122"/>
    </row>
    <row r="59" spans="1:16" x14ac:dyDescent="0.25">
      <c r="B59" s="122"/>
      <c r="C59" s="122"/>
      <c r="D59" s="122"/>
      <c r="E59" s="122"/>
    </row>
    <row r="60" spans="1:16" x14ac:dyDescent="0.25">
      <c r="B60" s="122"/>
      <c r="C60" s="122"/>
      <c r="D60" s="122"/>
      <c r="E60" s="122"/>
    </row>
    <row r="61" spans="1:16" x14ac:dyDescent="0.25">
      <c r="B61" s="122"/>
      <c r="C61" s="122"/>
      <c r="D61" s="122"/>
      <c r="E61" s="122"/>
    </row>
  </sheetData>
  <dataConsolidate>
    <dataRefs count="1">
      <dataRef ref="C3:D21" sheet="Mai-15" r:id="rId1"/>
    </dataRefs>
  </dataConsolidate>
  <mergeCells count="41">
    <mergeCell ref="B57:E57"/>
    <mergeCell ref="B58:E58"/>
    <mergeCell ref="B59:E59"/>
    <mergeCell ref="B60:E60"/>
    <mergeCell ref="B61:E61"/>
    <mergeCell ref="B56:E56"/>
    <mergeCell ref="B22:C22"/>
    <mergeCell ref="G37:H37"/>
    <mergeCell ref="B38:C38"/>
    <mergeCell ref="G48:H48"/>
    <mergeCell ref="B49:E49"/>
    <mergeCell ref="B50:E50"/>
    <mergeCell ref="B51:E51"/>
    <mergeCell ref="B52:E52"/>
    <mergeCell ref="B53:E53"/>
    <mergeCell ref="B54:E54"/>
    <mergeCell ref="B55:E55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J2:K2"/>
    <mergeCell ref="B3:C3"/>
    <mergeCell ref="B9:C9"/>
    <mergeCell ref="A1:E1"/>
    <mergeCell ref="B2:C2"/>
    <mergeCell ref="F2:G2"/>
    <mergeCell ref="H2:I2"/>
    <mergeCell ref="B4:C4"/>
    <mergeCell ref="B5:C5"/>
    <mergeCell ref="B6:C6"/>
    <mergeCell ref="B7:C7"/>
    <mergeCell ref="B8:C8"/>
  </mergeCells>
  <dataValidations count="4">
    <dataValidation type="list" allowBlank="1" showInputMessage="1" showErrorMessage="1" sqref="B3:B21 C4:C20">
      <formula1>Salle</formula1>
    </dataValidation>
    <dataValidation type="list" allowBlank="1" showInputMessage="1" showErrorMessage="1" sqref="D40:D48 D24:D35 D3:D21">
      <formula1>Marché</formula1>
    </dataValidation>
    <dataValidation type="list" allowBlank="1" showInputMessage="1" showErrorMessage="1" sqref="E3:E21">
      <formula1>Résultat</formula1>
    </dataValidation>
    <dataValidation type="date" allowBlank="1" showInputMessage="1" showErrorMessage="1" sqref="C24:C36 B25:B36">
      <formula1>42005</formula1>
      <formula2>42369</formula2>
    </dataValidation>
  </dataValidations>
  <pageMargins left="0.25" right="0.25" top="0.75000000000000011" bottom="0.75000000000000011" header="0.30000000000000004" footer="0.30000000000000004"/>
  <pageSetup paperSize="5" scale="69" orientation="landscape" horizontalDpi="4294967292" verticalDpi="4294967292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Objectif</vt:lpstr>
      <vt:lpstr>Janvier-16</vt:lpstr>
      <vt:lpstr>Fevrier-16</vt:lpstr>
      <vt:lpstr>'Fevrier-16'!Criteres</vt:lpstr>
      <vt:lpstr>'Janvier-16'!Criteres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jveilleux</dc:creator>
  <cp:lastModifiedBy>olivier</cp:lastModifiedBy>
  <dcterms:created xsi:type="dcterms:W3CDTF">2016-01-12T21:29:28Z</dcterms:created>
  <dcterms:modified xsi:type="dcterms:W3CDTF">2016-01-16T08:50:21Z</dcterms:modified>
</cp:coreProperties>
</file>