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dohurden\"/>
    </mc:Choice>
  </mc:AlternateContent>
  <bookViews>
    <workbookView xWindow="0" yWindow="0" windowWidth="20490" windowHeight="8340" activeTab="1"/>
  </bookViews>
  <sheets>
    <sheet name="Feuil1" sheetId="1" r:id="rId1"/>
    <sheet name="Feuil2" sheetId="2" r:id="rId2"/>
  </sheets>
  <definedNames>
    <definedName name="selLib">Tableau2[LIB]</definedName>
    <definedName name="selMarque">Tableau1[LIBELLE]</definedName>
    <definedName name="selProduit">Tableau3[LIB PRODUIT]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" i="2" l="1"/>
  <c r="M16" i="2"/>
  <c r="L11" i="2"/>
  <c r="M11" i="2" s="1"/>
  <c r="L12" i="2"/>
  <c r="M13" i="2" s="1"/>
  <c r="L13" i="2"/>
  <c r="M12" i="2" s="1"/>
  <c r="L14" i="2"/>
  <c r="L15" i="2"/>
  <c r="M15" i="2" s="1"/>
  <c r="L16" i="2"/>
  <c r="L17" i="2"/>
  <c r="C11" i="2"/>
  <c r="D11" i="2" s="1"/>
  <c r="C12" i="2"/>
  <c r="D12" i="2" s="1"/>
  <c r="C13" i="2"/>
  <c r="D13" i="2" s="1"/>
  <c r="C14" i="2"/>
  <c r="D14" i="2" s="1"/>
  <c r="C15" i="2"/>
  <c r="D15" i="2" s="1"/>
  <c r="C16" i="2"/>
  <c r="D16" i="2" s="1"/>
  <c r="C17" i="2"/>
  <c r="D17" i="2" s="1"/>
  <c r="M7" i="1"/>
  <c r="M8" i="1"/>
  <c r="M9" i="1"/>
  <c r="M10" i="1"/>
  <c r="M11" i="1"/>
  <c r="M12" i="1"/>
  <c r="M13" i="1"/>
  <c r="M14" i="1"/>
  <c r="H14" i="1"/>
  <c r="E13" i="1"/>
  <c r="H13" i="1"/>
  <c r="H12" i="1"/>
  <c r="H7" i="1"/>
  <c r="H8" i="1"/>
  <c r="K13" i="1" s="1"/>
  <c r="J13" i="1" s="1"/>
  <c r="H9" i="1"/>
  <c r="H10" i="1"/>
  <c r="H11" i="1"/>
  <c r="B7" i="1"/>
  <c r="B8" i="1"/>
  <c r="E7" i="1" s="1"/>
  <c r="B9" i="1"/>
  <c r="E14" i="1" s="1"/>
  <c r="B10" i="1"/>
  <c r="B11" i="1"/>
  <c r="B12" i="1"/>
  <c r="B13" i="1"/>
  <c r="M17" i="2" l="1"/>
  <c r="F16" i="2"/>
  <c r="F12" i="2"/>
  <c r="F15" i="2"/>
  <c r="F11" i="2"/>
  <c r="E14" i="2"/>
  <c r="F14" i="2"/>
  <c r="F17" i="2"/>
  <c r="F13" i="2"/>
  <c r="E16" i="2"/>
  <c r="G16" i="2" s="1"/>
  <c r="E13" i="2"/>
  <c r="E17" i="2"/>
  <c r="G17" i="2" s="1"/>
  <c r="E12" i="2"/>
  <c r="E15" i="2"/>
  <c r="E11" i="2"/>
  <c r="K12" i="1"/>
  <c r="K14" i="1"/>
  <c r="N14" i="1" s="1"/>
  <c r="E12" i="1"/>
  <c r="O14" i="1"/>
  <c r="K11" i="1"/>
  <c r="K7" i="1"/>
  <c r="O7" i="1" s="1"/>
  <c r="E10" i="1"/>
  <c r="E9" i="1"/>
  <c r="E8" i="1"/>
  <c r="K9" i="1" s="1"/>
  <c r="O9" i="1" s="1"/>
  <c r="K8" i="1"/>
  <c r="O8" i="1" s="1"/>
  <c r="E11" i="1"/>
  <c r="K10" i="1" s="1"/>
  <c r="H16" i="2" l="1"/>
  <c r="N16" i="2" s="1"/>
  <c r="O16" i="2" s="1"/>
  <c r="P16" i="2" s="1"/>
  <c r="H17" i="2"/>
  <c r="N17" i="2" s="1"/>
  <c r="O17" i="2" s="1"/>
  <c r="P17" i="2" s="1"/>
  <c r="G12" i="2"/>
  <c r="G13" i="2"/>
  <c r="G11" i="2"/>
  <c r="G15" i="2"/>
  <c r="G14" i="2"/>
  <c r="O11" i="1"/>
  <c r="J14" i="1"/>
  <c r="O12" i="1"/>
  <c r="N12" i="1"/>
  <c r="J12" i="1"/>
  <c r="O13" i="1"/>
  <c r="O10" i="1"/>
  <c r="N13" i="1"/>
  <c r="N9" i="1"/>
  <c r="J9" i="1"/>
  <c r="J10" i="1"/>
  <c r="N10" i="1"/>
  <c r="N8" i="1"/>
  <c r="J8" i="1"/>
  <c r="J7" i="1"/>
  <c r="N7" i="1"/>
  <c r="J11" i="1"/>
  <c r="N11" i="1"/>
  <c r="H13" i="2" l="1"/>
  <c r="N13" i="2" s="1"/>
  <c r="O13" i="2" s="1"/>
  <c r="P13" i="2" s="1"/>
  <c r="H14" i="2"/>
  <c r="N14" i="2" s="1"/>
  <c r="O14" i="2" s="1"/>
  <c r="P14" i="2" s="1"/>
  <c r="H12" i="2"/>
  <c r="N12" i="2" s="1"/>
  <c r="O12" i="2" s="1"/>
  <c r="P12" i="2" s="1"/>
  <c r="H15" i="2"/>
  <c r="N15" i="2" s="1"/>
  <c r="O15" i="2" s="1"/>
  <c r="P15" i="2" s="1"/>
  <c r="H11" i="2"/>
  <c r="N11" i="2" s="1"/>
  <c r="O11" i="2" l="1"/>
  <c r="P11" i="2" s="1"/>
</calcChain>
</file>

<file path=xl/sharedStrings.xml><?xml version="1.0" encoding="utf-8"?>
<sst xmlns="http://schemas.openxmlformats.org/spreadsheetml/2006/main" count="73" uniqueCount="54">
  <si>
    <t>MARQUES</t>
  </si>
  <si>
    <t>DESIGNATIONS</t>
  </si>
  <si>
    <t>TEINTES</t>
  </si>
  <si>
    <t>CODE</t>
  </si>
  <si>
    <t>LIBELLE</t>
  </si>
  <si>
    <t>MARQUE</t>
  </si>
  <si>
    <t>DESIGNATION</t>
  </si>
  <si>
    <t>PRB</t>
  </si>
  <si>
    <t>WEBER</t>
  </si>
  <si>
    <t>PAREX</t>
  </si>
  <si>
    <t>LAFARGE</t>
  </si>
  <si>
    <t>CALCIA</t>
  </si>
  <si>
    <t>EDILIS</t>
  </si>
  <si>
    <t>Saint-astier</t>
  </si>
  <si>
    <t>DRESS-R</t>
  </si>
  <si>
    <t>CalPF</t>
  </si>
  <si>
    <t>Pral F</t>
  </si>
  <si>
    <t>Lite F</t>
  </si>
  <si>
    <t>Pral TE</t>
  </si>
  <si>
    <t>LIB</t>
  </si>
  <si>
    <t>WEBER DRESS-R</t>
  </si>
  <si>
    <t>WEBER CalPF</t>
  </si>
  <si>
    <t>WEBER Pral TE</t>
  </si>
  <si>
    <t>CODE DES</t>
  </si>
  <si>
    <t>G20</t>
  </si>
  <si>
    <t>G10</t>
  </si>
  <si>
    <t>Monodécor GT</t>
  </si>
  <si>
    <t>Monodécor TL</t>
  </si>
  <si>
    <t>PAREX Monodécor GT</t>
  </si>
  <si>
    <t>PAREX Monodécor TL</t>
  </si>
  <si>
    <t>PAMUREX</t>
  </si>
  <si>
    <t>PAREX PAMUREX</t>
  </si>
  <si>
    <t>LIB DES</t>
  </si>
  <si>
    <t>O15</t>
  </si>
  <si>
    <t>WEBER Pral F</t>
  </si>
  <si>
    <t>PRODUIT</t>
  </si>
  <si>
    <t>DATE PEREMP</t>
  </si>
  <si>
    <t>LIB PRODUIT</t>
  </si>
  <si>
    <t>WEBER CalPF O15</t>
  </si>
  <si>
    <t>WEBER Pral F O15</t>
  </si>
  <si>
    <t>L90</t>
  </si>
  <si>
    <t>L30</t>
  </si>
  <si>
    <t>L00</t>
  </si>
  <si>
    <t>QTE STOCK</t>
  </si>
  <si>
    <t>PAREX Monodécor TL 800</t>
  </si>
  <si>
    <t>QTE PRISE</t>
  </si>
  <si>
    <t>QTE RESTE</t>
  </si>
  <si>
    <t>J</t>
  </si>
  <si>
    <t>LIM</t>
  </si>
  <si>
    <t>PERIME</t>
  </si>
  <si>
    <t>ETAT</t>
  </si>
  <si>
    <t>QTE TOTAL</t>
  </si>
  <si>
    <t>QTE PERIME</t>
  </si>
  <si>
    <t>QTE UTILE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</si>
</sst>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27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2</xdr:col>
      <xdr:colOff>0</xdr:colOff>
      <xdr:row>3</xdr:row>
      <xdr:rowOff>1</xdr:rowOff>
    </xdr:to>
    <xdr:sp macro="[0]!ModeMagasinier" textlink="">
      <xdr:nvSpPr>
        <xdr:cNvPr id="2" name="Rectangle à coins arrondis 1"/>
        <xdr:cNvSpPr/>
      </xdr:nvSpPr>
      <xdr:spPr>
        <a:xfrm>
          <a:off x="762000" y="190501"/>
          <a:ext cx="1552575" cy="3810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Magasinier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0</xdr:colOff>
      <xdr:row>6</xdr:row>
      <xdr:rowOff>0</xdr:rowOff>
    </xdr:to>
    <xdr:sp macro="[0]!ModeGestionnaire" textlink="">
      <xdr:nvSpPr>
        <xdr:cNvPr id="3" name="Rectangle à coins arrondis 2"/>
        <xdr:cNvSpPr/>
      </xdr:nvSpPr>
      <xdr:spPr>
        <a:xfrm>
          <a:off x="762000" y="762000"/>
          <a:ext cx="1552575" cy="3810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Gestionnaire</a:t>
          </a:r>
        </a:p>
      </xdr:txBody>
    </xdr:sp>
    <xdr:clientData/>
  </xdr:twoCellAnchor>
  <xdr:twoCellAnchor>
    <xdr:from>
      <xdr:col>3</xdr:col>
      <xdr:colOff>0</xdr:colOff>
      <xdr:row>4</xdr:row>
      <xdr:rowOff>0</xdr:rowOff>
    </xdr:from>
    <xdr:to>
      <xdr:col>6</xdr:col>
      <xdr:colOff>0</xdr:colOff>
      <xdr:row>6</xdr:row>
      <xdr:rowOff>0</xdr:rowOff>
    </xdr:to>
    <xdr:sp macro="" textlink="">
      <xdr:nvSpPr>
        <xdr:cNvPr id="4" name="Rectangle à coins arrondis 3"/>
        <xdr:cNvSpPr/>
      </xdr:nvSpPr>
      <xdr:spPr>
        <a:xfrm>
          <a:off x="2628900" y="762000"/>
          <a:ext cx="1228725" cy="3810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MAJ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6:C13" totalsRowShown="0">
  <autoFilter ref="B6:C13"/>
  <tableColumns count="2">
    <tableColumn id="1" name="CODE" dataDxfId="26">
      <calculatedColumnFormula>ROW()-ROW(Tableau1[#Headers])</calculatedColumnFormula>
    </tableColumn>
    <tableColumn id="2" name="LIBELL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6:H14" totalsRowShown="0">
  <autoFilter ref="E6:H14"/>
  <tableColumns count="4">
    <tableColumn id="1" name="CODE" dataDxfId="24">
      <calculatedColumnFormula>IF(Tableau2[[#This Row],[MARQUE]]="","",INDEX(Tableau1[],MATCH(Tableau2[[#This Row],[MARQUE]],Tableau1[LIBELLE],0),MATCH(Tableau1[[#Headers],[CODE]],Tableau1[#Headers],0))*1000+ROW()-ROW(Tableau2[#Headers]))</calculatedColumnFormula>
    </tableColumn>
    <tableColumn id="2" name="MARQUE"/>
    <tableColumn id="3" name="LIBELLE"/>
    <tableColumn id="4" name="LIB" dataDxfId="25">
      <calculatedColumnFormula>Tableau2[[#This Row],[MARQUE]]&amp;" "&amp;Tableau2[[#This Row],[LIBELLE]]</calculatedColumnFormula>
    </tableColumn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J6:P14" totalsRowShown="0">
  <autoFilter ref="J6:P14"/>
  <tableColumns count="7">
    <tableColumn id="7" name="CODE" dataDxfId="22">
      <calculatedColumnFormula>IF(Tableau3[[#This Row],[CODE DES]]="","",Tableau3[[#This Row],[CODE DES]]*1000+ROW()-ROW(Tableau3[#Headers]))</calculatedColumnFormula>
    </tableColumn>
    <tableColumn id="1" name="CODE DES" dataDxfId="23">
      <calculatedColumnFormula>IF(Tableau3[[#This Row],[LIB DES]]="","",INDEX(Tableau2[],MATCH(Tableau3[[#This Row],[LIB DES]],Tableau2[LIB],0),MATCH(Tableau2[[#Headers],[CODE]],Tableau2[#Headers],0)))</calculatedColumnFormula>
    </tableColumn>
    <tableColumn id="5" name="LIB DES"/>
    <tableColumn id="8" name="LIB PRODUIT" dataDxfId="19">
      <calculatedColumnFormula>Tableau3[[#This Row],[MARQUE]]&amp;" "&amp;Tableau3[[#This Row],[DESIGNATION]]&amp;IF(Tableau3[[#This Row],[LIBELLE]]="",""," "&amp;Tableau3[[#This Row],[LIBELLE]])</calculatedColumnFormula>
    </tableColumn>
    <tableColumn id="2" name="MARQUE" dataDxfId="21">
      <calculatedColumnFormula>VLOOKUP(Tableau3[[#This Row],[CODE DES]],Tableau2[],MATCH(Tableau2[[#Headers],[MARQUE]],Tableau2[#Headers],0),FALSE)</calculatedColumnFormula>
    </tableColumn>
    <tableColumn id="3" name="DESIGNATION" dataDxfId="20">
      <calculatedColumnFormula>VLOOKUP(Tableau3[[#This Row],[CODE DES]],Tableau2[],MATCH(Tableau2[[#Headers],[LIBELLE]],Tableau2[#Headers],0),FALSE)</calculatedColumnFormula>
    </tableColumn>
    <tableColumn id="4" name="LIBELLE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10:P17" totalsRowShown="0" headerRowDxfId="8">
  <autoFilter ref="B10:P17"/>
  <tableColumns count="15">
    <tableColumn id="1" name="PRODUIT"/>
    <tableColumn id="6" name="J" dataDxfId="17">
      <calculatedColumnFormula>IF(Tableau4[[#This Row],[PRODUIT]]="","",Tableau4[[#This Row],[DATE PEREMP]]-TODAY())</calculatedColumnFormula>
    </tableColumn>
    <tableColumn id="7" name="L90" dataDxfId="16">
      <calculatedColumnFormula>IF(Tableau4[[#This Row],[J]]&lt;90,0,1)</calculatedColumnFormula>
    </tableColumn>
    <tableColumn id="8" name="L30" dataDxfId="15">
      <calculatedColumnFormula>IF(Tableau4[[#This Row],[J]]&lt;30,0,1)</calculatedColumnFormula>
    </tableColumn>
    <tableColumn id="9" name="L00" dataDxfId="14">
      <calculatedColumnFormula>IF(Tableau4[[#This Row],[J]]&lt;0,0,1)</calculatedColumnFormula>
    </tableColumn>
    <tableColumn id="10" name="LIM" dataDxfId="13">
      <calculatedColumnFormula>SUM(Tableau4[[#This Row],[L90]:[L00]])</calculatedColumnFormula>
    </tableColumn>
    <tableColumn id="12" name="PERIME" dataDxfId="12">
      <calculatedColumnFormula>IF(Tableau4[[#This Row],[LIM]]=0,"PERIME","")</calculatedColumnFormula>
    </tableColumn>
    <tableColumn id="5" name="DATE PEREMP" dataDxfId="10"/>
    <tableColumn id="11" name="QTE STOCK" dataDxfId="11"/>
    <tableColumn id="13" name="QTE PRISE" dataDxfId="18"/>
    <tableColumn id="14" name="QTE RESTE" dataDxfId="9">
      <calculatedColumnFormula>Tableau4[[#This Row],[QTE STOCK]]-Tableau4[[#This Row],[QTE PRISE]]</calculatedColumnFormula>
    </tableColumn>
    <tableColumn id="16" name="QTE TOTAL" dataDxfId="7">
      <calculatedColumnFormula>SUMIF(Tableau4[PRODUIT],Tableau4[[#This Row],[PRODUIT]],Tableau4[QTE RESTE])</calculatedColumnFormula>
    </tableColumn>
    <tableColumn id="18" name="QTE PERIME" dataDxfId="2">
      <calculatedColumnFormula>IF(Tableau4[[#This Row],[PERIME]]="PERIME",Tableau4[[#This Row],[QTE STOCK]],0)</calculatedColumnFormula>
    </tableColumn>
    <tableColumn id="17" name="QTE UTILE" dataDxfId="1">
      <calculatedColumnFormula>Tableau4[[#This Row],[QTE TOTAL]]-Tableau4[[#This Row],[QTE PERIME]]</calculatedColumnFormula>
    </tableColumn>
    <tableColumn id="15" name="ETAT" dataDxfId="0">
      <calculatedColumnFormula>IF(OR(Tableau4[[#This Row],[QTE RESTE]]=0,Tableau4[[#This Row],[QTE UTILE]]=0),"EPUISE","")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14"/>
  <sheetViews>
    <sheetView workbookViewId="0">
      <selection activeCell="M7" sqref="M7"/>
    </sheetView>
  </sheetViews>
  <sheetFormatPr baseColWidth="10" defaultRowHeight="15" x14ac:dyDescent="0.25"/>
  <cols>
    <col min="7" max="7" width="13.85546875" bestFit="1" customWidth="1"/>
    <col min="8" max="8" width="0" hidden="1" customWidth="1"/>
    <col min="12" max="12" width="20.140625" bestFit="1" customWidth="1"/>
    <col min="13" max="13" width="20.140625" customWidth="1"/>
    <col min="14" max="14" width="15.42578125" customWidth="1"/>
  </cols>
  <sheetData>
    <row r="4" spans="2:16" x14ac:dyDescent="0.25">
      <c r="B4" t="s">
        <v>0</v>
      </c>
      <c r="E4" t="s">
        <v>1</v>
      </c>
      <c r="J4" t="s">
        <v>2</v>
      </c>
    </row>
    <row r="6" spans="2:16" x14ac:dyDescent="0.25">
      <c r="B6" t="s">
        <v>3</v>
      </c>
      <c r="C6" t="s">
        <v>4</v>
      </c>
      <c r="E6" t="s">
        <v>3</v>
      </c>
      <c r="F6" t="s">
        <v>5</v>
      </c>
      <c r="G6" t="s">
        <v>4</v>
      </c>
      <c r="H6" t="s">
        <v>19</v>
      </c>
      <c r="J6" t="s">
        <v>3</v>
      </c>
      <c r="K6" t="s">
        <v>23</v>
      </c>
      <c r="L6" t="s">
        <v>32</v>
      </c>
      <c r="M6" t="s">
        <v>37</v>
      </c>
      <c r="N6" t="s">
        <v>5</v>
      </c>
      <c r="O6" t="s">
        <v>6</v>
      </c>
      <c r="P6" t="s">
        <v>4</v>
      </c>
    </row>
    <row r="7" spans="2:16" x14ac:dyDescent="0.25">
      <c r="B7">
        <f>ROW()-ROW(Tableau1[#Headers])</f>
        <v>1</v>
      </c>
      <c r="C7" t="s">
        <v>7</v>
      </c>
      <c r="E7">
        <f>IF(Tableau2[[#This Row],[MARQUE]]="","",INDEX(Tableau1[],MATCH(Tableau2[[#This Row],[MARQUE]],Tableau1[LIBELLE],0),MATCH(Tableau1[[#Headers],[CODE]],Tableau1[#Headers],0))*1000+ROW()-ROW(Tableau2[#Headers]))</f>
        <v>2001</v>
      </c>
      <c r="F7" t="s">
        <v>8</v>
      </c>
      <c r="G7" t="s">
        <v>14</v>
      </c>
      <c r="H7" t="str">
        <f>Tableau2[[#This Row],[MARQUE]]&amp;" "&amp;Tableau2[[#This Row],[LIBELLE]]</f>
        <v>WEBER DRESS-R</v>
      </c>
      <c r="J7" s="1">
        <f>IF(Tableau3[[#This Row],[CODE DES]]="","",Tableau3[[#This Row],[CODE DES]]*1000+ROW()-ROW(Tableau3[#Headers]))</f>
        <v>2001001</v>
      </c>
      <c r="K7">
        <f>IF(Tableau3[[#This Row],[LIB DES]]="","",INDEX(Tableau2[],MATCH(Tableau3[[#This Row],[LIB DES]],Tableau2[LIB],0),MATCH(Tableau2[[#Headers],[CODE]],Tableau2[#Headers],0)))</f>
        <v>2001</v>
      </c>
      <c r="L7" t="s">
        <v>20</v>
      </c>
      <c r="M7" t="str">
        <f>Tableau3[[#This Row],[MARQUE]]&amp;" "&amp;Tableau3[[#This Row],[DESIGNATION]]&amp;IF(Tableau3[[#This Row],[LIBELLE]]="",""," "&amp;Tableau3[[#This Row],[LIBELLE]])</f>
        <v>WEBER DRESS-R</v>
      </c>
      <c r="N7" t="str">
        <f>VLOOKUP(Tableau3[[#This Row],[CODE DES]],Tableau2[],MATCH(Tableau2[[#Headers],[MARQUE]],Tableau2[#Headers],0),FALSE)</f>
        <v>WEBER</v>
      </c>
      <c r="O7" t="str">
        <f>VLOOKUP(Tableau3[[#This Row],[CODE DES]],Tableau2[],MATCH(Tableau2[[#Headers],[LIBELLE]],Tableau2[#Headers],0),FALSE)</f>
        <v>DRESS-R</v>
      </c>
    </row>
    <row r="8" spans="2:16" x14ac:dyDescent="0.25">
      <c r="B8">
        <f>ROW()-ROW(Tableau1[#Headers])</f>
        <v>2</v>
      </c>
      <c r="C8" t="s">
        <v>8</v>
      </c>
      <c r="E8">
        <f>IF(Tableau2[[#This Row],[MARQUE]]="","",INDEX(Tableau1[],MATCH(Tableau2[[#This Row],[MARQUE]],Tableau1[LIBELLE],0),MATCH(Tableau1[[#Headers],[CODE]],Tableau1[#Headers],0))*1000+ROW()-ROW(Tableau2[#Headers]))</f>
        <v>2002</v>
      </c>
      <c r="F8" t="s">
        <v>8</v>
      </c>
      <c r="G8" t="s">
        <v>15</v>
      </c>
      <c r="H8" t="str">
        <f>Tableau2[[#This Row],[MARQUE]]&amp;" "&amp;Tableau2[[#This Row],[LIBELLE]]</f>
        <v>WEBER CalPF</v>
      </c>
      <c r="J8" s="1">
        <f>IF(Tableau3[[#This Row],[CODE DES]]="","",Tableau3[[#This Row],[CODE DES]]*1000+ROW()-ROW(Tableau3[#Headers]))</f>
        <v>2002002</v>
      </c>
      <c r="K8">
        <f>IF(Tableau3[[#This Row],[LIB DES]]="","",INDEX(Tableau2[],MATCH(Tableau3[[#This Row],[LIB DES]],Tableau2[LIB],0),MATCH(Tableau2[[#Headers],[CODE]],Tableau2[#Headers],0)))</f>
        <v>2002</v>
      </c>
      <c r="L8" t="s">
        <v>21</v>
      </c>
      <c r="M8" t="str">
        <f>Tableau3[[#This Row],[MARQUE]]&amp;" "&amp;Tableau3[[#This Row],[DESIGNATION]]&amp;IF(Tableau3[[#This Row],[LIBELLE]]="",""," "&amp;Tableau3[[#This Row],[LIBELLE]])</f>
        <v>WEBER CalPF O15</v>
      </c>
      <c r="N8" t="str">
        <f>VLOOKUP(Tableau3[[#This Row],[CODE DES]],Tableau2[],MATCH(Tableau2[[#Headers],[MARQUE]],Tableau2[#Headers],0),FALSE)</f>
        <v>WEBER</v>
      </c>
      <c r="O8" t="str">
        <f>VLOOKUP(Tableau3[[#This Row],[CODE DES]],Tableau2[],MATCH(Tableau2[[#Headers],[LIBELLE]],Tableau2[#Headers],0),FALSE)</f>
        <v>CalPF</v>
      </c>
      <c r="P8" t="s">
        <v>33</v>
      </c>
    </row>
    <row r="9" spans="2:16" x14ac:dyDescent="0.25">
      <c r="B9">
        <f>ROW()-ROW(Tableau1[#Headers])</f>
        <v>3</v>
      </c>
      <c r="C9" t="s">
        <v>9</v>
      </c>
      <c r="E9">
        <f>IF(Tableau2[[#This Row],[MARQUE]]="","",INDEX(Tableau1[],MATCH(Tableau2[[#This Row],[MARQUE]],Tableau1[LIBELLE],0),MATCH(Tableau1[[#Headers],[CODE]],Tableau1[#Headers],0))*1000+ROW()-ROW(Tableau2[#Headers]))</f>
        <v>2003</v>
      </c>
      <c r="F9" t="s">
        <v>8</v>
      </c>
      <c r="G9" t="s">
        <v>16</v>
      </c>
      <c r="H9" t="str">
        <f>Tableau2[[#This Row],[MARQUE]]&amp;" "&amp;Tableau2[[#This Row],[LIBELLE]]</f>
        <v>WEBER Pral F</v>
      </c>
      <c r="J9" s="1">
        <f>IF(Tableau3[[#This Row],[CODE DES]]="","",Tableau3[[#This Row],[CODE DES]]*1000+ROW()-ROW(Tableau3[#Headers]))</f>
        <v>2003003</v>
      </c>
      <c r="K9">
        <f>IF(Tableau3[[#This Row],[LIB DES]]="","",INDEX(Tableau2[],MATCH(Tableau3[[#This Row],[LIB DES]],Tableau2[LIB],0),MATCH(Tableau2[[#Headers],[CODE]],Tableau2[#Headers],0)))</f>
        <v>2003</v>
      </c>
      <c r="L9" t="s">
        <v>34</v>
      </c>
      <c r="M9" t="str">
        <f>Tableau3[[#This Row],[MARQUE]]&amp;" "&amp;Tableau3[[#This Row],[DESIGNATION]]&amp;IF(Tableau3[[#This Row],[LIBELLE]]="",""," "&amp;Tableau3[[#This Row],[LIBELLE]])</f>
        <v>WEBER Pral F O15</v>
      </c>
      <c r="N9" t="str">
        <f>VLOOKUP(Tableau3[[#This Row],[CODE DES]],Tableau2[],MATCH(Tableau2[[#Headers],[MARQUE]],Tableau2[#Headers],0),FALSE)</f>
        <v>WEBER</v>
      </c>
      <c r="O9" t="str">
        <f>VLOOKUP(Tableau3[[#This Row],[CODE DES]],Tableau2[],MATCH(Tableau2[[#Headers],[LIBELLE]],Tableau2[#Headers],0),FALSE)</f>
        <v>Pral F</v>
      </c>
      <c r="P9" t="s">
        <v>33</v>
      </c>
    </row>
    <row r="10" spans="2:16" x14ac:dyDescent="0.25">
      <c r="B10">
        <f>ROW()-ROW(Tableau1[#Headers])</f>
        <v>4</v>
      </c>
      <c r="C10" t="s">
        <v>10</v>
      </c>
      <c r="E10">
        <f>IF(Tableau2[[#This Row],[MARQUE]]="","",INDEX(Tableau1[],MATCH(Tableau2[[#This Row],[MARQUE]],Tableau1[LIBELLE],0),MATCH(Tableau1[[#Headers],[CODE]],Tableau1[#Headers],0))*1000+ROW()-ROW(Tableau2[#Headers]))</f>
        <v>2004</v>
      </c>
      <c r="F10" t="s">
        <v>8</v>
      </c>
      <c r="G10" t="s">
        <v>17</v>
      </c>
      <c r="H10" t="str">
        <f>Tableau2[[#This Row],[MARQUE]]&amp;" "&amp;Tableau2[[#This Row],[LIBELLE]]</f>
        <v>WEBER Lite F</v>
      </c>
      <c r="J10" s="1">
        <f>IF(Tableau3[[#This Row],[CODE DES]]="","",Tableau3[[#This Row],[CODE DES]]*1000+ROW()-ROW(Tableau3[#Headers]))</f>
        <v>2005004</v>
      </c>
      <c r="K10">
        <f>IF(Tableau3[[#This Row],[LIB DES]]="","",INDEX(Tableau2[],MATCH(Tableau3[[#This Row],[LIB DES]],Tableau2[LIB],0),MATCH(Tableau2[[#Headers],[CODE]],Tableau2[#Headers],0)))</f>
        <v>2005</v>
      </c>
      <c r="L10" t="s">
        <v>22</v>
      </c>
      <c r="M10" t="str">
        <f>Tableau3[[#This Row],[MARQUE]]&amp;" "&amp;Tableau3[[#This Row],[DESIGNATION]]&amp;IF(Tableau3[[#This Row],[LIBELLE]]="",""," "&amp;Tableau3[[#This Row],[LIBELLE]])</f>
        <v>WEBER Pral TE</v>
      </c>
      <c r="N10" t="str">
        <f>VLOOKUP(Tableau3[[#This Row],[CODE DES]],Tableau2[],MATCH(Tableau2[[#Headers],[MARQUE]],Tableau2[#Headers],0),FALSE)</f>
        <v>WEBER</v>
      </c>
      <c r="O10" t="str">
        <f>VLOOKUP(Tableau3[[#This Row],[CODE DES]],Tableau2[],MATCH(Tableau2[[#Headers],[LIBELLE]],Tableau2[#Headers],0),FALSE)</f>
        <v>Pral TE</v>
      </c>
    </row>
    <row r="11" spans="2:16" x14ac:dyDescent="0.25">
      <c r="B11">
        <f>ROW()-ROW(Tableau1[#Headers])</f>
        <v>5</v>
      </c>
      <c r="C11" t="s">
        <v>11</v>
      </c>
      <c r="E11" s="1">
        <f>IF(Tableau2[[#This Row],[MARQUE]]="","",INDEX(Tableau1[],MATCH(Tableau2[[#This Row],[MARQUE]],Tableau1[LIBELLE],0),MATCH(Tableau1[[#Headers],[CODE]],Tableau1[#Headers],0))*1000+ROW()-ROW(Tableau2[#Headers]))</f>
        <v>2005</v>
      </c>
      <c r="F11" t="s">
        <v>8</v>
      </c>
      <c r="G11" t="s">
        <v>18</v>
      </c>
      <c r="H11" t="str">
        <f>Tableau2[[#This Row],[MARQUE]]&amp;" "&amp;Tableau2[[#This Row],[LIBELLE]]</f>
        <v>WEBER Pral TE</v>
      </c>
      <c r="J11" s="1">
        <f>IF(Tableau3[[#This Row],[CODE DES]]="","",Tableau3[[#This Row],[CODE DES]]*1000+ROW()-ROW(Tableau3[#Headers]))</f>
        <v>3006005</v>
      </c>
      <c r="K11" s="1">
        <f>IF(Tableau3[[#This Row],[LIB DES]]="","",INDEX(Tableau2[],MATCH(Tableau3[[#This Row],[LIB DES]],Tableau2[LIB],0),MATCH(Tableau2[[#Headers],[CODE]],Tableau2[#Headers],0)))</f>
        <v>3006</v>
      </c>
      <c r="L11" t="s">
        <v>28</v>
      </c>
      <c r="M11" t="str">
        <f>Tableau3[[#This Row],[MARQUE]]&amp;" "&amp;Tableau3[[#This Row],[DESIGNATION]]&amp;IF(Tableau3[[#This Row],[LIBELLE]]="",""," "&amp;Tableau3[[#This Row],[LIBELLE]])</f>
        <v>PAREX Monodécor GT G20</v>
      </c>
      <c r="N11" t="str">
        <f>VLOOKUP(Tableau3[[#This Row],[CODE DES]],Tableau2[],MATCH(Tableau2[[#Headers],[MARQUE]],Tableau2[#Headers],0),FALSE)</f>
        <v>PAREX</v>
      </c>
      <c r="O11" t="str">
        <f>VLOOKUP(Tableau3[[#This Row],[CODE DES]],Tableau2[],MATCH(Tableau2[[#Headers],[LIBELLE]],Tableau2[#Headers],0),FALSE)</f>
        <v>Monodécor GT</v>
      </c>
      <c r="P11" t="s">
        <v>24</v>
      </c>
    </row>
    <row r="12" spans="2:16" x14ac:dyDescent="0.25">
      <c r="B12">
        <f>ROW()-ROW(Tableau1[#Headers])</f>
        <v>6</v>
      </c>
      <c r="C12" t="s">
        <v>12</v>
      </c>
      <c r="E12" s="1">
        <f>IF(Tableau2[[#This Row],[MARQUE]]="","",INDEX(Tableau1[],MATCH(Tableau2[[#This Row],[MARQUE]],Tableau1[LIBELLE],0),MATCH(Tableau1[[#Headers],[CODE]],Tableau1[#Headers],0))*1000+ROW()-ROW(Tableau2[#Headers]))</f>
        <v>3006</v>
      </c>
      <c r="F12" t="s">
        <v>9</v>
      </c>
      <c r="G12" t="s">
        <v>26</v>
      </c>
      <c r="H12" s="1" t="str">
        <f>Tableau2[[#This Row],[MARQUE]]&amp;" "&amp;Tableau2[[#This Row],[LIBELLE]]</f>
        <v>PAREX Monodécor GT</v>
      </c>
      <c r="J12" s="1">
        <f>IF(Tableau3[[#This Row],[CODE DES]]="","",Tableau3[[#This Row],[CODE DES]]*1000+ROW()-ROW(Tableau3[#Headers]))</f>
        <v>3007006</v>
      </c>
      <c r="K12" s="1">
        <f>IF(Tableau3[[#This Row],[LIB DES]]="","",INDEX(Tableau2[],MATCH(Tableau3[[#This Row],[LIB DES]],Tableau2[LIB],0),MATCH(Tableau2[[#Headers],[CODE]],Tableau2[#Headers],0)))</f>
        <v>3007</v>
      </c>
      <c r="L12" t="s">
        <v>29</v>
      </c>
      <c r="M12" t="str">
        <f>Tableau3[[#This Row],[MARQUE]]&amp;" "&amp;Tableau3[[#This Row],[DESIGNATION]]&amp;IF(Tableau3[[#This Row],[LIBELLE]]="",""," "&amp;Tableau3[[#This Row],[LIBELLE]])</f>
        <v>PAREX Monodécor TL G10</v>
      </c>
      <c r="N12" t="str">
        <f>VLOOKUP(Tableau3[[#This Row],[CODE DES]],Tableau2[],MATCH(Tableau2[[#Headers],[MARQUE]],Tableau2[#Headers],0),FALSE)</f>
        <v>PAREX</v>
      </c>
      <c r="O12" t="str">
        <f>VLOOKUP(Tableau3[[#This Row],[CODE DES]],Tableau2[],MATCH(Tableau2[[#Headers],[LIBELLE]],Tableau2[#Headers],0),FALSE)</f>
        <v>Monodécor TL</v>
      </c>
      <c r="P12" t="s">
        <v>25</v>
      </c>
    </row>
    <row r="13" spans="2:16" x14ac:dyDescent="0.25">
      <c r="B13">
        <f>ROW()-ROW(Tableau1[#Headers])</f>
        <v>7</v>
      </c>
      <c r="C13" t="s">
        <v>13</v>
      </c>
      <c r="E13" s="1">
        <f>IF(Tableau2[[#This Row],[MARQUE]]="","",INDEX(Tableau1[],MATCH(Tableau2[[#This Row],[MARQUE]],Tableau1[LIBELLE],0),MATCH(Tableau1[[#Headers],[CODE]],Tableau1[#Headers],0))*1000+ROW()-ROW(Tableau2[#Headers]))</f>
        <v>3007</v>
      </c>
      <c r="F13" t="s">
        <v>9</v>
      </c>
      <c r="G13" t="s">
        <v>27</v>
      </c>
      <c r="H13" s="1" t="str">
        <f>Tableau2[[#This Row],[MARQUE]]&amp;" "&amp;Tableau2[[#This Row],[LIBELLE]]</f>
        <v>PAREX Monodécor TL</v>
      </c>
      <c r="J13" s="1">
        <f>IF(Tableau3[[#This Row],[CODE DES]]="","",Tableau3[[#This Row],[CODE DES]]*1000+ROW()-ROW(Tableau3[#Headers]))</f>
        <v>3008007</v>
      </c>
      <c r="K13" s="1">
        <f>IF(Tableau3[[#This Row],[LIB DES]]="","",INDEX(Tableau2[],MATCH(Tableau3[[#This Row],[LIB DES]],Tableau2[LIB],0),MATCH(Tableau2[[#Headers],[CODE]],Tableau2[#Headers],0)))</f>
        <v>3008</v>
      </c>
      <c r="L13" t="s">
        <v>31</v>
      </c>
      <c r="M13" t="str">
        <f>Tableau3[[#This Row],[MARQUE]]&amp;" "&amp;Tableau3[[#This Row],[DESIGNATION]]&amp;IF(Tableau3[[#This Row],[LIBELLE]]="",""," "&amp;Tableau3[[#This Row],[LIBELLE]])</f>
        <v>PAREX PAMUREX</v>
      </c>
      <c r="N13" s="1" t="str">
        <f>VLOOKUP(Tableau3[[#This Row],[CODE DES]],Tableau2[],MATCH(Tableau2[[#Headers],[MARQUE]],Tableau2[#Headers],0),FALSE)</f>
        <v>PAREX</v>
      </c>
      <c r="O13" t="str">
        <f>VLOOKUP(Tableau3[[#This Row],[CODE DES]],Tableau2[],MATCH(Tableau2[[#Headers],[LIBELLE]],Tableau2[#Headers],0),FALSE)</f>
        <v>PAMUREX</v>
      </c>
    </row>
    <row r="14" spans="2:16" x14ac:dyDescent="0.25">
      <c r="E14" s="1">
        <f>IF(Tableau2[[#This Row],[MARQUE]]="","",INDEX(Tableau1[],MATCH(Tableau2[[#This Row],[MARQUE]],Tableau1[LIBELLE],0),MATCH(Tableau1[[#Headers],[CODE]],Tableau1[#Headers],0))*1000+ROW()-ROW(Tableau2[#Headers]))</f>
        <v>3008</v>
      </c>
      <c r="F14" t="s">
        <v>9</v>
      </c>
      <c r="G14" t="s">
        <v>30</v>
      </c>
      <c r="H14" s="1" t="str">
        <f>Tableau2[[#This Row],[MARQUE]]&amp;" "&amp;Tableau2[[#This Row],[LIBELLE]]</f>
        <v>PAREX PAMUREX</v>
      </c>
      <c r="J14" s="1">
        <f>IF(Tableau3[[#This Row],[CODE DES]]="","",Tableau3[[#This Row],[CODE DES]]*1000+ROW()-ROW(Tableau3[#Headers]))</f>
        <v>3007008</v>
      </c>
      <c r="K14" s="1">
        <f>IF(Tableau3[[#This Row],[LIB DES]]="","",INDEX(Tableau2[],MATCH(Tableau3[[#This Row],[LIB DES]],Tableau2[LIB],0),MATCH(Tableau2[[#Headers],[CODE]],Tableau2[#Headers],0)))</f>
        <v>3007</v>
      </c>
      <c r="L14" t="s">
        <v>29</v>
      </c>
      <c r="M14" t="str">
        <f>Tableau3[[#This Row],[MARQUE]]&amp;" "&amp;Tableau3[[#This Row],[DESIGNATION]]&amp;IF(Tableau3[[#This Row],[LIBELLE]]="",""," "&amp;Tableau3[[#This Row],[LIBELLE]])</f>
        <v>PAREX Monodécor TL 800</v>
      </c>
      <c r="N14" s="1" t="str">
        <f>VLOOKUP(Tableau3[[#This Row],[CODE DES]],Tableau2[],MATCH(Tableau2[[#Headers],[MARQUE]],Tableau2[#Headers],0),FALSE)</f>
        <v>PAREX</v>
      </c>
      <c r="O14" s="1" t="str">
        <f>VLOOKUP(Tableau3[[#This Row],[CODE DES]],Tableau2[],MATCH(Tableau2[[#Headers],[LIBELLE]],Tableau2[#Headers],0),FALSE)</f>
        <v>Monodécor TL</v>
      </c>
      <c r="P14">
        <v>800</v>
      </c>
    </row>
  </sheetData>
  <dataValidations count="2">
    <dataValidation type="list" allowBlank="1" showInputMessage="1" showErrorMessage="1" sqref="F7:F14">
      <formula1>selMarque</formula1>
    </dataValidation>
    <dataValidation type="list" allowBlank="1" showInputMessage="1" showErrorMessage="1" sqref="L7:L14">
      <formula1>selLib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0:P17"/>
  <sheetViews>
    <sheetView tabSelected="1" workbookViewId="0">
      <pane xSplit="6" ySplit="10" topLeftCell="G11" activePane="bottomRight" state="frozen"/>
      <selection pane="topRight" activeCell="G1" sqref="G1"/>
      <selection pane="bottomLeft" activeCell="A11" sqref="A11"/>
      <selection pane="bottomRight" activeCell="B11" sqref="B11"/>
    </sheetView>
  </sheetViews>
  <sheetFormatPr baseColWidth="10" defaultRowHeight="15" x14ac:dyDescent="0.25"/>
  <cols>
    <col min="2" max="2" width="23.28515625" bestFit="1" customWidth="1"/>
    <col min="3" max="3" width="4.7109375" customWidth="1"/>
    <col min="4" max="6" width="6.140625" customWidth="1"/>
    <col min="7" max="7" width="6.5703125" bestFit="1" customWidth="1"/>
    <col min="8" max="8" width="11.7109375" bestFit="1" customWidth="1"/>
    <col min="9" max="9" width="15.5703125" bestFit="1" customWidth="1"/>
    <col min="10" max="15" width="8.7109375" customWidth="1"/>
  </cols>
  <sheetData>
    <row r="10" spans="2:16" ht="51" customHeight="1" x14ac:dyDescent="0.25">
      <c r="B10" s="5" t="s">
        <v>35</v>
      </c>
      <c r="C10" s="5" t="s">
        <v>47</v>
      </c>
      <c r="D10" s="5" t="s">
        <v>40</v>
      </c>
      <c r="E10" s="5" t="s">
        <v>41</v>
      </c>
      <c r="F10" s="5" t="s">
        <v>42</v>
      </c>
      <c r="G10" s="5" t="s">
        <v>48</v>
      </c>
      <c r="H10" s="5" t="s">
        <v>49</v>
      </c>
      <c r="I10" s="5" t="s">
        <v>36</v>
      </c>
      <c r="J10" s="6" t="s">
        <v>43</v>
      </c>
      <c r="K10" s="6" t="s">
        <v>45</v>
      </c>
      <c r="L10" s="6" t="s">
        <v>46</v>
      </c>
      <c r="M10" s="6" t="s">
        <v>51</v>
      </c>
      <c r="N10" s="6" t="s">
        <v>52</v>
      </c>
      <c r="O10" s="6" t="s">
        <v>53</v>
      </c>
      <c r="P10" s="5" t="s">
        <v>50</v>
      </c>
    </row>
    <row r="11" spans="2:16" x14ac:dyDescent="0.25">
      <c r="B11" t="s">
        <v>38</v>
      </c>
      <c r="C11" s="1">
        <f ca="1">IF(Tableau4[[#This Row],[PRODUIT]]="","",Tableau4[[#This Row],[DATE PEREMP]]-TODAY())</f>
        <v>23</v>
      </c>
      <c r="D11" s="3">
        <f ca="1">IF(Tableau4[[#This Row],[J]]&lt;90,0,1)</f>
        <v>0</v>
      </c>
      <c r="E11" s="3">
        <f ca="1">IF(Tableau4[[#This Row],[J]]&lt;30,0,1)</f>
        <v>0</v>
      </c>
      <c r="F11" s="3">
        <f ca="1">IF(Tableau4[[#This Row],[J]]&lt;0,0,1)</f>
        <v>1</v>
      </c>
      <c r="G11" s="3">
        <f ca="1">SUM(Tableau4[[#This Row],[L90]:[L00]])</f>
        <v>1</v>
      </c>
      <c r="H11" s="2" t="str">
        <f ca="1">IF(Tableau4[[#This Row],[LIM]]=0,"PERIME","")</f>
        <v/>
      </c>
      <c r="I11" s="4">
        <v>42401</v>
      </c>
      <c r="J11" s="1">
        <v>10</v>
      </c>
      <c r="K11" s="1">
        <v>1</v>
      </c>
      <c r="L11" s="1">
        <f>Tableau4[[#This Row],[QTE STOCK]]-Tableau4[[#This Row],[QTE PRISE]]</f>
        <v>9</v>
      </c>
      <c r="M11" s="1">
        <f>SUMIF(Tableau4[PRODUIT],Tableau4[[#This Row],[PRODUIT]],Tableau4[QTE RESTE])</f>
        <v>9</v>
      </c>
      <c r="N11" s="1">
        <f ca="1">IF(Tableau4[[#This Row],[PERIME]]="PERIME",Tableau4[[#This Row],[QTE STOCK]],0)</f>
        <v>0</v>
      </c>
      <c r="O11" s="1">
        <f ca="1">Tableau4[[#This Row],[QTE TOTAL]]-Tableau4[[#This Row],[QTE PERIME]]</f>
        <v>9</v>
      </c>
      <c r="P11" s="2" t="str">
        <f ca="1">IF(OR(Tableau4[[#This Row],[QTE RESTE]]=0,Tableau4[[#This Row],[QTE UTILE]]=0),"EPUISE","")</f>
        <v/>
      </c>
    </row>
    <row r="12" spans="2:16" x14ac:dyDescent="0.25">
      <c r="B12" t="s">
        <v>39</v>
      </c>
      <c r="C12" s="1">
        <f ca="1">IF(Tableau4[[#This Row],[PRODUIT]]="","",Tableau4[[#This Row],[DATE PEREMP]]-TODAY())</f>
        <v>16</v>
      </c>
      <c r="D12" s="3">
        <f ca="1">IF(Tableau4[[#This Row],[J]]&lt;90,0,1)</f>
        <v>0</v>
      </c>
      <c r="E12" s="3">
        <f ca="1">IF(Tableau4[[#This Row],[J]]&lt;30,0,1)</f>
        <v>0</v>
      </c>
      <c r="F12" s="3">
        <f ca="1">IF(Tableau4[[#This Row],[J]]&lt;0,0,1)</f>
        <v>1</v>
      </c>
      <c r="G12" s="3">
        <f ca="1">SUM(Tableau4[[#This Row],[L90]:[L00]])</f>
        <v>1</v>
      </c>
      <c r="H12" s="2" t="str">
        <f ca="1">IF(Tableau4[[#This Row],[LIM]]=0,"PERIME","")</f>
        <v/>
      </c>
      <c r="I12" s="4">
        <v>42394</v>
      </c>
      <c r="J12" s="1">
        <v>10</v>
      </c>
      <c r="K12" s="1">
        <v>8</v>
      </c>
      <c r="L12" s="1">
        <f>Tableau4[[#This Row],[QTE STOCK]]-Tableau4[[#This Row],[QTE PRISE]]</f>
        <v>2</v>
      </c>
      <c r="M12" s="1">
        <f>SUMIF(Tableau4[PRODUIT],Tableau4[[#This Row],[PRODUIT]],Tableau4[QTE RESTE])</f>
        <v>3</v>
      </c>
      <c r="N12" s="1">
        <f ca="1">IF(Tableau4[[#This Row],[PERIME]]="PERIME",Tableau4[[#This Row],[QTE STOCK]],0)</f>
        <v>0</v>
      </c>
      <c r="O12" s="1">
        <f ca="1">Tableau4[[#This Row],[QTE TOTAL]]-Tableau4[[#This Row],[QTE PERIME]]</f>
        <v>3</v>
      </c>
      <c r="P12" s="2" t="str">
        <f ca="1">IF(OR(Tableau4[[#This Row],[QTE RESTE]]=0,Tableau4[[#This Row],[QTE UTILE]]=0),"EPUISE","")</f>
        <v/>
      </c>
    </row>
    <row r="13" spans="2:16" x14ac:dyDescent="0.25">
      <c r="B13" t="s">
        <v>39</v>
      </c>
      <c r="C13" s="1">
        <f ca="1">IF(Tableau4[[#This Row],[PRODUIT]]="","",Tableau4[[#This Row],[DATE PEREMP]]-TODAY())</f>
        <v>47</v>
      </c>
      <c r="D13" s="3">
        <f ca="1">IF(Tableau4[[#This Row],[J]]&lt;90,0,1)</f>
        <v>0</v>
      </c>
      <c r="E13" s="3">
        <f ca="1">IF(Tableau4[[#This Row],[J]]&lt;30,0,1)</f>
        <v>1</v>
      </c>
      <c r="F13" s="3">
        <f ca="1">IF(Tableau4[[#This Row],[J]]&lt;0,0,1)</f>
        <v>1</v>
      </c>
      <c r="G13" s="3">
        <f ca="1">SUM(Tableau4[[#This Row],[L90]:[L00]])</f>
        <v>2</v>
      </c>
      <c r="H13" s="2" t="str">
        <f ca="1">IF(Tableau4[[#This Row],[LIM]]=0,"PERIME","")</f>
        <v/>
      </c>
      <c r="I13" s="4">
        <v>42425</v>
      </c>
      <c r="J13" s="1">
        <v>10</v>
      </c>
      <c r="K13" s="1">
        <v>9</v>
      </c>
      <c r="L13" s="1">
        <f>Tableau4[[#This Row],[QTE STOCK]]-Tableau4[[#This Row],[QTE PRISE]]</f>
        <v>1</v>
      </c>
      <c r="M13" s="1">
        <f>SUMIF(Tableau4[PRODUIT],Tableau4[[#This Row],[PRODUIT]],Tableau4[QTE RESTE])</f>
        <v>3</v>
      </c>
      <c r="N13" s="1">
        <f ca="1">IF(Tableau4[[#This Row],[PERIME]]="PERIME",Tableau4[[#This Row],[QTE STOCK]],0)</f>
        <v>0</v>
      </c>
      <c r="O13" s="1">
        <f ca="1">Tableau4[[#This Row],[QTE TOTAL]]-Tableau4[[#This Row],[QTE PERIME]]</f>
        <v>3</v>
      </c>
      <c r="P13" s="2" t="str">
        <f ca="1">IF(OR(Tableau4[[#This Row],[QTE RESTE]]=0,Tableau4[[#This Row],[QTE UTILE]]=0),"EPUISE","")</f>
        <v/>
      </c>
    </row>
    <row r="14" spans="2:16" x14ac:dyDescent="0.25">
      <c r="B14" t="s">
        <v>31</v>
      </c>
      <c r="C14" s="1">
        <f ca="1">IF(Tableau4[[#This Row],[PRODUIT]]="","",Tableau4[[#This Row],[DATE PEREMP]]-TODAY())</f>
        <v>-8</v>
      </c>
      <c r="D14" s="3">
        <f ca="1">IF(Tableau4[[#This Row],[J]]&lt;90,0,1)</f>
        <v>0</v>
      </c>
      <c r="E14" s="3">
        <f ca="1">IF(Tableau4[[#This Row],[J]]&lt;30,0,1)</f>
        <v>0</v>
      </c>
      <c r="F14" s="3">
        <f ca="1">IF(Tableau4[[#This Row],[J]]&lt;0,0,1)</f>
        <v>0</v>
      </c>
      <c r="G14" s="3">
        <f ca="1">SUM(Tableau4[[#This Row],[L90]:[L00]])</f>
        <v>0</v>
      </c>
      <c r="H14" s="2" t="str">
        <f ca="1">IF(Tableau4[[#This Row],[LIM]]=0,"PERIME","")</f>
        <v>PERIME</v>
      </c>
      <c r="I14" s="4">
        <v>42370</v>
      </c>
      <c r="J14" s="1">
        <v>10</v>
      </c>
      <c r="K14" s="1"/>
      <c r="L14" s="1">
        <f>Tableau4[[#This Row],[QTE STOCK]]-Tableau4[[#This Row],[QTE PRISE]]</f>
        <v>10</v>
      </c>
      <c r="M14" s="1">
        <f>SUMIF(Tableau4[PRODUIT],Tableau4[[#This Row],[PRODUIT]],Tableau4[QTE RESTE])</f>
        <v>10</v>
      </c>
      <c r="N14" s="1">
        <f ca="1">IF(Tableau4[[#This Row],[PERIME]]="PERIME",Tableau4[[#This Row],[QTE STOCK]],0)</f>
        <v>10</v>
      </c>
      <c r="O14" s="1">
        <f ca="1">Tableau4[[#This Row],[QTE TOTAL]]-Tableau4[[#This Row],[QTE PERIME]]</f>
        <v>0</v>
      </c>
      <c r="P14" s="2" t="str">
        <f ca="1">IF(OR(Tableau4[[#This Row],[QTE RESTE]]=0,Tableau4[[#This Row],[QTE UTILE]]=0),"EPUISE","")</f>
        <v>EPUISE</v>
      </c>
    </row>
    <row r="15" spans="2:16" x14ac:dyDescent="0.25">
      <c r="B15" t="s">
        <v>44</v>
      </c>
      <c r="C15" s="1">
        <f ca="1">IF(Tableau4[[#This Row],[PRODUIT]]="","",Tableau4[[#This Row],[DATE PEREMP]]-TODAY())</f>
        <v>1</v>
      </c>
      <c r="D15" s="3">
        <f ca="1">IF(Tableau4[[#This Row],[J]]&lt;90,0,1)</f>
        <v>0</v>
      </c>
      <c r="E15" s="3">
        <f ca="1">IF(Tableau4[[#This Row],[J]]&lt;30,0,1)</f>
        <v>0</v>
      </c>
      <c r="F15" s="3">
        <f ca="1">IF(Tableau4[[#This Row],[J]]&lt;0,0,1)</f>
        <v>1</v>
      </c>
      <c r="G15" s="3">
        <f ca="1">SUM(Tableau4[[#This Row],[L90]:[L00]])</f>
        <v>1</v>
      </c>
      <c r="H15" s="2" t="str">
        <f ca="1">IF(Tableau4[[#This Row],[LIM]]=0,"PERIME","")</f>
        <v/>
      </c>
      <c r="I15" s="4">
        <v>42379</v>
      </c>
      <c r="J15" s="1">
        <v>20</v>
      </c>
      <c r="K15" s="1"/>
      <c r="L15" s="1">
        <f>Tableau4[[#This Row],[QTE STOCK]]-Tableau4[[#This Row],[QTE PRISE]]</f>
        <v>20</v>
      </c>
      <c r="M15" s="1">
        <f>SUMIF(Tableau4[PRODUIT],Tableau4[[#This Row],[PRODUIT]],Tableau4[QTE RESTE])</f>
        <v>50</v>
      </c>
      <c r="N15" s="1">
        <f ca="1">IF(Tableau4[[#This Row],[PERIME]]="PERIME",Tableau4[[#This Row],[QTE STOCK]],0)</f>
        <v>0</v>
      </c>
      <c r="O15" s="1">
        <f ca="1">Tableau4[[#This Row],[QTE TOTAL]]-Tableau4[[#This Row],[QTE PERIME]]</f>
        <v>50</v>
      </c>
      <c r="P15" s="2" t="str">
        <f ca="1">IF(OR(Tableau4[[#This Row],[QTE RESTE]]=0,Tableau4[[#This Row],[QTE UTILE]]=0),"EPUISE","")</f>
        <v/>
      </c>
    </row>
    <row r="16" spans="2:16" x14ac:dyDescent="0.25">
      <c r="B16" t="s">
        <v>44</v>
      </c>
      <c r="C16" s="1">
        <f ca="1">IF(Tableau4[[#This Row],[PRODUIT]]="","",Tableau4[[#This Row],[DATE PEREMP]]-TODAY())</f>
        <v>-359</v>
      </c>
      <c r="D16" s="3">
        <f ca="1">IF(Tableau4[[#This Row],[J]]&lt;90,0,1)</f>
        <v>0</v>
      </c>
      <c r="E16" s="3">
        <f ca="1">IF(Tableau4[[#This Row],[J]]&lt;30,0,1)</f>
        <v>0</v>
      </c>
      <c r="F16" s="3">
        <f ca="1">IF(Tableau4[[#This Row],[J]]&lt;0,0,1)</f>
        <v>0</v>
      </c>
      <c r="G16" s="3">
        <f ca="1">SUM(Tableau4[[#This Row],[L90]:[L00]])</f>
        <v>0</v>
      </c>
      <c r="H16" s="2" t="str">
        <f ca="1">IF(Tableau4[[#This Row],[LIM]]=0,"PERIME","")</f>
        <v>PERIME</v>
      </c>
      <c r="I16" s="4">
        <v>42019</v>
      </c>
      <c r="J16" s="1">
        <v>30</v>
      </c>
      <c r="K16" s="1"/>
      <c r="L16" s="1">
        <f>Tableau4[[#This Row],[QTE STOCK]]-Tableau4[[#This Row],[QTE PRISE]]</f>
        <v>30</v>
      </c>
      <c r="M16" s="1">
        <f>SUMIF(Tableau4[PRODUIT],Tableau4[[#This Row],[PRODUIT]],Tableau4[QTE RESTE])</f>
        <v>50</v>
      </c>
      <c r="N16" s="1">
        <f ca="1">IF(Tableau4[[#This Row],[PERIME]]="PERIME",Tableau4[[#This Row],[QTE STOCK]],0)</f>
        <v>30</v>
      </c>
      <c r="O16" s="1">
        <f ca="1">Tableau4[[#This Row],[QTE TOTAL]]-Tableau4[[#This Row],[QTE PERIME]]</f>
        <v>20</v>
      </c>
      <c r="P16" s="2" t="str">
        <f ca="1">IF(OR(Tableau4[[#This Row],[QTE RESTE]]=0,Tableau4[[#This Row],[QTE UTILE]]=0),"EPUISE","")</f>
        <v/>
      </c>
    </row>
    <row r="17" spans="2:16" x14ac:dyDescent="0.25">
      <c r="B17" t="s">
        <v>39</v>
      </c>
      <c r="C17" s="1">
        <f ca="1">IF(Tableau4[[#This Row],[PRODUIT]]="","",Tableau4[[#This Row],[DATE PEREMP]]-TODAY())</f>
        <v>42</v>
      </c>
      <c r="D17" s="3">
        <f ca="1">IF(Tableau4[[#This Row],[J]]&lt;90,0,1)</f>
        <v>0</v>
      </c>
      <c r="E17" s="3">
        <f ca="1">IF(Tableau4[[#This Row],[J]]&lt;30,0,1)</f>
        <v>1</v>
      </c>
      <c r="F17" s="3">
        <f ca="1">IF(Tableau4[[#This Row],[J]]&lt;0,0,1)</f>
        <v>1</v>
      </c>
      <c r="G17" s="3">
        <f ca="1">SUM(Tableau4[[#This Row],[L90]:[L00]])</f>
        <v>2</v>
      </c>
      <c r="H17" s="2" t="str">
        <f ca="1">IF(Tableau4[[#This Row],[LIM]]=0,"PERIME","")</f>
        <v/>
      </c>
      <c r="I17" s="4">
        <v>42420</v>
      </c>
      <c r="J17" s="1">
        <v>5</v>
      </c>
      <c r="K17" s="1">
        <v>5</v>
      </c>
      <c r="L17" s="1">
        <f>Tableau4[[#This Row],[QTE STOCK]]-Tableau4[[#This Row],[QTE PRISE]]</f>
        <v>0</v>
      </c>
      <c r="M17" s="1">
        <f>SUMIF(Tableau4[PRODUIT],Tableau4[[#This Row],[PRODUIT]],Tableau4[QTE RESTE])</f>
        <v>3</v>
      </c>
      <c r="N17" s="1">
        <f ca="1">IF(Tableau4[[#This Row],[PERIME]]="PERIME",Tableau4[[#This Row],[QTE STOCK]],0)</f>
        <v>0</v>
      </c>
      <c r="O17" s="1">
        <f ca="1">Tableau4[[#This Row],[QTE TOTAL]]-Tableau4[[#This Row],[QTE PERIME]]</f>
        <v>3</v>
      </c>
      <c r="P17" s="2" t="str">
        <f ca="1">IF(OR(Tableau4[[#This Row],[QTE RESTE]]=0,Tableau4[[#This Row],[QTE UTILE]]=0),"EPUISE","")</f>
        <v>EPUISE</v>
      </c>
    </row>
  </sheetData>
  <conditionalFormatting sqref="D11:D17">
    <cfRule type="iconSet" priority="7">
      <iconSet showValue="0">
        <cfvo type="percent" val="0"/>
        <cfvo type="percent" val="33"/>
        <cfvo type="percent" val="67"/>
      </iconSet>
    </cfRule>
  </conditionalFormatting>
  <conditionalFormatting sqref="E11:F17">
    <cfRule type="iconSet" priority="6">
      <iconSet showValue="0">
        <cfvo type="percent" val="0"/>
        <cfvo type="percent" val="33"/>
        <cfvo type="percent" val="67"/>
      </iconSet>
    </cfRule>
  </conditionalFormatting>
  <conditionalFormatting sqref="H11:H17">
    <cfRule type="cellIs" dxfId="6" priority="4" operator="equal">
      <formula>"PERIME"</formula>
    </cfRule>
  </conditionalFormatting>
  <conditionalFormatting sqref="L11:O17">
    <cfRule type="cellIs" dxfId="5" priority="3" operator="lessThan">
      <formula>2</formula>
    </cfRule>
  </conditionalFormatting>
  <conditionalFormatting sqref="P11:P17">
    <cfRule type="cellIs" dxfId="4" priority="1" operator="equal">
      <formula>"PERIME"</formula>
    </cfRule>
    <cfRule type="cellIs" dxfId="3" priority="2" operator="equal">
      <formula>"EPUISE"</formula>
    </cfRule>
  </conditionalFormatting>
  <dataValidations count="1">
    <dataValidation type="list" allowBlank="1" showInputMessage="1" showErrorMessage="1" sqref="B11:B17">
      <formula1>selProduit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DEA02186-1F97-4844-A58B-68D6C3ED9A34}">
            <x14:iconSet showValue="0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3TrafficLights1" iconId="0"/>
              <x14:cfIcon iconSet="3TrafficLights1" iconId="2"/>
              <x14:cfIcon iconSet="3TrafficLights1" iconId="1"/>
            </x14:iconSet>
          </x14:cfRule>
          <xm:sqref>G11:G17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selLib</vt:lpstr>
      <vt:lpstr>selMarque</vt:lpstr>
      <vt:lpstr>selProduit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2016-01-09T05:57:48Z</dcterms:created>
  <dcterms:modified xsi:type="dcterms:W3CDTF">2016-01-09T09:40:32Z</dcterms:modified>
</cp:coreProperties>
</file>