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90" yWindow="30" windowWidth="24465" windowHeight="11025" tabRatio="604" activeTab="1"/>
  </bookViews>
  <sheets>
    <sheet name="Mode d'emploi" sheetId="3" r:id="rId1"/>
    <sheet name="Outil revalorisation" sheetId="4" r:id="rId2"/>
    <sheet name="Paramètres" sheetId="6" r:id="rId3"/>
  </sheets>
  <externalReferences>
    <externalReference r:id="rId4"/>
  </externalReferences>
  <definedNames>
    <definedName name="NBJ">Paramètres!$E$6</definedName>
    <definedName name="taux_anniv_1" localSheetId="2">Paramètres!$O$138</definedName>
    <definedName name="taux_anniv_1">#REF!</definedName>
    <definedName name="taux_anniv_2" localSheetId="2">Paramètres!$O$150</definedName>
    <definedName name="taux_anniv_2">#REF!</definedName>
    <definedName name="taux_anniv_3" localSheetId="2">Paramètres!$O$162</definedName>
    <definedName name="taux_anniv_3">#REF!</definedName>
    <definedName name="taux_anniv_4" localSheetId="2">Paramètres!$O$174</definedName>
    <definedName name="taux_anniv_4">#REF!</definedName>
    <definedName name="taux_anniv_5" localSheetId="2">Paramètres!$O$186</definedName>
    <definedName name="taux_anniv_5">#REF!</definedName>
    <definedName name="_xlnm.Print_Area" localSheetId="0">'Mode d''emploi'!$A$1:$L$36</definedName>
    <definedName name="_xlnm.Print_Area" localSheetId="1">'Outil revalorisation'!$B$5:$E$70</definedName>
    <definedName name="_xlnm.Print_Area" localSheetId="2">Paramètres!#REF!</definedName>
  </definedNames>
  <calcPr calcId="145621"/>
</workbook>
</file>

<file path=xl/calcChain.xml><?xml version="1.0" encoding="utf-8"?>
<calcChain xmlns="http://schemas.openxmlformats.org/spreadsheetml/2006/main">
  <c r="C37" i="4" l="1"/>
  <c r="C36" i="4"/>
  <c r="C23" i="4"/>
  <c r="C22" i="4"/>
  <c r="M204" i="6" l="1"/>
  <c r="M205" i="6" s="1"/>
  <c r="M206" i="6" s="1"/>
  <c r="M207" i="6" s="1"/>
  <c r="M208" i="6" s="1"/>
  <c r="M209" i="6" s="1"/>
  <c r="M210" i="6" s="1"/>
  <c r="M211" i="6" s="1"/>
  <c r="M212" i="6" s="1"/>
  <c r="M213" i="6" s="1"/>
  <c r="M214" i="6" s="1"/>
  <c r="M215" i="6" s="1"/>
  <c r="M216" i="6" s="1"/>
  <c r="M217" i="6" s="1"/>
  <c r="M218" i="6" s="1"/>
  <c r="M219" i="6" s="1"/>
  <c r="M220" i="6" s="1"/>
  <c r="M221" i="6" s="1"/>
  <c r="M222" i="6" s="1"/>
  <c r="M223" i="6" s="1"/>
  <c r="M224" i="6" s="1"/>
  <c r="M225" i="6" s="1"/>
  <c r="M226" i="6" s="1"/>
  <c r="M227" i="6" s="1"/>
  <c r="M228" i="6" s="1"/>
  <c r="M229" i="6" s="1"/>
  <c r="M230" i="6" s="1"/>
  <c r="M231" i="6" s="1"/>
  <c r="M232" i="6" s="1"/>
  <c r="M233" i="6" s="1"/>
  <c r="M234" i="6" s="1"/>
  <c r="M235" i="6" s="1"/>
  <c r="M236" i="6" s="1"/>
  <c r="M237" i="6" s="1"/>
  <c r="M238" i="6" s="1"/>
  <c r="M239" i="6" s="1"/>
  <c r="M240" i="6" s="1"/>
  <c r="M241" i="6" s="1"/>
  <c r="M242" i="6" s="1"/>
  <c r="M243" i="6" s="1"/>
  <c r="M244" i="6" s="1"/>
  <c r="M245" i="6" s="1"/>
  <c r="O198" i="6" l="1"/>
  <c r="Z10" i="4" l="1"/>
  <c r="AC10" i="4" s="1"/>
  <c r="AD10" i="4" s="1"/>
  <c r="Z19" i="4"/>
  <c r="AC19" i="4" s="1"/>
  <c r="AD19" i="4" s="1"/>
  <c r="AB19" i="4"/>
  <c r="AB26" i="4" s="1"/>
  <c r="AB29" i="4" s="1"/>
  <c r="AB37" i="4" s="1"/>
  <c r="AB40" i="4" s="1"/>
  <c r="AB43" i="4" s="1"/>
  <c r="AB46" i="4" s="1"/>
  <c r="AB49" i="4" s="1"/>
  <c r="AB52" i="4" s="1"/>
  <c r="AB55" i="4" s="1"/>
  <c r="AB58" i="4" s="1"/>
  <c r="AB61" i="4" s="1"/>
  <c r="AB64" i="4" s="1"/>
  <c r="AB67" i="4" s="1"/>
  <c r="D25" i="4"/>
  <c r="B6" i="6" s="1"/>
  <c r="Z26" i="4"/>
  <c r="AC26" i="4"/>
  <c r="AD26" i="4"/>
  <c r="Z29" i="4"/>
  <c r="AC29" i="4"/>
  <c r="AD29" i="4" s="1"/>
  <c r="Z37" i="4"/>
  <c r="AC37" i="4" s="1"/>
  <c r="AD37" i="4" s="1"/>
  <c r="Z40" i="4"/>
  <c r="AC40" i="4" s="1"/>
  <c r="AD40" i="4" s="1"/>
  <c r="Z43" i="4"/>
  <c r="AC43" i="4" s="1"/>
  <c r="AD43" i="4" s="1"/>
  <c r="Z46" i="4"/>
  <c r="AC46" i="4"/>
  <c r="AD46" i="4"/>
  <c r="Z49" i="4"/>
  <c r="AC49" i="4"/>
  <c r="AD49" i="4"/>
  <c r="Z52" i="4"/>
  <c r="AC52" i="4"/>
  <c r="AD52" i="4"/>
  <c r="Z55" i="4"/>
  <c r="AC55" i="4"/>
  <c r="AD55" i="4"/>
  <c r="Z58" i="4"/>
  <c r="AC58" i="4"/>
  <c r="AD58" i="4"/>
  <c r="Z61" i="4"/>
  <c r="AC61" i="4"/>
  <c r="AD61" i="4"/>
  <c r="Z64" i="4"/>
  <c r="AC64" i="4"/>
  <c r="AD64" i="4"/>
  <c r="Z67" i="4"/>
  <c r="AC67" i="4"/>
  <c r="AD67" i="4"/>
  <c r="C2" i="6"/>
  <c r="C3" i="6"/>
  <c r="C26" i="6" s="1"/>
  <c r="C6" i="6"/>
  <c r="D6" i="6"/>
  <c r="M6" i="6"/>
  <c r="M7" i="6"/>
  <c r="M8" i="6"/>
  <c r="M9" i="6"/>
  <c r="M10" i="6"/>
  <c r="M11" i="6"/>
  <c r="M12" i="6"/>
  <c r="M13" i="6"/>
  <c r="M14" i="6"/>
  <c r="M15" i="6"/>
  <c r="M16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2" i="6"/>
  <c r="M33" i="6"/>
  <c r="M34" i="6"/>
  <c r="M35" i="6"/>
  <c r="M36" i="6"/>
  <c r="M37" i="6"/>
  <c r="M38" i="6"/>
  <c r="M39" i="6"/>
  <c r="M40" i="6"/>
  <c r="M41" i="6"/>
  <c r="M42" i="6"/>
  <c r="M43" i="6"/>
  <c r="M44" i="6"/>
  <c r="M45" i="6"/>
  <c r="M46" i="6"/>
  <c r="M47" i="6"/>
  <c r="M48" i="6"/>
  <c r="M49" i="6"/>
  <c r="M50" i="6"/>
  <c r="M51" i="6"/>
  <c r="M52" i="6"/>
  <c r="M53" i="6"/>
  <c r="M54" i="6"/>
  <c r="M55" i="6"/>
  <c r="M56" i="6"/>
  <c r="M57" i="6"/>
  <c r="M58" i="6"/>
  <c r="M59" i="6"/>
  <c r="M60" i="6"/>
  <c r="M61" i="6"/>
  <c r="M62" i="6"/>
  <c r="M63" i="6"/>
  <c r="M64" i="6"/>
  <c r="M65" i="6"/>
  <c r="M66" i="6"/>
  <c r="M67" i="6"/>
  <c r="M68" i="6"/>
  <c r="M69" i="6"/>
  <c r="M70" i="6"/>
  <c r="M71" i="6"/>
  <c r="M72" i="6"/>
  <c r="M73" i="6"/>
  <c r="M74" i="6"/>
  <c r="M75" i="6"/>
  <c r="M76" i="6"/>
  <c r="M77" i="6"/>
  <c r="M78" i="6"/>
  <c r="M79" i="6"/>
  <c r="M80" i="6"/>
  <c r="M81" i="6"/>
  <c r="M82" i="6"/>
  <c r="M83" i="6"/>
  <c r="M84" i="6"/>
  <c r="M85" i="6"/>
  <c r="M86" i="6"/>
  <c r="M87" i="6"/>
  <c r="M88" i="6"/>
  <c r="M89" i="6"/>
  <c r="M90" i="6"/>
  <c r="M91" i="6"/>
  <c r="M92" i="6"/>
  <c r="M93" i="6"/>
  <c r="M94" i="6"/>
  <c r="M95" i="6"/>
  <c r="M96" i="6"/>
  <c r="M97" i="6"/>
  <c r="M98" i="6"/>
  <c r="M99" i="6"/>
  <c r="M100" i="6"/>
  <c r="M101" i="6"/>
  <c r="M102" i="6"/>
  <c r="M103" i="6"/>
  <c r="M104" i="6"/>
  <c r="M105" i="6"/>
  <c r="M106" i="6"/>
  <c r="M107" i="6"/>
  <c r="M108" i="6"/>
  <c r="M109" i="6"/>
  <c r="M110" i="6"/>
  <c r="M111" i="6"/>
  <c r="M112" i="6"/>
  <c r="M113" i="6"/>
  <c r="M114" i="6"/>
  <c r="M115" i="6"/>
  <c r="M116" i="6"/>
  <c r="M117" i="6"/>
  <c r="M118" i="6"/>
  <c r="M119" i="6"/>
  <c r="M120" i="6"/>
  <c r="M121" i="6"/>
  <c r="M122" i="6"/>
  <c r="M123" i="6"/>
  <c r="M124" i="6"/>
  <c r="M125" i="6"/>
  <c r="M126" i="6"/>
  <c r="I127" i="6"/>
  <c r="I139" i="6" s="1"/>
  <c r="I151" i="6" s="1"/>
  <c r="I163" i="6" s="1"/>
  <c r="I175" i="6" s="1"/>
  <c r="I187" i="6" s="1"/>
  <c r="M127" i="6"/>
  <c r="M128" i="6"/>
  <c r="M129" i="6"/>
  <c r="M130" i="6"/>
  <c r="M131" i="6"/>
  <c r="M132" i="6"/>
  <c r="M133" i="6"/>
  <c r="M134" i="6"/>
  <c r="M135" i="6"/>
  <c r="M136" i="6"/>
  <c r="M137" i="6"/>
  <c r="M138" i="6"/>
  <c r="M139" i="6"/>
  <c r="M140" i="6"/>
  <c r="M141" i="6"/>
  <c r="M142" i="6"/>
  <c r="M143" i="6"/>
  <c r="M144" i="6"/>
  <c r="M145" i="6"/>
  <c r="M146" i="6"/>
  <c r="M147" i="6"/>
  <c r="M148" i="6"/>
  <c r="M149" i="6"/>
  <c r="M150" i="6"/>
  <c r="O150" i="6"/>
  <c r="M151" i="6"/>
  <c r="M152" i="6"/>
  <c r="M153" i="6"/>
  <c r="M154" i="6"/>
  <c r="M155" i="6"/>
  <c r="M156" i="6"/>
  <c r="M157" i="6"/>
  <c r="M158" i="6"/>
  <c r="M159" i="6"/>
  <c r="M160" i="6"/>
  <c r="M161" i="6"/>
  <c r="M162" i="6"/>
  <c r="M163" i="6"/>
  <c r="M164" i="6"/>
  <c r="M165" i="6"/>
  <c r="M166" i="6"/>
  <c r="M167" i="6"/>
  <c r="M168" i="6"/>
  <c r="M169" i="6"/>
  <c r="M170" i="6"/>
  <c r="M171" i="6"/>
  <c r="M172" i="6"/>
  <c r="M173" i="6"/>
  <c r="M174" i="6"/>
  <c r="O174" i="6"/>
  <c r="M175" i="6"/>
  <c r="M176" i="6"/>
  <c r="O186" i="6" s="1"/>
  <c r="M177" i="6"/>
  <c r="M178" i="6"/>
  <c r="M179" i="6"/>
  <c r="M180" i="6"/>
  <c r="M181" i="6"/>
  <c r="M182" i="6"/>
  <c r="M183" i="6"/>
  <c r="M184" i="6"/>
  <c r="I191" i="6"/>
  <c r="D28" i="4" l="1"/>
  <c r="O138" i="6"/>
  <c r="E6" i="6"/>
  <c r="B7" i="6"/>
  <c r="C20" i="6"/>
  <c r="A6" i="6"/>
  <c r="D20" i="6"/>
  <c r="I193" i="6"/>
  <c r="O162" i="6"/>
  <c r="A7" i="6" l="1"/>
  <c r="B8" i="6"/>
  <c r="D22" i="6" s="1"/>
  <c r="C21" i="6"/>
  <c r="B36" i="6"/>
  <c r="C36" i="6" s="1"/>
  <c r="F23" i="6"/>
  <c r="F21" i="6"/>
  <c r="F22" i="6"/>
  <c r="F24" i="6"/>
  <c r="F20" i="6"/>
  <c r="D21" i="6"/>
  <c r="I196" i="6"/>
  <c r="E36" i="6" l="1"/>
  <c r="F36" i="6" s="1"/>
  <c r="C22" i="6"/>
  <c r="A8" i="6"/>
  <c r="B9" i="6"/>
  <c r="D23" i="6" s="1"/>
  <c r="B37" i="6"/>
  <c r="C37" i="6" s="1"/>
  <c r="H36" i="6" l="1"/>
  <c r="I36" i="6" s="1"/>
  <c r="C23" i="6"/>
  <c r="B38" i="6"/>
  <c r="C38" i="6" s="1"/>
  <c r="A9" i="6"/>
  <c r="B10" i="6"/>
  <c r="E37" i="6"/>
  <c r="F37" i="6" s="1"/>
  <c r="B26" i="6" l="1"/>
  <c r="A10" i="6"/>
  <c r="A26" i="6"/>
  <c r="C24" i="6"/>
  <c r="E63" i="6" s="1"/>
  <c r="F63" i="6" s="1"/>
  <c r="B63" i="6"/>
  <c r="C63" i="6" s="1"/>
  <c r="H37" i="6"/>
  <c r="I37" i="6" s="1"/>
  <c r="E38" i="6"/>
  <c r="F38" i="6" s="1"/>
  <c r="B39" i="6"/>
  <c r="C39" i="6" s="1"/>
  <c r="D24" i="6"/>
  <c r="E39" i="6" l="1"/>
  <c r="F39" i="6" s="1"/>
  <c r="B40" i="6"/>
  <c r="C40" i="6" s="1"/>
  <c r="E64" i="6"/>
  <c r="F64" i="6" s="1"/>
  <c r="H38" i="6"/>
  <c r="I38" i="6" s="1"/>
  <c r="B64" i="6"/>
  <c r="C64" i="6" s="1"/>
  <c r="B65" i="6" l="1"/>
  <c r="C65" i="6" s="1"/>
  <c r="E40" i="6"/>
  <c r="F40" i="6" s="1"/>
  <c r="H39" i="6"/>
  <c r="I39" i="6" s="1"/>
  <c r="B41" i="6"/>
  <c r="C41" i="6" s="1"/>
  <c r="E65" i="6"/>
  <c r="F65" i="6" s="1"/>
  <c r="B42" i="6" l="1"/>
  <c r="C42" i="6" s="1"/>
  <c r="E41" i="6"/>
  <c r="F41" i="6" s="1"/>
  <c r="H40" i="6"/>
  <c r="I40" i="6" s="1"/>
  <c r="B66" i="6"/>
  <c r="C66" i="6" s="1"/>
  <c r="E66" i="6"/>
  <c r="F66" i="6" s="1"/>
  <c r="E67" i="6" l="1"/>
  <c r="F67" i="6" s="1"/>
  <c r="B67" i="6"/>
  <c r="C67" i="6" s="1"/>
  <c r="E42" i="6"/>
  <c r="F42" i="6" s="1"/>
  <c r="B43" i="6"/>
  <c r="C43" i="6" s="1"/>
  <c r="H41" i="6"/>
  <c r="I41" i="6" s="1"/>
  <c r="B68" i="6" l="1"/>
  <c r="C68" i="6" s="1"/>
  <c r="E68" i="6"/>
  <c r="F68" i="6" s="1"/>
  <c r="H42" i="6"/>
  <c r="I42" i="6" s="1"/>
  <c r="E43" i="6"/>
  <c r="F43" i="6" s="1"/>
  <c r="B44" i="6"/>
  <c r="C44" i="6" s="1"/>
  <c r="E69" i="6" l="1"/>
  <c r="F69" i="6" s="1"/>
  <c r="H43" i="6"/>
  <c r="I43" i="6" s="1"/>
  <c r="B69" i="6"/>
  <c r="C69" i="6" s="1"/>
  <c r="B45" i="6"/>
  <c r="C45" i="6" s="1"/>
  <c r="E44" i="6"/>
  <c r="F44" i="6" s="1"/>
  <c r="B70" i="6" l="1"/>
  <c r="C70" i="6" s="1"/>
  <c r="B46" i="6"/>
  <c r="C46" i="6" s="1"/>
  <c r="H44" i="6"/>
  <c r="I44" i="6" s="1"/>
  <c r="E45" i="6"/>
  <c r="F45" i="6" s="1"/>
  <c r="E70" i="6"/>
  <c r="F70" i="6" s="1"/>
  <c r="B47" i="6" l="1"/>
  <c r="C47" i="6" s="1"/>
  <c r="E46" i="6"/>
  <c r="F46" i="6" s="1"/>
  <c r="B71" i="6"/>
  <c r="C71" i="6" s="1"/>
  <c r="E71" i="6"/>
  <c r="F71" i="6" s="1"/>
  <c r="H45" i="6"/>
  <c r="I45" i="6" s="1"/>
  <c r="C49" i="6" l="1"/>
  <c r="C50" i="6" s="1"/>
  <c r="C51" i="6" s="1"/>
  <c r="H46" i="6"/>
  <c r="I46" i="6" s="1"/>
  <c r="B72" i="6"/>
  <c r="C72" i="6" s="1"/>
  <c r="E72" i="6"/>
  <c r="F72" i="6" s="1"/>
  <c r="E47" i="6"/>
  <c r="F47" i="6" l="1"/>
  <c r="F49" i="6" s="1"/>
  <c r="F50" i="6" s="1"/>
  <c r="F51" i="6" s="1"/>
  <c r="I20" i="6"/>
  <c r="G20" i="6" s="1"/>
  <c r="B54" i="6"/>
  <c r="C54" i="6" s="1"/>
  <c r="H47" i="6"/>
  <c r="I47" i="6" s="1"/>
  <c r="B73" i="6"/>
  <c r="C73" i="6" s="1"/>
  <c r="E73" i="6"/>
  <c r="F73" i="6" s="1"/>
  <c r="E54" i="6" l="1"/>
  <c r="F54" i="6" s="1"/>
  <c r="I21" i="6"/>
  <c r="H20" i="6"/>
  <c r="I49" i="6"/>
  <c r="I50" i="6" s="1"/>
  <c r="I51" i="6" s="1"/>
  <c r="B74" i="6"/>
  <c r="C74" i="6" s="1"/>
  <c r="E74" i="6"/>
  <c r="F74" i="6" s="1"/>
  <c r="F76" i="6" l="1"/>
  <c r="F77" i="6" s="1"/>
  <c r="F78" i="6" s="1"/>
  <c r="E81" i="6" s="1"/>
  <c r="F81" i="6" s="1"/>
  <c r="I22" i="6"/>
  <c r="H54" i="6"/>
  <c r="I54" i="6" s="1"/>
  <c r="C76" i="6"/>
  <c r="C77" i="6" s="1"/>
  <c r="C78" i="6" s="1"/>
  <c r="G21" i="6"/>
  <c r="H21" i="6"/>
  <c r="I24" i="6" l="1"/>
  <c r="G22" i="6"/>
  <c r="H22" i="6"/>
  <c r="I23" i="6"/>
  <c r="B81" i="6"/>
  <c r="C81" i="6" s="1"/>
  <c r="C28" i="6" l="1"/>
  <c r="G23" i="6"/>
  <c r="H23" i="6"/>
  <c r="G24" i="6" l="1"/>
  <c r="G26" i="6" s="1"/>
  <c r="D38" i="4" s="1"/>
  <c r="H24" i="6"/>
  <c r="D41" i="4" l="1"/>
  <c r="C46" i="4"/>
</calcChain>
</file>

<file path=xl/comments1.xml><?xml version="1.0" encoding="utf-8"?>
<comments xmlns="http://schemas.openxmlformats.org/spreadsheetml/2006/main">
  <authors>
    <author>ATTER</author>
  </authors>
  <commentList>
    <comment ref="D26" authorId="0">
      <text>
        <r>
          <rPr>
            <sz val="8"/>
            <color indexed="81"/>
            <rFont val="Tahoma"/>
            <family val="2"/>
          </rPr>
          <t xml:space="preserve">
Date du jour par défaut</t>
        </r>
      </text>
    </comment>
  </commentList>
</comments>
</file>

<file path=xl/comments2.xml><?xml version="1.0" encoding="utf-8"?>
<comments xmlns="http://schemas.openxmlformats.org/spreadsheetml/2006/main">
  <authors>
    <author>ATTER</author>
  </authors>
  <commentList>
    <comment ref="B51" authorId="0">
      <text>
        <r>
          <rPr>
            <b/>
            <sz val="12"/>
            <color indexed="81"/>
            <rFont val="Tahoma"/>
            <family val="2"/>
          </rPr>
          <t>ATTER:</t>
        </r>
        <r>
          <rPr>
            <sz val="12"/>
            <color indexed="81"/>
            <rFont val="Tahoma"/>
            <family val="2"/>
          </rPr>
          <t xml:space="preserve">
Ne peut être inférieur à 0,5%</t>
        </r>
      </text>
    </comment>
    <comment ref="E51" authorId="0">
      <text>
        <r>
          <rPr>
            <b/>
            <sz val="12"/>
            <color indexed="81"/>
            <rFont val="Tahoma"/>
            <family val="2"/>
          </rPr>
          <t>ATTER:</t>
        </r>
        <r>
          <rPr>
            <sz val="12"/>
            <color indexed="81"/>
            <rFont val="Tahoma"/>
            <family val="2"/>
          </rPr>
          <t xml:space="preserve">
Ne peut être inférieur à 0,5%</t>
        </r>
      </text>
    </comment>
    <comment ref="H51" authorId="0">
      <text>
        <r>
          <rPr>
            <b/>
            <sz val="12"/>
            <color indexed="81"/>
            <rFont val="Tahoma"/>
            <family val="2"/>
          </rPr>
          <t>ATTER:</t>
        </r>
        <r>
          <rPr>
            <sz val="12"/>
            <color indexed="81"/>
            <rFont val="Tahoma"/>
            <family val="2"/>
          </rPr>
          <t xml:space="preserve">
Ne peut être inférieur à 0,5%</t>
        </r>
      </text>
    </comment>
    <comment ref="B78" authorId="0">
      <text>
        <r>
          <rPr>
            <b/>
            <sz val="12"/>
            <color indexed="81"/>
            <rFont val="Tahoma"/>
            <family val="2"/>
          </rPr>
          <t>ATTER:</t>
        </r>
        <r>
          <rPr>
            <sz val="12"/>
            <color indexed="81"/>
            <rFont val="Tahoma"/>
            <family val="2"/>
          </rPr>
          <t xml:space="preserve">
Ne peut être inférieur à 0,5%</t>
        </r>
      </text>
    </comment>
    <comment ref="E78" authorId="0">
      <text>
        <r>
          <rPr>
            <b/>
            <sz val="12"/>
            <color indexed="81"/>
            <rFont val="Tahoma"/>
            <family val="2"/>
          </rPr>
          <t>ATTER:</t>
        </r>
        <r>
          <rPr>
            <sz val="12"/>
            <color indexed="81"/>
            <rFont val="Tahoma"/>
            <family val="2"/>
          </rPr>
          <t xml:space="preserve">
Ne peut être inférieur à 0,5%</t>
        </r>
      </text>
    </comment>
  </commentList>
</comments>
</file>

<file path=xl/sharedStrings.xml><?xml version="1.0" encoding="utf-8"?>
<sst xmlns="http://schemas.openxmlformats.org/spreadsheetml/2006/main" count="166" uniqueCount="101">
  <si>
    <t>1)</t>
  </si>
  <si>
    <t>2)</t>
  </si>
  <si>
    <t>3)</t>
  </si>
  <si>
    <t>4)</t>
  </si>
  <si>
    <t>CALCUL DE REVALORISATION CAPITAL DECES</t>
  </si>
  <si>
    <t>Historique de la moyenne des Taux EONIA</t>
  </si>
  <si>
    <t>Taux diminué d'1 point</t>
  </si>
  <si>
    <t>Taux à appliquer</t>
  </si>
  <si>
    <t xml:space="preserve">Mois </t>
  </si>
  <si>
    <t>Taux moyen</t>
  </si>
  <si>
    <t xml:space="preserve">Date de souscription du contrat </t>
  </si>
  <si>
    <t>Date de décès</t>
  </si>
  <si>
    <t>Année</t>
  </si>
  <si>
    <t>Date de début de revalorisation</t>
  </si>
  <si>
    <t>Date de fin de revalorisation</t>
  </si>
  <si>
    <t>Montant à revaloriser</t>
  </si>
  <si>
    <t xml:space="preserve">Mode d'emploi </t>
  </si>
  <si>
    <t>Taux</t>
  </si>
  <si>
    <t xml:space="preserve">Taux </t>
  </si>
  <si>
    <t>Date</t>
  </si>
  <si>
    <t>Date fin de revalorisation</t>
  </si>
  <si>
    <t>MONTANT DE REVALORISATION</t>
  </si>
  <si>
    <t>Moyenne</t>
  </si>
  <si>
    <t xml:space="preserve">Taux - 1 point </t>
  </si>
  <si>
    <t>Taux retenu</t>
  </si>
  <si>
    <t>Période de calcul</t>
  </si>
  <si>
    <t>Date de souscription du contrat (1)</t>
  </si>
  <si>
    <t>Zone à saisir manuellement</t>
  </si>
  <si>
    <t>Date de décès (2)</t>
  </si>
  <si>
    <t>Date de début de revalorisation (4)</t>
  </si>
  <si>
    <t>Date de fin de revalorisation (5)</t>
  </si>
  <si>
    <t>5)</t>
  </si>
  <si>
    <t>Montant à revaloriser* (3)</t>
  </si>
  <si>
    <t>* Le montant s'entend hors garantie plancher</t>
  </si>
  <si>
    <t>Zone calculée automatiquement, correspond à la période de revalorisation.</t>
  </si>
  <si>
    <t>Zone calculée automatiquement</t>
  </si>
  <si>
    <t>Zone calculée automatiquement, correspond au taux appliqué sur la période de revalorisation.</t>
  </si>
  <si>
    <t>Zone calculée automatiquement, correspond au montant de revalorisation.</t>
  </si>
  <si>
    <t>Zone calculée automatiquement, correspond au montant total après revalorisation.</t>
  </si>
  <si>
    <t>Taux de revalorisation appliqué (6)</t>
  </si>
  <si>
    <t>6)</t>
  </si>
  <si>
    <t>La date de début de revalorisation correspond à la date du 1er anniversaire du décès quelque soit le moment où nous avons eu connaissance du décès. Il est à considérer le jour J de l’année A+1 (si le décés est le 20 dec 2018, la revalo débute le 20 dec 2019).</t>
  </si>
  <si>
    <t xml:space="preserve">Taux annuel </t>
  </si>
  <si>
    <t>Taux quotidien</t>
  </si>
  <si>
    <t>décès</t>
  </si>
  <si>
    <t>1er anniversaire</t>
  </si>
  <si>
    <t>==&gt; r1 =</t>
  </si>
  <si>
    <t>2ème anniversaire</t>
  </si>
  <si>
    <t>==&gt; r2 =</t>
  </si>
  <si>
    <t>==&gt; r3 =</t>
  </si>
  <si>
    <t>3ème anniversaire</t>
  </si>
  <si>
    <t>4ème anniversaire</t>
  </si>
  <si>
    <t>==&gt; r4 =</t>
  </si>
  <si>
    <t>==&gt; r5 =</t>
  </si>
  <si>
    <t>5ème anniversaire</t>
  </si>
  <si>
    <t>date décès =</t>
  </si>
  <si>
    <t>date de fin de revalo</t>
  </si>
  <si>
    <t>nb de jours entre la date du 5ème anniversaire et la date de fin de revalo :</t>
  </si>
  <si>
    <t>taux de revalo = (1+r1)*(1+r2)*(1+r3)*(1+r4)*(1+r5)*(1+r5)^(nb jours dps dernier anniv / 365 ou 366)-1</t>
  </si>
  <si>
    <t>Date de règlement final du capital décès, règlement de tous les bénéficiaires effectué.</t>
  </si>
  <si>
    <t xml:space="preserve">Si le règlement du capital décès intervient plus d’un an après le décès, il donne lieu à une revalorisation annuelle sur la base de la moyenne des taux mensuels de EONIA** diminuée d’un point sur les 12 derniers mois précédant la date anniversaire du décès, sans que ce taux puisse être inférieur à 0,50 %. Cette revalorisation est calculée au prorata temporis du jour du premier anniversaire du décès jusqu’au jour du règlement du décès. </t>
  </si>
  <si>
    <t>Intérêts composés avec nouveau taux à chaque anniversaire</t>
  </si>
  <si>
    <t>Effet</t>
  </si>
  <si>
    <t xml:space="preserve">Période de revalorisation </t>
  </si>
  <si>
    <t>2e  anniversaire</t>
  </si>
  <si>
    <t>3e  anniversaire</t>
  </si>
  <si>
    <t>4e  anniversaire</t>
  </si>
  <si>
    <t>5e  anniversaire</t>
  </si>
  <si>
    <t>Dates anniversaires</t>
  </si>
  <si>
    <t>Montant revalorisé</t>
  </si>
  <si>
    <t>Interêts</t>
  </si>
  <si>
    <t>** Source taux EONIA : https://www.banque-france.fr/economie-et-statistiques/changes-et-taux/les-taux-interbancaires.html</t>
  </si>
  <si>
    <t>Taux appliqué</t>
  </si>
  <si>
    <t xml:space="preserve">1er anniversaire </t>
  </si>
  <si>
    <t xml:space="preserve">2ème anniversaire </t>
  </si>
  <si>
    <t xml:space="preserve">3ème anniversaire </t>
  </si>
  <si>
    <t xml:space="preserve">4ème anniversaire </t>
  </si>
  <si>
    <t xml:space="preserve">5ème anniversaire </t>
  </si>
  <si>
    <t>Date référence</t>
  </si>
  <si>
    <t>Taux de revalo</t>
  </si>
  <si>
    <t>La date du jour s'affiche par défaut à chaque ouverture du fichier, mais modifiable</t>
  </si>
  <si>
    <t>La date de soucription doit être supérieure au 18/12/2008; en effet, seuls les contrats souscrits après le 18/12/2008 sont concernés.Depuis le 18 décembre 2008, les contrats doivent préciser les conditions dans lesquelles, en cas de décès, la revalorisation du capital garanti intervient à compter, au plus tard, du 1er anniversaire du décès de l’assuré, jusqu’à réception des pièces nécessaires au paiement.</t>
  </si>
  <si>
    <r>
      <t>Le gestionnaire doit préciser la date de décès mentionnée sur l'acte de décès (</t>
    </r>
    <r>
      <rPr>
        <i/>
        <sz val="12"/>
        <rFont val="Arial"/>
        <family val="2"/>
      </rPr>
      <t>et non la date de réception de l'info décès</t>
    </r>
    <r>
      <rPr>
        <sz val="12"/>
        <rFont val="Arial"/>
        <family val="2"/>
      </rPr>
      <t>)</t>
    </r>
  </si>
  <si>
    <r>
      <t>Correspond au montant du capital décès à la date d'effet du sinistre. (</t>
    </r>
    <r>
      <rPr>
        <i/>
        <sz val="12"/>
        <rFont val="Arial"/>
        <family val="2"/>
      </rPr>
      <t>au moment de la vente des parts</t>
    </r>
    <r>
      <rPr>
        <sz val="12"/>
        <rFont val="Arial"/>
        <family val="2"/>
      </rPr>
      <t xml:space="preserve">).                                                                 </t>
    </r>
  </si>
  <si>
    <t>Pour info, les taux EONIA de 2014 sont ceux de décembre 2013. Une mise à jour de l'historique des taux sera faite tous les 6 mois; toutefois, un contrôle mensuel sera fait par la DEPAP</t>
  </si>
  <si>
    <t xml:space="preserve">   </t>
  </si>
  <si>
    <t>Nbr jours</t>
  </si>
  <si>
    <t>nbr jours capitalisés</t>
  </si>
  <si>
    <t xml:space="preserve">                                                          La saisie s'effectue sur l'onglet "Outil revalorisation"</t>
  </si>
  <si>
    <t>L'outil est paramétré pour un règlement au maximum 5 ans après la date de décès, si le règlement intervient plus de 5 ans après le décès, nous consulter.</t>
  </si>
  <si>
    <t>MONTANT TOTAL REVALORISE</t>
  </si>
  <si>
    <t>Epargne/Retraite Individuelle</t>
  </si>
  <si>
    <t xml:space="preserve">                 Périmètre</t>
  </si>
  <si>
    <t xml:space="preserve">N° Dossier </t>
  </si>
  <si>
    <r>
      <t>Montant à revaloriser (</t>
    </r>
    <r>
      <rPr>
        <b/>
        <i/>
        <sz val="12"/>
        <rFont val="Allianz Sans"/>
      </rPr>
      <t>Capital décès</t>
    </r>
    <r>
      <rPr>
        <b/>
        <sz val="12"/>
        <rFont val="Allianz Sans"/>
      </rPr>
      <t>)</t>
    </r>
  </si>
  <si>
    <t>Montant total de revalorisation</t>
  </si>
  <si>
    <t>application du TMGA</t>
  </si>
  <si>
    <t xml:space="preserve">      application du taux Eckert</t>
  </si>
  <si>
    <t>Date du calcul</t>
  </si>
  <si>
    <t>revalorisé au TMGA</t>
  </si>
  <si>
    <t xml:space="preserve">revalorisé au Taux Eckert (valeur en numéraire)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</si>
</sst>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_F_-;\-* #,##0.00\ _F_-;_-* &quot;-&quot;??\ _F_-;_-@_-"/>
    <numFmt numFmtId="165" formatCode="#,##0.00_ ;\-#,##0.00\ "/>
    <numFmt numFmtId="166" formatCode="_-* #,##0.00\ [$€]_-;\-* #,##0.00\ [$€]_-;_-* &quot;-&quot;??\ [$€]_-;_-@_-"/>
    <numFmt numFmtId="167" formatCode="_-* #,##0.00\ [$€-81D]_-;\-* #,##0.00\ [$€-81D]_-;_-* &quot;-&quot;??\ [$€-81D]_-;_-@_-"/>
    <numFmt numFmtId="168" formatCode="0.000000"/>
    <numFmt numFmtId="169" formatCode="0.000%"/>
    <numFmt numFmtId="170" formatCode="0.0000%"/>
  </numFmts>
  <fonts count="69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i/>
      <sz val="10"/>
      <name val="Arial"/>
      <family val="2"/>
    </font>
    <font>
      <b/>
      <sz val="12"/>
      <name val="Arial"/>
      <family val="2"/>
    </font>
    <font>
      <sz val="12"/>
      <color indexed="12"/>
      <name val="Arial"/>
      <family val="2"/>
    </font>
    <font>
      <b/>
      <sz val="10"/>
      <name val="Arial"/>
      <family val="2"/>
    </font>
    <font>
      <sz val="11"/>
      <color indexed="8"/>
      <name val="Times New Roman"/>
      <family val="2"/>
    </font>
    <font>
      <sz val="11"/>
      <color indexed="9"/>
      <name val="Times New Roman"/>
      <family val="2"/>
    </font>
    <font>
      <sz val="11"/>
      <color indexed="10"/>
      <name val="Times New Roman"/>
      <family val="2"/>
    </font>
    <font>
      <b/>
      <sz val="11"/>
      <color indexed="52"/>
      <name val="Times New Roman"/>
      <family val="2"/>
    </font>
    <font>
      <sz val="11"/>
      <color indexed="52"/>
      <name val="Times New Roman"/>
      <family val="2"/>
    </font>
    <font>
      <sz val="11"/>
      <color indexed="62"/>
      <name val="Times New Roman"/>
      <family val="2"/>
    </font>
    <font>
      <sz val="11"/>
      <color indexed="20"/>
      <name val="Times New Roman"/>
      <family val="2"/>
    </font>
    <font>
      <sz val="11"/>
      <color indexed="60"/>
      <name val="Times New Roman"/>
      <family val="2"/>
    </font>
    <font>
      <sz val="11"/>
      <color indexed="17"/>
      <name val="Times New Roman"/>
      <family val="2"/>
    </font>
    <font>
      <b/>
      <sz val="11"/>
      <color indexed="63"/>
      <name val="Times New Roman"/>
      <family val="2"/>
    </font>
    <font>
      <i/>
      <sz val="11"/>
      <color indexed="23"/>
      <name val="Times New Roman"/>
      <family val="2"/>
    </font>
    <font>
      <b/>
      <sz val="18"/>
      <color indexed="56"/>
      <name val="Cambria"/>
      <family val="2"/>
    </font>
    <font>
      <b/>
      <sz val="15"/>
      <color indexed="56"/>
      <name val="Times New Roman"/>
      <family val="2"/>
    </font>
    <font>
      <b/>
      <sz val="13"/>
      <color indexed="56"/>
      <name val="Times New Roman"/>
      <family val="2"/>
    </font>
    <font>
      <b/>
      <sz val="11"/>
      <color indexed="56"/>
      <name val="Times New Roman"/>
      <family val="2"/>
    </font>
    <font>
      <b/>
      <sz val="11"/>
      <color indexed="8"/>
      <name val="Times New Roman"/>
      <family val="2"/>
    </font>
    <font>
      <b/>
      <sz val="11"/>
      <color indexed="9"/>
      <name val="Times New Roman"/>
      <family val="2"/>
    </font>
    <font>
      <b/>
      <sz val="11"/>
      <name val="Arial"/>
      <family val="2"/>
    </font>
    <font>
      <sz val="11"/>
      <name val="Arial"/>
      <family val="2"/>
    </font>
    <font>
      <sz val="11"/>
      <color indexed="23"/>
      <name val="Arial"/>
      <family val="2"/>
    </font>
    <font>
      <sz val="8"/>
      <name val="Arial"/>
      <family val="2"/>
    </font>
    <font>
      <sz val="14"/>
      <name val="Arial"/>
      <family val="2"/>
    </font>
    <font>
      <b/>
      <sz val="12"/>
      <name val="Allianz Sans"/>
    </font>
    <font>
      <b/>
      <sz val="8"/>
      <name val="Arial"/>
      <family val="2"/>
    </font>
    <font>
      <sz val="12"/>
      <color indexed="81"/>
      <name val="Tahoma"/>
      <family val="2"/>
    </font>
    <font>
      <i/>
      <sz val="8"/>
      <name val="Arial"/>
      <family val="2"/>
    </font>
    <font>
      <sz val="8"/>
      <color indexed="18"/>
      <name val="Arial"/>
      <family val="2"/>
    </font>
    <font>
      <b/>
      <sz val="12"/>
      <color indexed="10"/>
      <name val="Allianz Sans"/>
    </font>
    <font>
      <b/>
      <sz val="8"/>
      <color indexed="10"/>
      <name val="Arial"/>
      <family val="2"/>
    </font>
    <font>
      <b/>
      <sz val="12"/>
      <color indexed="81"/>
      <name val="Tahoma"/>
      <family val="2"/>
    </font>
    <font>
      <sz val="9"/>
      <name val="Arial"/>
      <family val="2"/>
    </font>
    <font>
      <b/>
      <sz val="11"/>
      <name val="Allianz Sans"/>
    </font>
    <font>
      <b/>
      <sz val="14"/>
      <name val="Arial"/>
      <family val="2"/>
    </font>
    <font>
      <sz val="19"/>
      <name val="Allianz Sans"/>
    </font>
    <font>
      <b/>
      <i/>
      <sz val="12"/>
      <name val="Allianz Sans"/>
    </font>
    <font>
      <b/>
      <i/>
      <sz val="12"/>
      <name val="Arial"/>
      <family val="2"/>
    </font>
    <font>
      <i/>
      <sz val="11"/>
      <name val="Arial"/>
      <family val="2"/>
    </font>
    <font>
      <sz val="10"/>
      <name val="Century Gothic"/>
      <family val="2"/>
    </font>
    <font>
      <sz val="12"/>
      <color indexed="10"/>
      <name val="Arial"/>
      <family val="2"/>
    </font>
    <font>
      <sz val="12"/>
      <color indexed="57"/>
      <name val="Arial"/>
      <family val="2"/>
    </font>
    <font>
      <sz val="8"/>
      <color indexed="81"/>
      <name val="Tahoma"/>
      <family val="2"/>
    </font>
    <font>
      <sz val="12"/>
      <color indexed="17"/>
      <name val="Arial"/>
      <family val="2"/>
    </font>
    <font>
      <sz val="10"/>
      <color indexed="17"/>
      <name val="Arial"/>
      <family val="2"/>
    </font>
    <font>
      <b/>
      <i/>
      <sz val="11"/>
      <name val="Arial"/>
      <family val="2"/>
    </font>
    <font>
      <i/>
      <sz val="12"/>
      <name val="Arial"/>
      <family val="2"/>
    </font>
    <font>
      <sz val="10"/>
      <name val="Arial Unicode MS"/>
      <family val="2"/>
    </font>
    <font>
      <sz val="12"/>
      <name val="Allianz Sans"/>
    </font>
    <font>
      <sz val="12"/>
      <color indexed="10"/>
      <name val="Arial"/>
      <family val="2"/>
    </font>
    <font>
      <b/>
      <i/>
      <sz val="14"/>
      <color indexed="10"/>
      <name val="Allianz Sans"/>
    </font>
    <font>
      <b/>
      <sz val="12"/>
      <color indexed="10"/>
      <name val="Arial"/>
      <family val="2"/>
    </font>
    <font>
      <b/>
      <sz val="13"/>
      <color indexed="10"/>
      <name val="Arial"/>
      <family val="2"/>
    </font>
    <font>
      <b/>
      <sz val="17"/>
      <name val="Arial"/>
      <family val="2"/>
    </font>
    <font>
      <b/>
      <sz val="13"/>
      <color indexed="10"/>
      <name val="Allianz Sans Light"/>
    </font>
    <font>
      <b/>
      <sz val="10"/>
      <color rgb="FFFF0000"/>
      <name val="Arial"/>
      <family val="2"/>
    </font>
    <font>
      <b/>
      <sz val="12"/>
      <color rgb="FF002060"/>
      <name val="Allianz Sans"/>
    </font>
    <font>
      <sz val="14"/>
      <color rgb="FF002060"/>
      <name val="Allianz Sans"/>
    </font>
    <font>
      <b/>
      <sz val="14"/>
      <color rgb="FF002060"/>
      <name val="Allianz Sans"/>
    </font>
    <font>
      <b/>
      <sz val="13"/>
      <name val="Arial"/>
      <family val="2"/>
    </font>
    <font>
      <i/>
      <sz val="12"/>
      <name val="Allianz Sans"/>
    </font>
    <font>
      <i/>
      <sz val="11"/>
      <name val="Allianz Sans"/>
    </font>
    <font>
      <i/>
      <sz val="12"/>
      <color rgb="FF7030A0"/>
      <name val="Arial"/>
      <family val="2"/>
    </font>
    <font>
      <b/>
      <sz val="10"/>
      <color rgb="FF00000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9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9"/>
      </patternFill>
    </fill>
    <fill>
      <patternFill patternType="solid">
        <fgColor theme="3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2"/>
      </left>
      <right/>
      <top/>
      <bottom/>
      <diagonal/>
    </border>
    <border>
      <left/>
      <right style="slantDashDot">
        <color indexed="62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slantDashDot">
        <color indexed="62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slantDashDot">
        <color indexed="62"/>
      </left>
      <right/>
      <top style="slantDashDot">
        <color indexed="62"/>
      </top>
      <bottom/>
      <diagonal/>
    </border>
    <border>
      <left/>
      <right style="slantDashDot">
        <color indexed="62"/>
      </right>
      <top style="slantDashDot">
        <color indexed="62"/>
      </top>
      <bottom/>
      <diagonal/>
    </border>
  </borders>
  <cellStyleXfs count="45">
    <xf numFmtId="0" fontId="0" fillId="0" borderId="0"/>
    <xf numFmtId="0" fontId="7" fillId="2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5" borderId="0" applyNumberFormat="0" applyBorder="0" applyAlignment="0" applyProtection="0"/>
    <xf numFmtId="0" fontId="7" fillId="8" borderId="0" applyNumberFormat="0" applyBorder="0" applyAlignment="0" applyProtection="0"/>
    <xf numFmtId="0" fontId="7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9" borderId="0" applyNumberFormat="0" applyBorder="0" applyAlignment="0" applyProtection="0"/>
    <xf numFmtId="0" fontId="9" fillId="0" borderId="0" applyNumberFormat="0" applyFill="0" applyBorder="0" applyAlignment="0" applyProtection="0"/>
    <xf numFmtId="0" fontId="10" fillId="20" borderId="1" applyNumberFormat="0" applyAlignment="0" applyProtection="0"/>
    <xf numFmtId="0" fontId="11" fillId="0" borderId="2" applyNumberFormat="0" applyFill="0" applyAlignment="0" applyProtection="0"/>
    <xf numFmtId="0" fontId="1" fillId="21" borderId="3" applyNumberFormat="0" applyFont="0" applyAlignment="0" applyProtection="0"/>
    <xf numFmtId="0" fontId="12" fillId="7" borderId="1" applyNumberFormat="0" applyAlignment="0" applyProtection="0"/>
    <xf numFmtId="166" fontId="1" fillId="0" borderId="0" applyFont="0" applyFill="0" applyBorder="0" applyAlignment="0" applyProtection="0"/>
    <xf numFmtId="0" fontId="13" fillId="3" borderId="0" applyNumberFormat="0" applyBorder="0" applyAlignment="0" applyProtection="0"/>
    <xf numFmtId="164" fontId="1" fillId="0" borderId="0" applyFont="0" applyFill="0" applyBorder="0" applyAlignment="0" applyProtection="0"/>
    <xf numFmtId="0" fontId="14" fillId="22" borderId="0" applyNumberFormat="0" applyBorder="0" applyAlignment="0" applyProtection="0"/>
    <xf numFmtId="9" fontId="1" fillId="0" borderId="0" applyFont="0" applyFill="0" applyBorder="0" applyAlignment="0" applyProtection="0"/>
    <xf numFmtId="0" fontId="15" fillId="4" borderId="0" applyNumberFormat="0" applyBorder="0" applyAlignment="0" applyProtection="0"/>
    <xf numFmtId="0" fontId="16" fillId="20" borderId="4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5" applyNumberFormat="0" applyFill="0" applyAlignment="0" applyProtection="0"/>
    <xf numFmtId="0" fontId="20" fillId="0" borderId="6" applyNumberFormat="0" applyFill="0" applyAlignment="0" applyProtection="0"/>
    <xf numFmtId="0" fontId="21" fillId="0" borderId="7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8" applyNumberFormat="0" applyFill="0" applyAlignment="0" applyProtection="0"/>
    <xf numFmtId="0" fontId="23" fillId="23" borderId="9" applyNumberFormat="0" applyAlignment="0" applyProtection="0"/>
  </cellStyleXfs>
  <cellXfs count="200">
    <xf numFmtId="0" fontId="0" fillId="0" borderId="0" xfId="0"/>
    <xf numFmtId="0" fontId="2" fillId="0" borderId="0" xfId="0" applyFont="1" applyProtection="1"/>
    <xf numFmtId="0" fontId="2" fillId="0" borderId="0" xfId="0" applyFont="1" applyAlignment="1" applyProtection="1">
      <alignment horizontal="center"/>
    </xf>
    <xf numFmtId="0" fontId="2" fillId="0" borderId="0" xfId="0" applyFont="1" applyAlignment="1" applyProtection="1">
      <alignment vertical="center" wrapText="1"/>
    </xf>
    <xf numFmtId="0" fontId="2" fillId="0" borderId="0" xfId="0" applyFont="1" applyFill="1" applyBorder="1" applyProtection="1"/>
    <xf numFmtId="0" fontId="2" fillId="0" borderId="0" xfId="0" applyFont="1" applyAlignment="1" applyProtection="1">
      <alignment vertical="center"/>
    </xf>
    <xf numFmtId="0" fontId="30" fillId="24" borderId="10" xfId="0" applyFont="1" applyFill="1" applyBorder="1" applyAlignment="1">
      <alignment wrapText="1"/>
    </xf>
    <xf numFmtId="0" fontId="30" fillId="0" borderId="10" xfId="0" applyFont="1" applyBorder="1"/>
    <xf numFmtId="0" fontId="30" fillId="0" borderId="0" xfId="0" applyFont="1"/>
    <xf numFmtId="20" fontId="2" fillId="0" borderId="0" xfId="0" applyNumberFormat="1" applyFont="1" applyProtection="1"/>
    <xf numFmtId="17" fontId="27" fillId="0" borderId="10" xfId="0" applyNumberFormat="1" applyFont="1" applyBorder="1"/>
    <xf numFmtId="0" fontId="27" fillId="0" borderId="10" xfId="0" applyFont="1" applyBorder="1"/>
    <xf numFmtId="2" fontId="30" fillId="25" borderId="10" xfId="0" applyNumberFormat="1" applyFont="1" applyFill="1" applyBorder="1"/>
    <xf numFmtId="0" fontId="27" fillId="0" borderId="0" xfId="0" applyFont="1"/>
    <xf numFmtId="10" fontId="27" fillId="0" borderId="10" xfId="34" applyNumberFormat="1" applyFont="1" applyBorder="1"/>
    <xf numFmtId="10" fontId="35" fillId="0" borderId="10" xfId="0" applyNumberFormat="1" applyFont="1" applyBorder="1" applyAlignment="1">
      <alignment horizontal="center" vertical="center"/>
    </xf>
    <xf numFmtId="14" fontId="27" fillId="0" borderId="10" xfId="0" applyNumberFormat="1" applyFont="1" applyBorder="1"/>
    <xf numFmtId="0" fontId="30" fillId="24" borderId="11" xfId="0" applyFont="1" applyFill="1" applyBorder="1" applyAlignment="1">
      <alignment wrapText="1"/>
    </xf>
    <xf numFmtId="0" fontId="27" fillId="0" borderId="10" xfId="0" applyFont="1" applyFill="1" applyBorder="1"/>
    <xf numFmtId="0" fontId="0" fillId="0" borderId="10" xfId="0" applyBorder="1"/>
    <xf numFmtId="0" fontId="27" fillId="0" borderId="10" xfId="0" applyFont="1" applyBorder="1" applyAlignment="1">
      <alignment horizontal="center" vertical="center"/>
    </xf>
    <xf numFmtId="0" fontId="30" fillId="26" borderId="10" xfId="0" applyFont="1" applyFill="1" applyBorder="1"/>
    <xf numFmtId="17" fontId="27" fillId="26" borderId="10" xfId="0" applyNumberFormat="1" applyFont="1" applyFill="1" applyBorder="1"/>
    <xf numFmtId="0" fontId="27" fillId="26" borderId="10" xfId="0" applyFont="1" applyFill="1" applyBorder="1"/>
    <xf numFmtId="0" fontId="30" fillId="26" borderId="0" xfId="0" applyFont="1" applyFill="1"/>
    <xf numFmtId="0" fontId="27" fillId="26" borderId="0" xfId="0" applyFont="1" applyFill="1" applyBorder="1"/>
    <xf numFmtId="2" fontId="30" fillId="26" borderId="10" xfId="0" applyNumberFormat="1" applyFont="1" applyFill="1" applyBorder="1"/>
    <xf numFmtId="0" fontId="27" fillId="26" borderId="0" xfId="0" applyFont="1" applyFill="1"/>
    <xf numFmtId="17" fontId="27" fillId="0" borderId="10" xfId="0" applyNumberFormat="1" applyFont="1" applyFill="1" applyBorder="1"/>
    <xf numFmtId="2" fontId="30" fillId="0" borderId="10" xfId="0" applyNumberFormat="1" applyFont="1" applyFill="1" applyBorder="1"/>
    <xf numFmtId="0" fontId="29" fillId="27" borderId="10" xfId="0" applyFont="1" applyFill="1" applyBorder="1" applyProtection="1">
      <protection hidden="1"/>
    </xf>
    <xf numFmtId="0" fontId="34" fillId="27" borderId="10" xfId="0" applyFont="1" applyFill="1" applyBorder="1" applyProtection="1">
      <protection hidden="1"/>
    </xf>
    <xf numFmtId="14" fontId="37" fillId="0" borderId="0" xfId="0" applyNumberFormat="1" applyFont="1" applyProtection="1"/>
    <xf numFmtId="2" fontId="2" fillId="0" borderId="0" xfId="0" applyNumberFormat="1" applyFont="1" applyProtection="1"/>
    <xf numFmtId="4" fontId="2" fillId="0" borderId="0" xfId="0" applyNumberFormat="1" applyFont="1" applyProtection="1"/>
    <xf numFmtId="0" fontId="38" fillId="0" borderId="0" xfId="0" applyFont="1"/>
    <xf numFmtId="10" fontId="6" fillId="0" borderId="10" xfId="34" applyNumberFormat="1" applyFont="1" applyBorder="1"/>
    <xf numFmtId="17" fontId="29" fillId="28" borderId="10" xfId="0" applyNumberFormat="1" applyFont="1" applyFill="1" applyBorder="1"/>
    <xf numFmtId="10" fontId="2" fillId="0" borderId="0" xfId="0" applyNumberFormat="1" applyFont="1" applyAlignment="1" applyProtection="1">
      <alignment vertical="center" wrapText="1"/>
    </xf>
    <xf numFmtId="0" fontId="4" fillId="24" borderId="10" xfId="0" applyFont="1" applyFill="1" applyBorder="1" applyProtection="1"/>
    <xf numFmtId="14" fontId="2" fillId="0" borderId="10" xfId="0" applyNumberFormat="1" applyFont="1" applyBorder="1" applyProtection="1"/>
    <xf numFmtId="0" fontId="25" fillId="0" borderId="14" xfId="0" applyFont="1" applyBorder="1" applyProtection="1"/>
    <xf numFmtId="10" fontId="25" fillId="0" borderId="10" xfId="0" applyNumberFormat="1" applyFont="1" applyBorder="1" applyProtection="1"/>
    <xf numFmtId="0" fontId="24" fillId="27" borderId="14" xfId="0" applyFont="1" applyFill="1" applyBorder="1" applyProtection="1"/>
    <xf numFmtId="10" fontId="24" fillId="27" borderId="10" xfId="0" applyNumberFormat="1" applyFont="1" applyFill="1" applyBorder="1" applyProtection="1"/>
    <xf numFmtId="0" fontId="0" fillId="0" borderId="0" xfId="0" applyFill="1" applyProtection="1"/>
    <xf numFmtId="0" fontId="2" fillId="0" borderId="12" xfId="0" applyFont="1" applyFill="1" applyBorder="1" applyAlignment="1" applyProtection="1">
      <alignment vertical="center" wrapText="1"/>
    </xf>
    <xf numFmtId="0" fontId="2" fillId="0" borderId="0" xfId="0" applyFont="1" applyFill="1" applyBorder="1" applyAlignment="1" applyProtection="1">
      <alignment vertical="center" wrapText="1"/>
    </xf>
    <xf numFmtId="0" fontId="2" fillId="0" borderId="13" xfId="0" applyFont="1" applyFill="1" applyBorder="1" applyAlignment="1" applyProtection="1">
      <alignment vertical="center" wrapText="1"/>
    </xf>
    <xf numFmtId="0" fontId="2" fillId="0" borderId="12" xfId="0" applyFont="1" applyFill="1" applyBorder="1" applyProtection="1"/>
    <xf numFmtId="165" fontId="26" fillId="0" borderId="10" xfId="32" applyNumberFormat="1" applyFont="1" applyFill="1" applyBorder="1" applyAlignment="1" applyProtection="1">
      <alignment horizontal="center"/>
    </xf>
    <xf numFmtId="0" fontId="2" fillId="0" borderId="13" xfId="0" applyFont="1" applyFill="1" applyBorder="1" applyAlignment="1" applyProtection="1">
      <alignment horizontal="center"/>
    </xf>
    <xf numFmtId="0" fontId="2" fillId="0" borderId="13" xfId="0" applyFont="1" applyFill="1" applyBorder="1" applyProtection="1"/>
    <xf numFmtId="0" fontId="24" fillId="0" borderId="0" xfId="0" applyFont="1" applyFill="1" applyBorder="1" applyAlignment="1" applyProtection="1">
      <alignment horizontal="left" vertical="center" wrapText="1"/>
    </xf>
    <xf numFmtId="0" fontId="0" fillId="0" borderId="12" xfId="0" applyFill="1" applyBorder="1" applyProtection="1"/>
    <xf numFmtId="0" fontId="6" fillId="0" borderId="0" xfId="0" applyFont="1" applyFill="1" applyAlignment="1" applyProtection="1">
      <alignment vertical="top" wrapText="1"/>
    </xf>
    <xf numFmtId="0" fontId="0" fillId="0" borderId="0" xfId="0" applyFill="1"/>
    <xf numFmtId="0" fontId="27" fillId="0" borderId="0" xfId="0" applyFont="1" applyFill="1" applyAlignment="1">
      <alignment horizontal="right"/>
    </xf>
    <xf numFmtId="0" fontId="25" fillId="0" borderId="0" xfId="0" applyFont="1" applyFill="1" applyAlignment="1" applyProtection="1">
      <alignment vertical="top" wrapText="1"/>
    </xf>
    <xf numFmtId="165" fontId="26" fillId="0" borderId="10" xfId="32" applyNumberFormat="1" applyFont="1" applyFill="1" applyBorder="1" applyAlignment="1" applyProtection="1">
      <alignment horizontal="center" vertical="center"/>
    </xf>
    <xf numFmtId="165" fontId="26" fillId="0" borderId="10" xfId="32" applyNumberFormat="1" applyFont="1" applyFill="1" applyBorder="1" applyAlignment="1" applyProtection="1">
      <alignment horizontal="center" vertical="center" wrapText="1"/>
    </xf>
    <xf numFmtId="0" fontId="28" fillId="0" borderId="15" xfId="0" applyFont="1" applyFill="1" applyBorder="1" applyAlignment="1" applyProtection="1">
      <alignment horizontal="center" vertical="justify"/>
    </xf>
    <xf numFmtId="0" fontId="39" fillId="0" borderId="12" xfId="0" applyFont="1" applyFill="1" applyBorder="1" applyAlignment="1" applyProtection="1">
      <alignment horizontal="center" vertical="justify"/>
    </xf>
    <xf numFmtId="0" fontId="39" fillId="0" borderId="0" xfId="0" applyFont="1" applyFill="1" applyBorder="1" applyAlignment="1" applyProtection="1">
      <alignment horizontal="center" vertical="justify"/>
    </xf>
    <xf numFmtId="0" fontId="39" fillId="0" borderId="13" xfId="0" applyFont="1" applyFill="1" applyBorder="1" applyAlignment="1" applyProtection="1">
      <alignment horizontal="center" vertical="justify"/>
    </xf>
    <xf numFmtId="10" fontId="0" fillId="28" borderId="10" xfId="0" applyNumberFormat="1" applyFill="1" applyBorder="1" applyAlignment="1">
      <alignment horizontal="center"/>
    </xf>
    <xf numFmtId="168" fontId="44" fillId="28" borderId="16" xfId="0" applyNumberFormat="1" applyFont="1" applyFill="1" applyBorder="1" applyAlignment="1">
      <alignment horizontal="center"/>
    </xf>
    <xf numFmtId="10" fontId="2" fillId="0" borderId="0" xfId="0" applyNumberFormat="1" applyFont="1" applyProtection="1"/>
    <xf numFmtId="0" fontId="45" fillId="0" borderId="0" xfId="0" applyFont="1" applyAlignment="1" applyProtection="1">
      <alignment horizontal="center"/>
    </xf>
    <xf numFmtId="14" fontId="45" fillId="0" borderId="0" xfId="0" applyNumberFormat="1" applyFont="1" applyAlignment="1" applyProtection="1">
      <alignment horizontal="center"/>
    </xf>
    <xf numFmtId="0" fontId="45" fillId="0" borderId="0" xfId="0" applyFont="1" applyAlignment="1" applyProtection="1">
      <alignment horizontal="right"/>
    </xf>
    <xf numFmtId="0" fontId="45" fillId="0" borderId="0" xfId="0" applyFont="1" applyProtection="1"/>
    <xf numFmtId="0" fontId="45" fillId="0" borderId="0" xfId="0" quotePrefix="1" applyFont="1" applyProtection="1"/>
    <xf numFmtId="10" fontId="45" fillId="0" borderId="0" xfId="0" applyNumberFormat="1" applyFont="1" applyProtection="1"/>
    <xf numFmtId="0" fontId="46" fillId="0" borderId="0" xfId="0" applyFont="1" applyProtection="1"/>
    <xf numFmtId="0" fontId="3" fillId="0" borderId="0" xfId="0" applyFont="1" applyFill="1" applyProtection="1"/>
    <xf numFmtId="0" fontId="48" fillId="0" borderId="0" xfId="0" applyFont="1" applyProtection="1"/>
    <xf numFmtId="0" fontId="49" fillId="0" borderId="0" xfId="0" applyFont="1" applyFill="1" applyProtection="1"/>
    <xf numFmtId="0" fontId="2" fillId="0" borderId="0" xfId="0" applyFont="1" applyAlignment="1" applyProtection="1">
      <alignment horizontal="left" vertical="top"/>
    </xf>
    <xf numFmtId="0" fontId="6" fillId="0" borderId="0" xfId="0" applyFont="1" applyFill="1" applyProtection="1"/>
    <xf numFmtId="0" fontId="54" fillId="29" borderId="0" xfId="0" applyFont="1" applyFill="1" applyBorder="1" applyProtection="1"/>
    <xf numFmtId="0" fontId="54" fillId="29" borderId="0" xfId="0" applyFont="1" applyFill="1" applyBorder="1" applyAlignment="1" applyProtection="1">
      <alignment horizontal="center"/>
    </xf>
    <xf numFmtId="0" fontId="54" fillId="0" borderId="0" xfId="0" applyFont="1" applyProtection="1"/>
    <xf numFmtId="165" fontId="26" fillId="0" borderId="10" xfId="32" applyNumberFormat="1" applyFont="1" applyFill="1" applyBorder="1" applyAlignment="1" applyProtection="1">
      <alignment horizontal="center" wrapText="1"/>
    </xf>
    <xf numFmtId="166" fontId="55" fillId="0" borderId="0" xfId="30" applyFont="1" applyFill="1" applyBorder="1" applyAlignment="1" applyProtection="1">
      <alignment horizontal="center"/>
      <protection hidden="1"/>
    </xf>
    <xf numFmtId="0" fontId="2" fillId="0" borderId="0" xfId="0" applyFont="1" applyFill="1" applyProtection="1"/>
    <xf numFmtId="0" fontId="56" fillId="0" borderId="0" xfId="0" applyFont="1" applyFill="1" applyProtection="1"/>
    <xf numFmtId="14" fontId="37" fillId="0" borderId="0" xfId="0" applyNumberFormat="1" applyFont="1" applyProtection="1">
      <protection hidden="1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 vertical="center" wrapText="1"/>
    </xf>
    <xf numFmtId="0" fontId="51" fillId="0" borderId="0" xfId="0" applyFont="1" applyFill="1" applyProtection="1"/>
    <xf numFmtId="4" fontId="51" fillId="0" borderId="0" xfId="0" applyNumberFormat="1" applyFont="1" applyProtection="1"/>
    <xf numFmtId="4" fontId="27" fillId="0" borderId="0" xfId="0" applyNumberFormat="1" applyFont="1" applyFill="1" applyProtection="1"/>
    <xf numFmtId="0" fontId="53" fillId="27" borderId="19" xfId="0" applyFont="1" applyFill="1" applyBorder="1" applyProtection="1">
      <protection hidden="1"/>
    </xf>
    <xf numFmtId="14" fontId="53" fillId="27" borderId="20" xfId="0" applyNumberFormat="1" applyFont="1" applyFill="1" applyBorder="1" applyProtection="1">
      <protection hidden="1"/>
    </xf>
    <xf numFmtId="0" fontId="2" fillId="0" borderId="0" xfId="0" applyFont="1" applyProtection="1">
      <protection hidden="1"/>
    </xf>
    <xf numFmtId="0" fontId="53" fillId="27" borderId="19" xfId="0" applyFont="1" applyFill="1" applyBorder="1" applyAlignment="1" applyProtection="1">
      <alignment wrapText="1"/>
      <protection hidden="1"/>
    </xf>
    <xf numFmtId="0" fontId="2" fillId="0" borderId="0" xfId="0" applyFont="1" applyAlignment="1" applyProtection="1">
      <alignment vertical="center"/>
      <protection hidden="1"/>
    </xf>
    <xf numFmtId="0" fontId="6" fillId="30" borderId="10" xfId="0" applyFont="1" applyFill="1" applyBorder="1" applyAlignment="1" applyProtection="1">
      <alignment horizontal="center" vertical="center" wrapText="1"/>
      <protection hidden="1"/>
    </xf>
    <xf numFmtId="0" fontId="2" fillId="0" borderId="0" xfId="0" applyFont="1" applyAlignment="1" applyProtection="1">
      <alignment horizontal="center"/>
      <protection hidden="1"/>
    </xf>
    <xf numFmtId="14" fontId="1" fillId="0" borderId="14" xfId="0" applyNumberFormat="1" applyFont="1" applyFill="1" applyBorder="1" applyProtection="1">
      <protection hidden="1"/>
    </xf>
    <xf numFmtId="166" fontId="6" fillId="0" borderId="10" xfId="30" applyFont="1" applyFill="1" applyBorder="1" applyProtection="1">
      <protection hidden="1"/>
    </xf>
    <xf numFmtId="4" fontId="51" fillId="0" borderId="10" xfId="0" applyNumberFormat="1" applyFont="1" applyBorder="1" applyProtection="1">
      <protection hidden="1"/>
    </xf>
    <xf numFmtId="14" fontId="1" fillId="0" borderId="10" xfId="0" applyNumberFormat="1" applyFont="1" applyFill="1" applyBorder="1" applyProtection="1">
      <protection hidden="1"/>
    </xf>
    <xf numFmtId="4" fontId="2" fillId="0" borderId="0" xfId="0" applyNumberFormat="1" applyFont="1" applyAlignment="1" applyProtection="1">
      <alignment horizontal="center"/>
      <protection hidden="1"/>
    </xf>
    <xf numFmtId="14" fontId="2" fillId="0" borderId="0" xfId="0" applyNumberFormat="1" applyFont="1" applyProtection="1">
      <protection hidden="1"/>
    </xf>
    <xf numFmtId="10" fontId="2" fillId="0" borderId="0" xfId="0" applyNumberFormat="1" applyFont="1" applyProtection="1">
      <protection hidden="1"/>
    </xf>
    <xf numFmtId="0" fontId="50" fillId="0" borderId="0" xfId="0" applyFont="1" applyProtection="1">
      <protection hidden="1"/>
    </xf>
    <xf numFmtId="10" fontId="2" fillId="0" borderId="0" xfId="34" applyNumberFormat="1" applyFont="1" applyProtection="1">
      <protection hidden="1"/>
    </xf>
    <xf numFmtId="0" fontId="6" fillId="31" borderId="10" xfId="0" applyFont="1" applyFill="1" applyBorder="1" applyAlignment="1" applyProtection="1">
      <alignment horizontal="center" vertical="center" wrapText="1"/>
      <protection hidden="1"/>
    </xf>
    <xf numFmtId="0" fontId="2" fillId="29" borderId="0" xfId="0" applyFont="1" applyFill="1" applyProtection="1">
      <protection hidden="1"/>
    </xf>
    <xf numFmtId="0" fontId="1" fillId="0" borderId="10" xfId="0" applyFont="1" applyBorder="1" applyAlignment="1" applyProtection="1">
      <alignment horizontal="right"/>
      <protection hidden="1"/>
    </xf>
    <xf numFmtId="14" fontId="2" fillId="29" borderId="10" xfId="0" applyNumberFormat="1" applyFont="1" applyFill="1" applyBorder="1" applyProtection="1">
      <protection hidden="1"/>
    </xf>
    <xf numFmtId="0" fontId="2" fillId="0" borderId="10" xfId="0" applyFont="1" applyBorder="1" applyProtection="1">
      <protection hidden="1"/>
    </xf>
    <xf numFmtId="166" fontId="2" fillId="31" borderId="10" xfId="30" applyFont="1" applyFill="1" applyBorder="1" applyAlignment="1" applyProtection="1">
      <alignment horizontal="left" vertical="justify"/>
      <protection hidden="1"/>
    </xf>
    <xf numFmtId="0" fontId="2" fillId="0" borderId="10" xfId="0" applyFont="1" applyBorder="1" applyAlignment="1" applyProtection="1">
      <alignment horizontal="center"/>
      <protection hidden="1"/>
    </xf>
    <xf numFmtId="166" fontId="2" fillId="0" borderId="10" xfId="30" applyFont="1" applyBorder="1" applyAlignment="1" applyProtection="1">
      <alignment horizontal="center"/>
      <protection hidden="1"/>
    </xf>
    <xf numFmtId="166" fontId="2" fillId="0" borderId="10" xfId="30" applyFont="1" applyBorder="1" applyProtection="1">
      <protection hidden="1"/>
    </xf>
    <xf numFmtId="10" fontId="2" fillId="0" borderId="10" xfId="0" applyNumberFormat="1" applyFont="1" applyBorder="1" applyProtection="1">
      <protection hidden="1"/>
    </xf>
    <xf numFmtId="166" fontId="4" fillId="0" borderId="10" xfId="30" applyFont="1" applyBorder="1" applyProtection="1">
      <protection hidden="1"/>
    </xf>
    <xf numFmtId="0" fontId="2" fillId="0" borderId="0" xfId="0" applyFont="1" applyFill="1" applyProtection="1">
      <protection hidden="1"/>
    </xf>
    <xf numFmtId="166" fontId="2" fillId="0" borderId="0" xfId="0" applyNumberFormat="1" applyFont="1" applyFill="1" applyProtection="1">
      <protection hidden="1"/>
    </xf>
    <xf numFmtId="0" fontId="51" fillId="0" borderId="0" xfId="0" applyNumberFormat="1" applyFont="1" applyFill="1" applyAlignment="1" applyProtection="1">
      <alignment horizontal="right"/>
      <protection hidden="1"/>
    </xf>
    <xf numFmtId="14" fontId="42" fillId="0" borderId="10" xfId="0" applyNumberFormat="1" applyFont="1" applyFill="1" applyBorder="1" applyProtection="1">
      <protection hidden="1"/>
    </xf>
    <xf numFmtId="0" fontId="51" fillId="0" borderId="0" xfId="0" applyFont="1" applyFill="1" applyProtection="1">
      <protection hidden="1"/>
    </xf>
    <xf numFmtId="166" fontId="4" fillId="0" borderId="10" xfId="0" applyNumberFormat="1" applyFont="1" applyBorder="1" applyAlignment="1" applyProtection="1">
      <alignment horizontal="center"/>
      <protection hidden="1"/>
    </xf>
    <xf numFmtId="0" fontId="51" fillId="0" borderId="10" xfId="0" applyFont="1" applyBorder="1" applyProtection="1">
      <protection hidden="1"/>
    </xf>
    <xf numFmtId="0" fontId="51" fillId="0" borderId="10" xfId="0" applyFont="1" applyBorder="1" applyAlignment="1" applyProtection="1">
      <alignment horizontal="center"/>
      <protection hidden="1"/>
    </xf>
    <xf numFmtId="167" fontId="2" fillId="0" borderId="0" xfId="0" applyNumberFormat="1" applyFont="1" applyProtection="1">
      <protection hidden="1"/>
    </xf>
    <xf numFmtId="0" fontId="4" fillId="24" borderId="10" xfId="0" applyFont="1" applyFill="1" applyBorder="1" applyProtection="1">
      <protection hidden="1"/>
    </xf>
    <xf numFmtId="14" fontId="2" fillId="0" borderId="10" xfId="0" applyNumberFormat="1" applyFont="1" applyBorder="1" applyProtection="1">
      <protection hidden="1"/>
    </xf>
    <xf numFmtId="10" fontId="2" fillId="0" borderId="10" xfId="34" applyNumberFormat="1" applyFont="1" applyBorder="1" applyProtection="1">
      <protection hidden="1"/>
    </xf>
    <xf numFmtId="0" fontId="25" fillId="0" borderId="14" xfId="0" applyFont="1" applyBorder="1" applyProtection="1">
      <protection hidden="1"/>
    </xf>
    <xf numFmtId="10" fontId="25" fillId="0" borderId="10" xfId="0" applyNumberFormat="1" applyFont="1" applyBorder="1" applyProtection="1">
      <protection hidden="1"/>
    </xf>
    <xf numFmtId="0" fontId="24" fillId="27" borderId="14" xfId="0" applyFont="1" applyFill="1" applyBorder="1" applyProtection="1">
      <protection hidden="1"/>
    </xf>
    <xf numFmtId="10" fontId="24" fillId="27" borderId="10" xfId="0" applyNumberFormat="1" applyFont="1" applyFill="1" applyBorder="1" applyProtection="1">
      <protection hidden="1"/>
    </xf>
    <xf numFmtId="0" fontId="0" fillId="0" borderId="0" xfId="0" applyProtection="1">
      <protection hidden="1"/>
    </xf>
    <xf numFmtId="0" fontId="1" fillId="0" borderId="17" xfId="0" applyFont="1" applyFill="1" applyBorder="1" applyAlignment="1" applyProtection="1">
      <alignment horizontal="center"/>
      <protection hidden="1"/>
    </xf>
    <xf numFmtId="0" fontId="1" fillId="0" borderId="18" xfId="0" applyFont="1" applyFill="1" applyBorder="1" applyAlignment="1" applyProtection="1">
      <alignment horizontal="center" vertical="center" wrapText="1"/>
      <protection hidden="1"/>
    </xf>
    <xf numFmtId="10" fontId="0" fillId="28" borderId="10" xfId="0" applyNumberFormat="1" applyFill="1" applyBorder="1" applyAlignment="1" applyProtection="1">
      <alignment horizontal="center"/>
      <protection hidden="1"/>
    </xf>
    <xf numFmtId="168" fontId="44" fillId="28" borderId="16" xfId="0" applyNumberFormat="1" applyFont="1" applyFill="1" applyBorder="1" applyAlignment="1" applyProtection="1">
      <alignment horizontal="center"/>
      <protection hidden="1"/>
    </xf>
    <xf numFmtId="0" fontId="57" fillId="0" borderId="0" xfId="0" applyFont="1" applyFill="1" applyProtection="1"/>
    <xf numFmtId="17" fontId="27" fillId="32" borderId="10" xfId="0" applyNumberFormat="1" applyFont="1" applyFill="1" applyBorder="1"/>
    <xf numFmtId="0" fontId="27" fillId="32" borderId="10" xfId="0" applyFont="1" applyFill="1" applyBorder="1"/>
    <xf numFmtId="10" fontId="6" fillId="32" borderId="10" xfId="34" applyNumberFormat="1" applyFont="1" applyFill="1" applyBorder="1"/>
    <xf numFmtId="169" fontId="6" fillId="32" borderId="10" xfId="34" applyNumberFormat="1" applyFont="1" applyFill="1" applyBorder="1"/>
    <xf numFmtId="170" fontId="6" fillId="32" borderId="10" xfId="34" applyNumberFormat="1" applyFont="1" applyFill="1" applyBorder="1"/>
    <xf numFmtId="170" fontId="60" fillId="32" borderId="10" xfId="34" applyNumberFormat="1" applyFont="1" applyFill="1" applyBorder="1"/>
    <xf numFmtId="0" fontId="2" fillId="33" borderId="0" xfId="0" applyFont="1" applyFill="1" applyBorder="1" applyProtection="1">
      <protection hidden="1"/>
    </xf>
    <xf numFmtId="0" fontId="2" fillId="33" borderId="0" xfId="0" applyFont="1" applyFill="1" applyBorder="1" applyAlignment="1" applyProtection="1">
      <alignment vertical="center" wrapText="1"/>
      <protection hidden="1"/>
    </xf>
    <xf numFmtId="14" fontId="5" fillId="34" borderId="10" xfId="0" applyNumberFormat="1" applyFont="1" applyFill="1" applyBorder="1" applyAlignment="1" applyProtection="1">
      <alignment horizontal="center"/>
      <protection hidden="1"/>
    </xf>
    <xf numFmtId="14" fontId="2" fillId="34" borderId="10" xfId="0" applyNumberFormat="1" applyFont="1" applyFill="1" applyBorder="1" applyAlignment="1" applyProtection="1">
      <alignment horizontal="center"/>
      <protection locked="0"/>
    </xf>
    <xf numFmtId="0" fontId="32" fillId="33" borderId="0" xfId="0" applyFont="1" applyFill="1" applyBorder="1" applyAlignment="1" applyProtection="1">
      <alignment horizontal="left"/>
      <protection hidden="1"/>
    </xf>
    <xf numFmtId="14" fontId="33" fillId="33" borderId="0" xfId="0" applyNumberFormat="1" applyFont="1" applyFill="1" applyBorder="1" applyAlignment="1" applyProtection="1">
      <alignment horizontal="centerContinuous"/>
      <protection hidden="1"/>
    </xf>
    <xf numFmtId="0" fontId="41" fillId="34" borderId="0" xfId="0" applyFont="1" applyFill="1" applyBorder="1" applyProtection="1">
      <protection hidden="1"/>
    </xf>
    <xf numFmtId="10" fontId="4" fillId="34" borderId="0" xfId="34" applyNumberFormat="1" applyFont="1" applyFill="1" applyBorder="1" applyAlignment="1" applyProtection="1">
      <alignment horizontal="center"/>
      <protection hidden="1"/>
    </xf>
    <xf numFmtId="166" fontId="62" fillId="34" borderId="10" xfId="30" applyFont="1" applyFill="1" applyBorder="1" applyAlignment="1" applyProtection="1">
      <alignment horizontal="center"/>
      <protection hidden="1"/>
    </xf>
    <xf numFmtId="166" fontId="63" fillId="34" borderId="10" xfId="30" applyFont="1" applyFill="1" applyBorder="1" applyAlignment="1" applyProtection="1">
      <alignment horizontal="center"/>
      <protection hidden="1"/>
    </xf>
    <xf numFmtId="0" fontId="2" fillId="34" borderId="0" xfId="0" applyFont="1" applyFill="1" applyProtection="1"/>
    <xf numFmtId="0" fontId="0" fillId="34" borderId="0" xfId="0" applyFill="1" applyProtection="1"/>
    <xf numFmtId="0" fontId="2" fillId="34" borderId="0" xfId="0" applyFont="1" applyFill="1" applyBorder="1" applyAlignment="1" applyProtection="1">
      <alignment horizontal="right"/>
    </xf>
    <xf numFmtId="0" fontId="32" fillId="34" borderId="0" xfId="0" applyFont="1" applyFill="1" applyBorder="1" applyProtection="1"/>
    <xf numFmtId="14" fontId="32" fillId="34" borderId="0" xfId="0" applyNumberFormat="1" applyFont="1" applyFill="1" applyBorder="1" applyAlignment="1" applyProtection="1">
      <alignment horizontal="right"/>
    </xf>
    <xf numFmtId="0" fontId="32" fillId="34" borderId="0" xfId="0" applyFont="1" applyFill="1" applyBorder="1" applyAlignment="1" applyProtection="1">
      <alignment horizontal="left"/>
    </xf>
    <xf numFmtId="0" fontId="59" fillId="34" borderId="0" xfId="0" applyFont="1" applyFill="1" applyAlignment="1" applyProtection="1">
      <alignment horizontal="left" wrapText="1"/>
    </xf>
    <xf numFmtId="14" fontId="32" fillId="34" borderId="0" xfId="0" applyNumberFormat="1" applyFont="1" applyFill="1" applyBorder="1" applyAlignment="1" applyProtection="1">
      <alignment horizontal="left"/>
    </xf>
    <xf numFmtId="0" fontId="52" fillId="34" borderId="0" xfId="0" applyFont="1" applyFill="1"/>
    <xf numFmtId="14" fontId="2" fillId="34" borderId="0" xfId="0" applyNumberFormat="1" applyFont="1" applyFill="1" applyProtection="1"/>
    <xf numFmtId="0" fontId="2" fillId="34" borderId="0" xfId="0" applyFont="1" applyFill="1" applyBorder="1" applyProtection="1"/>
    <xf numFmtId="0" fontId="27" fillId="34" borderId="0" xfId="0" applyFont="1" applyFill="1" applyBorder="1" applyProtection="1"/>
    <xf numFmtId="14" fontId="27" fillId="34" borderId="0" xfId="0" applyNumberFormat="1" applyFont="1" applyFill="1" applyBorder="1" applyProtection="1"/>
    <xf numFmtId="2" fontId="4" fillId="34" borderId="0" xfId="0" applyNumberFormat="1" applyFont="1" applyFill="1" applyProtection="1"/>
    <xf numFmtId="0" fontId="2" fillId="34" borderId="0" xfId="0" quotePrefix="1" applyFont="1" applyFill="1" applyBorder="1" applyProtection="1"/>
    <xf numFmtId="0" fontId="29" fillId="34" borderId="0" xfId="0" applyFont="1" applyFill="1" applyBorder="1" applyProtection="1">
      <protection hidden="1"/>
    </xf>
    <xf numFmtId="0" fontId="2" fillId="33" borderId="0" xfId="0" applyFont="1" applyFill="1" applyBorder="1" applyAlignment="1" applyProtection="1">
      <alignment horizontal="center"/>
      <protection hidden="1"/>
    </xf>
    <xf numFmtId="15" fontId="43" fillId="34" borderId="0" xfId="34" applyNumberFormat="1" applyFont="1" applyFill="1" applyBorder="1" applyAlignment="1" applyProtection="1">
      <alignment horizontal="center"/>
      <protection hidden="1"/>
    </xf>
    <xf numFmtId="0" fontId="61" fillId="34" borderId="0" xfId="0" applyFont="1" applyFill="1" applyBorder="1" applyProtection="1">
      <protection hidden="1"/>
    </xf>
    <xf numFmtId="0" fontId="0" fillId="33" borderId="0" xfId="0" applyFill="1" applyBorder="1" applyProtection="1">
      <protection hidden="1"/>
    </xf>
    <xf numFmtId="0" fontId="3" fillId="33" borderId="0" xfId="0" applyFont="1" applyFill="1" applyBorder="1" applyProtection="1">
      <protection hidden="1"/>
    </xf>
    <xf numFmtId="0" fontId="40" fillId="33" borderId="0" xfId="0" applyFont="1" applyFill="1" applyBorder="1" applyAlignment="1" applyProtection="1">
      <alignment horizontal="center" vertical="center"/>
      <protection hidden="1"/>
    </xf>
    <xf numFmtId="0" fontId="30" fillId="26" borderId="0" xfId="0" applyFont="1" applyFill="1" applyBorder="1"/>
    <xf numFmtId="0" fontId="29" fillId="34" borderId="0" xfId="0" applyFont="1" applyFill="1" applyBorder="1" applyProtection="1"/>
    <xf numFmtId="0" fontId="64" fillId="35" borderId="10" xfId="0" applyFont="1" applyFill="1" applyBorder="1" applyAlignment="1" applyProtection="1">
      <alignment horizontal="center"/>
      <protection hidden="1"/>
    </xf>
    <xf numFmtId="14" fontId="5" fillId="36" borderId="10" xfId="32" applyNumberFormat="1" applyFont="1" applyFill="1" applyBorder="1" applyAlignment="1" applyProtection="1">
      <alignment horizontal="center"/>
      <protection locked="0"/>
    </xf>
    <xf numFmtId="165" fontId="5" fillId="36" borderId="10" xfId="30" applyNumberFormat="1" applyFont="1" applyFill="1" applyBorder="1" applyAlignment="1" applyProtection="1">
      <alignment horizontal="center" vertical="center"/>
      <protection locked="0"/>
    </xf>
    <xf numFmtId="0" fontId="65" fillId="34" borderId="0" xfId="0" applyFont="1" applyFill="1" applyBorder="1" applyProtection="1">
      <protection hidden="1"/>
    </xf>
    <xf numFmtId="10" fontId="4" fillId="34" borderId="10" xfId="34" applyNumberFormat="1" applyFont="1" applyFill="1" applyBorder="1" applyAlignment="1" applyProtection="1">
      <alignment horizontal="center"/>
      <protection hidden="1"/>
    </xf>
    <xf numFmtId="0" fontId="66" fillId="34" borderId="0" xfId="0" applyFont="1" applyFill="1" applyBorder="1" applyProtection="1">
      <protection hidden="1"/>
    </xf>
    <xf numFmtId="10" fontId="24" fillId="34" borderId="0" xfId="34" applyNumberFormat="1" applyFont="1" applyFill="1" applyBorder="1" applyAlignment="1" applyProtection="1">
      <alignment horizontal="center"/>
      <protection hidden="1"/>
    </xf>
    <xf numFmtId="0" fontId="67" fillId="33" borderId="0" xfId="0" applyFont="1" applyFill="1" applyBorder="1" applyAlignment="1" applyProtection="1">
      <alignment horizontal="center"/>
      <protection hidden="1"/>
    </xf>
    <xf numFmtId="0" fontId="67" fillId="33" borderId="0" xfId="0" applyFont="1" applyFill="1" applyBorder="1" applyProtection="1">
      <protection hidden="1"/>
    </xf>
    <xf numFmtId="0" fontId="40" fillId="33" borderId="0" xfId="0" applyFont="1" applyFill="1" applyBorder="1" applyAlignment="1" applyProtection="1">
      <alignment horizontal="center" vertical="center"/>
      <protection hidden="1"/>
    </xf>
    <xf numFmtId="14" fontId="2" fillId="33" borderId="0" xfId="0" applyNumberFormat="1" applyFont="1" applyFill="1" applyBorder="1" applyProtection="1">
      <protection hidden="1"/>
    </xf>
    <xf numFmtId="14" fontId="29" fillId="33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Alignment="1" applyProtection="1">
      <alignment vertical="top" wrapText="1"/>
    </xf>
    <xf numFmtId="0" fontId="37" fillId="0" borderId="21" xfId="0" applyFont="1" applyFill="1" applyBorder="1" applyAlignment="1" applyProtection="1">
      <alignment horizontal="left"/>
    </xf>
    <xf numFmtId="0" fontId="58" fillId="0" borderId="22" xfId="0" applyFont="1" applyFill="1" applyBorder="1" applyAlignment="1" applyProtection="1">
      <alignment horizontal="center" vertical="justify"/>
    </xf>
    <xf numFmtId="0" fontId="58" fillId="0" borderId="15" xfId="0" applyFont="1" applyFill="1" applyBorder="1" applyAlignment="1" applyProtection="1">
      <alignment horizontal="center" vertical="justify"/>
    </xf>
    <xf numFmtId="0" fontId="58" fillId="0" borderId="23" xfId="0" applyFont="1" applyFill="1" applyBorder="1" applyAlignment="1" applyProtection="1">
      <alignment horizontal="center" vertical="justify"/>
    </xf>
    <xf numFmtId="0" fontId="40" fillId="33" borderId="0" xfId="0" applyFont="1" applyFill="1" applyBorder="1" applyAlignment="1" applyProtection="1">
      <alignment horizontal="center" vertical="center"/>
      <protection hidden="1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Euro" xfId="30"/>
    <cellStyle name="Insatisfaisant" xfId="31" builtinId="27" customBuiltin="1"/>
    <cellStyle name="Milliers" xfId="32" builtinId="3"/>
    <cellStyle name="Neutre" xfId="33" builtinId="28" customBuiltin="1"/>
    <cellStyle name="Normal" xfId="0" builtinId="0"/>
    <cellStyle name="Pourcentage" xfId="34" builtinId="5"/>
    <cellStyle name="Satisfaisant" xfId="35" builtinId="26" customBuiltin="1"/>
    <cellStyle name="Sortie" xfId="36" builtinId="21" customBuiltin="1"/>
    <cellStyle name="Texte explicatif" xfId="37" builtinId="53" customBuiltin="1"/>
    <cellStyle name="Titre" xfId="38" builtinId="15" customBuiltin="1"/>
    <cellStyle name="Titre 1" xfId="39" builtinId="16" customBuiltin="1"/>
    <cellStyle name="Titre 2" xfId="40" builtinId="17" customBuiltin="1"/>
    <cellStyle name="Titre 3" xfId="41" builtinId="18" customBuiltin="1"/>
    <cellStyle name="Titre 4" xfId="42" builtinId="19" customBuiltin="1"/>
    <cellStyle name="Total" xfId="43" builtinId="25" customBuiltin="1"/>
    <cellStyle name="Vérification" xfId="44" builtinId="23" customBuiltin="1"/>
  </cellStyles>
  <dxfs count="1">
    <dxf>
      <font>
        <b/>
        <i val="0"/>
        <condense val="0"/>
        <extend val="0"/>
        <color indexed="10"/>
      </font>
      <fill>
        <patternFill>
          <bgColor indexed="8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CDE6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2B6C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1466850</xdr:colOff>
      <xdr:row>0</xdr:row>
      <xdr:rowOff>157163</xdr:rowOff>
    </xdr:from>
    <xdr:to>
      <xdr:col>2</xdr:col>
      <xdr:colOff>1924050</xdr:colOff>
      <xdr:row>3</xdr:row>
      <xdr:rowOff>57150</xdr:rowOff>
    </xdr:to>
    <xdr:pic>
      <xdr:nvPicPr>
        <xdr:cNvPr id="5125" name="Picture 5" descr="C:\Documents and Settings\ATTER\Bureau\warning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4538" y="157163"/>
          <a:ext cx="457200" cy="447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695325</xdr:colOff>
          <xdr:row>33</xdr:row>
          <xdr:rowOff>28575</xdr:rowOff>
        </xdr:from>
        <xdr:to>
          <xdr:col>4</xdr:col>
          <xdr:colOff>9525</xdr:colOff>
          <xdr:row>34</xdr:row>
          <xdr:rowOff>66675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Sauvegarder / Imprimer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MACRO/Revalorisation%20des%20capitaux%20d&#233;c&#232;s.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Outil revalorisation"/>
      <sheetName val="Paramètres"/>
    </sheetNames>
    <definedNames>
      <definedName name="MacroSI"/>
    </defined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F34"/>
  <sheetViews>
    <sheetView showGridLines="0" zoomScale="80" zoomScaleNormal="80" workbookViewId="0">
      <selection activeCell="K11" sqref="K11"/>
    </sheetView>
  </sheetViews>
  <sheetFormatPr baseColWidth="10" defaultRowHeight="12.75" x14ac:dyDescent="0.2"/>
  <cols>
    <col min="1" max="1" width="2.85546875" style="45" customWidth="1"/>
    <col min="2" max="2" width="5.42578125" style="45" customWidth="1"/>
    <col min="3" max="3" width="61.85546875" style="45" bestFit="1" customWidth="1"/>
    <col min="4" max="4" width="77.5703125" style="45" customWidth="1"/>
    <col min="5" max="5" width="11.85546875" style="45" customWidth="1"/>
    <col min="6" max="16384" width="11.42578125" style="45"/>
  </cols>
  <sheetData>
    <row r="3" spans="2:6" ht="16.5" x14ac:dyDescent="0.25">
      <c r="B3" s="141"/>
    </row>
    <row r="4" spans="2:6" ht="16.5" x14ac:dyDescent="0.25">
      <c r="B4" s="141"/>
      <c r="C4" s="141" t="s">
        <v>88</v>
      </c>
    </row>
    <row r="5" spans="2:6" ht="16.5" x14ac:dyDescent="0.25">
      <c r="B5" s="141"/>
      <c r="C5" s="141"/>
    </row>
    <row r="6" spans="2:6" ht="15" customHeight="1" thickBot="1" x14ac:dyDescent="0.25"/>
    <row r="7" spans="2:6" ht="21.75" x14ac:dyDescent="0.2">
      <c r="B7" s="196" t="s">
        <v>16</v>
      </c>
      <c r="C7" s="197"/>
      <c r="D7" s="197"/>
      <c r="E7" s="198"/>
    </row>
    <row r="8" spans="2:6" ht="18" x14ac:dyDescent="0.2">
      <c r="B8" s="62"/>
      <c r="C8" s="63"/>
      <c r="D8" s="63"/>
      <c r="E8" s="64"/>
    </row>
    <row r="9" spans="2:6" ht="15" x14ac:dyDescent="0.2">
      <c r="B9" s="46"/>
      <c r="C9" s="47"/>
      <c r="D9" s="47"/>
      <c r="E9" s="48"/>
      <c r="F9" s="76"/>
    </row>
    <row r="10" spans="2:6" ht="17.25" x14ac:dyDescent="0.3">
      <c r="B10" s="49"/>
      <c r="C10" s="30" t="s">
        <v>26</v>
      </c>
      <c r="D10" s="50" t="s">
        <v>27</v>
      </c>
      <c r="E10" s="51"/>
      <c r="F10" s="77"/>
    </row>
    <row r="11" spans="2:6" ht="17.25" x14ac:dyDescent="0.3">
      <c r="B11" s="49"/>
      <c r="C11" s="30" t="s">
        <v>28</v>
      </c>
      <c r="D11" s="50" t="s">
        <v>27</v>
      </c>
      <c r="E11" s="52"/>
    </row>
    <row r="12" spans="2:6" ht="17.25" x14ac:dyDescent="0.3">
      <c r="B12" s="49"/>
      <c r="C12" s="30" t="s">
        <v>32</v>
      </c>
      <c r="D12" s="50" t="s">
        <v>27</v>
      </c>
      <c r="E12" s="52"/>
    </row>
    <row r="13" spans="2:6" ht="17.25" x14ac:dyDescent="0.3">
      <c r="B13" s="49"/>
      <c r="C13" s="30" t="s">
        <v>29</v>
      </c>
      <c r="D13" s="50" t="s">
        <v>35</v>
      </c>
      <c r="E13" s="52"/>
    </row>
    <row r="14" spans="2:6" ht="33.75" customHeight="1" x14ac:dyDescent="0.3">
      <c r="B14" s="49"/>
      <c r="C14" s="30" t="s">
        <v>30</v>
      </c>
      <c r="D14" s="83" t="s">
        <v>80</v>
      </c>
      <c r="E14" s="52"/>
    </row>
    <row r="15" spans="2:6" ht="15" x14ac:dyDescent="0.2">
      <c r="B15" s="49"/>
      <c r="C15" s="195" t="s">
        <v>33</v>
      </c>
      <c r="D15" s="195"/>
      <c r="E15" s="52"/>
    </row>
    <row r="16" spans="2:6" ht="15" x14ac:dyDescent="0.2">
      <c r="B16" s="49"/>
      <c r="C16" s="4"/>
      <c r="D16" s="4"/>
      <c r="E16" s="52"/>
    </row>
    <row r="17" spans="2:5" ht="30" customHeight="1" x14ac:dyDescent="0.3">
      <c r="B17" s="46"/>
      <c r="C17" s="30" t="s">
        <v>25</v>
      </c>
      <c r="D17" s="59" t="s">
        <v>34</v>
      </c>
      <c r="E17" s="51"/>
    </row>
    <row r="18" spans="2:5" ht="33.75" customHeight="1" x14ac:dyDescent="0.3">
      <c r="B18" s="46"/>
      <c r="C18" s="30" t="s">
        <v>39</v>
      </c>
      <c r="D18" s="60" t="s">
        <v>36</v>
      </c>
      <c r="E18" s="51"/>
    </row>
    <row r="19" spans="2:5" ht="35.25" customHeight="1" x14ac:dyDescent="0.3">
      <c r="B19" s="46"/>
      <c r="C19" s="31" t="s">
        <v>21</v>
      </c>
      <c r="D19" s="60" t="s">
        <v>37</v>
      </c>
      <c r="E19" s="51"/>
    </row>
    <row r="20" spans="2:5" ht="38.25" customHeight="1" x14ac:dyDescent="0.3">
      <c r="B20" s="54"/>
      <c r="C20" s="31" t="s">
        <v>90</v>
      </c>
      <c r="D20" s="60" t="s">
        <v>38</v>
      </c>
      <c r="E20" s="52"/>
    </row>
    <row r="21" spans="2:5" ht="17.45" customHeight="1" thickBot="1" x14ac:dyDescent="0.25">
      <c r="B21" s="54"/>
      <c r="C21" s="53"/>
      <c r="D21" s="53"/>
      <c r="E21" s="51"/>
    </row>
    <row r="22" spans="2:5" ht="33.75" customHeight="1" x14ac:dyDescent="0.2">
      <c r="B22" s="61"/>
      <c r="C22" s="61"/>
      <c r="D22" s="61"/>
      <c r="E22" s="61"/>
    </row>
    <row r="23" spans="2:5" ht="66.75" customHeight="1" x14ac:dyDescent="0.2">
      <c r="B23" s="55" t="s">
        <v>0</v>
      </c>
      <c r="C23" s="194" t="s">
        <v>81</v>
      </c>
      <c r="D23" s="194"/>
      <c r="E23" s="55"/>
    </row>
    <row r="24" spans="2:5" ht="27.75" customHeight="1" x14ac:dyDescent="0.2">
      <c r="B24" s="55" t="s">
        <v>1</v>
      </c>
      <c r="C24" s="194" t="s">
        <v>82</v>
      </c>
      <c r="D24" s="194"/>
      <c r="E24" s="58"/>
    </row>
    <row r="25" spans="2:5" ht="27" customHeight="1" x14ac:dyDescent="0.2">
      <c r="B25" s="55" t="s">
        <v>2</v>
      </c>
      <c r="C25" s="194" t="s">
        <v>83</v>
      </c>
      <c r="D25" s="194"/>
      <c r="E25" s="58"/>
    </row>
    <row r="26" spans="2:5" ht="39.75" customHeight="1" x14ac:dyDescent="0.2">
      <c r="B26" s="55" t="s">
        <v>3</v>
      </c>
      <c r="C26" s="194" t="s">
        <v>41</v>
      </c>
      <c r="D26" s="194"/>
      <c r="E26" s="55"/>
    </row>
    <row r="27" spans="2:5" ht="23.25" customHeight="1" x14ac:dyDescent="0.2">
      <c r="B27" s="55" t="s">
        <v>31</v>
      </c>
      <c r="C27" s="194" t="s">
        <v>59</v>
      </c>
      <c r="D27" s="194"/>
      <c r="E27" s="56"/>
    </row>
    <row r="28" spans="2:5" ht="60" customHeight="1" x14ac:dyDescent="0.2">
      <c r="B28" s="55" t="s">
        <v>40</v>
      </c>
      <c r="C28" s="194" t="s">
        <v>60</v>
      </c>
      <c r="D28" s="194"/>
      <c r="E28" s="57"/>
    </row>
    <row r="29" spans="2:5" ht="3.75" customHeight="1" x14ac:dyDescent="0.2">
      <c r="C29" s="85"/>
      <c r="D29" s="85"/>
    </row>
    <row r="30" spans="2:5" ht="15.75" x14ac:dyDescent="0.25">
      <c r="C30" s="86" t="s">
        <v>84</v>
      </c>
      <c r="D30" s="85"/>
    </row>
    <row r="31" spans="2:5" ht="15" x14ac:dyDescent="0.2">
      <c r="C31" s="85"/>
      <c r="D31" s="85"/>
    </row>
    <row r="32" spans="2:5" ht="12.75" customHeight="1" x14ac:dyDescent="0.25">
      <c r="C32" s="86" t="s">
        <v>89</v>
      </c>
      <c r="D32" s="85"/>
    </row>
    <row r="33" spans="2:3" ht="10.5" customHeight="1" x14ac:dyDescent="0.2">
      <c r="C33" s="79"/>
    </row>
    <row r="34" spans="2:3" x14ac:dyDescent="0.2">
      <c r="B34" s="75" t="s">
        <v>71</v>
      </c>
    </row>
  </sheetData>
  <mergeCells count="8">
    <mergeCell ref="C28:D28"/>
    <mergeCell ref="C15:D15"/>
    <mergeCell ref="B7:E7"/>
    <mergeCell ref="C23:D23"/>
    <mergeCell ref="C24:D24"/>
    <mergeCell ref="C27:D27"/>
    <mergeCell ref="C26:D26"/>
    <mergeCell ref="C25:D25"/>
  </mergeCells>
  <phoneticPr fontId="0" type="noConversion"/>
  <pageMargins left="0.78740157499999996" right="0.78740157499999996" top="0.984251969" bottom="0.984251969" header="0.4921259845" footer="0.4921259845"/>
  <pageSetup paperSize="9" scale="35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D119"/>
  <sheetViews>
    <sheetView showGridLines="0" tabSelected="1" topLeftCell="A4" zoomScale="80" zoomScaleNormal="80" workbookViewId="0">
      <selection activeCell="G33" sqref="G33"/>
    </sheetView>
  </sheetViews>
  <sheetFormatPr baseColWidth="10" defaultColWidth="13.7109375" defaultRowHeight="15" x14ac:dyDescent="0.2"/>
  <cols>
    <col min="1" max="1" width="17" style="1" customWidth="1"/>
    <col min="2" max="2" width="8.85546875" style="1" customWidth="1"/>
    <col min="3" max="3" width="39.85546875" style="1" customWidth="1"/>
    <col min="4" max="4" width="52.42578125" style="1" customWidth="1"/>
    <col min="5" max="5" width="40.140625" style="1" customWidth="1"/>
    <col min="6" max="6" width="0.42578125" style="1" customWidth="1"/>
    <col min="7" max="7" width="83.5703125" style="1" customWidth="1"/>
    <col min="8" max="8" width="13.7109375" style="1" customWidth="1"/>
    <col min="9" max="9" width="13.7109375" style="1" hidden="1" customWidth="1"/>
    <col min="10" max="10" width="13.42578125" style="1" customWidth="1"/>
    <col min="11" max="11" width="9.7109375" style="2" customWidth="1"/>
    <col min="12" max="13" width="11.5703125" style="2" bestFit="1" customWidth="1"/>
    <col min="14" max="16" width="9.7109375" style="2" hidden="1" customWidth="1"/>
    <col min="17" max="19" width="9.7109375" style="1" hidden="1" customWidth="1"/>
    <col min="20" max="20" width="13.7109375" style="1" hidden="1" customWidth="1"/>
    <col min="21" max="21" width="8.42578125" style="1" hidden="1" customWidth="1"/>
    <col min="22" max="24" width="13.7109375" style="1" hidden="1" customWidth="1"/>
    <col min="25" max="25" width="7.28515625" style="1" hidden="1" customWidth="1"/>
    <col min="26" max="26" width="7.85546875" style="1" hidden="1" customWidth="1"/>
    <col min="27" max="30" width="13.7109375" style="1" hidden="1" customWidth="1"/>
    <col min="31" max="16384" width="13.7109375" style="1"/>
  </cols>
  <sheetData>
    <row r="1" spans="1:30" ht="19.149999999999999" customHeight="1" x14ac:dyDescent="0.2">
      <c r="A1" s="87"/>
      <c r="J1"/>
      <c r="K1"/>
      <c r="L1"/>
      <c r="M1"/>
      <c r="O1"/>
      <c r="P1"/>
      <c r="Q1"/>
      <c r="R1"/>
      <c r="S1"/>
      <c r="T1"/>
      <c r="U1"/>
      <c r="V1"/>
      <c r="W1"/>
      <c r="X1"/>
      <c r="Y1"/>
      <c r="Z1"/>
    </row>
    <row r="2" spans="1:30" s="5" customFormat="1" ht="27.75" customHeight="1" x14ac:dyDescent="0.2">
      <c r="A2" s="32"/>
      <c r="F2" s="1"/>
      <c r="G2" s="1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</row>
    <row r="3" spans="1:30" ht="20.45" customHeight="1" x14ac:dyDescent="0.2"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</row>
    <row r="4" spans="1:30" s="3" customFormat="1" ht="19.149999999999999" customHeight="1" x14ac:dyDescent="0.2">
      <c r="F4" s="1"/>
      <c r="G4" s="1"/>
      <c r="K4" s="38"/>
      <c r="N4" s="21" t="s">
        <v>8</v>
      </c>
      <c r="O4" s="22">
        <v>36161</v>
      </c>
      <c r="P4" s="22">
        <v>36192</v>
      </c>
      <c r="Q4" s="22">
        <v>36220</v>
      </c>
      <c r="R4" s="22">
        <v>36251</v>
      </c>
      <c r="S4" s="22">
        <v>36281</v>
      </c>
      <c r="T4" s="22">
        <v>36312</v>
      </c>
      <c r="U4" s="22">
        <v>36342</v>
      </c>
      <c r="V4" s="22">
        <v>36373</v>
      </c>
      <c r="W4" s="22">
        <v>36404</v>
      </c>
      <c r="X4" s="22">
        <v>36434</v>
      </c>
      <c r="Y4" s="22">
        <v>36465</v>
      </c>
      <c r="Z4" s="22">
        <v>36495</v>
      </c>
      <c r="AB4" s="6" t="s">
        <v>12</v>
      </c>
      <c r="AC4" s="17" t="s">
        <v>6</v>
      </c>
      <c r="AD4" s="6" t="s">
        <v>7</v>
      </c>
    </row>
    <row r="5" spans="1:30" ht="24" x14ac:dyDescent="0.2">
      <c r="B5" s="199" t="s">
        <v>4</v>
      </c>
      <c r="C5" s="199"/>
      <c r="D5" s="199"/>
      <c r="E5" s="199"/>
      <c r="N5" s="21" t="s">
        <v>9</v>
      </c>
      <c r="O5" s="23">
        <v>3.1364000000000001</v>
      </c>
      <c r="P5" s="23">
        <v>3.1114000000000002</v>
      </c>
      <c r="Q5" s="23">
        <v>2.9186999999999999</v>
      </c>
      <c r="R5" s="23">
        <v>2.7366999999999999</v>
      </c>
      <c r="S5" s="23">
        <v>2.5455000000000001</v>
      </c>
      <c r="T5" s="23">
        <v>2.5642999999999998</v>
      </c>
      <c r="U5" s="23">
        <v>2.4923000000000002</v>
      </c>
      <c r="V5" s="23">
        <v>2.4355000000000002</v>
      </c>
      <c r="W5" s="23">
        <v>2.4533</v>
      </c>
      <c r="X5" s="23">
        <v>2.4857999999999998</v>
      </c>
      <c r="Y5" s="23">
        <v>2.9327000000000001</v>
      </c>
      <c r="Z5" s="23">
        <v>3.0634999999999999</v>
      </c>
      <c r="AB5" s="19"/>
      <c r="AC5" s="11"/>
      <c r="AD5" s="11"/>
    </row>
    <row r="6" spans="1:30" ht="24" x14ac:dyDescent="0.2">
      <c r="B6" s="179"/>
      <c r="C6" s="179"/>
      <c r="D6" s="179"/>
      <c r="E6" s="179"/>
      <c r="N6" s="180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3"/>
      <c r="AB6" s="19"/>
      <c r="AC6" s="11"/>
      <c r="AD6" s="11"/>
    </row>
    <row r="7" spans="1:30" ht="24" x14ac:dyDescent="0.3">
      <c r="B7" s="191"/>
      <c r="C7" s="181" t="s">
        <v>98</v>
      </c>
      <c r="D7" s="193">
        <v>42256</v>
      </c>
      <c r="E7" s="191"/>
      <c r="N7" s="180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3"/>
      <c r="AB7" s="19"/>
      <c r="AC7" s="11"/>
      <c r="AD7" s="11"/>
    </row>
    <row r="8" spans="1:30" ht="24" x14ac:dyDescent="0.2">
      <c r="B8" s="191"/>
      <c r="C8" s="191"/>
      <c r="D8" s="191"/>
      <c r="E8" s="191"/>
      <c r="N8" s="180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3"/>
      <c r="AB8" s="19"/>
      <c r="AC8" s="11"/>
      <c r="AD8" s="11"/>
    </row>
    <row r="9" spans="1:30" ht="24" x14ac:dyDescent="0.2">
      <c r="B9" s="191"/>
      <c r="C9" s="191"/>
      <c r="D9" s="191"/>
      <c r="E9" s="191"/>
      <c r="N9" s="180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3"/>
      <c r="AB9" s="19"/>
      <c r="AC9" s="11"/>
      <c r="AD9" s="11"/>
    </row>
    <row r="10" spans="1:30" x14ac:dyDescent="0.2">
      <c r="B10" s="148"/>
      <c r="C10" s="148"/>
      <c r="D10" s="148"/>
      <c r="E10" s="148"/>
      <c r="N10" s="24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6">
        <f>AVERAGE(O5:Z5)</f>
        <v>2.7396750000000001</v>
      </c>
      <c r="AB10" s="16">
        <v>36525</v>
      </c>
      <c r="AC10" s="14">
        <f>(Z10-1)/100</f>
        <v>1.7396750000000002E-2</v>
      </c>
      <c r="AD10" s="15">
        <f>IF(AC10&lt;0.5%,"0,5%",AC10)</f>
        <v>1.7396750000000002E-2</v>
      </c>
    </row>
    <row r="11" spans="1:30" ht="17.25" x14ac:dyDescent="0.3">
      <c r="B11" s="148"/>
      <c r="C11" s="181" t="s">
        <v>93</v>
      </c>
      <c r="D11" s="182"/>
      <c r="E11" s="148"/>
      <c r="N11" s="24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6"/>
      <c r="AB11" s="16"/>
      <c r="AC11" s="14"/>
      <c r="AD11" s="15"/>
    </row>
    <row r="12" spans="1:30" x14ac:dyDescent="0.2">
      <c r="B12" s="148"/>
      <c r="C12" s="148"/>
      <c r="D12" s="148"/>
      <c r="E12" s="148"/>
      <c r="N12" s="24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6"/>
      <c r="AB12" s="16"/>
      <c r="AC12" s="14"/>
      <c r="AD12" s="15"/>
    </row>
    <row r="13" spans="1:30" ht="18" customHeight="1" x14ac:dyDescent="0.3">
      <c r="B13" s="181" t="s">
        <v>92</v>
      </c>
      <c r="C13" s="173"/>
      <c r="D13" s="182" t="s">
        <v>91</v>
      </c>
      <c r="E13" s="168"/>
      <c r="N13" s="24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6"/>
      <c r="AB13" s="16"/>
      <c r="AC13" s="14"/>
      <c r="AD13" s="15"/>
    </row>
    <row r="14" spans="1:30" x14ac:dyDescent="0.2">
      <c r="B14" s="148"/>
      <c r="C14" s="148"/>
      <c r="D14" s="148"/>
      <c r="E14" s="148"/>
      <c r="N14" s="24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6"/>
      <c r="AB14" s="16"/>
      <c r="AC14" s="14"/>
      <c r="AD14" s="15"/>
    </row>
    <row r="15" spans="1:30" x14ac:dyDescent="0.2">
      <c r="B15" s="148"/>
      <c r="C15" s="148"/>
      <c r="D15" s="192"/>
      <c r="E15" s="148"/>
      <c r="N15" s="24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6"/>
      <c r="AB15" s="16"/>
      <c r="AC15" s="14"/>
      <c r="AD15" s="15"/>
    </row>
    <row r="16" spans="1:30" x14ac:dyDescent="0.2">
      <c r="B16" s="148"/>
      <c r="C16" s="148"/>
      <c r="D16" s="148"/>
      <c r="E16" s="148"/>
      <c r="N16" s="24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6"/>
      <c r="AB16" s="16"/>
      <c r="AC16" s="14"/>
      <c r="AD16" s="15"/>
    </row>
    <row r="17" spans="2:30" x14ac:dyDescent="0.2">
      <c r="B17" s="149"/>
      <c r="C17" s="149"/>
      <c r="D17" s="149"/>
      <c r="E17" s="149"/>
      <c r="N17" s="21" t="s">
        <v>8</v>
      </c>
      <c r="O17" s="22">
        <v>36526</v>
      </c>
      <c r="P17" s="22">
        <v>36557</v>
      </c>
      <c r="Q17" s="22">
        <v>36586</v>
      </c>
      <c r="R17" s="22">
        <v>36617</v>
      </c>
      <c r="S17" s="22">
        <v>36647</v>
      </c>
      <c r="T17" s="22">
        <v>36678</v>
      </c>
      <c r="U17" s="22">
        <v>36708</v>
      </c>
      <c r="V17" s="22">
        <v>36739</v>
      </c>
      <c r="W17" s="22">
        <v>36770</v>
      </c>
      <c r="X17" s="22">
        <v>36800</v>
      </c>
      <c r="Y17" s="22">
        <v>36831</v>
      </c>
      <c r="Z17" s="22">
        <v>36861</v>
      </c>
      <c r="AB17" s="11"/>
      <c r="AC17" s="11"/>
      <c r="AD17" s="20"/>
    </row>
    <row r="18" spans="2:30" ht="17.25" x14ac:dyDescent="0.3">
      <c r="B18" s="148"/>
      <c r="C18" s="173" t="s">
        <v>10</v>
      </c>
      <c r="D18" s="183"/>
      <c r="E18" s="174"/>
      <c r="F18" s="74"/>
      <c r="N18" s="21" t="s">
        <v>9</v>
      </c>
      <c r="O18" s="23">
        <v>3.1013000000000002</v>
      </c>
      <c r="P18" s="23">
        <v>3.2721</v>
      </c>
      <c r="Q18" s="23">
        <v>3.5</v>
      </c>
      <c r="R18" s="23">
        <v>3.649</v>
      </c>
      <c r="S18" s="23">
        <v>3.9241999999999999</v>
      </c>
      <c r="T18" s="23">
        <v>4.2987000000000002</v>
      </c>
      <c r="U18" s="23">
        <v>4.3186999999999998</v>
      </c>
      <c r="V18" s="23">
        <v>4.4194000000000004</v>
      </c>
      <c r="W18" s="23">
        <v>4.8247</v>
      </c>
      <c r="X18" s="23">
        <v>4.7680999999999996</v>
      </c>
      <c r="Y18" s="23">
        <v>4.8247</v>
      </c>
      <c r="Z18" s="23">
        <v>4.8494000000000002</v>
      </c>
      <c r="AB18" s="11"/>
      <c r="AC18" s="11"/>
      <c r="AD18" s="20"/>
    </row>
    <row r="19" spans="2:30" ht="17.25" x14ac:dyDescent="0.3">
      <c r="B19" s="148"/>
      <c r="C19" s="173" t="s">
        <v>11</v>
      </c>
      <c r="D19" s="183"/>
      <c r="E19" s="148"/>
      <c r="N19" s="24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6">
        <f>AVERAGE(O18:Z18)</f>
        <v>4.145858333333333</v>
      </c>
      <c r="AB19" s="16">
        <f>DATE(YEAR(AB10)+1,MONTH(AB10),DAY(AB10))</f>
        <v>36891</v>
      </c>
      <c r="AC19" s="14">
        <f>(Z19-1)/100</f>
        <v>3.1458583333333331E-2</v>
      </c>
      <c r="AD19" s="15">
        <f>IF(AC19&lt;0.5%,"0,5%",AC19)</f>
        <v>3.1458583333333331E-2</v>
      </c>
    </row>
    <row r="20" spans="2:30" x14ac:dyDescent="0.2">
      <c r="B20" s="148"/>
      <c r="C20" s="148"/>
      <c r="D20" s="148"/>
      <c r="E20" s="148"/>
      <c r="N20" s="21" t="s">
        <v>8</v>
      </c>
      <c r="O20" s="22">
        <v>36892</v>
      </c>
      <c r="P20" s="22">
        <v>36923</v>
      </c>
      <c r="Q20" s="22">
        <v>36951</v>
      </c>
      <c r="R20" s="22">
        <v>36982</v>
      </c>
      <c r="S20" s="22">
        <v>37012</v>
      </c>
      <c r="T20" s="22">
        <v>37043</v>
      </c>
      <c r="U20" s="22">
        <v>37073</v>
      </c>
      <c r="V20" s="22">
        <v>37104</v>
      </c>
      <c r="W20" s="22">
        <v>37135</v>
      </c>
      <c r="X20" s="22">
        <v>37165</v>
      </c>
      <c r="Y20" s="22">
        <v>37196</v>
      </c>
      <c r="Z20" s="22">
        <v>37226</v>
      </c>
      <c r="AB20" s="11"/>
      <c r="AC20" s="11"/>
      <c r="AD20" s="20"/>
    </row>
    <row r="21" spans="2:30" ht="18.75" x14ac:dyDescent="0.35">
      <c r="B21" s="148"/>
      <c r="C21" s="173" t="s">
        <v>94</v>
      </c>
      <c r="D21" s="184"/>
      <c r="E21" s="148"/>
      <c r="N21" s="21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B21" s="11"/>
      <c r="AC21" s="11"/>
      <c r="AD21" s="20"/>
    </row>
    <row r="22" spans="2:30" ht="17.25" x14ac:dyDescent="0.3">
      <c r="B22" s="148"/>
      <c r="C22" s="173" t="str">
        <f>IF($D$13="Epargne/Retraite Individuelle","Part €","")</f>
        <v>Part €</v>
      </c>
      <c r="D22" s="184"/>
      <c r="E22" s="190" t="s">
        <v>99</v>
      </c>
      <c r="N22" s="21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B22" s="11"/>
      <c r="AC22" s="11"/>
      <c r="AD22" s="20"/>
    </row>
    <row r="23" spans="2:30" ht="17.25" x14ac:dyDescent="0.3">
      <c r="B23" s="148"/>
      <c r="C23" s="173" t="str">
        <f>IF($D$13="Epargne/Retraite Individuelle","Part UC","")</f>
        <v>Part UC</v>
      </c>
      <c r="D23" s="184"/>
      <c r="E23" s="190" t="s">
        <v>100</v>
      </c>
      <c r="N23" s="21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B23" s="11"/>
      <c r="AC23" s="11"/>
      <c r="AD23" s="20"/>
    </row>
    <row r="24" spans="2:30" ht="17.25" x14ac:dyDescent="0.3">
      <c r="B24" s="148"/>
      <c r="C24" s="173"/>
      <c r="D24" s="173"/>
      <c r="E24" s="148"/>
      <c r="N24" s="21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B24" s="11"/>
      <c r="AC24" s="11"/>
      <c r="AD24" s="20"/>
    </row>
    <row r="25" spans="2:30" ht="17.25" x14ac:dyDescent="0.3">
      <c r="B25" s="148"/>
      <c r="C25" s="173" t="s">
        <v>13</v>
      </c>
      <c r="D25" s="150" t="str">
        <f>IF(D19="","",DATE(YEAR(D19)+1,MONTH(D19),DAY(D19)))</f>
        <v/>
      </c>
      <c r="E25" s="148"/>
      <c r="N25" s="21" t="s">
        <v>9</v>
      </c>
      <c r="O25" s="23">
        <v>4.7732000000000001</v>
      </c>
      <c r="P25" s="23">
        <v>4.9679000000000002</v>
      </c>
      <c r="Q25" s="23">
        <v>4.7676999999999996</v>
      </c>
      <c r="R25" s="23">
        <v>5.1369999999999996</v>
      </c>
      <c r="S25" s="23">
        <v>4.6565000000000003</v>
      </c>
      <c r="T25" s="23">
        <v>4.5483000000000002</v>
      </c>
      <c r="U25" s="23">
        <v>4.5045000000000002</v>
      </c>
      <c r="V25" s="23">
        <v>4.4973999999999998</v>
      </c>
      <c r="W25" s="23">
        <v>3.9803000000000002</v>
      </c>
      <c r="X25" s="23">
        <v>3.9832000000000001</v>
      </c>
      <c r="Y25" s="23">
        <v>3.5179999999999998</v>
      </c>
      <c r="Z25" s="23">
        <v>3.3752</v>
      </c>
      <c r="AB25" s="11"/>
      <c r="AC25" s="11"/>
      <c r="AD25" s="20"/>
    </row>
    <row r="26" spans="2:30" ht="17.25" x14ac:dyDescent="0.3">
      <c r="B26" s="148"/>
      <c r="C26" s="173" t="s">
        <v>14</v>
      </c>
      <c r="D26" s="151"/>
      <c r="E26" s="148"/>
      <c r="F26" s="82"/>
      <c r="N26" s="24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6">
        <f>AVERAGE(O25:Z25)</f>
        <v>4.3924333333333339</v>
      </c>
      <c r="AB26" s="16">
        <f>DATE(YEAR(AB19)+1,MONTH(AB19),DAY(AB19))</f>
        <v>37256</v>
      </c>
      <c r="AC26" s="14">
        <f>(Z26-1)/100</f>
        <v>3.3924333333333341E-2</v>
      </c>
      <c r="AD26" s="15">
        <f>IF(AC26&lt;0.5%,"0,5%",AC26)</f>
        <v>3.3924333333333341E-2</v>
      </c>
    </row>
    <row r="27" spans="2:30" x14ac:dyDescent="0.2">
      <c r="B27" s="148"/>
      <c r="C27" s="152"/>
      <c r="D27" s="153"/>
      <c r="E27" s="148"/>
      <c r="N27" s="21" t="s">
        <v>8</v>
      </c>
      <c r="O27" s="22">
        <v>37257</v>
      </c>
      <c r="P27" s="22">
        <v>37288</v>
      </c>
      <c r="Q27" s="22">
        <v>37316</v>
      </c>
      <c r="R27" s="22">
        <v>37347</v>
      </c>
      <c r="S27" s="22">
        <v>37377</v>
      </c>
      <c r="T27" s="22">
        <v>37408</v>
      </c>
      <c r="U27" s="22">
        <v>37438</v>
      </c>
      <c r="V27" s="22">
        <v>37469</v>
      </c>
      <c r="W27" s="22">
        <v>37500</v>
      </c>
      <c r="X27" s="22">
        <v>37530</v>
      </c>
      <c r="Y27" s="22">
        <v>37561</v>
      </c>
      <c r="Z27" s="22">
        <v>37591</v>
      </c>
      <c r="AB27" s="11"/>
      <c r="AC27" s="11"/>
      <c r="AD27" s="20"/>
    </row>
    <row r="28" spans="2:30" ht="15.75" x14ac:dyDescent="0.25">
      <c r="B28" s="148"/>
      <c r="C28" s="187" t="s">
        <v>25</v>
      </c>
      <c r="D28" s="175" t="str">
        <f>IF(OR(D19="",D26=""),"",CONCATENATE("du ",TEXT($D$25,"jj/mm/aaaa")," au ",TEXT($D$26,"jj/mm/aaaa")))</f>
        <v/>
      </c>
      <c r="E28" s="148"/>
      <c r="N28" s="21" t="s">
        <v>9</v>
      </c>
      <c r="O28" s="23">
        <v>3.3287</v>
      </c>
      <c r="P28" s="23">
        <v>3.2829000000000002</v>
      </c>
      <c r="Q28" s="23">
        <v>3.2789999999999999</v>
      </c>
      <c r="R28" s="23">
        <v>3.3109999999999999</v>
      </c>
      <c r="S28" s="23">
        <v>3.3123</v>
      </c>
      <c r="T28" s="23">
        <v>3.3702999999999999</v>
      </c>
      <c r="U28" s="23">
        <v>3.2980999999999998</v>
      </c>
      <c r="V28" s="23">
        <v>3.2934999999999999</v>
      </c>
      <c r="W28" s="23">
        <v>3.31</v>
      </c>
      <c r="X28" s="23">
        <v>3.2976999999999999</v>
      </c>
      <c r="Y28" s="23">
        <v>3.3170000000000002</v>
      </c>
      <c r="Z28" s="23">
        <v>3.0971000000000002</v>
      </c>
      <c r="AB28" s="11"/>
      <c r="AC28" s="11"/>
      <c r="AD28" s="20"/>
    </row>
    <row r="29" spans="2:30" ht="15.75" x14ac:dyDescent="0.25">
      <c r="B29" s="148"/>
      <c r="C29" s="187" t="s">
        <v>24</v>
      </c>
      <c r="D29" s="188"/>
      <c r="E29" s="148"/>
      <c r="N29" s="24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6">
        <f>AVERAGE(O28:Z28)</f>
        <v>3.2914666666666665</v>
      </c>
      <c r="AB29" s="16">
        <f>DATE(YEAR(AB26)+1,MONTH(AB26),DAY(AB26))</f>
        <v>37621</v>
      </c>
      <c r="AC29" s="14">
        <f>(Z29-1)/100</f>
        <v>2.2914666666666667E-2</v>
      </c>
      <c r="AD29" s="15">
        <f>IF(AC29&lt;0.5%,"0,5%",AC29)</f>
        <v>2.2914666666666667E-2</v>
      </c>
    </row>
    <row r="30" spans="2:30" ht="15.75" x14ac:dyDescent="0.25">
      <c r="B30" s="148"/>
      <c r="C30" s="185"/>
      <c r="D30" s="155"/>
      <c r="E30" s="148"/>
      <c r="N30" s="24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6"/>
      <c r="AB30" s="16"/>
      <c r="AC30" s="14"/>
      <c r="AD30" s="15"/>
    </row>
    <row r="31" spans="2:30" ht="15.75" x14ac:dyDescent="0.25">
      <c r="B31" s="148"/>
      <c r="C31" s="185"/>
      <c r="D31" s="155"/>
      <c r="E31" s="148"/>
      <c r="N31" s="24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6"/>
      <c r="AB31" s="16"/>
      <c r="AC31" s="14"/>
      <c r="AD31" s="15"/>
    </row>
    <row r="32" spans="2:30" ht="15.75" x14ac:dyDescent="0.25">
      <c r="B32" s="148"/>
      <c r="C32" s="185"/>
      <c r="D32" s="155"/>
      <c r="E32" s="148"/>
      <c r="N32" s="24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6"/>
      <c r="AB32" s="16"/>
      <c r="AC32" s="14"/>
      <c r="AD32" s="15"/>
    </row>
    <row r="33" spans="2:30" ht="15.75" x14ac:dyDescent="0.25">
      <c r="B33" s="148"/>
      <c r="C33" s="185"/>
      <c r="D33" s="155"/>
      <c r="E33" s="148"/>
      <c r="N33" s="24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6"/>
      <c r="AB33" s="16"/>
      <c r="AC33" s="14"/>
      <c r="AD33" s="15"/>
    </row>
    <row r="34" spans="2:30" ht="15.75" x14ac:dyDescent="0.25">
      <c r="B34" s="148"/>
      <c r="C34" s="185"/>
      <c r="D34" s="155"/>
      <c r="E34" s="148"/>
      <c r="N34" s="24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6"/>
      <c r="AB34" s="16"/>
      <c r="AC34" s="14"/>
      <c r="AD34" s="15"/>
    </row>
    <row r="35" spans="2:30" ht="18.75" x14ac:dyDescent="0.35">
      <c r="B35" s="148"/>
      <c r="C35" s="154"/>
      <c r="D35" s="155"/>
      <c r="E35" s="148"/>
      <c r="N35" s="21" t="s">
        <v>8</v>
      </c>
      <c r="O35" s="22">
        <v>37622</v>
      </c>
      <c r="P35" s="22">
        <v>37653</v>
      </c>
      <c r="Q35" s="22">
        <v>37681</v>
      </c>
      <c r="R35" s="22">
        <v>37712</v>
      </c>
      <c r="S35" s="22">
        <v>37742</v>
      </c>
      <c r="T35" s="22">
        <v>37773</v>
      </c>
      <c r="U35" s="22">
        <v>37803</v>
      </c>
      <c r="V35" s="22">
        <v>37834</v>
      </c>
      <c r="W35" s="22">
        <v>37865</v>
      </c>
      <c r="X35" s="22">
        <v>37895</v>
      </c>
      <c r="Y35" s="22">
        <v>37926</v>
      </c>
      <c r="Z35" s="22">
        <v>37956</v>
      </c>
      <c r="AB35" s="11"/>
      <c r="AC35" s="11"/>
      <c r="AD35" s="20"/>
    </row>
    <row r="36" spans="2:30" ht="18.75" customHeight="1" x14ac:dyDescent="0.3">
      <c r="B36" s="148"/>
      <c r="C36" s="173" t="str">
        <f>IF($D$13="Epargne/Retraite Individuelle","Revalorisation Part €","")</f>
        <v>Revalorisation Part €</v>
      </c>
      <c r="D36" s="186"/>
      <c r="E36" s="189" t="s">
        <v>96</v>
      </c>
      <c r="N36" s="21" t="s">
        <v>9</v>
      </c>
      <c r="O36" s="23">
        <v>2.8197000000000001</v>
      </c>
      <c r="P36" s="23">
        <v>2.7461000000000002</v>
      </c>
      <c r="Q36" s="23">
        <v>2.7576999999999998</v>
      </c>
      <c r="R36" s="23">
        <v>2.5676999999999999</v>
      </c>
      <c r="S36" s="23">
        <v>2.5396999999999998</v>
      </c>
      <c r="T36" s="23">
        <v>2.2103000000000002</v>
      </c>
      <c r="U36" s="23">
        <v>2.08</v>
      </c>
      <c r="V36" s="23">
        <v>2.1181000000000001</v>
      </c>
      <c r="W36" s="23">
        <v>2.0253000000000001</v>
      </c>
      <c r="X36" s="23">
        <v>2.0226000000000002</v>
      </c>
      <c r="Y36" s="23">
        <v>1.9553</v>
      </c>
      <c r="Z36" s="23">
        <v>2.0558000000000001</v>
      </c>
      <c r="AB36" s="11"/>
      <c r="AC36" s="11"/>
      <c r="AD36" s="20"/>
    </row>
    <row r="37" spans="2:30" ht="19.5" customHeight="1" x14ac:dyDescent="0.35">
      <c r="B37" s="148"/>
      <c r="C37" s="173" t="str">
        <f>IF($D$13="Epargne/Retraite Individuelle","Revalorisation Part UC","")</f>
        <v>Revalorisation Part UC</v>
      </c>
      <c r="D37" s="186"/>
      <c r="E37" s="189" t="s">
        <v>97</v>
      </c>
      <c r="H37" s="84"/>
      <c r="N37" s="24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6">
        <f>AVERAGE(O36:Z36)</f>
        <v>2.3248583333333337</v>
      </c>
      <c r="AB37" s="16">
        <f>DATE(YEAR(AB29)+1,MONTH(AB29),DAY(AB29))</f>
        <v>37986</v>
      </c>
      <c r="AC37" s="14">
        <f>(Z37-1)/100</f>
        <v>1.3248583333333336E-2</v>
      </c>
      <c r="AD37" s="15">
        <f>IF(AC37&lt;0.5%,"0,5%",AC37)</f>
        <v>1.3248583333333336E-2</v>
      </c>
    </row>
    <row r="38" spans="2:30" ht="21.75" customHeight="1" x14ac:dyDescent="0.35">
      <c r="B38" s="148"/>
      <c r="C38" s="154" t="s">
        <v>95</v>
      </c>
      <c r="D38" s="156" t="str">
        <f>IF(OR(D19="",D26=""),"",Paramètres!G26)</f>
        <v/>
      </c>
      <c r="E38" s="174"/>
      <c r="N38" s="21" t="s">
        <v>8</v>
      </c>
      <c r="O38" s="22">
        <v>37987</v>
      </c>
      <c r="P38" s="22">
        <v>38018</v>
      </c>
      <c r="Q38" s="22">
        <v>38047</v>
      </c>
      <c r="R38" s="22">
        <v>38078</v>
      </c>
      <c r="S38" s="22">
        <v>38108</v>
      </c>
      <c r="T38" s="22">
        <v>38139</v>
      </c>
      <c r="U38" s="22">
        <v>38169</v>
      </c>
      <c r="V38" s="22">
        <v>38200</v>
      </c>
      <c r="W38" s="22">
        <v>38231</v>
      </c>
      <c r="X38" s="22">
        <v>38261</v>
      </c>
      <c r="Y38" s="22">
        <v>38292</v>
      </c>
      <c r="Z38" s="22">
        <v>38322</v>
      </c>
      <c r="AB38" s="11"/>
      <c r="AC38" s="11"/>
      <c r="AD38" s="20"/>
    </row>
    <row r="39" spans="2:30" x14ac:dyDescent="0.2">
      <c r="B39" s="177"/>
      <c r="C39" s="177"/>
      <c r="D39" s="177"/>
      <c r="E39" s="174"/>
      <c r="G39" s="80"/>
      <c r="I39" s="80"/>
      <c r="J39" s="80"/>
      <c r="K39" s="81"/>
      <c r="N39" s="21" t="s">
        <v>9</v>
      </c>
      <c r="O39" s="23">
        <v>2.0247999999999999</v>
      </c>
      <c r="P39" s="23">
        <v>2.0333999999999999</v>
      </c>
      <c r="Q39" s="23">
        <v>1.9984</v>
      </c>
      <c r="R39" s="23">
        <v>2.0619999999999998</v>
      </c>
      <c r="S39" s="23">
        <v>2.0097</v>
      </c>
      <c r="T39" s="23">
        <v>2.0350000000000001</v>
      </c>
      <c r="U39" s="23">
        <v>2.0609999999999999</v>
      </c>
      <c r="V39" s="23">
        <v>2.0345</v>
      </c>
      <c r="W39" s="23">
        <v>2.0467</v>
      </c>
      <c r="X39" s="23">
        <v>2.1128999999999998</v>
      </c>
      <c r="Y39" s="23">
        <v>2.0857000000000001</v>
      </c>
      <c r="Z39" s="23">
        <v>2.0442</v>
      </c>
      <c r="AB39" s="11"/>
      <c r="AC39" s="11"/>
      <c r="AD39" s="20"/>
    </row>
    <row r="40" spans="2:30" x14ac:dyDescent="0.2">
      <c r="B40" s="177"/>
      <c r="C40" s="174"/>
      <c r="D40" s="174"/>
      <c r="E40" s="174"/>
      <c r="F40" s="9"/>
      <c r="N40" s="24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6">
        <f>AVERAGE(O39:Z39)</f>
        <v>2.0456916666666669</v>
      </c>
      <c r="AB40" s="16">
        <f>DATE(YEAR(AB37)+1,MONTH(AB37),DAY(AB37))</f>
        <v>38352</v>
      </c>
      <c r="AC40" s="14">
        <f>(Z40-1)/100</f>
        <v>1.045691666666667E-2</v>
      </c>
      <c r="AD40" s="15">
        <f>IF(AC40&lt;0.5%,"0,5%",AC40)</f>
        <v>1.045691666666667E-2</v>
      </c>
    </row>
    <row r="41" spans="2:30" ht="20.25" x14ac:dyDescent="0.35">
      <c r="B41" s="148"/>
      <c r="C41" s="176" t="s">
        <v>90</v>
      </c>
      <c r="D41" s="157" t="str">
        <f>IF(D38="","",D21+D38)</f>
        <v/>
      </c>
      <c r="E41" s="174"/>
      <c r="N41" s="21" t="s">
        <v>8</v>
      </c>
      <c r="O41" s="22">
        <v>38353</v>
      </c>
      <c r="P41" s="22">
        <v>38384</v>
      </c>
      <c r="Q41" s="22">
        <v>38412</v>
      </c>
      <c r="R41" s="22">
        <v>38443</v>
      </c>
      <c r="S41" s="22">
        <v>38473</v>
      </c>
      <c r="T41" s="22">
        <v>38504</v>
      </c>
      <c r="U41" s="22">
        <v>38534</v>
      </c>
      <c r="V41" s="22">
        <v>38565</v>
      </c>
      <c r="W41" s="22">
        <v>38596</v>
      </c>
      <c r="X41" s="22">
        <v>38626</v>
      </c>
      <c r="Y41" s="22">
        <v>38657</v>
      </c>
      <c r="Z41" s="22">
        <v>38687</v>
      </c>
      <c r="AB41" s="11"/>
      <c r="AC41" s="11"/>
      <c r="AD41" s="20"/>
    </row>
    <row r="42" spans="2:30" x14ac:dyDescent="0.2">
      <c r="B42" s="177"/>
      <c r="C42" s="149"/>
      <c r="D42" s="149"/>
      <c r="E42" s="177"/>
      <c r="N42" s="21" t="s">
        <v>9</v>
      </c>
      <c r="O42" s="23">
        <v>2.0794000000000001</v>
      </c>
      <c r="P42" s="23">
        <v>2.0581999999999998</v>
      </c>
      <c r="Q42" s="23">
        <v>2.0565000000000002</v>
      </c>
      <c r="R42" s="23">
        <v>2.0733000000000001</v>
      </c>
      <c r="S42" s="23">
        <v>2.0706000000000002</v>
      </c>
      <c r="T42" s="23">
        <v>2.0636999999999999</v>
      </c>
      <c r="U42" s="23">
        <v>2.0731999999999999</v>
      </c>
      <c r="V42" s="23">
        <v>2.0665</v>
      </c>
      <c r="W42" s="23">
        <v>2.0910000000000002</v>
      </c>
      <c r="X42" s="23">
        <v>2.0712999999999999</v>
      </c>
      <c r="Y42" s="23">
        <v>2.0870000000000002</v>
      </c>
      <c r="Z42" s="23">
        <v>2.2631999999999999</v>
      </c>
      <c r="AB42" s="11"/>
      <c r="AC42" s="11"/>
      <c r="AD42" s="20"/>
    </row>
    <row r="43" spans="2:30" ht="19.5" customHeight="1" x14ac:dyDescent="0.2">
      <c r="B43" s="178"/>
      <c r="C43" s="177"/>
      <c r="D43" s="177"/>
      <c r="E43" s="177"/>
      <c r="N43" s="24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6">
        <f>AVERAGE(O42:Z42)</f>
        <v>2.0878250000000005</v>
      </c>
      <c r="AB43" s="16">
        <f>DATE(YEAR(AB40)+1,MONTH(AB40),DAY(AB40))</f>
        <v>38717</v>
      </c>
      <c r="AC43" s="14">
        <f>(Z43-1)/100</f>
        <v>1.0878250000000004E-2</v>
      </c>
      <c r="AD43" s="15">
        <f>IF(AC43&lt;0.5%,"0,5%",AC43)</f>
        <v>1.0878250000000004E-2</v>
      </c>
    </row>
    <row r="44" spans="2:30" x14ac:dyDescent="0.2">
      <c r="B44" s="159"/>
      <c r="C44" s="159"/>
      <c r="D44" s="159"/>
      <c r="E44" s="159"/>
      <c r="N44" s="21" t="s">
        <v>8</v>
      </c>
      <c r="O44" s="22">
        <v>38718</v>
      </c>
      <c r="P44" s="22">
        <v>38749</v>
      </c>
      <c r="Q44" s="22">
        <v>38777</v>
      </c>
      <c r="R44" s="22">
        <v>38808</v>
      </c>
      <c r="S44" s="22">
        <v>38838</v>
      </c>
      <c r="T44" s="22">
        <v>38869</v>
      </c>
      <c r="U44" s="22">
        <v>38899</v>
      </c>
      <c r="V44" s="22">
        <v>38930</v>
      </c>
      <c r="W44" s="22">
        <v>38961</v>
      </c>
      <c r="X44" s="22">
        <v>38991</v>
      </c>
      <c r="Y44" s="22">
        <v>39022</v>
      </c>
      <c r="Z44" s="22">
        <v>39052</v>
      </c>
      <c r="AB44" s="11"/>
      <c r="AC44" s="11"/>
      <c r="AD44" s="20"/>
    </row>
    <row r="45" spans="2:30" x14ac:dyDescent="0.2">
      <c r="B45" s="160"/>
      <c r="C45" s="161"/>
      <c r="D45" s="162"/>
      <c r="E45" s="163"/>
      <c r="N45" s="21" t="s">
        <v>9</v>
      </c>
      <c r="O45" s="23">
        <v>2.3231999999999999</v>
      </c>
      <c r="P45" s="23">
        <v>2.3517999999999999</v>
      </c>
      <c r="Q45" s="23">
        <v>2.5206</v>
      </c>
      <c r="R45" s="23">
        <v>2.6303000000000001</v>
      </c>
      <c r="S45" s="23">
        <v>2.5722999999999998</v>
      </c>
      <c r="T45" s="23">
        <v>2.6943000000000001</v>
      </c>
      <c r="U45" s="23">
        <v>2.8165</v>
      </c>
      <c r="V45" s="23">
        <v>2.9668000000000001</v>
      </c>
      <c r="W45" s="23">
        <v>3.0407000000000002</v>
      </c>
      <c r="X45" s="23">
        <v>3.2806000000000002</v>
      </c>
      <c r="Y45" s="23">
        <v>3.3283</v>
      </c>
      <c r="Z45" s="23">
        <v>3.5154999999999998</v>
      </c>
      <c r="AB45" s="11"/>
      <c r="AC45" s="11"/>
      <c r="AD45" s="20"/>
    </row>
    <row r="46" spans="2:30" ht="13.5" customHeight="1" x14ac:dyDescent="0.25">
      <c r="B46" s="158"/>
      <c r="C46" s="164" t="str">
        <f>IF(D38&lt;0,"Attention, montant de revalorisation négatif !! Modifier la date de fin de revalorisation si besoin.","")</f>
        <v/>
      </c>
      <c r="D46" s="162"/>
      <c r="E46" s="165"/>
      <c r="G46" s="1" t="s">
        <v>85</v>
      </c>
      <c r="N46" s="24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6">
        <f>AVERAGE(O45:Z45)</f>
        <v>2.8367416666666667</v>
      </c>
      <c r="AB46" s="16">
        <f>DATE(YEAR(AB43)+1,MONTH(AB43),DAY(AB43))</f>
        <v>39082</v>
      </c>
      <c r="AC46" s="14">
        <f>(Z46-1)/100</f>
        <v>1.8367416666666667E-2</v>
      </c>
      <c r="AD46" s="15">
        <f>IF(AC46&lt;0.5%,"0,5%",AC46)</f>
        <v>1.8367416666666667E-2</v>
      </c>
    </row>
    <row r="47" spans="2:30" ht="16.5" x14ac:dyDescent="0.3">
      <c r="B47" s="158"/>
      <c r="C47" s="158"/>
      <c r="D47" s="166"/>
      <c r="E47" s="167"/>
      <c r="N47" s="21" t="s">
        <v>8</v>
      </c>
      <c r="O47" s="22">
        <v>39083</v>
      </c>
      <c r="P47" s="22">
        <v>39114</v>
      </c>
      <c r="Q47" s="22">
        <v>39142</v>
      </c>
      <c r="R47" s="22">
        <v>39173</v>
      </c>
      <c r="S47" s="22">
        <v>39203</v>
      </c>
      <c r="T47" s="22">
        <v>39234</v>
      </c>
      <c r="U47" s="22">
        <v>39264</v>
      </c>
      <c r="V47" s="22">
        <v>39295</v>
      </c>
      <c r="W47" s="22">
        <v>39326</v>
      </c>
      <c r="X47" s="22">
        <v>39356</v>
      </c>
      <c r="Y47" s="22">
        <v>39387</v>
      </c>
      <c r="Z47" s="22">
        <v>39417</v>
      </c>
      <c r="AB47" s="11"/>
      <c r="AC47" s="11"/>
      <c r="AD47" s="20"/>
    </row>
    <row r="48" spans="2:30" x14ac:dyDescent="0.2">
      <c r="B48" s="168"/>
      <c r="C48" s="158"/>
      <c r="D48" s="167"/>
      <c r="E48" s="158"/>
      <c r="N48" s="21" t="s">
        <v>9</v>
      </c>
      <c r="O48" s="23">
        <v>3.5657999999999999</v>
      </c>
      <c r="P48" s="23">
        <v>3.5668000000000002</v>
      </c>
      <c r="Q48" s="23">
        <v>3.6947999999999999</v>
      </c>
      <c r="R48" s="23">
        <v>3.823</v>
      </c>
      <c r="S48" s="23">
        <v>3.7934999999999999</v>
      </c>
      <c r="T48" s="23">
        <v>3.9569999999999999</v>
      </c>
      <c r="U48" s="23">
        <v>4.0660999999999996</v>
      </c>
      <c r="V48" s="23">
        <v>4.0429000000000004</v>
      </c>
      <c r="W48" s="23">
        <v>4.0171000000000001</v>
      </c>
      <c r="X48" s="23">
        <v>3.9285000000000001</v>
      </c>
      <c r="Y48" s="23">
        <v>4.0274999999999999</v>
      </c>
      <c r="Z48" s="23">
        <v>3.8632</v>
      </c>
      <c r="AB48" s="11"/>
      <c r="AC48" s="11"/>
      <c r="AD48" s="20"/>
    </row>
    <row r="49" spans="2:30" x14ac:dyDescent="0.2">
      <c r="B49" s="168"/>
      <c r="C49" s="158"/>
      <c r="D49" s="158"/>
      <c r="E49" s="158"/>
      <c r="N49" s="24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6">
        <f>AVERAGE(O48:Z48)</f>
        <v>3.8621833333333337</v>
      </c>
      <c r="AB49" s="16">
        <f>DATE(YEAR(AB46)+1,MONTH(AB46),DAY(AB46))</f>
        <v>39447</v>
      </c>
      <c r="AC49" s="14">
        <f>(Z49-1)/100</f>
        <v>2.8621833333333336E-2</v>
      </c>
      <c r="AD49" s="15">
        <f>IF(AC49&lt;0.5%,"0,5%",AC49)</f>
        <v>2.8621833333333336E-2</v>
      </c>
    </row>
    <row r="50" spans="2:30" x14ac:dyDescent="0.2">
      <c r="B50" s="168"/>
      <c r="C50" s="168"/>
      <c r="D50" s="168"/>
      <c r="E50" s="168"/>
      <c r="N50" s="21" t="s">
        <v>8</v>
      </c>
      <c r="O50" s="22">
        <v>39448</v>
      </c>
      <c r="P50" s="22">
        <v>39479</v>
      </c>
      <c r="Q50" s="22">
        <v>39508</v>
      </c>
      <c r="R50" s="22">
        <v>39539</v>
      </c>
      <c r="S50" s="22">
        <v>39569</v>
      </c>
      <c r="T50" s="22">
        <v>39600</v>
      </c>
      <c r="U50" s="22">
        <v>39630</v>
      </c>
      <c r="V50" s="22">
        <v>39661</v>
      </c>
      <c r="W50" s="22">
        <v>39692</v>
      </c>
      <c r="X50" s="22">
        <v>39722</v>
      </c>
      <c r="Y50" s="22">
        <v>39753</v>
      </c>
      <c r="Z50" s="28">
        <v>39783</v>
      </c>
      <c r="AB50" s="11"/>
      <c r="AC50" s="11"/>
      <c r="AD50" s="20"/>
    </row>
    <row r="51" spans="2:30" x14ac:dyDescent="0.2">
      <c r="B51" s="169"/>
      <c r="C51" s="168"/>
      <c r="D51" s="168"/>
      <c r="E51" s="168"/>
      <c r="N51" s="21" t="s">
        <v>9</v>
      </c>
      <c r="O51" s="23">
        <v>4.0096999999999996</v>
      </c>
      <c r="P51" s="23">
        <v>4.0290999999999997</v>
      </c>
      <c r="Q51" s="23">
        <v>4.0845000000000002</v>
      </c>
      <c r="R51" s="23">
        <v>3.9830999999999999</v>
      </c>
      <c r="S51" s="23">
        <v>4.0103999999999997</v>
      </c>
      <c r="T51" s="23">
        <v>3.9870999999999999</v>
      </c>
      <c r="U51" s="23">
        <v>4.1924000000000001</v>
      </c>
      <c r="V51" s="23">
        <v>4.2995999999999999</v>
      </c>
      <c r="W51" s="23">
        <v>4.2679999999999998</v>
      </c>
      <c r="X51" s="23">
        <v>3.8125</v>
      </c>
      <c r="Y51" s="23">
        <v>3.1616</v>
      </c>
      <c r="Z51" s="18">
        <v>2.4510999999999998</v>
      </c>
      <c r="AB51" s="11"/>
      <c r="AC51" s="11"/>
      <c r="AD51" s="20"/>
    </row>
    <row r="52" spans="2:30" ht="15.75" x14ac:dyDescent="0.25">
      <c r="B52" s="170"/>
      <c r="C52" s="158"/>
      <c r="D52" s="158"/>
      <c r="E52" s="171"/>
      <c r="G52" s="34"/>
      <c r="N52" s="24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9">
        <f>AVERAGE(O51:Z51)</f>
        <v>3.8574249999999992</v>
      </c>
      <c r="AB52" s="16">
        <f>DATE(YEAR(AB49)+1,MONTH(AB49),DAY(AB49))</f>
        <v>39813</v>
      </c>
      <c r="AC52" s="14">
        <f>(Z52-1)/100</f>
        <v>2.8574249999999992E-2</v>
      </c>
      <c r="AD52" s="15">
        <f>IF(AC52&lt;0.5%,"0,5%",AC52)</f>
        <v>2.8574249999999992E-2</v>
      </c>
    </row>
    <row r="53" spans="2:30" x14ac:dyDescent="0.2">
      <c r="B53" s="168"/>
      <c r="C53" s="158"/>
      <c r="D53" s="158"/>
      <c r="E53" s="158"/>
      <c r="G53" s="33"/>
      <c r="N53" s="7" t="s">
        <v>8</v>
      </c>
      <c r="O53" s="10">
        <v>39814</v>
      </c>
      <c r="P53" s="10">
        <v>39845</v>
      </c>
      <c r="Q53" s="10">
        <v>39873</v>
      </c>
      <c r="R53" s="10">
        <v>39904</v>
      </c>
      <c r="S53" s="10">
        <v>39934</v>
      </c>
      <c r="T53" s="10">
        <v>39965</v>
      </c>
      <c r="U53" s="10">
        <v>39995</v>
      </c>
      <c r="V53" s="10">
        <v>40026</v>
      </c>
      <c r="W53" s="10">
        <v>40057</v>
      </c>
      <c r="X53" s="10">
        <v>40087</v>
      </c>
      <c r="Y53" s="10">
        <v>40118</v>
      </c>
      <c r="Z53" s="10">
        <v>40148</v>
      </c>
      <c r="AB53" s="11"/>
      <c r="AC53" s="11"/>
      <c r="AD53" s="20"/>
    </row>
    <row r="54" spans="2:30" x14ac:dyDescent="0.2">
      <c r="B54" s="160"/>
      <c r="C54" s="172"/>
      <c r="D54" s="168"/>
      <c r="E54" s="168"/>
      <c r="N54" s="7" t="s">
        <v>9</v>
      </c>
      <c r="O54" s="11">
        <v>1.8404</v>
      </c>
      <c r="P54" s="11">
        <v>1.2583</v>
      </c>
      <c r="Q54" s="11">
        <v>1.0565</v>
      </c>
      <c r="R54" s="11">
        <v>0.85489999999999999</v>
      </c>
      <c r="S54" s="11">
        <v>0.76490000000000002</v>
      </c>
      <c r="T54" s="11">
        <v>0.68310000000000004</v>
      </c>
      <c r="U54" s="11">
        <v>0.35370000000000001</v>
      </c>
      <c r="V54" s="11">
        <v>0.3458</v>
      </c>
      <c r="W54" s="11">
        <v>0.3584</v>
      </c>
      <c r="X54" s="11">
        <v>0.35639999999999999</v>
      </c>
      <c r="Y54" s="11">
        <v>0.35849999999999999</v>
      </c>
      <c r="Z54" s="11">
        <v>0.34760000000000002</v>
      </c>
      <c r="AB54" s="11"/>
      <c r="AC54" s="11"/>
      <c r="AD54" s="20"/>
    </row>
    <row r="55" spans="2:30" x14ac:dyDescent="0.2">
      <c r="B55" s="168"/>
      <c r="C55" s="172"/>
      <c r="D55" s="168"/>
      <c r="E55" s="168"/>
      <c r="N55" s="8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2">
        <f>AVERAGE(O54:Z54)</f>
        <v>0.71487499999999982</v>
      </c>
      <c r="AB55" s="16">
        <f>DATE(YEAR(AB52)+1,MONTH(AB52),DAY(AB52))</f>
        <v>40178</v>
      </c>
      <c r="AC55" s="14">
        <f>(Z55-1)/100</f>
        <v>-2.8512500000000018E-3</v>
      </c>
      <c r="AD55" s="15" t="str">
        <f>IF(AC55&lt;0.5%,"0,5%",AC55)</f>
        <v>0,5%</v>
      </c>
    </row>
    <row r="56" spans="2:30" x14ac:dyDescent="0.2">
      <c r="B56" s="168"/>
      <c r="C56" s="168"/>
      <c r="D56" s="168"/>
      <c r="E56" s="168"/>
      <c r="N56" s="7" t="s">
        <v>8</v>
      </c>
      <c r="O56" s="10">
        <v>40179</v>
      </c>
      <c r="P56" s="10">
        <v>40210</v>
      </c>
      <c r="Q56" s="10">
        <v>40238</v>
      </c>
      <c r="R56" s="10">
        <v>40269</v>
      </c>
      <c r="S56" s="10">
        <v>40299</v>
      </c>
      <c r="T56" s="10">
        <v>40330</v>
      </c>
      <c r="U56" s="10">
        <v>40360</v>
      </c>
      <c r="V56" s="10">
        <v>40391</v>
      </c>
      <c r="W56" s="10">
        <v>40422</v>
      </c>
      <c r="X56" s="10">
        <v>40452</v>
      </c>
      <c r="Y56" s="10">
        <v>40483</v>
      </c>
      <c r="Z56" s="10">
        <v>40513</v>
      </c>
      <c r="AB56" s="11"/>
      <c r="AC56" s="11"/>
      <c r="AD56" s="20"/>
    </row>
    <row r="57" spans="2:30" x14ac:dyDescent="0.2">
      <c r="B57" s="168"/>
      <c r="C57" s="168"/>
      <c r="D57" s="168"/>
      <c r="E57" s="168"/>
      <c r="N57" s="7" t="s">
        <v>9</v>
      </c>
      <c r="O57" s="11">
        <v>0.34620000000000001</v>
      </c>
      <c r="P57" s="11">
        <v>0.33460000000000001</v>
      </c>
      <c r="Q57" s="11">
        <v>0.34339999999999998</v>
      </c>
      <c r="R57" s="11">
        <v>0.3453</v>
      </c>
      <c r="S57" s="11">
        <v>0.33860000000000001</v>
      </c>
      <c r="T57" s="11">
        <v>0.34889999999999999</v>
      </c>
      <c r="U57" s="11">
        <v>0.4768</v>
      </c>
      <c r="V57" s="11">
        <v>0.4199</v>
      </c>
      <c r="W57" s="11">
        <v>0.44309999999999999</v>
      </c>
      <c r="X57" s="11">
        <v>0.69669999999999999</v>
      </c>
      <c r="Y57" s="11">
        <v>0.57769999999999999</v>
      </c>
      <c r="Z57" s="11">
        <v>0.49020000000000002</v>
      </c>
      <c r="AB57" s="11"/>
      <c r="AC57" s="11"/>
      <c r="AD57" s="20"/>
    </row>
    <row r="58" spans="2:30" x14ac:dyDescent="0.2">
      <c r="B58" s="168"/>
      <c r="C58" s="168"/>
      <c r="D58" s="168"/>
      <c r="E58" s="168"/>
      <c r="N58" s="8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2">
        <f>AVERAGE(O57:Z57)</f>
        <v>0.43011666666666665</v>
      </c>
      <c r="AB58" s="16">
        <f>DATE(YEAR(AB55)+1,MONTH(AB55),DAY(AB55))</f>
        <v>40543</v>
      </c>
      <c r="AC58" s="14">
        <f>(Z58-1)/100</f>
        <v>-5.6988333333333327E-3</v>
      </c>
      <c r="AD58" s="15" t="str">
        <f>IF(AC58&lt;0.5%,"0,5%",AC58)</f>
        <v>0,5%</v>
      </c>
    </row>
    <row r="59" spans="2:30" x14ac:dyDescent="0.2">
      <c r="B59" s="168"/>
      <c r="C59" s="168"/>
      <c r="D59" s="168"/>
      <c r="E59" s="168"/>
      <c r="N59" s="7" t="s">
        <v>8</v>
      </c>
      <c r="O59" s="10">
        <v>40544</v>
      </c>
      <c r="P59" s="10">
        <v>40575</v>
      </c>
      <c r="Q59" s="10">
        <v>40603</v>
      </c>
      <c r="R59" s="10">
        <v>40634</v>
      </c>
      <c r="S59" s="10">
        <v>40664</v>
      </c>
      <c r="T59" s="10">
        <v>40695</v>
      </c>
      <c r="U59" s="10">
        <v>40725</v>
      </c>
      <c r="V59" s="10">
        <v>40756</v>
      </c>
      <c r="W59" s="10">
        <v>40787</v>
      </c>
      <c r="X59" s="10">
        <v>40817</v>
      </c>
      <c r="Y59" s="10">
        <v>40848</v>
      </c>
      <c r="Z59" s="10">
        <v>40878</v>
      </c>
      <c r="AB59" s="11"/>
      <c r="AC59" s="11"/>
      <c r="AD59" s="20"/>
    </row>
    <row r="60" spans="2:30" x14ac:dyDescent="0.2">
      <c r="B60" s="168"/>
      <c r="C60" s="168"/>
      <c r="D60" s="168"/>
      <c r="E60" s="168"/>
      <c r="N60" s="7" t="s">
        <v>9</v>
      </c>
      <c r="O60" s="11">
        <v>0.66720000000000002</v>
      </c>
      <c r="P60" s="11">
        <v>0.67800000000000005</v>
      </c>
      <c r="Q60" s="11">
        <v>0.64829999999999999</v>
      </c>
      <c r="R60" s="11">
        <v>1.0016</v>
      </c>
      <c r="S60" s="11">
        <v>1.0229999999999999</v>
      </c>
      <c r="T60" s="11">
        <v>1.133</v>
      </c>
      <c r="U60" s="11">
        <v>1.0033000000000001</v>
      </c>
      <c r="V60" s="11">
        <v>0.8972</v>
      </c>
      <c r="W60" s="11">
        <v>0.99629999999999996</v>
      </c>
      <c r="X60" s="11">
        <v>0.98350000000000004</v>
      </c>
      <c r="Y60" s="11">
        <v>0.78449999999999998</v>
      </c>
      <c r="Z60" s="11">
        <v>0.61680000000000001</v>
      </c>
      <c r="AB60" s="11"/>
      <c r="AC60" s="11"/>
      <c r="AD60" s="20"/>
    </row>
    <row r="61" spans="2:30" x14ac:dyDescent="0.2">
      <c r="N61" s="8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2">
        <f>AVERAGE(O60:Z60)</f>
        <v>0.86939166666666656</v>
      </c>
      <c r="AB61" s="16">
        <f>DATE(YEAR(AB58)+1,MONTH(AB58),DAY(AB58))</f>
        <v>40908</v>
      </c>
      <c r="AC61" s="14">
        <f>(Z61-1)/100</f>
        <v>-1.3060833333333344E-3</v>
      </c>
      <c r="AD61" s="15" t="str">
        <f>IF(AC61&lt;0.5%,"0,5%",AC61)</f>
        <v>0,5%</v>
      </c>
    </row>
    <row r="62" spans="2:30" x14ac:dyDescent="0.2">
      <c r="N62" s="7" t="s">
        <v>8</v>
      </c>
      <c r="O62" s="10">
        <v>40909</v>
      </c>
      <c r="P62" s="10">
        <v>40940</v>
      </c>
      <c r="Q62" s="10">
        <v>40969</v>
      </c>
      <c r="R62" s="10">
        <v>41000</v>
      </c>
      <c r="S62" s="10">
        <v>41030</v>
      </c>
      <c r="T62" s="10">
        <v>41061</v>
      </c>
      <c r="U62" s="10">
        <v>41091</v>
      </c>
      <c r="V62" s="10">
        <v>41122</v>
      </c>
      <c r="W62" s="10">
        <v>41153</v>
      </c>
      <c r="X62" s="10">
        <v>41183</v>
      </c>
      <c r="Y62" s="10">
        <v>41214</v>
      </c>
      <c r="Z62" s="10">
        <v>41244</v>
      </c>
      <c r="AB62" s="11"/>
      <c r="AC62" s="11"/>
      <c r="AD62" s="20"/>
    </row>
    <row r="63" spans="2:30" x14ac:dyDescent="0.2">
      <c r="N63" s="7" t="s">
        <v>9</v>
      </c>
      <c r="O63" s="11">
        <v>0.38769999999999999</v>
      </c>
      <c r="P63" s="11">
        <v>0.36620000000000003</v>
      </c>
      <c r="Q63" s="11">
        <v>0.35870000000000002</v>
      </c>
      <c r="R63" s="11">
        <v>0.34749999999999998</v>
      </c>
      <c r="S63" s="11">
        <v>0.33700000000000002</v>
      </c>
      <c r="T63" s="11">
        <v>0.33329999999999999</v>
      </c>
      <c r="U63" s="11">
        <v>0.18640000000000001</v>
      </c>
      <c r="V63" s="11">
        <v>0.1104</v>
      </c>
      <c r="W63" s="11">
        <v>0.1003</v>
      </c>
      <c r="X63" s="11">
        <v>9.0899999999999995E-2</v>
      </c>
      <c r="Y63" s="11">
        <v>7.8600000000000003E-2</v>
      </c>
      <c r="Z63" s="11">
        <v>7.2300000000000003E-2</v>
      </c>
      <c r="AB63" s="11"/>
      <c r="AC63" s="11"/>
      <c r="AD63" s="20"/>
    </row>
    <row r="64" spans="2:30" x14ac:dyDescent="0.2">
      <c r="N64" s="8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2">
        <f>AVERAGE(O63:Z63)</f>
        <v>0.23077499999999992</v>
      </c>
      <c r="AB64" s="16">
        <f>DATE(YEAR(AB61)+1,MONTH(AB61),DAY(AB61))</f>
        <v>41274</v>
      </c>
      <c r="AC64" s="14">
        <f>(Z64-1)/100</f>
        <v>-7.6922500000000003E-3</v>
      </c>
      <c r="AD64" s="15" t="str">
        <f>IF(AC64&lt;0.5%,"0,5%",AC64)</f>
        <v>0,5%</v>
      </c>
    </row>
    <row r="65" spans="14:30" x14ac:dyDescent="0.2">
      <c r="N65" s="7" t="s">
        <v>8</v>
      </c>
      <c r="O65" s="10">
        <v>41275</v>
      </c>
      <c r="P65" s="10">
        <v>41306</v>
      </c>
      <c r="Q65" s="10">
        <v>41334</v>
      </c>
      <c r="R65" s="10">
        <v>41365</v>
      </c>
      <c r="S65" s="10">
        <v>41395</v>
      </c>
      <c r="T65" s="10">
        <v>41426</v>
      </c>
      <c r="U65" s="10">
        <v>41456</v>
      </c>
      <c r="V65" s="10">
        <v>41487</v>
      </c>
      <c r="W65" s="10">
        <v>41518</v>
      </c>
      <c r="X65" s="10">
        <v>41548</v>
      </c>
      <c r="Y65" s="10">
        <v>41579</v>
      </c>
      <c r="Z65" s="10">
        <v>41609</v>
      </c>
      <c r="AB65" s="11"/>
      <c r="AC65" s="11"/>
      <c r="AD65" s="20"/>
    </row>
    <row r="66" spans="14:30" x14ac:dyDescent="0.2">
      <c r="N66" s="7" t="s">
        <v>9</v>
      </c>
      <c r="O66" s="11">
        <v>7.0900000000000005E-2</v>
      </c>
      <c r="P66" s="11">
        <v>6.83E-2</v>
      </c>
      <c r="Q66" s="11">
        <v>7.0199999999999999E-2</v>
      </c>
      <c r="R66" s="11">
        <v>8.1900000000000001E-2</v>
      </c>
      <c r="S66" s="11">
        <v>7.8399999999999997E-2</v>
      </c>
      <c r="T66" s="11">
        <v>9.4700000000000006E-2</v>
      </c>
      <c r="U66" s="11">
        <v>9.2899999999999996E-2</v>
      </c>
      <c r="V66" s="11">
        <v>8.2400000000000001E-2</v>
      </c>
      <c r="W66" s="11">
        <v>8.0500000000000002E-2</v>
      </c>
      <c r="X66" s="11">
        <v>9.2399999999999996E-2</v>
      </c>
      <c r="Y66" s="11">
        <v>0.1057</v>
      </c>
      <c r="Z66" s="18"/>
      <c r="AB66" s="11"/>
      <c r="AC66" s="11"/>
      <c r="AD66" s="20"/>
    </row>
    <row r="67" spans="14:30" x14ac:dyDescent="0.2"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2">
        <f>AVERAGE(P66:Z66)</f>
        <v>8.474000000000001E-2</v>
      </c>
      <c r="AB67" s="16">
        <f>DATE(YEAR(AB64),MONTH(AB64)+11,DAY(AB64))</f>
        <v>41609</v>
      </c>
      <c r="AC67" s="14">
        <f>(Z67-1)/100</f>
        <v>-9.1526000000000003E-3</v>
      </c>
      <c r="AD67" s="15" t="str">
        <f>IF(AC67&lt;0.5%,"0,5%",AC67)</f>
        <v>0,5%</v>
      </c>
    </row>
    <row r="72" spans="14:30" x14ac:dyDescent="0.2">
      <c r="P72"/>
      <c r="Q72"/>
      <c r="R72"/>
      <c r="S72"/>
      <c r="T72"/>
      <c r="U72"/>
      <c r="V72"/>
      <c r="W72"/>
      <c r="X72"/>
    </row>
    <row r="73" spans="14:30" x14ac:dyDescent="0.2">
      <c r="P73"/>
      <c r="Q73"/>
      <c r="R73"/>
      <c r="S73"/>
      <c r="T73"/>
      <c r="U73"/>
      <c r="V73"/>
      <c r="W73"/>
      <c r="X73"/>
    </row>
    <row r="74" spans="14:30" x14ac:dyDescent="0.2">
      <c r="P74"/>
      <c r="Q74"/>
      <c r="R74"/>
      <c r="S74"/>
      <c r="T74"/>
      <c r="U74"/>
      <c r="V74"/>
      <c r="W74"/>
      <c r="X74"/>
    </row>
    <row r="75" spans="14:30" x14ac:dyDescent="0.2">
      <c r="P75"/>
      <c r="Q75"/>
      <c r="R75"/>
      <c r="S75"/>
      <c r="T75"/>
      <c r="U75"/>
      <c r="V75"/>
      <c r="W75"/>
      <c r="X75"/>
    </row>
    <row r="76" spans="14:30" x14ac:dyDescent="0.2">
      <c r="P76"/>
      <c r="Q76"/>
      <c r="R76"/>
      <c r="S76"/>
      <c r="T76"/>
      <c r="U76"/>
      <c r="V76"/>
      <c r="W76"/>
      <c r="X76"/>
    </row>
    <row r="77" spans="14:30" x14ac:dyDescent="0.2">
      <c r="P77"/>
      <c r="Q77"/>
      <c r="R77"/>
      <c r="S77"/>
      <c r="T77"/>
      <c r="U77"/>
      <c r="V77"/>
      <c r="W77"/>
      <c r="X77"/>
    </row>
    <row r="78" spans="14:30" x14ac:dyDescent="0.2">
      <c r="P78"/>
      <c r="Q78"/>
      <c r="R78"/>
      <c r="S78"/>
      <c r="T78"/>
      <c r="U78"/>
      <c r="V78"/>
      <c r="W78"/>
      <c r="X78"/>
    </row>
    <row r="79" spans="14:30" x14ac:dyDescent="0.2">
      <c r="P79"/>
      <c r="Q79"/>
      <c r="R79"/>
      <c r="S79"/>
      <c r="T79"/>
      <c r="U79"/>
      <c r="V79"/>
      <c r="W79"/>
      <c r="X79"/>
    </row>
    <row r="80" spans="14:30" x14ac:dyDescent="0.2">
      <c r="P80"/>
      <c r="Q80"/>
      <c r="R80"/>
      <c r="S80"/>
      <c r="T80"/>
      <c r="U80"/>
      <c r="V80"/>
      <c r="W80"/>
      <c r="X80"/>
    </row>
    <row r="81" spans="16:24" x14ac:dyDescent="0.2">
      <c r="P81"/>
      <c r="Q81"/>
      <c r="R81"/>
      <c r="S81"/>
      <c r="T81"/>
      <c r="U81"/>
      <c r="V81"/>
      <c r="W81"/>
      <c r="X81"/>
    </row>
    <row r="82" spans="16:24" x14ac:dyDescent="0.2">
      <c r="P82"/>
      <c r="Q82"/>
      <c r="R82"/>
      <c r="S82"/>
      <c r="T82"/>
      <c r="U82"/>
      <c r="V82"/>
      <c r="W82"/>
      <c r="X82"/>
    </row>
    <row r="83" spans="16:24" x14ac:dyDescent="0.2">
      <c r="P83"/>
      <c r="Q83"/>
      <c r="R83"/>
      <c r="S83"/>
      <c r="T83"/>
      <c r="U83"/>
      <c r="V83"/>
      <c r="W83"/>
      <c r="X83"/>
    </row>
    <row r="84" spans="16:24" x14ac:dyDescent="0.2">
      <c r="P84"/>
      <c r="Q84"/>
      <c r="R84"/>
      <c r="S84"/>
      <c r="T84"/>
      <c r="U84"/>
      <c r="V84"/>
      <c r="W84"/>
      <c r="X84"/>
    </row>
    <row r="85" spans="16:24" x14ac:dyDescent="0.2">
      <c r="P85"/>
      <c r="Q85"/>
      <c r="R85"/>
      <c r="S85"/>
      <c r="T85"/>
      <c r="U85"/>
      <c r="V85"/>
      <c r="W85"/>
      <c r="X85"/>
    </row>
    <row r="86" spans="16:24" x14ac:dyDescent="0.2">
      <c r="P86"/>
      <c r="Q86"/>
      <c r="R86"/>
      <c r="S86"/>
      <c r="T86"/>
      <c r="U86"/>
      <c r="V86"/>
      <c r="W86"/>
      <c r="X86"/>
    </row>
    <row r="87" spans="16:24" x14ac:dyDescent="0.2">
      <c r="P87"/>
      <c r="Q87"/>
      <c r="R87"/>
      <c r="S87"/>
      <c r="T87"/>
      <c r="U87"/>
      <c r="V87"/>
      <c r="W87"/>
      <c r="X87"/>
    </row>
    <row r="88" spans="16:24" x14ac:dyDescent="0.2">
      <c r="P88"/>
      <c r="Q88"/>
      <c r="R88"/>
      <c r="S88"/>
      <c r="T88"/>
      <c r="U88"/>
      <c r="V88"/>
      <c r="W88"/>
      <c r="X88"/>
    </row>
    <row r="89" spans="16:24" x14ac:dyDescent="0.2">
      <c r="P89"/>
      <c r="Q89"/>
      <c r="R89"/>
      <c r="S89"/>
      <c r="T89"/>
      <c r="U89"/>
      <c r="V89"/>
      <c r="W89"/>
      <c r="X89"/>
    </row>
    <row r="90" spans="16:24" x14ac:dyDescent="0.2">
      <c r="P90"/>
      <c r="Q90"/>
      <c r="R90"/>
      <c r="S90"/>
      <c r="T90"/>
      <c r="U90"/>
      <c r="V90"/>
      <c r="W90"/>
      <c r="X90"/>
    </row>
    <row r="91" spans="16:24" x14ac:dyDescent="0.2">
      <c r="P91"/>
      <c r="Q91"/>
      <c r="R91"/>
      <c r="S91"/>
      <c r="T91"/>
      <c r="U91"/>
      <c r="V91"/>
      <c r="W91"/>
      <c r="X91"/>
    </row>
    <row r="92" spans="16:24" x14ac:dyDescent="0.2">
      <c r="P92"/>
      <c r="Q92"/>
      <c r="R92"/>
      <c r="S92"/>
      <c r="T92"/>
      <c r="U92"/>
      <c r="V92"/>
      <c r="W92"/>
      <c r="X92"/>
    </row>
    <row r="93" spans="16:24" x14ac:dyDescent="0.2">
      <c r="P93"/>
      <c r="Q93"/>
      <c r="R93"/>
      <c r="S93"/>
      <c r="T93"/>
      <c r="U93"/>
      <c r="V93"/>
      <c r="W93"/>
      <c r="X93"/>
    </row>
    <row r="94" spans="16:24" x14ac:dyDescent="0.2">
      <c r="P94"/>
      <c r="Q94"/>
      <c r="R94"/>
      <c r="S94"/>
      <c r="T94"/>
      <c r="U94"/>
      <c r="V94"/>
      <c r="W94"/>
      <c r="X94"/>
    </row>
    <row r="95" spans="16:24" x14ac:dyDescent="0.2">
      <c r="P95"/>
      <c r="Q95"/>
      <c r="R95"/>
      <c r="S95"/>
      <c r="T95"/>
      <c r="U95"/>
      <c r="V95"/>
      <c r="W95"/>
      <c r="X95"/>
    </row>
    <row r="96" spans="16:24" x14ac:dyDescent="0.2">
      <c r="P96"/>
      <c r="Q96"/>
      <c r="R96"/>
      <c r="S96"/>
      <c r="T96"/>
      <c r="U96"/>
      <c r="V96"/>
      <c r="W96"/>
      <c r="X96"/>
    </row>
    <row r="97" spans="16:24" x14ac:dyDescent="0.2">
      <c r="P97"/>
      <c r="Q97"/>
      <c r="R97"/>
      <c r="S97"/>
      <c r="T97"/>
      <c r="U97"/>
      <c r="V97"/>
      <c r="W97"/>
      <c r="X97"/>
    </row>
    <row r="98" spans="16:24" x14ac:dyDescent="0.2">
      <c r="P98"/>
      <c r="Q98"/>
      <c r="R98"/>
      <c r="S98"/>
      <c r="T98"/>
      <c r="U98"/>
      <c r="V98"/>
      <c r="W98"/>
      <c r="X98"/>
    </row>
    <row r="99" spans="16:24" x14ac:dyDescent="0.2">
      <c r="P99"/>
      <c r="Q99"/>
      <c r="R99"/>
      <c r="S99"/>
      <c r="T99"/>
      <c r="U99"/>
      <c r="V99"/>
      <c r="W99"/>
      <c r="X99"/>
    </row>
    <row r="100" spans="16:24" x14ac:dyDescent="0.2">
      <c r="P100"/>
      <c r="Q100"/>
      <c r="R100"/>
      <c r="S100"/>
      <c r="T100"/>
      <c r="U100"/>
      <c r="V100"/>
      <c r="W100"/>
      <c r="X100"/>
    </row>
    <row r="101" spans="16:24" x14ac:dyDescent="0.2">
      <c r="P101"/>
      <c r="Q101"/>
      <c r="R101"/>
      <c r="S101"/>
      <c r="T101"/>
      <c r="U101"/>
      <c r="V101"/>
      <c r="W101"/>
      <c r="X101"/>
    </row>
    <row r="102" spans="16:24" x14ac:dyDescent="0.2">
      <c r="P102"/>
      <c r="Q102"/>
      <c r="R102"/>
      <c r="S102"/>
      <c r="T102"/>
      <c r="U102"/>
      <c r="V102"/>
      <c r="W102"/>
      <c r="X102"/>
    </row>
    <row r="103" spans="16:24" x14ac:dyDescent="0.2">
      <c r="P103"/>
      <c r="Q103"/>
      <c r="R103"/>
      <c r="S103"/>
      <c r="T103"/>
      <c r="U103"/>
      <c r="V103"/>
      <c r="W103"/>
      <c r="X103"/>
    </row>
    <row r="104" spans="16:24" x14ac:dyDescent="0.2">
      <c r="P104"/>
      <c r="Q104"/>
      <c r="R104"/>
      <c r="S104"/>
      <c r="T104"/>
      <c r="U104"/>
      <c r="V104"/>
      <c r="W104"/>
      <c r="X104"/>
    </row>
    <row r="105" spans="16:24" x14ac:dyDescent="0.2">
      <c r="P105"/>
      <c r="Q105"/>
      <c r="R105"/>
      <c r="S105"/>
      <c r="T105"/>
      <c r="U105"/>
      <c r="V105"/>
      <c r="W105"/>
      <c r="X105"/>
    </row>
    <row r="106" spans="16:24" x14ac:dyDescent="0.2">
      <c r="P106"/>
      <c r="Q106"/>
      <c r="R106"/>
      <c r="S106"/>
      <c r="T106"/>
      <c r="U106"/>
      <c r="V106"/>
      <c r="W106"/>
      <c r="X106"/>
    </row>
    <row r="107" spans="16:24" x14ac:dyDescent="0.2">
      <c r="P107"/>
      <c r="Q107"/>
      <c r="R107"/>
      <c r="S107"/>
      <c r="T107"/>
      <c r="U107"/>
      <c r="V107"/>
      <c r="W107"/>
      <c r="X107"/>
    </row>
    <row r="108" spans="16:24" x14ac:dyDescent="0.2">
      <c r="P108"/>
      <c r="Q108"/>
      <c r="R108"/>
      <c r="S108"/>
      <c r="T108"/>
      <c r="U108"/>
      <c r="V108"/>
      <c r="W108"/>
      <c r="X108"/>
    </row>
    <row r="109" spans="16:24" x14ac:dyDescent="0.2">
      <c r="P109"/>
      <c r="Q109"/>
      <c r="R109"/>
      <c r="S109"/>
      <c r="T109"/>
      <c r="U109"/>
      <c r="V109"/>
      <c r="W109"/>
      <c r="X109"/>
    </row>
    <row r="110" spans="16:24" x14ac:dyDescent="0.2">
      <c r="P110"/>
      <c r="Q110"/>
      <c r="R110"/>
      <c r="S110"/>
      <c r="T110"/>
      <c r="U110"/>
      <c r="V110"/>
      <c r="W110"/>
      <c r="X110"/>
    </row>
    <row r="111" spans="16:24" x14ac:dyDescent="0.2">
      <c r="P111"/>
      <c r="Q111"/>
      <c r="R111"/>
      <c r="S111"/>
      <c r="T111"/>
      <c r="U111"/>
      <c r="V111"/>
      <c r="W111"/>
      <c r="X111"/>
    </row>
    <row r="112" spans="16:24" x14ac:dyDescent="0.2">
      <c r="P112"/>
      <c r="Q112"/>
      <c r="R112"/>
      <c r="S112"/>
      <c r="T112"/>
      <c r="U112"/>
      <c r="V112"/>
      <c r="W112"/>
      <c r="X112"/>
    </row>
    <row r="113" spans="16:24" x14ac:dyDescent="0.2">
      <c r="P113"/>
      <c r="Q113"/>
      <c r="R113"/>
      <c r="S113"/>
      <c r="T113"/>
      <c r="U113"/>
      <c r="V113"/>
      <c r="W113"/>
      <c r="X113"/>
    </row>
    <row r="114" spans="16:24" x14ac:dyDescent="0.2">
      <c r="P114"/>
      <c r="Q114"/>
      <c r="R114"/>
      <c r="S114"/>
      <c r="T114"/>
      <c r="U114"/>
      <c r="V114"/>
      <c r="W114"/>
      <c r="X114"/>
    </row>
    <row r="115" spans="16:24" x14ac:dyDescent="0.2">
      <c r="P115"/>
      <c r="Q115"/>
      <c r="R115"/>
      <c r="S115"/>
      <c r="T115"/>
      <c r="U115"/>
      <c r="V115"/>
      <c r="W115"/>
      <c r="X115"/>
    </row>
    <row r="116" spans="16:24" x14ac:dyDescent="0.2">
      <c r="P116"/>
      <c r="Q116"/>
      <c r="R116"/>
      <c r="S116"/>
      <c r="T116"/>
      <c r="U116"/>
      <c r="V116"/>
      <c r="W116"/>
      <c r="X116"/>
    </row>
    <row r="117" spans="16:24" x14ac:dyDescent="0.2">
      <c r="P117"/>
      <c r="Q117"/>
      <c r="R117"/>
      <c r="S117"/>
      <c r="T117"/>
      <c r="U117"/>
      <c r="V117"/>
      <c r="W117"/>
      <c r="X117"/>
    </row>
    <row r="118" spans="16:24" x14ac:dyDescent="0.2">
      <c r="P118"/>
      <c r="Q118"/>
      <c r="R118"/>
      <c r="S118"/>
      <c r="T118"/>
      <c r="U118"/>
      <c r="V118"/>
      <c r="W118"/>
      <c r="X118"/>
    </row>
    <row r="119" spans="16:24" x14ac:dyDescent="0.2">
      <c r="P119"/>
      <c r="Q119"/>
      <c r="R119"/>
      <c r="S119"/>
      <c r="T119"/>
      <c r="U119"/>
      <c r="V119"/>
      <c r="W119"/>
      <c r="X119"/>
    </row>
  </sheetData>
  <mergeCells count="1">
    <mergeCell ref="B5:E5"/>
  </mergeCells>
  <phoneticPr fontId="0" type="noConversion"/>
  <conditionalFormatting sqref="C46">
    <cfRule type="cellIs" dxfId="0" priority="1" stopIfTrue="1" operator="equal">
      <formula>"Attention, montant de revalorisation négatif !! Modifier la date de fin de revalorisation si besoin."</formula>
    </cfRule>
  </conditionalFormatting>
  <dataValidations count="6">
    <dataValidation type="date" allowBlank="1" showInputMessage="1" showErrorMessage="1" errorTitle="Intérêts légaux" error="Le système traite les données comprises entre le 01/01/1974 et le 28/02/2014_x000a_" sqref="D25">
      <formula1>27030</formula1>
      <formula2>E46</formula2>
    </dataValidation>
    <dataValidation type="date" operator="greaterThanOrEqual" allowBlank="1" showInputMessage="1" showErrorMessage="1" errorTitle="Attention" error="Ne peut être antérieure à la date de début de revalorisation. " sqref="D26">
      <formula1>D25</formula1>
    </dataValidation>
    <dataValidation type="date" operator="greaterThanOrEqual" allowBlank="1" showInputMessage="1" showErrorMessage="1" errorTitle="Attention" error="Ne peut être antérieure à la date de soucription du contrat." sqref="D19">
      <formula1>D18</formula1>
    </dataValidation>
    <dataValidation type="date" operator="greaterThan" allowBlank="1" showInputMessage="1" showErrorMessage="1" errorTitle="Attention" error="saisir une date postérieure au 17/12/2008" sqref="D18">
      <formula1>39799</formula1>
    </dataValidation>
    <dataValidation type="decimal" operator="greaterThan" allowBlank="1" showInputMessage="1" showErrorMessage="1" errorTitle="Attention" error="Montant négatif !" sqref="D21:D23">
      <formula1>0</formula1>
    </dataValidation>
    <dataValidation type="list" allowBlank="1" showInputMessage="1" showErrorMessage="1" sqref="D13">
      <formula1>"Epargne/Retraite Individuelle, Prévoyance, -  "</formula1>
    </dataValidation>
  </dataValidations>
  <printOptions horizontalCentered="1"/>
  <pageMargins left="0.23622047244094491" right="0.23622047244094491" top="0.98425196850393704" bottom="0.98425196850393704" header="0.51181102362204722" footer="0.51181102362204722"/>
  <pageSetup paperSize="9" scale="44" orientation="landscape" horizontalDpi="4294967292" r:id="rId1"/>
  <headerFooter alignWithMargins="0">
    <oddFooter>&amp;RLe 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1]!MacroSI">
                <anchor moveWithCells="1" sizeWithCells="1">
                  <from>
                    <xdr:col>3</xdr:col>
                    <xdr:colOff>695325</xdr:colOff>
                    <xdr:row>33</xdr:row>
                    <xdr:rowOff>28575</xdr:rowOff>
                  </from>
                  <to>
                    <xdr:col>4</xdr:col>
                    <xdr:colOff>9525</xdr:colOff>
                    <xdr:row>34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R245"/>
  <sheetViews>
    <sheetView showGridLines="0" zoomScale="85" zoomScaleNormal="85" workbookViewId="0">
      <selection activeCell="G26" sqref="G26"/>
    </sheetView>
  </sheetViews>
  <sheetFormatPr baseColWidth="10" defaultColWidth="13.7109375" defaultRowHeight="15" x14ac:dyDescent="0.2"/>
  <cols>
    <col min="1" max="1" width="10.5703125" style="1" customWidth="1"/>
    <col min="2" max="2" width="24.140625" style="1" customWidth="1"/>
    <col min="3" max="3" width="18.7109375" style="1" customWidth="1"/>
    <col min="4" max="4" width="33.42578125" style="1" bestFit="1" customWidth="1"/>
    <col min="5" max="5" width="19.85546875" style="1" bestFit="1" customWidth="1"/>
    <col min="6" max="6" width="18.85546875" style="1" customWidth="1"/>
    <col min="7" max="7" width="20.28515625" style="2" customWidth="1"/>
    <col min="8" max="8" width="20.85546875" style="2" customWidth="1"/>
    <col min="9" max="9" width="15.7109375" style="2" customWidth="1"/>
    <col min="10" max="10" width="19.85546875" style="2" bestFit="1" customWidth="1"/>
    <col min="11" max="11" width="10.42578125" style="1" customWidth="1"/>
    <col min="12" max="12" width="9.7109375" style="1" hidden="1" customWidth="1"/>
    <col min="13" max="13" width="9.7109375" style="1" customWidth="1"/>
    <col min="14" max="14" width="13.7109375" style="1"/>
    <col min="15" max="15" width="9.7109375" style="1" bestFit="1" customWidth="1"/>
    <col min="16" max="16" width="15.7109375" style="1" customWidth="1"/>
    <col min="17" max="18" width="13.7109375" style="1"/>
    <col min="19" max="19" width="7.28515625" style="1" customWidth="1"/>
    <col min="20" max="20" width="7.85546875" style="1" customWidth="1"/>
    <col min="21" max="16384" width="13.7109375" style="1"/>
  </cols>
  <sheetData>
    <row r="1" spans="1:13" ht="15.75" thickBot="1" x14ac:dyDescent="0.25"/>
    <row r="2" spans="1:13" ht="26.25" customHeight="1" thickBot="1" x14ac:dyDescent="0.3">
      <c r="A2" s="32"/>
      <c r="B2" s="93" t="s">
        <v>11</v>
      </c>
      <c r="C2" s="94">
        <f>'Outil revalorisation'!D19</f>
        <v>0</v>
      </c>
      <c r="D2" s="95"/>
      <c r="E2" s="95"/>
      <c r="F2" s="95"/>
      <c r="G2" s="95"/>
      <c r="H2" s="95"/>
      <c r="I2" s="95"/>
      <c r="J2" s="1"/>
    </row>
    <row r="3" spans="1:13" ht="34.5" customHeight="1" thickBot="1" x14ac:dyDescent="0.35">
      <c r="A3" s="32"/>
      <c r="B3" s="96" t="s">
        <v>14</v>
      </c>
      <c r="C3" s="94">
        <f>'Outil revalorisation'!D26</f>
        <v>0</v>
      </c>
      <c r="D3" s="95"/>
      <c r="E3" s="95"/>
      <c r="F3" s="95"/>
      <c r="G3" s="95"/>
      <c r="H3" s="95"/>
      <c r="I3" s="95"/>
      <c r="J3" s="1"/>
      <c r="K3" s="35" t="s">
        <v>5</v>
      </c>
    </row>
    <row r="4" spans="1:13" s="5" customFormat="1" ht="32.25" customHeight="1" x14ac:dyDescent="0.2">
      <c r="A4" s="1"/>
      <c r="B4" s="95"/>
      <c r="C4" s="95"/>
      <c r="D4" s="97"/>
      <c r="E4" s="97"/>
      <c r="F4" s="97"/>
      <c r="G4" s="97"/>
      <c r="H4" s="97"/>
      <c r="I4" s="97"/>
    </row>
    <row r="5" spans="1:13" ht="36.6" customHeight="1" x14ac:dyDescent="0.3">
      <c r="B5" s="98" t="s">
        <v>68</v>
      </c>
      <c r="C5" s="98" t="s">
        <v>20</v>
      </c>
      <c r="D5" s="98" t="s">
        <v>15</v>
      </c>
      <c r="E5" s="98" t="s">
        <v>87</v>
      </c>
      <c r="F5" s="95"/>
      <c r="G5" s="95"/>
      <c r="H5" s="99"/>
      <c r="I5" s="99"/>
      <c r="J5" s="1"/>
      <c r="K5" s="37" t="s">
        <v>19</v>
      </c>
      <c r="L5" s="37"/>
      <c r="M5" s="37" t="s">
        <v>18</v>
      </c>
    </row>
    <row r="6" spans="1:13" x14ac:dyDescent="0.2">
      <c r="A6" s="91" t="e">
        <f>B6-C2</f>
        <v>#VALUE!</v>
      </c>
      <c r="B6" s="100" t="str">
        <f>'Outil revalorisation'!D25</f>
        <v/>
      </c>
      <c r="C6" s="100">
        <f>'Outil revalorisation'!D26</f>
        <v>0</v>
      </c>
      <c r="D6" s="101">
        <f>'Outil revalorisation'!D21</f>
        <v>0</v>
      </c>
      <c r="E6" s="102" t="e">
        <f>C6-B6</f>
        <v>#VALUE!</v>
      </c>
      <c r="F6" s="95"/>
      <c r="G6" s="99"/>
      <c r="H6" s="99"/>
      <c r="I6" s="99"/>
      <c r="J6" s="1"/>
      <c r="K6" s="28">
        <v>36161</v>
      </c>
      <c r="L6" s="18">
        <v>3.1364000000000001</v>
      </c>
      <c r="M6" s="36">
        <f t="shared" ref="M6:M37" si="0">L6/100</f>
        <v>3.1364000000000003E-2</v>
      </c>
    </row>
    <row r="7" spans="1:13" x14ac:dyDescent="0.2">
      <c r="A7" s="91" t="e">
        <f>B7-B6</f>
        <v>#VALUE!</v>
      </c>
      <c r="B7" s="103" t="e">
        <f>DATE(YEAR(B6)+1,MONTH(B6),DAY(B6))</f>
        <v>#VALUE!</v>
      </c>
      <c r="C7" s="95"/>
      <c r="D7" s="95"/>
      <c r="E7" s="95"/>
      <c r="F7" s="95"/>
      <c r="G7" s="104"/>
      <c r="H7" s="99"/>
      <c r="I7" s="99"/>
      <c r="J7" s="1"/>
      <c r="K7" s="28">
        <v>36192</v>
      </c>
      <c r="L7" s="18">
        <v>3.1114000000000002</v>
      </c>
      <c r="M7" s="36">
        <f t="shared" si="0"/>
        <v>3.1114000000000003E-2</v>
      </c>
    </row>
    <row r="8" spans="1:13" x14ac:dyDescent="0.2">
      <c r="A8" s="91" t="e">
        <f>B8-B7</f>
        <v>#VALUE!</v>
      </c>
      <c r="B8" s="103" t="e">
        <f>DATE(YEAR(B7)+1,MONTH(B7),DAY(B7))</f>
        <v>#VALUE!</v>
      </c>
      <c r="C8" s="95"/>
      <c r="D8" s="95"/>
      <c r="E8" s="95"/>
      <c r="F8" s="95"/>
      <c r="G8" s="104"/>
      <c r="H8" s="99"/>
      <c r="I8" s="99"/>
      <c r="J8" s="1"/>
      <c r="K8" s="28">
        <v>36220</v>
      </c>
      <c r="L8" s="18">
        <v>2.9186999999999999</v>
      </c>
      <c r="M8" s="36">
        <f t="shared" si="0"/>
        <v>2.9186999999999998E-2</v>
      </c>
    </row>
    <row r="9" spans="1:13" x14ac:dyDescent="0.2">
      <c r="A9" s="91" t="e">
        <f>B9-B8</f>
        <v>#VALUE!</v>
      </c>
      <c r="B9" s="103" t="e">
        <f>DATE(YEAR(B8)+1,MONTH(B8),DAY(B8))</f>
        <v>#VALUE!</v>
      </c>
      <c r="C9" s="95"/>
      <c r="D9" s="95"/>
      <c r="E9" s="95"/>
      <c r="F9" s="95"/>
      <c r="G9" s="104"/>
      <c r="H9" s="99"/>
      <c r="I9" s="99"/>
      <c r="J9" s="1"/>
      <c r="K9" s="28">
        <v>36251</v>
      </c>
      <c r="L9" s="18">
        <v>2.7366999999999999</v>
      </c>
      <c r="M9" s="36">
        <f t="shared" si="0"/>
        <v>2.7366999999999999E-2</v>
      </c>
    </row>
    <row r="10" spans="1:13" ht="14.25" customHeight="1" x14ac:dyDescent="0.2">
      <c r="A10" s="91" t="e">
        <f>B10-B9</f>
        <v>#VALUE!</v>
      </c>
      <c r="B10" s="103" t="e">
        <f>DATE(YEAR(B9)+1,MONTH(B9),DAY(B9))</f>
        <v>#VALUE!</v>
      </c>
      <c r="C10" s="95"/>
      <c r="D10" s="95"/>
      <c r="E10" s="95"/>
      <c r="F10" s="95"/>
      <c r="G10" s="95"/>
      <c r="H10" s="99"/>
      <c r="I10" s="99"/>
      <c r="J10" s="70"/>
      <c r="K10" s="28">
        <v>36281</v>
      </c>
      <c r="L10" s="18">
        <v>2.5455000000000001</v>
      </c>
      <c r="M10" s="36">
        <f t="shared" si="0"/>
        <v>2.5455000000000002E-2</v>
      </c>
    </row>
    <row r="11" spans="1:13" ht="15" customHeight="1" x14ac:dyDescent="0.2">
      <c r="B11" s="95"/>
      <c r="C11" s="95"/>
      <c r="D11" s="95"/>
      <c r="E11" s="95"/>
      <c r="F11" s="95"/>
      <c r="G11" s="95"/>
      <c r="H11" s="99"/>
      <c r="I11" s="99"/>
      <c r="K11" s="28">
        <v>36312</v>
      </c>
      <c r="L11" s="18">
        <v>2.5642999999999998</v>
      </c>
      <c r="M11" s="36">
        <f t="shared" si="0"/>
        <v>2.5642999999999999E-2</v>
      </c>
    </row>
    <row r="12" spans="1:13" ht="13.5" customHeight="1" x14ac:dyDescent="0.2">
      <c r="B12" s="95"/>
      <c r="C12" s="95"/>
      <c r="D12" s="105"/>
      <c r="E12" s="95"/>
      <c r="F12" s="95"/>
      <c r="G12" s="99"/>
      <c r="H12" s="99"/>
      <c r="I12" s="99"/>
      <c r="J12" s="1"/>
      <c r="K12" s="28">
        <v>36342</v>
      </c>
      <c r="L12" s="18">
        <v>2.4923000000000002</v>
      </c>
      <c r="M12" s="36">
        <f t="shared" si="0"/>
        <v>2.4923000000000001E-2</v>
      </c>
    </row>
    <row r="13" spans="1:13" x14ac:dyDescent="0.2">
      <c r="B13" s="95"/>
      <c r="C13" s="95"/>
      <c r="D13" s="95"/>
      <c r="E13" s="95"/>
      <c r="F13" s="95"/>
      <c r="G13" s="99"/>
      <c r="H13" s="99"/>
      <c r="I13" s="99"/>
      <c r="J13" s="1"/>
      <c r="K13" s="28">
        <v>36373</v>
      </c>
      <c r="L13" s="18">
        <v>2.4355000000000002</v>
      </c>
      <c r="M13" s="36">
        <f t="shared" si="0"/>
        <v>2.4355000000000002E-2</v>
      </c>
    </row>
    <row r="14" spans="1:13" x14ac:dyDescent="0.2">
      <c r="B14" s="105"/>
      <c r="C14" s="95"/>
      <c r="D14" s="95"/>
      <c r="E14" s="95"/>
      <c r="F14" s="95"/>
      <c r="G14" s="99"/>
      <c r="H14" s="99"/>
      <c r="I14" s="99"/>
      <c r="J14" s="1"/>
      <c r="K14" s="28">
        <v>36404</v>
      </c>
      <c r="L14" s="18">
        <v>2.4533</v>
      </c>
      <c r="M14" s="36">
        <f t="shared" si="0"/>
        <v>2.4532999999999999E-2</v>
      </c>
    </row>
    <row r="15" spans="1:13" x14ac:dyDescent="0.2">
      <c r="B15" s="95"/>
      <c r="C15" s="95"/>
      <c r="D15" s="95"/>
      <c r="E15" s="106"/>
      <c r="F15" s="95"/>
      <c r="G15" s="99"/>
      <c r="H15" s="99"/>
      <c r="I15" s="99"/>
      <c r="J15" s="1"/>
      <c r="K15" s="28">
        <v>36434</v>
      </c>
      <c r="L15" s="18">
        <v>2.4857999999999998</v>
      </c>
      <c r="M15" s="36">
        <f t="shared" si="0"/>
        <v>2.4857999999999998E-2</v>
      </c>
    </row>
    <row r="16" spans="1:13" x14ac:dyDescent="0.2">
      <c r="B16" s="107" t="s">
        <v>61</v>
      </c>
      <c r="C16" s="95"/>
      <c r="D16" s="95"/>
      <c r="E16" s="95"/>
      <c r="F16" s="108"/>
      <c r="G16" s="99"/>
      <c r="H16" s="99"/>
      <c r="I16" s="99"/>
      <c r="J16" s="1"/>
      <c r="K16" s="28">
        <v>36465</v>
      </c>
      <c r="L16" s="18">
        <v>2.9327000000000001</v>
      </c>
      <c r="M16" s="36">
        <f t="shared" si="0"/>
        <v>2.9327000000000002E-2</v>
      </c>
    </row>
    <row r="17" spans="1:13" x14ac:dyDescent="0.2">
      <c r="B17" s="95"/>
      <c r="C17" s="95"/>
      <c r="D17" s="95"/>
      <c r="E17" s="95"/>
      <c r="F17" s="95"/>
      <c r="G17" s="99"/>
      <c r="H17" s="99"/>
      <c r="I17" s="99"/>
      <c r="J17" s="1"/>
      <c r="K17" s="28">
        <v>36495</v>
      </c>
      <c r="L17" s="18">
        <v>3.0634999999999999</v>
      </c>
      <c r="M17" s="36">
        <f t="shared" si="0"/>
        <v>3.0634999999999999E-2</v>
      </c>
    </row>
    <row r="18" spans="1:13" x14ac:dyDescent="0.2">
      <c r="B18" s="98" t="s">
        <v>62</v>
      </c>
      <c r="C18" s="98" t="s">
        <v>78</v>
      </c>
      <c r="D18" s="98" t="s">
        <v>63</v>
      </c>
      <c r="E18" s="109"/>
      <c r="F18" s="98" t="s">
        <v>86</v>
      </c>
      <c r="G18" s="98" t="s">
        <v>70</v>
      </c>
      <c r="H18" s="98" t="s">
        <v>69</v>
      </c>
      <c r="I18" s="98" t="s">
        <v>72</v>
      </c>
      <c r="J18" s="1"/>
      <c r="K18" s="28">
        <v>36526</v>
      </c>
      <c r="L18" s="18">
        <v>3.1013000000000002</v>
      </c>
      <c r="M18" s="36">
        <f t="shared" ref="M18:M26" si="1">L18/100</f>
        <v>3.1013000000000002E-2</v>
      </c>
    </row>
    <row r="19" spans="1:13" x14ac:dyDescent="0.2">
      <c r="B19" s="95"/>
      <c r="C19" s="110"/>
      <c r="D19" s="95"/>
      <c r="E19" s="95"/>
      <c r="F19" s="99"/>
      <c r="G19" s="99"/>
      <c r="H19" s="95"/>
      <c r="I19" s="95"/>
      <c r="J19" s="1"/>
      <c r="K19" s="28">
        <v>36557</v>
      </c>
      <c r="L19" s="18">
        <v>3.2721</v>
      </c>
      <c r="M19" s="36">
        <f t="shared" si="1"/>
        <v>3.2721E-2</v>
      </c>
    </row>
    <row r="20" spans="1:13" ht="15.75" customHeight="1" x14ac:dyDescent="0.2">
      <c r="B20" s="111" t="s">
        <v>45</v>
      </c>
      <c r="C20" s="112" t="str">
        <f>B6</f>
        <v/>
      </c>
      <c r="D20" s="113" t="str">
        <f>CONCATENATE("du ",TEXT($C$2,"jj/mm/aaaa")," au ",TEXT($B$6,"jj/mm/aaaa"))</f>
        <v xml:space="preserve">du 00/01/1900 au </v>
      </c>
      <c r="E20" s="114"/>
      <c r="F20" s="115" t="e">
        <f>IF(NBJ&gt;=365,365,NBJ)</f>
        <v>#VALUE!</v>
      </c>
      <c r="G20" s="116" t="e">
        <f>D6*(1+I20)^(F20/A6)-D6</f>
        <v>#VALUE!</v>
      </c>
      <c r="H20" s="117" t="e">
        <f>D6+G20</f>
        <v>#VALUE!</v>
      </c>
      <c r="I20" s="118" t="e">
        <f>C51</f>
        <v>#VALUE!</v>
      </c>
      <c r="J20" s="1"/>
      <c r="K20" s="28">
        <v>36586</v>
      </c>
      <c r="L20" s="18">
        <v>3.5</v>
      </c>
      <c r="M20" s="36">
        <f t="shared" si="1"/>
        <v>3.5000000000000003E-2</v>
      </c>
    </row>
    <row r="21" spans="1:13" x14ac:dyDescent="0.2">
      <c r="B21" s="111" t="s">
        <v>64</v>
      </c>
      <c r="C21" s="112" t="e">
        <f>DATE(YEAR(C20)+1,MONTH(C20),DAY(C20))</f>
        <v>#VALUE!</v>
      </c>
      <c r="D21" s="113" t="e">
        <f>CONCATENATE("du ",TEXT(B6,"jj/mm/aaaa")," au ",TEXT(B7,"jj/mm/aaaa"))</f>
        <v>#VALUE!</v>
      </c>
      <c r="E21" s="114"/>
      <c r="F21" s="115" t="e">
        <f>IF(NBJ&lt;365*1,0,IF(NBJ&gt;=365*2,365,NBJ-365*1))</f>
        <v>#VALUE!</v>
      </c>
      <c r="G21" s="116" t="e">
        <f>H20*(1+I21)^(F21/A7)-H20</f>
        <v>#VALUE!</v>
      </c>
      <c r="H21" s="117" t="e">
        <f>H20*(1+I21)^(F21/A7)</f>
        <v>#VALUE!</v>
      </c>
      <c r="I21" s="118" t="e">
        <f>F51</f>
        <v>#VALUE!</v>
      </c>
      <c r="J21" s="1"/>
      <c r="K21" s="28">
        <v>36617</v>
      </c>
      <c r="L21" s="18">
        <v>3.649</v>
      </c>
      <c r="M21" s="36">
        <f t="shared" si="1"/>
        <v>3.6490000000000002E-2</v>
      </c>
    </row>
    <row r="22" spans="1:13" x14ac:dyDescent="0.2">
      <c r="B22" s="111" t="s">
        <v>65</v>
      </c>
      <c r="C22" s="112" t="e">
        <f>DATE(YEAR(C21)+1,MONTH(C21),DAY(C21))</f>
        <v>#VALUE!</v>
      </c>
      <c r="D22" s="113" t="e">
        <f>CONCATENATE("du ",TEXT(B7,"jj/mm/aaaa")," au ",TEXT(B8,"jj/mm/aaaa"))</f>
        <v>#VALUE!</v>
      </c>
      <c r="E22" s="114"/>
      <c r="F22" s="115" t="e">
        <f>IF(NBJ&lt;365*2,0,IF(NBJ&gt;=365*3,365,NBJ-365*2))</f>
        <v>#VALUE!</v>
      </c>
      <c r="G22" s="116" t="e">
        <f>H21*(1+I22)^(F22/A8)-H21</f>
        <v>#VALUE!</v>
      </c>
      <c r="H22" s="117" t="e">
        <f>H21*(1+I22)^(F22/A8)</f>
        <v>#VALUE!</v>
      </c>
      <c r="I22" s="118" t="e">
        <f>I51</f>
        <v>#VALUE!</v>
      </c>
      <c r="J22" s="1"/>
      <c r="K22" s="28">
        <v>36647</v>
      </c>
      <c r="L22" s="18">
        <v>3.9241999999999999</v>
      </c>
      <c r="M22" s="36">
        <f t="shared" si="1"/>
        <v>3.9241999999999999E-2</v>
      </c>
    </row>
    <row r="23" spans="1:13" x14ac:dyDescent="0.2">
      <c r="B23" s="111" t="s">
        <v>66</v>
      </c>
      <c r="C23" s="112" t="e">
        <f>DATE(YEAR(C22)+1,MONTH(C22),DAY(C22))</f>
        <v>#VALUE!</v>
      </c>
      <c r="D23" s="113" t="e">
        <f>CONCATENATE("du ",TEXT(B8,"jj/mm/aaaa")," au ",TEXT(B9,"jj/mm/aaaa"))</f>
        <v>#VALUE!</v>
      </c>
      <c r="E23" s="114"/>
      <c r="F23" s="115" t="e">
        <f>IF(NBJ&lt;365*3,0,IF(NBJ&gt;=365*4,365,NBJ-365*3))</f>
        <v>#VALUE!</v>
      </c>
      <c r="G23" s="116" t="e">
        <f>H22*(1+I23)^(F23/A9)-H22</f>
        <v>#VALUE!</v>
      </c>
      <c r="H23" s="117" t="e">
        <f>H22*(1+I23)^(F23/A9)</f>
        <v>#VALUE!</v>
      </c>
      <c r="I23" s="118" t="e">
        <f>C78</f>
        <v>#VALUE!</v>
      </c>
      <c r="J23" s="1"/>
      <c r="K23" s="28">
        <v>36678</v>
      </c>
      <c r="L23" s="18">
        <v>4.2987000000000002</v>
      </c>
      <c r="M23" s="36">
        <f t="shared" si="1"/>
        <v>4.2987000000000004E-2</v>
      </c>
    </row>
    <row r="24" spans="1:13" ht="15.75" x14ac:dyDescent="0.25">
      <c r="B24" s="111" t="s">
        <v>67</v>
      </c>
      <c r="C24" s="112" t="e">
        <f>DATE(YEAR(C23)+1,MONTH(C23),DAY(C23))</f>
        <v>#VALUE!</v>
      </c>
      <c r="D24" s="113" t="e">
        <f>CONCATENATE("du ",TEXT(B9,"jj/mm/aaaa")," au ",TEXT(B10,"jj/mm/aaaa"))</f>
        <v>#VALUE!</v>
      </c>
      <c r="E24" s="114"/>
      <c r="F24" s="115" t="e">
        <f>IF(NBJ&lt;365*4,0,IF(NBJ&gt;=365*5,365,NBJ-365*4))</f>
        <v>#VALUE!</v>
      </c>
      <c r="G24" s="116" t="e">
        <f>H23*(1+I24)^(F24/A10)-H23</f>
        <v>#VALUE!</v>
      </c>
      <c r="H24" s="119" t="e">
        <f>H23*(1+I24)^(F24/A10)</f>
        <v>#VALUE!</v>
      </c>
      <c r="I24" s="118" t="e">
        <f>F78</f>
        <v>#VALUE!</v>
      </c>
      <c r="J24" s="1"/>
      <c r="K24" s="28">
        <v>36708</v>
      </c>
      <c r="L24" s="18">
        <v>4.3186999999999998</v>
      </c>
      <c r="M24" s="36">
        <f t="shared" si="1"/>
        <v>4.3186999999999996E-2</v>
      </c>
    </row>
    <row r="25" spans="1:13" x14ac:dyDescent="0.2">
      <c r="A25" s="90"/>
      <c r="B25" s="120"/>
      <c r="C25" s="120"/>
      <c r="D25" s="120"/>
      <c r="E25" s="121"/>
      <c r="F25" s="99"/>
      <c r="G25" s="99"/>
      <c r="H25" s="95"/>
      <c r="I25" s="99"/>
      <c r="J25" s="1"/>
      <c r="K25" s="28">
        <v>36739</v>
      </c>
      <c r="L25" s="18">
        <v>4.4194000000000004</v>
      </c>
      <c r="M25" s="36">
        <f t="shared" si="1"/>
        <v>4.4194000000000004E-2</v>
      </c>
    </row>
    <row r="26" spans="1:13" ht="15.75" x14ac:dyDescent="0.25">
      <c r="A26" s="92" t="e">
        <f>C3-B10</f>
        <v>#VALUE!</v>
      </c>
      <c r="B26" s="122" t="e">
        <f>CONCATENATE(" et ",(C3-B10)," jour(s)")</f>
        <v>#VALUE!</v>
      </c>
      <c r="C26" s="123">
        <f>C3</f>
        <v>0</v>
      </c>
      <c r="D26" s="124"/>
      <c r="E26" s="121"/>
      <c r="F26" s="99"/>
      <c r="G26" s="125" t="e">
        <f>SUM(G20:G24)</f>
        <v>#VALUE!</v>
      </c>
      <c r="H26" s="106"/>
      <c r="I26" s="106"/>
      <c r="J26" s="1"/>
      <c r="K26" s="28">
        <v>36770</v>
      </c>
      <c r="L26" s="18">
        <v>4.8247</v>
      </c>
      <c r="M26" s="36">
        <f t="shared" si="1"/>
        <v>4.8246999999999998E-2</v>
      </c>
    </row>
    <row r="27" spans="1:13" x14ac:dyDescent="0.2">
      <c r="A27" s="85"/>
      <c r="B27" s="120"/>
      <c r="C27" s="120"/>
      <c r="D27" s="120"/>
      <c r="E27" s="121"/>
      <c r="F27" s="95"/>
      <c r="G27" s="95"/>
      <c r="H27" s="95"/>
      <c r="I27" s="95"/>
      <c r="J27" s="1"/>
      <c r="K27" s="28">
        <v>36800</v>
      </c>
      <c r="L27" s="18">
        <v>4.7680999999999996</v>
      </c>
      <c r="M27" s="36">
        <f t="shared" si="0"/>
        <v>4.7680999999999994E-2</v>
      </c>
    </row>
    <row r="28" spans="1:13" x14ac:dyDescent="0.2">
      <c r="B28" s="126" t="s">
        <v>79</v>
      </c>
      <c r="C28" s="127" t="e">
        <f>(1+I20)*(1+I21)*(1+I22)*(1+I23)*(1+I24)^(A26/365)-1</f>
        <v>#VALUE!</v>
      </c>
      <c r="D28" s="95"/>
      <c r="E28" s="95"/>
      <c r="F28" s="95"/>
      <c r="G28" s="95"/>
      <c r="H28" s="95"/>
      <c r="I28" s="95"/>
      <c r="J28" s="1"/>
      <c r="K28" s="28">
        <v>36831</v>
      </c>
      <c r="L28" s="18">
        <v>4.8247</v>
      </c>
      <c r="M28" s="36">
        <f t="shared" si="0"/>
        <v>4.8246999999999998E-2</v>
      </c>
    </row>
    <row r="29" spans="1:13" x14ac:dyDescent="0.2">
      <c r="B29" s="95"/>
      <c r="C29" s="95"/>
      <c r="D29" s="128"/>
      <c r="E29" s="95"/>
      <c r="F29" s="95"/>
      <c r="G29" s="95"/>
      <c r="H29" s="95"/>
      <c r="I29" s="95"/>
      <c r="J29" s="1"/>
      <c r="K29" s="28">
        <v>36861</v>
      </c>
      <c r="L29" s="18">
        <v>4.8494000000000002</v>
      </c>
      <c r="M29" s="36">
        <f t="shared" si="0"/>
        <v>4.8494000000000002E-2</v>
      </c>
    </row>
    <row r="30" spans="1:13" x14ac:dyDescent="0.2">
      <c r="B30" s="95"/>
      <c r="C30" s="95"/>
      <c r="D30" s="128"/>
      <c r="E30" s="95"/>
      <c r="F30" s="95"/>
      <c r="G30" s="95"/>
      <c r="H30" s="95"/>
      <c r="I30" s="95"/>
      <c r="J30" s="1"/>
      <c r="K30" s="28">
        <v>36892</v>
      </c>
      <c r="L30" s="18">
        <v>4.7732000000000001</v>
      </c>
      <c r="M30" s="36">
        <f t="shared" si="0"/>
        <v>4.7732000000000004E-2</v>
      </c>
    </row>
    <row r="31" spans="1:13" x14ac:dyDescent="0.2">
      <c r="B31" s="95"/>
      <c r="C31" s="95"/>
      <c r="D31" s="95"/>
      <c r="E31" s="95"/>
      <c r="F31" s="95"/>
      <c r="G31" s="95"/>
      <c r="H31" s="95"/>
      <c r="I31" s="95"/>
      <c r="J31" s="1"/>
      <c r="K31" s="28">
        <v>36923</v>
      </c>
      <c r="L31" s="18">
        <v>4.9679000000000002</v>
      </c>
      <c r="M31" s="36">
        <f t="shared" si="0"/>
        <v>4.9679000000000001E-2</v>
      </c>
    </row>
    <row r="32" spans="1:13" x14ac:dyDescent="0.2">
      <c r="B32" s="95"/>
      <c r="C32" s="95"/>
      <c r="D32" s="95"/>
      <c r="E32" s="95"/>
      <c r="F32" s="95"/>
      <c r="G32" s="95"/>
      <c r="H32" s="95"/>
      <c r="I32" s="95"/>
      <c r="J32" s="1"/>
      <c r="K32" s="28">
        <v>36951</v>
      </c>
      <c r="L32" s="18">
        <v>4.7676999999999996</v>
      </c>
      <c r="M32" s="36">
        <f t="shared" si="0"/>
        <v>4.7676999999999997E-2</v>
      </c>
    </row>
    <row r="33" spans="2:13" x14ac:dyDescent="0.2">
      <c r="B33" s="95" t="s">
        <v>73</v>
      </c>
      <c r="C33" s="95"/>
      <c r="D33" s="95"/>
      <c r="E33" s="95" t="s">
        <v>74</v>
      </c>
      <c r="F33" s="95"/>
      <c r="G33" s="95"/>
      <c r="H33" s="95" t="s">
        <v>75</v>
      </c>
      <c r="I33" s="95"/>
      <c r="J33" s="1"/>
      <c r="K33" s="28">
        <v>36982</v>
      </c>
      <c r="L33" s="18">
        <v>5.1369999999999996</v>
      </c>
      <c r="M33" s="36">
        <f t="shared" si="0"/>
        <v>5.1369999999999999E-2</v>
      </c>
    </row>
    <row r="34" spans="2:13" x14ac:dyDescent="0.2">
      <c r="B34" s="95"/>
      <c r="C34" s="95"/>
      <c r="D34" s="95"/>
      <c r="E34" s="95"/>
      <c r="F34" s="95"/>
      <c r="G34" s="95"/>
      <c r="H34" s="95"/>
      <c r="I34" s="95"/>
      <c r="J34" s="1"/>
      <c r="K34" s="28">
        <v>37012</v>
      </c>
      <c r="L34" s="18">
        <v>4.6565000000000003</v>
      </c>
      <c r="M34" s="36">
        <f t="shared" si="0"/>
        <v>4.6565000000000002E-2</v>
      </c>
    </row>
    <row r="35" spans="2:13" ht="15.75" x14ac:dyDescent="0.25">
      <c r="B35" s="129" t="s">
        <v>19</v>
      </c>
      <c r="C35" s="129" t="s">
        <v>17</v>
      </c>
      <c r="D35" s="95"/>
      <c r="E35" s="129" t="s">
        <v>19</v>
      </c>
      <c r="F35" s="129" t="s">
        <v>17</v>
      </c>
      <c r="G35" s="95"/>
      <c r="H35" s="129" t="s">
        <v>19</v>
      </c>
      <c r="I35" s="129" t="s">
        <v>17</v>
      </c>
      <c r="J35" s="1"/>
      <c r="K35" s="28">
        <v>37043</v>
      </c>
      <c r="L35" s="18">
        <v>4.5483000000000002</v>
      </c>
      <c r="M35" s="36">
        <f t="shared" si="0"/>
        <v>4.5483000000000003E-2</v>
      </c>
    </row>
    <row r="36" spans="2:13" x14ac:dyDescent="0.2">
      <c r="B36" s="130" t="e">
        <f>DATE(YEAR(C20),MONTH(C20)-1,DAY(C20))</f>
        <v>#VALUE!</v>
      </c>
      <c r="C36" s="131" t="e">
        <f>VLOOKUP(B36,$K$6:M209,3)</f>
        <v>#VALUE!</v>
      </c>
      <c r="D36" s="95"/>
      <c r="E36" s="130" t="e">
        <f>DATE(YEAR(C21),MONTH(C21)-1,DAY(C21))</f>
        <v>#VALUE!</v>
      </c>
      <c r="F36" s="131" t="e">
        <f>VLOOKUP(E36,$K$6:M209,3)</f>
        <v>#VALUE!</v>
      </c>
      <c r="G36" s="95"/>
      <c r="H36" s="130" t="e">
        <f>DATE(YEAR(C22),MONTH(C22)-1,DAY(C22))</f>
        <v>#VALUE!</v>
      </c>
      <c r="I36" s="131" t="e">
        <f>VLOOKUP(H36,$K$6:$M$245,3)</f>
        <v>#VALUE!</v>
      </c>
      <c r="J36" s="1"/>
      <c r="K36" s="28">
        <v>37073</v>
      </c>
      <c r="L36" s="18">
        <v>4.5045000000000002</v>
      </c>
      <c r="M36" s="36">
        <f t="shared" si="0"/>
        <v>4.5045000000000002E-2</v>
      </c>
    </row>
    <row r="37" spans="2:13" x14ac:dyDescent="0.2">
      <c r="B37" s="130" t="e">
        <f t="shared" ref="B37:B47" si="2">DATE(YEAR(B36),MONTH(B36)-1,DAY(B36))</f>
        <v>#VALUE!</v>
      </c>
      <c r="C37" s="131" t="e">
        <f>VLOOKUP(B37,$K$6:M210,3)</f>
        <v>#VALUE!</v>
      </c>
      <c r="D37" s="95"/>
      <c r="E37" s="130" t="e">
        <f t="shared" ref="E37:E47" si="3">DATE(YEAR(E36),MONTH(E36)-1,DAY(E36))</f>
        <v>#VALUE!</v>
      </c>
      <c r="F37" s="131" t="e">
        <f>VLOOKUP(E37,$K$6:M210,3)</f>
        <v>#VALUE!</v>
      </c>
      <c r="G37" s="95"/>
      <c r="H37" s="130" t="e">
        <f t="shared" ref="H37:H47" si="4">DATE(YEAR(H36),MONTH(H36)-1,DAY(H36))</f>
        <v>#VALUE!</v>
      </c>
      <c r="I37" s="131" t="e">
        <f t="shared" ref="I37:I47" si="5">VLOOKUP(H37,$K$6:$M$245,3)</f>
        <v>#VALUE!</v>
      </c>
      <c r="J37" s="1"/>
      <c r="K37" s="28">
        <v>37104</v>
      </c>
      <c r="L37" s="18">
        <v>4.4973999999999998</v>
      </c>
      <c r="M37" s="36">
        <f t="shared" si="0"/>
        <v>4.4974E-2</v>
      </c>
    </row>
    <row r="38" spans="2:13" x14ac:dyDescent="0.2">
      <c r="B38" s="130" t="e">
        <f t="shared" si="2"/>
        <v>#VALUE!</v>
      </c>
      <c r="C38" s="131" t="e">
        <f>VLOOKUP(B38,$K$6:M211,3)</f>
        <v>#VALUE!</v>
      </c>
      <c r="D38" s="95"/>
      <c r="E38" s="130" t="e">
        <f t="shared" si="3"/>
        <v>#VALUE!</v>
      </c>
      <c r="F38" s="131" t="e">
        <f>VLOOKUP(E38,$K$6:M211,3)</f>
        <v>#VALUE!</v>
      </c>
      <c r="G38" s="95"/>
      <c r="H38" s="130" t="e">
        <f t="shared" si="4"/>
        <v>#VALUE!</v>
      </c>
      <c r="I38" s="131" t="e">
        <f t="shared" si="5"/>
        <v>#VALUE!</v>
      </c>
      <c r="J38" s="1"/>
      <c r="K38" s="28">
        <v>37135</v>
      </c>
      <c r="L38" s="18">
        <v>3.9803000000000002</v>
      </c>
      <c r="M38" s="36">
        <f t="shared" ref="M38:M69" si="6">L38/100</f>
        <v>3.9803000000000005E-2</v>
      </c>
    </row>
    <row r="39" spans="2:13" x14ac:dyDescent="0.2">
      <c r="B39" s="130" t="e">
        <f t="shared" si="2"/>
        <v>#VALUE!</v>
      </c>
      <c r="C39" s="131" t="e">
        <f>VLOOKUP(B39,$K$6:M212,3)</f>
        <v>#VALUE!</v>
      </c>
      <c r="D39" s="95"/>
      <c r="E39" s="130" t="e">
        <f t="shared" si="3"/>
        <v>#VALUE!</v>
      </c>
      <c r="F39" s="131" t="e">
        <f>VLOOKUP(E39,$K$6:M212,3)</f>
        <v>#VALUE!</v>
      </c>
      <c r="G39" s="95"/>
      <c r="H39" s="130" t="e">
        <f t="shared" si="4"/>
        <v>#VALUE!</v>
      </c>
      <c r="I39" s="131" t="e">
        <f t="shared" si="5"/>
        <v>#VALUE!</v>
      </c>
      <c r="J39" s="1"/>
      <c r="K39" s="28">
        <v>37165</v>
      </c>
      <c r="L39" s="18">
        <v>3.9832000000000001</v>
      </c>
      <c r="M39" s="36">
        <f t="shared" si="6"/>
        <v>3.9831999999999999E-2</v>
      </c>
    </row>
    <row r="40" spans="2:13" x14ac:dyDescent="0.2">
      <c r="B40" s="130" t="e">
        <f t="shared" si="2"/>
        <v>#VALUE!</v>
      </c>
      <c r="C40" s="131" t="e">
        <f>VLOOKUP(B40,$K$6:M213,3)</f>
        <v>#VALUE!</v>
      </c>
      <c r="D40" s="95"/>
      <c r="E40" s="130" t="e">
        <f t="shared" si="3"/>
        <v>#VALUE!</v>
      </c>
      <c r="F40" s="131" t="e">
        <f>VLOOKUP(E40,$K$6:M213,3)</f>
        <v>#VALUE!</v>
      </c>
      <c r="G40" s="95"/>
      <c r="H40" s="130" t="e">
        <f t="shared" si="4"/>
        <v>#VALUE!</v>
      </c>
      <c r="I40" s="131" t="e">
        <f t="shared" si="5"/>
        <v>#VALUE!</v>
      </c>
      <c r="J40" s="1"/>
      <c r="K40" s="28">
        <v>37196</v>
      </c>
      <c r="L40" s="18">
        <v>3.5179999999999998</v>
      </c>
      <c r="M40" s="36">
        <f t="shared" si="6"/>
        <v>3.5179999999999996E-2</v>
      </c>
    </row>
    <row r="41" spans="2:13" x14ac:dyDescent="0.2">
      <c r="B41" s="130" t="e">
        <f t="shared" si="2"/>
        <v>#VALUE!</v>
      </c>
      <c r="C41" s="131" t="e">
        <f>VLOOKUP(B41,$K$6:M214,3)</f>
        <v>#VALUE!</v>
      </c>
      <c r="D41" s="95"/>
      <c r="E41" s="130" t="e">
        <f t="shared" si="3"/>
        <v>#VALUE!</v>
      </c>
      <c r="F41" s="131" t="e">
        <f>VLOOKUP(E41,$K$6:M214,3)</f>
        <v>#VALUE!</v>
      </c>
      <c r="G41" s="95"/>
      <c r="H41" s="130" t="e">
        <f t="shared" si="4"/>
        <v>#VALUE!</v>
      </c>
      <c r="I41" s="131" t="e">
        <f t="shared" si="5"/>
        <v>#VALUE!</v>
      </c>
      <c r="J41" s="1"/>
      <c r="K41" s="28">
        <v>37226</v>
      </c>
      <c r="L41" s="18">
        <v>3.3752</v>
      </c>
      <c r="M41" s="36">
        <f t="shared" si="6"/>
        <v>3.3751999999999997E-2</v>
      </c>
    </row>
    <row r="42" spans="2:13" x14ac:dyDescent="0.2">
      <c r="B42" s="130" t="e">
        <f t="shared" si="2"/>
        <v>#VALUE!</v>
      </c>
      <c r="C42" s="131" t="e">
        <f>VLOOKUP(B42,$K$6:M215,3)</f>
        <v>#VALUE!</v>
      </c>
      <c r="D42" s="95"/>
      <c r="E42" s="130" t="e">
        <f t="shared" si="3"/>
        <v>#VALUE!</v>
      </c>
      <c r="F42" s="131" t="e">
        <f>VLOOKUP(E42,$K$6:M215,3)</f>
        <v>#VALUE!</v>
      </c>
      <c r="G42" s="95"/>
      <c r="H42" s="130" t="e">
        <f t="shared" si="4"/>
        <v>#VALUE!</v>
      </c>
      <c r="I42" s="131" t="e">
        <f t="shared" si="5"/>
        <v>#VALUE!</v>
      </c>
      <c r="J42" s="1"/>
      <c r="K42" s="28">
        <v>37257</v>
      </c>
      <c r="L42" s="18">
        <v>3.3287</v>
      </c>
      <c r="M42" s="36">
        <f t="shared" si="6"/>
        <v>3.3286999999999997E-2</v>
      </c>
    </row>
    <row r="43" spans="2:13" x14ac:dyDescent="0.2">
      <c r="B43" s="130" t="e">
        <f t="shared" si="2"/>
        <v>#VALUE!</v>
      </c>
      <c r="C43" s="131" t="e">
        <f>VLOOKUP(B43,$K$6:M216,3)</f>
        <v>#VALUE!</v>
      </c>
      <c r="D43" s="95"/>
      <c r="E43" s="130" t="e">
        <f t="shared" si="3"/>
        <v>#VALUE!</v>
      </c>
      <c r="F43" s="131" t="e">
        <f>VLOOKUP(E43,$K$6:M216,3)</f>
        <v>#VALUE!</v>
      </c>
      <c r="G43" s="95"/>
      <c r="H43" s="130" t="e">
        <f t="shared" si="4"/>
        <v>#VALUE!</v>
      </c>
      <c r="I43" s="131" t="e">
        <f t="shared" si="5"/>
        <v>#VALUE!</v>
      </c>
      <c r="J43" s="1"/>
      <c r="K43" s="28">
        <v>37288</v>
      </c>
      <c r="L43" s="18">
        <v>3.2829000000000002</v>
      </c>
      <c r="M43" s="36">
        <f t="shared" si="6"/>
        <v>3.2829000000000004E-2</v>
      </c>
    </row>
    <row r="44" spans="2:13" x14ac:dyDescent="0.2">
      <c r="B44" s="130" t="e">
        <f t="shared" si="2"/>
        <v>#VALUE!</v>
      </c>
      <c r="C44" s="131" t="e">
        <f>VLOOKUP(B44,$K$6:M217,3)</f>
        <v>#VALUE!</v>
      </c>
      <c r="D44" s="95"/>
      <c r="E44" s="130" t="e">
        <f t="shared" si="3"/>
        <v>#VALUE!</v>
      </c>
      <c r="F44" s="131" t="e">
        <f>VLOOKUP(E44,$K$6:M217,3)</f>
        <v>#VALUE!</v>
      </c>
      <c r="G44" s="95"/>
      <c r="H44" s="130" t="e">
        <f t="shared" si="4"/>
        <v>#VALUE!</v>
      </c>
      <c r="I44" s="131" t="e">
        <f t="shared" si="5"/>
        <v>#VALUE!</v>
      </c>
      <c r="J44" s="1"/>
      <c r="K44" s="28">
        <v>37316</v>
      </c>
      <c r="L44" s="18">
        <v>3.2789999999999999</v>
      </c>
      <c r="M44" s="36">
        <f t="shared" si="6"/>
        <v>3.279E-2</v>
      </c>
    </row>
    <row r="45" spans="2:13" x14ac:dyDescent="0.2">
      <c r="B45" s="130" t="e">
        <f t="shared" si="2"/>
        <v>#VALUE!</v>
      </c>
      <c r="C45" s="131" t="e">
        <f>VLOOKUP(B45,$K$6:M218,3)</f>
        <v>#VALUE!</v>
      </c>
      <c r="D45" s="95"/>
      <c r="E45" s="130" t="e">
        <f t="shared" si="3"/>
        <v>#VALUE!</v>
      </c>
      <c r="F45" s="131" t="e">
        <f>VLOOKUP(E45,$K$6:M218,3)</f>
        <v>#VALUE!</v>
      </c>
      <c r="G45" s="95"/>
      <c r="H45" s="130" t="e">
        <f t="shared" si="4"/>
        <v>#VALUE!</v>
      </c>
      <c r="I45" s="131" t="e">
        <f t="shared" si="5"/>
        <v>#VALUE!</v>
      </c>
      <c r="J45" s="1"/>
      <c r="K45" s="28">
        <v>37347</v>
      </c>
      <c r="L45" s="18">
        <v>3.3109999999999999</v>
      </c>
      <c r="M45" s="36">
        <f t="shared" si="6"/>
        <v>3.3110000000000001E-2</v>
      </c>
    </row>
    <row r="46" spans="2:13" x14ac:dyDescent="0.2">
      <c r="B46" s="130" t="e">
        <f t="shared" si="2"/>
        <v>#VALUE!</v>
      </c>
      <c r="C46" s="131" t="e">
        <f>VLOOKUP(B46,$K$6:M219,3)</f>
        <v>#VALUE!</v>
      </c>
      <c r="D46" s="95"/>
      <c r="E46" s="130" t="e">
        <f t="shared" si="3"/>
        <v>#VALUE!</v>
      </c>
      <c r="F46" s="131" t="e">
        <f>VLOOKUP(E46,$K$6:M219,3)</f>
        <v>#VALUE!</v>
      </c>
      <c r="G46" s="95"/>
      <c r="H46" s="130" t="e">
        <f t="shared" si="4"/>
        <v>#VALUE!</v>
      </c>
      <c r="I46" s="131" t="e">
        <f t="shared" si="5"/>
        <v>#VALUE!</v>
      </c>
      <c r="J46" s="1"/>
      <c r="K46" s="28">
        <v>37377</v>
      </c>
      <c r="L46" s="18">
        <v>3.3123</v>
      </c>
      <c r="M46" s="36">
        <f t="shared" si="6"/>
        <v>3.3123E-2</v>
      </c>
    </row>
    <row r="47" spans="2:13" x14ac:dyDescent="0.2">
      <c r="B47" s="130" t="e">
        <f t="shared" si="2"/>
        <v>#VALUE!</v>
      </c>
      <c r="C47" s="131" t="e">
        <f>VLOOKUP(B47,$K$6:M220,3)</f>
        <v>#VALUE!</v>
      </c>
      <c r="D47" s="95"/>
      <c r="E47" s="130" t="e">
        <f t="shared" si="3"/>
        <v>#VALUE!</v>
      </c>
      <c r="F47" s="131" t="e">
        <f>VLOOKUP(E47,$K$6:M220,3)</f>
        <v>#VALUE!</v>
      </c>
      <c r="G47" s="95"/>
      <c r="H47" s="130" t="e">
        <f t="shared" si="4"/>
        <v>#VALUE!</v>
      </c>
      <c r="I47" s="131" t="e">
        <f t="shared" si="5"/>
        <v>#VALUE!</v>
      </c>
      <c r="J47" s="1"/>
      <c r="K47" s="28">
        <v>37408</v>
      </c>
      <c r="L47" s="18">
        <v>3.3702999999999999</v>
      </c>
      <c r="M47" s="36">
        <f t="shared" si="6"/>
        <v>3.3702999999999997E-2</v>
      </c>
    </row>
    <row r="48" spans="2:13" x14ac:dyDescent="0.2">
      <c r="B48" s="95"/>
      <c r="C48" s="95"/>
      <c r="D48" s="95"/>
      <c r="E48" s="95"/>
      <c r="F48" s="95"/>
      <c r="G48" s="99"/>
      <c r="H48" s="95"/>
      <c r="I48" s="95"/>
      <c r="J48" s="1"/>
      <c r="K48" s="28">
        <v>37438</v>
      </c>
      <c r="L48" s="18">
        <v>3.2980999999999998</v>
      </c>
      <c r="M48" s="36">
        <f t="shared" si="6"/>
        <v>3.2980999999999996E-2</v>
      </c>
    </row>
    <row r="49" spans="2:18" x14ac:dyDescent="0.2">
      <c r="B49" s="132" t="s">
        <v>22</v>
      </c>
      <c r="C49" s="133" t="e">
        <f>AVERAGE(C36:C47)</f>
        <v>#VALUE!</v>
      </c>
      <c r="D49" s="95"/>
      <c r="E49" s="132" t="s">
        <v>22</v>
      </c>
      <c r="F49" s="133" t="e">
        <f>AVERAGE(F36:F47)</f>
        <v>#VALUE!</v>
      </c>
      <c r="G49" s="99"/>
      <c r="H49" s="132" t="s">
        <v>22</v>
      </c>
      <c r="I49" s="133" t="e">
        <f>AVERAGE(I36:I47)</f>
        <v>#VALUE!</v>
      </c>
      <c r="J49" s="1"/>
      <c r="K49" s="28">
        <v>37469</v>
      </c>
      <c r="L49" s="18">
        <v>3.2934999999999999</v>
      </c>
      <c r="M49" s="36">
        <f t="shared" si="6"/>
        <v>3.2934999999999999E-2</v>
      </c>
    </row>
    <row r="50" spans="2:18" x14ac:dyDescent="0.2">
      <c r="B50" s="132" t="s">
        <v>23</v>
      </c>
      <c r="C50" s="133" t="e">
        <f>C49-1%</f>
        <v>#VALUE!</v>
      </c>
      <c r="D50" s="95"/>
      <c r="E50" s="132" t="s">
        <v>23</v>
      </c>
      <c r="F50" s="133" t="e">
        <f>F49-1%</f>
        <v>#VALUE!</v>
      </c>
      <c r="G50" s="99"/>
      <c r="H50" s="132" t="s">
        <v>23</v>
      </c>
      <c r="I50" s="133" t="e">
        <f>I49-1%</f>
        <v>#VALUE!</v>
      </c>
      <c r="K50" s="28">
        <v>37500</v>
      </c>
      <c r="L50" s="18">
        <v>3.31</v>
      </c>
      <c r="M50" s="36">
        <f t="shared" si="6"/>
        <v>3.3099999999999997E-2</v>
      </c>
    </row>
    <row r="51" spans="2:18" ht="15.75" x14ac:dyDescent="0.25">
      <c r="B51" s="134" t="s">
        <v>24</v>
      </c>
      <c r="C51" s="135" t="e">
        <f>IF($C$50&gt;=0.5%,$C$50,0.5%)</f>
        <v>#VALUE!</v>
      </c>
      <c r="D51" s="95"/>
      <c r="E51" s="134" t="s">
        <v>24</v>
      </c>
      <c r="F51" s="135" t="e">
        <f>IF($F$50&gt;=0.5%,$F$50,0.5%)</f>
        <v>#VALUE!</v>
      </c>
      <c r="G51" s="99"/>
      <c r="H51" s="134" t="s">
        <v>24</v>
      </c>
      <c r="I51" s="135" t="e">
        <f>IF($I$50&gt;=0.5%,$I$50,0.5%)</f>
        <v>#VALUE!</v>
      </c>
      <c r="K51" s="28">
        <v>37530</v>
      </c>
      <c r="L51" s="18">
        <v>3.2976999999999999</v>
      </c>
      <c r="M51" s="36">
        <f t="shared" si="6"/>
        <v>3.2976999999999999E-2</v>
      </c>
    </row>
    <row r="52" spans="2:18" ht="15.75" thickBot="1" x14ac:dyDescent="0.25">
      <c r="B52" s="95"/>
      <c r="C52" s="95"/>
      <c r="D52" s="95"/>
      <c r="E52" s="95"/>
      <c r="F52" s="95"/>
      <c r="G52" s="136"/>
      <c r="H52" s="95"/>
      <c r="I52" s="95"/>
      <c r="K52" s="28">
        <v>37561</v>
      </c>
      <c r="L52" s="18">
        <v>3.3170000000000002</v>
      </c>
      <c r="M52" s="36">
        <f t="shared" si="6"/>
        <v>3.3170000000000005E-2</v>
      </c>
    </row>
    <row r="53" spans="2:18" x14ac:dyDescent="0.2">
      <c r="B53" s="137" t="s">
        <v>42</v>
      </c>
      <c r="C53" s="138" t="s">
        <v>43</v>
      </c>
      <c r="D53" s="95"/>
      <c r="E53" s="137" t="s">
        <v>42</v>
      </c>
      <c r="F53" s="138" t="s">
        <v>43</v>
      </c>
      <c r="G53" s="136"/>
      <c r="H53" s="137" t="s">
        <v>42</v>
      </c>
      <c r="I53" s="138" t="s">
        <v>43</v>
      </c>
      <c r="K53" s="28">
        <v>37591</v>
      </c>
      <c r="L53" s="18">
        <v>3.0971000000000002</v>
      </c>
      <c r="M53" s="36">
        <f t="shared" si="6"/>
        <v>3.0971000000000002E-2</v>
      </c>
    </row>
    <row r="54" spans="2:18" ht="15.75" x14ac:dyDescent="0.25">
      <c r="B54" s="139" t="e">
        <f>C51</f>
        <v>#VALUE!</v>
      </c>
      <c r="C54" s="140" t="e">
        <f>(1+B54)^(1/365)</f>
        <v>#VALUE!</v>
      </c>
      <c r="D54" s="95"/>
      <c r="E54" s="139" t="e">
        <f>F51</f>
        <v>#VALUE!</v>
      </c>
      <c r="F54" s="140" t="e">
        <f>(1+E54)^(1/365)</f>
        <v>#VALUE!</v>
      </c>
      <c r="G54" s="136"/>
      <c r="H54" s="139" t="e">
        <f>I51</f>
        <v>#VALUE!</v>
      </c>
      <c r="I54" s="140" t="e">
        <f>(1+H54)^(1/365)</f>
        <v>#VALUE!</v>
      </c>
      <c r="J54"/>
      <c r="K54" s="28">
        <v>37622</v>
      </c>
      <c r="L54" s="18">
        <v>2.8197000000000001</v>
      </c>
      <c r="M54" s="36">
        <f t="shared" si="6"/>
        <v>2.8197E-2</v>
      </c>
      <c r="N54"/>
      <c r="O54"/>
      <c r="P54"/>
      <c r="Q54"/>
      <c r="R54"/>
    </row>
    <row r="55" spans="2:18" x14ac:dyDescent="0.2">
      <c r="B55" s="95"/>
      <c r="C55" s="95"/>
      <c r="D55" s="95"/>
      <c r="E55" s="95"/>
      <c r="F55" s="95"/>
      <c r="G55" s="136"/>
      <c r="H55" s="99"/>
      <c r="I55" s="99"/>
      <c r="J55"/>
      <c r="K55" s="28">
        <v>37653</v>
      </c>
      <c r="L55" s="18">
        <v>2.7461000000000002</v>
      </c>
      <c r="M55" s="36">
        <f t="shared" si="6"/>
        <v>2.7461000000000003E-2</v>
      </c>
      <c r="N55"/>
      <c r="O55"/>
      <c r="P55"/>
      <c r="Q55"/>
      <c r="R55"/>
    </row>
    <row r="56" spans="2:18" x14ac:dyDescent="0.2">
      <c r="B56" s="95"/>
      <c r="C56" s="95"/>
      <c r="D56" s="95"/>
      <c r="E56" s="95"/>
      <c r="F56" s="95"/>
      <c r="G56" s="136"/>
      <c r="H56" s="99"/>
      <c r="I56" s="99"/>
      <c r="J56"/>
      <c r="K56" s="28">
        <v>37681</v>
      </c>
      <c r="L56" s="18">
        <v>2.7576999999999998</v>
      </c>
      <c r="M56" s="36">
        <f t="shared" si="6"/>
        <v>2.7576999999999997E-2</v>
      </c>
      <c r="N56"/>
      <c r="O56"/>
      <c r="P56"/>
      <c r="Q56"/>
      <c r="R56"/>
    </row>
    <row r="57" spans="2:18" x14ac:dyDescent="0.2">
      <c r="B57" s="95"/>
      <c r="C57" s="95"/>
      <c r="D57" s="95"/>
      <c r="E57" s="95"/>
      <c r="F57" s="95"/>
      <c r="G57" s="136"/>
      <c r="H57" s="99"/>
      <c r="I57" s="99"/>
      <c r="J57"/>
      <c r="K57" s="28">
        <v>37712</v>
      </c>
      <c r="L57" s="18">
        <v>2.5676999999999999</v>
      </c>
      <c r="M57" s="36">
        <f t="shared" si="6"/>
        <v>2.5676999999999998E-2</v>
      </c>
      <c r="N57"/>
      <c r="O57"/>
      <c r="P57"/>
      <c r="Q57"/>
      <c r="R57"/>
    </row>
    <row r="58" spans="2:18" x14ac:dyDescent="0.2">
      <c r="G58"/>
      <c r="J58"/>
      <c r="K58" s="28">
        <v>37742</v>
      </c>
      <c r="L58" s="18">
        <v>2.5396999999999998</v>
      </c>
      <c r="M58" s="36">
        <f t="shared" si="6"/>
        <v>2.5396999999999999E-2</v>
      </c>
      <c r="N58"/>
      <c r="O58"/>
      <c r="P58"/>
      <c r="Q58"/>
      <c r="R58"/>
    </row>
    <row r="59" spans="2:18" x14ac:dyDescent="0.2">
      <c r="G59"/>
      <c r="J59"/>
      <c r="K59" s="28">
        <v>37773</v>
      </c>
      <c r="L59" s="18">
        <v>2.2103000000000002</v>
      </c>
      <c r="M59" s="36">
        <f t="shared" si="6"/>
        <v>2.2103000000000001E-2</v>
      </c>
      <c r="N59"/>
      <c r="O59"/>
      <c r="P59"/>
      <c r="Q59"/>
      <c r="R59"/>
    </row>
    <row r="60" spans="2:18" x14ac:dyDescent="0.2">
      <c r="B60" s="1" t="s">
        <v>76</v>
      </c>
      <c r="E60" s="1" t="s">
        <v>77</v>
      </c>
      <c r="G60" s="78"/>
      <c r="J60"/>
      <c r="K60" s="28">
        <v>37803</v>
      </c>
      <c r="L60" s="18">
        <v>2.08</v>
      </c>
      <c r="M60" s="36">
        <f t="shared" si="6"/>
        <v>2.0799999999999999E-2</v>
      </c>
      <c r="N60"/>
      <c r="O60"/>
      <c r="P60"/>
      <c r="Q60"/>
      <c r="R60"/>
    </row>
    <row r="61" spans="2:18" x14ac:dyDescent="0.2">
      <c r="G61"/>
      <c r="J61"/>
      <c r="K61" s="28">
        <v>37834</v>
      </c>
      <c r="L61" s="18">
        <v>2.1181000000000001</v>
      </c>
      <c r="M61" s="36">
        <f t="shared" si="6"/>
        <v>2.1181000000000002E-2</v>
      </c>
      <c r="N61"/>
      <c r="O61"/>
      <c r="P61"/>
      <c r="Q61"/>
      <c r="R61"/>
    </row>
    <row r="62" spans="2:18" ht="15.75" x14ac:dyDescent="0.25">
      <c r="B62" s="39" t="s">
        <v>19</v>
      </c>
      <c r="C62" s="39" t="s">
        <v>17</v>
      </c>
      <c r="E62" s="39" t="s">
        <v>19</v>
      </c>
      <c r="F62" s="39" t="s">
        <v>17</v>
      </c>
      <c r="G62"/>
      <c r="J62"/>
      <c r="K62" s="28">
        <v>37865</v>
      </c>
      <c r="L62" s="18">
        <v>2.0253000000000001</v>
      </c>
      <c r="M62" s="36">
        <f t="shared" si="6"/>
        <v>2.0253E-2</v>
      </c>
      <c r="N62"/>
      <c r="O62"/>
      <c r="P62"/>
      <c r="Q62"/>
      <c r="R62"/>
    </row>
    <row r="63" spans="2:18" x14ac:dyDescent="0.2">
      <c r="B63" s="40" t="e">
        <f>DATE(YEAR(C23),MONTH(C23)-1,DAY(C23))</f>
        <v>#VALUE!</v>
      </c>
      <c r="C63" s="131" t="e">
        <f>VLOOKUP(B63,$K$6:$M$245,3)</f>
        <v>#VALUE!</v>
      </c>
      <c r="E63" s="40" t="e">
        <f>DATE(YEAR(C24),MONTH(C24)-1,DAY(C24))</f>
        <v>#VALUE!</v>
      </c>
      <c r="F63" s="131" t="e">
        <f>VLOOKUP(E63,$K$6:$M$245,3)</f>
        <v>#VALUE!</v>
      </c>
      <c r="G63"/>
      <c r="J63"/>
      <c r="K63" s="28">
        <v>37895</v>
      </c>
      <c r="L63" s="18">
        <v>2.0226000000000002</v>
      </c>
      <c r="M63" s="36">
        <f t="shared" si="6"/>
        <v>2.0226000000000001E-2</v>
      </c>
      <c r="N63"/>
      <c r="O63"/>
      <c r="P63"/>
      <c r="Q63"/>
      <c r="R63"/>
    </row>
    <row r="64" spans="2:18" x14ac:dyDescent="0.2">
      <c r="B64" s="40" t="e">
        <f t="shared" ref="B64:B74" si="7">DATE(YEAR(B63),MONTH(B63)-1,DAY(B63))</f>
        <v>#VALUE!</v>
      </c>
      <c r="C64" s="131" t="e">
        <f t="shared" ref="C64:C74" si="8">VLOOKUP(B64,$K$6:$M$245,3)</f>
        <v>#VALUE!</v>
      </c>
      <c r="E64" s="40" t="e">
        <f t="shared" ref="E64:E74" si="9">DATE(YEAR(E63),MONTH(E63)-1,DAY(E63))</f>
        <v>#VALUE!</v>
      </c>
      <c r="F64" s="131" t="e">
        <f t="shared" ref="F64:F74" si="10">VLOOKUP(E64,$K$6:$M$245,3)</f>
        <v>#VALUE!</v>
      </c>
      <c r="G64"/>
      <c r="J64"/>
      <c r="K64" s="28">
        <v>37926</v>
      </c>
      <c r="L64" s="18">
        <v>1.9553</v>
      </c>
      <c r="M64" s="36">
        <f t="shared" si="6"/>
        <v>1.9553000000000001E-2</v>
      </c>
      <c r="N64"/>
      <c r="O64"/>
      <c r="P64"/>
      <c r="Q64"/>
      <c r="R64"/>
    </row>
    <row r="65" spans="2:18" x14ac:dyDescent="0.2">
      <c r="B65" s="40" t="e">
        <f t="shared" si="7"/>
        <v>#VALUE!</v>
      </c>
      <c r="C65" s="131" t="e">
        <f t="shared" si="8"/>
        <v>#VALUE!</v>
      </c>
      <c r="E65" s="40" t="e">
        <f t="shared" si="9"/>
        <v>#VALUE!</v>
      </c>
      <c r="F65" s="131" t="e">
        <f t="shared" si="10"/>
        <v>#VALUE!</v>
      </c>
      <c r="G65"/>
      <c r="J65"/>
      <c r="K65" s="28">
        <v>37956</v>
      </c>
      <c r="L65" s="18">
        <v>2.0558000000000001</v>
      </c>
      <c r="M65" s="36">
        <f t="shared" si="6"/>
        <v>2.0558E-2</v>
      </c>
      <c r="N65"/>
      <c r="O65"/>
      <c r="P65"/>
      <c r="Q65"/>
      <c r="R65"/>
    </row>
    <row r="66" spans="2:18" x14ac:dyDescent="0.2">
      <c r="B66" s="40" t="e">
        <f t="shared" si="7"/>
        <v>#VALUE!</v>
      </c>
      <c r="C66" s="131" t="e">
        <f t="shared" si="8"/>
        <v>#VALUE!</v>
      </c>
      <c r="E66" s="40" t="e">
        <f t="shared" si="9"/>
        <v>#VALUE!</v>
      </c>
      <c r="F66" s="131" t="e">
        <f t="shared" si="10"/>
        <v>#VALUE!</v>
      </c>
      <c r="G66"/>
      <c r="J66"/>
      <c r="K66" s="28">
        <v>37987</v>
      </c>
      <c r="L66" s="18">
        <v>2.0247999999999999</v>
      </c>
      <c r="M66" s="36">
        <f t="shared" si="6"/>
        <v>2.0247999999999999E-2</v>
      </c>
      <c r="N66"/>
      <c r="O66"/>
      <c r="P66"/>
      <c r="Q66"/>
      <c r="R66"/>
    </row>
    <row r="67" spans="2:18" x14ac:dyDescent="0.2">
      <c r="B67" s="40" t="e">
        <f t="shared" si="7"/>
        <v>#VALUE!</v>
      </c>
      <c r="C67" s="131" t="e">
        <f t="shared" si="8"/>
        <v>#VALUE!</v>
      </c>
      <c r="E67" s="40" t="e">
        <f t="shared" si="9"/>
        <v>#VALUE!</v>
      </c>
      <c r="F67" s="131" t="e">
        <f t="shared" si="10"/>
        <v>#VALUE!</v>
      </c>
      <c r="G67"/>
      <c r="J67"/>
      <c r="K67" s="28">
        <v>38018</v>
      </c>
      <c r="L67" s="18">
        <v>2.0333999999999999</v>
      </c>
      <c r="M67" s="36">
        <f t="shared" si="6"/>
        <v>2.0333999999999998E-2</v>
      </c>
      <c r="N67"/>
      <c r="O67"/>
      <c r="P67"/>
      <c r="Q67"/>
      <c r="R67"/>
    </row>
    <row r="68" spans="2:18" x14ac:dyDescent="0.2">
      <c r="B68" s="40" t="e">
        <f t="shared" si="7"/>
        <v>#VALUE!</v>
      </c>
      <c r="C68" s="131" t="e">
        <f t="shared" si="8"/>
        <v>#VALUE!</v>
      </c>
      <c r="E68" s="40" t="e">
        <f t="shared" si="9"/>
        <v>#VALUE!</v>
      </c>
      <c r="F68" s="131" t="e">
        <f t="shared" si="10"/>
        <v>#VALUE!</v>
      </c>
      <c r="G68"/>
      <c r="J68"/>
      <c r="K68" s="28">
        <v>38047</v>
      </c>
      <c r="L68" s="18">
        <v>1.9984</v>
      </c>
      <c r="M68" s="36">
        <f t="shared" si="6"/>
        <v>1.9983999999999998E-2</v>
      </c>
      <c r="N68"/>
      <c r="O68"/>
      <c r="P68"/>
      <c r="Q68"/>
      <c r="R68"/>
    </row>
    <row r="69" spans="2:18" x14ac:dyDescent="0.2">
      <c r="B69" s="40" t="e">
        <f t="shared" si="7"/>
        <v>#VALUE!</v>
      </c>
      <c r="C69" s="131" t="e">
        <f t="shared" si="8"/>
        <v>#VALUE!</v>
      </c>
      <c r="E69" s="40" t="e">
        <f t="shared" si="9"/>
        <v>#VALUE!</v>
      </c>
      <c r="F69" s="131" t="e">
        <f t="shared" si="10"/>
        <v>#VALUE!</v>
      </c>
      <c r="G69"/>
      <c r="J69"/>
      <c r="K69" s="28">
        <v>38078</v>
      </c>
      <c r="L69" s="18">
        <v>2.0619999999999998</v>
      </c>
      <c r="M69" s="36">
        <f t="shared" si="6"/>
        <v>2.0619999999999999E-2</v>
      </c>
      <c r="N69"/>
      <c r="O69"/>
      <c r="P69"/>
      <c r="Q69"/>
      <c r="R69"/>
    </row>
    <row r="70" spans="2:18" x14ac:dyDescent="0.2">
      <c r="B70" s="40" t="e">
        <f t="shared" si="7"/>
        <v>#VALUE!</v>
      </c>
      <c r="C70" s="131" t="e">
        <f t="shared" si="8"/>
        <v>#VALUE!</v>
      </c>
      <c r="E70" s="40" t="e">
        <f t="shared" si="9"/>
        <v>#VALUE!</v>
      </c>
      <c r="F70" s="131" t="e">
        <f t="shared" si="10"/>
        <v>#VALUE!</v>
      </c>
      <c r="G70"/>
      <c r="J70"/>
      <c r="K70" s="28">
        <v>38108</v>
      </c>
      <c r="L70" s="18">
        <v>2.0097</v>
      </c>
      <c r="M70" s="36">
        <f t="shared" ref="M70:M101" si="11">L70/100</f>
        <v>2.0097E-2</v>
      </c>
      <c r="N70"/>
      <c r="O70"/>
      <c r="P70"/>
      <c r="Q70"/>
      <c r="R70"/>
    </row>
    <row r="71" spans="2:18" x14ac:dyDescent="0.2">
      <c r="B71" s="40" t="e">
        <f t="shared" si="7"/>
        <v>#VALUE!</v>
      </c>
      <c r="C71" s="131" t="e">
        <f t="shared" si="8"/>
        <v>#VALUE!</v>
      </c>
      <c r="E71" s="40" t="e">
        <f t="shared" si="9"/>
        <v>#VALUE!</v>
      </c>
      <c r="F71" s="131" t="e">
        <f t="shared" si="10"/>
        <v>#VALUE!</v>
      </c>
      <c r="G71"/>
      <c r="J71"/>
      <c r="K71" s="28">
        <v>38139</v>
      </c>
      <c r="L71" s="18">
        <v>2.0350000000000001</v>
      </c>
      <c r="M71" s="36">
        <f t="shared" si="11"/>
        <v>2.035E-2</v>
      </c>
      <c r="N71"/>
      <c r="O71"/>
      <c r="P71"/>
      <c r="Q71"/>
      <c r="R71"/>
    </row>
    <row r="72" spans="2:18" x14ac:dyDescent="0.2">
      <c r="B72" s="40" t="e">
        <f t="shared" si="7"/>
        <v>#VALUE!</v>
      </c>
      <c r="C72" s="131" t="e">
        <f t="shared" si="8"/>
        <v>#VALUE!</v>
      </c>
      <c r="E72" s="40" t="e">
        <f t="shared" si="9"/>
        <v>#VALUE!</v>
      </c>
      <c r="F72" s="131" t="e">
        <f t="shared" si="10"/>
        <v>#VALUE!</v>
      </c>
      <c r="G72"/>
      <c r="J72"/>
      <c r="K72" s="28">
        <v>38169</v>
      </c>
      <c r="L72" s="18">
        <v>2.0609999999999999</v>
      </c>
      <c r="M72" s="36">
        <f t="shared" si="11"/>
        <v>2.061E-2</v>
      </c>
      <c r="N72"/>
      <c r="O72"/>
      <c r="P72"/>
      <c r="Q72"/>
      <c r="R72"/>
    </row>
    <row r="73" spans="2:18" x14ac:dyDescent="0.2">
      <c r="B73" s="40" t="e">
        <f t="shared" si="7"/>
        <v>#VALUE!</v>
      </c>
      <c r="C73" s="131" t="e">
        <f t="shared" si="8"/>
        <v>#VALUE!</v>
      </c>
      <c r="E73" s="40" t="e">
        <f t="shared" si="9"/>
        <v>#VALUE!</v>
      </c>
      <c r="F73" s="131" t="e">
        <f t="shared" si="10"/>
        <v>#VALUE!</v>
      </c>
      <c r="G73"/>
      <c r="J73"/>
      <c r="K73" s="28">
        <v>38200</v>
      </c>
      <c r="L73" s="18">
        <v>2.0345</v>
      </c>
      <c r="M73" s="36">
        <f t="shared" si="11"/>
        <v>2.0344999999999999E-2</v>
      </c>
      <c r="N73"/>
      <c r="O73"/>
      <c r="P73"/>
      <c r="Q73"/>
      <c r="R73"/>
    </row>
    <row r="74" spans="2:18" x14ac:dyDescent="0.2">
      <c r="B74" s="40" t="e">
        <f t="shared" si="7"/>
        <v>#VALUE!</v>
      </c>
      <c r="C74" s="131" t="e">
        <f t="shared" si="8"/>
        <v>#VALUE!</v>
      </c>
      <c r="E74" s="40" t="e">
        <f t="shared" si="9"/>
        <v>#VALUE!</v>
      </c>
      <c r="F74" s="131" t="e">
        <f t="shared" si="10"/>
        <v>#VALUE!</v>
      </c>
      <c r="G74"/>
      <c r="J74"/>
      <c r="K74" s="28">
        <v>38231</v>
      </c>
      <c r="L74" s="18">
        <v>2.0467</v>
      </c>
      <c r="M74" s="36">
        <f t="shared" si="11"/>
        <v>2.0466999999999999E-2</v>
      </c>
      <c r="N74"/>
      <c r="O74"/>
      <c r="P74"/>
      <c r="Q74"/>
      <c r="R74"/>
    </row>
    <row r="75" spans="2:18" x14ac:dyDescent="0.2">
      <c r="G75"/>
      <c r="J75"/>
      <c r="K75" s="28">
        <v>38261</v>
      </c>
      <c r="L75" s="18">
        <v>2.1128999999999998</v>
      </c>
      <c r="M75" s="36">
        <f t="shared" si="11"/>
        <v>2.1128999999999998E-2</v>
      </c>
      <c r="N75"/>
      <c r="O75"/>
      <c r="P75"/>
      <c r="Q75"/>
      <c r="R75"/>
    </row>
    <row r="76" spans="2:18" x14ac:dyDescent="0.2">
      <c r="B76" s="41" t="s">
        <v>22</v>
      </c>
      <c r="C76" s="42" t="e">
        <f>AVERAGE(C63:C74)</f>
        <v>#VALUE!</v>
      </c>
      <c r="E76" s="41" t="s">
        <v>22</v>
      </c>
      <c r="F76" s="42" t="e">
        <f>AVERAGE(F63:F74)</f>
        <v>#VALUE!</v>
      </c>
      <c r="G76"/>
      <c r="J76"/>
      <c r="K76" s="28">
        <v>38292</v>
      </c>
      <c r="L76" s="18">
        <v>2.0857000000000001</v>
      </c>
      <c r="M76" s="36">
        <f t="shared" si="11"/>
        <v>2.0857000000000001E-2</v>
      </c>
      <c r="N76"/>
      <c r="O76"/>
      <c r="P76"/>
      <c r="Q76"/>
      <c r="R76"/>
    </row>
    <row r="77" spans="2:18" x14ac:dyDescent="0.2">
      <c r="B77" s="41" t="s">
        <v>23</v>
      </c>
      <c r="C77" s="42" t="e">
        <f>C76-1%</f>
        <v>#VALUE!</v>
      </c>
      <c r="E77" s="41" t="s">
        <v>23</v>
      </c>
      <c r="F77" s="42" t="e">
        <f>F76-1%</f>
        <v>#VALUE!</v>
      </c>
      <c r="G77"/>
      <c r="J77"/>
      <c r="K77" s="28">
        <v>38322</v>
      </c>
      <c r="L77" s="18">
        <v>2.0442</v>
      </c>
      <c r="M77" s="36">
        <f t="shared" si="11"/>
        <v>2.0442000000000002E-2</v>
      </c>
      <c r="N77"/>
      <c r="O77"/>
      <c r="P77"/>
      <c r="Q77"/>
      <c r="R77"/>
    </row>
    <row r="78" spans="2:18" ht="15.75" x14ac:dyDescent="0.25">
      <c r="B78" s="43" t="s">
        <v>24</v>
      </c>
      <c r="C78" s="44" t="e">
        <f>IF($C$77&gt;=0.5%,$C$77,0.5%)</f>
        <v>#VALUE!</v>
      </c>
      <c r="E78" s="43" t="s">
        <v>24</v>
      </c>
      <c r="F78" s="44" t="e">
        <f>IF($F$77&gt;=0.5%,$F$77,0.5%)</f>
        <v>#VALUE!</v>
      </c>
      <c r="G78"/>
      <c r="J78"/>
      <c r="K78" s="28">
        <v>38353</v>
      </c>
      <c r="L78" s="18">
        <v>2.0794000000000001</v>
      </c>
      <c r="M78" s="36">
        <f t="shared" si="11"/>
        <v>2.0794E-2</v>
      </c>
      <c r="N78"/>
      <c r="O78"/>
      <c r="P78"/>
      <c r="Q78"/>
      <c r="R78"/>
    </row>
    <row r="79" spans="2:18" ht="15.75" thickBot="1" x14ac:dyDescent="0.25">
      <c r="G79"/>
      <c r="J79"/>
      <c r="K79" s="28">
        <v>38384</v>
      </c>
      <c r="L79" s="18">
        <v>2.0581999999999998</v>
      </c>
      <c r="M79" s="36">
        <f t="shared" si="11"/>
        <v>2.0582E-2</v>
      </c>
      <c r="N79"/>
      <c r="O79"/>
      <c r="P79"/>
      <c r="Q79"/>
      <c r="R79"/>
    </row>
    <row r="80" spans="2:18" x14ac:dyDescent="0.2">
      <c r="B80" s="88" t="s">
        <v>42</v>
      </c>
      <c r="C80" s="89" t="s">
        <v>43</v>
      </c>
      <c r="E80" s="88" t="s">
        <v>42</v>
      </c>
      <c r="F80" s="89" t="s">
        <v>43</v>
      </c>
      <c r="G80"/>
      <c r="J80"/>
      <c r="K80" s="28">
        <v>38412</v>
      </c>
      <c r="L80" s="18">
        <v>2.0565000000000002</v>
      </c>
      <c r="M80" s="36">
        <f t="shared" si="11"/>
        <v>2.0565000000000003E-2</v>
      </c>
      <c r="N80"/>
      <c r="O80"/>
      <c r="P80"/>
      <c r="Q80"/>
      <c r="R80"/>
    </row>
    <row r="81" spans="2:18" ht="15.75" x14ac:dyDescent="0.25">
      <c r="B81" s="65" t="e">
        <f>C78</f>
        <v>#VALUE!</v>
      </c>
      <c r="C81" s="66" t="e">
        <f>(1+B81)^(1/365)</f>
        <v>#VALUE!</v>
      </c>
      <c r="E81" s="65" t="e">
        <f>F78</f>
        <v>#VALUE!</v>
      </c>
      <c r="F81" s="66" t="e">
        <f>(1+E81)^(1/365)</f>
        <v>#VALUE!</v>
      </c>
      <c r="G81"/>
      <c r="J81"/>
      <c r="K81" s="28">
        <v>38443</v>
      </c>
      <c r="L81" s="18">
        <v>2.0733000000000001</v>
      </c>
      <c r="M81" s="36">
        <f t="shared" si="11"/>
        <v>2.0733000000000001E-2</v>
      </c>
      <c r="N81"/>
      <c r="O81"/>
      <c r="P81"/>
      <c r="Q81"/>
      <c r="R81"/>
    </row>
    <row r="82" spans="2:18" x14ac:dyDescent="0.2">
      <c r="G82"/>
      <c r="J82"/>
      <c r="K82" s="28">
        <v>38473</v>
      </c>
      <c r="L82" s="18">
        <v>2.0706000000000002</v>
      </c>
      <c r="M82" s="36">
        <f t="shared" si="11"/>
        <v>2.0706000000000002E-2</v>
      </c>
      <c r="N82"/>
      <c r="O82"/>
      <c r="P82"/>
      <c r="Q82"/>
      <c r="R82"/>
    </row>
    <row r="83" spans="2:18" x14ac:dyDescent="0.2">
      <c r="G83"/>
      <c r="J83"/>
      <c r="K83" s="28">
        <v>38504</v>
      </c>
      <c r="L83" s="18">
        <v>2.0636999999999999</v>
      </c>
      <c r="M83" s="36">
        <f t="shared" si="11"/>
        <v>2.0636999999999999E-2</v>
      </c>
      <c r="N83"/>
      <c r="O83"/>
      <c r="P83"/>
      <c r="Q83"/>
      <c r="R83"/>
    </row>
    <row r="84" spans="2:18" x14ac:dyDescent="0.2">
      <c r="G84"/>
      <c r="J84"/>
      <c r="K84" s="28">
        <v>38534</v>
      </c>
      <c r="L84" s="18">
        <v>2.0731999999999999</v>
      </c>
      <c r="M84" s="36">
        <f t="shared" si="11"/>
        <v>2.0732E-2</v>
      </c>
      <c r="N84"/>
      <c r="O84"/>
      <c r="P84"/>
      <c r="Q84"/>
      <c r="R84"/>
    </row>
    <row r="85" spans="2:18" x14ac:dyDescent="0.2">
      <c r="G85"/>
      <c r="J85"/>
      <c r="K85" s="28">
        <v>38565</v>
      </c>
      <c r="L85" s="18">
        <v>2.0665</v>
      </c>
      <c r="M85" s="36">
        <f t="shared" si="11"/>
        <v>2.0664999999999999E-2</v>
      </c>
      <c r="N85"/>
      <c r="O85"/>
      <c r="P85"/>
      <c r="Q85"/>
      <c r="R85"/>
    </row>
    <row r="86" spans="2:18" x14ac:dyDescent="0.2">
      <c r="G86"/>
      <c r="J86"/>
      <c r="K86" s="28">
        <v>38596</v>
      </c>
      <c r="L86" s="18">
        <v>2.0910000000000002</v>
      </c>
      <c r="M86" s="36">
        <f t="shared" si="11"/>
        <v>2.0910000000000002E-2</v>
      </c>
      <c r="N86"/>
      <c r="O86"/>
      <c r="P86"/>
      <c r="Q86"/>
      <c r="R86"/>
    </row>
    <row r="87" spans="2:18" x14ac:dyDescent="0.2">
      <c r="G87"/>
      <c r="J87"/>
      <c r="K87" s="28">
        <v>38626</v>
      </c>
      <c r="L87" s="18">
        <v>2.0712999999999999</v>
      </c>
      <c r="M87" s="36">
        <f t="shared" si="11"/>
        <v>2.0712999999999999E-2</v>
      </c>
      <c r="N87"/>
      <c r="O87"/>
      <c r="P87"/>
      <c r="Q87"/>
      <c r="R87"/>
    </row>
    <row r="88" spans="2:18" x14ac:dyDescent="0.2">
      <c r="G88"/>
      <c r="J88"/>
      <c r="K88" s="28">
        <v>38657</v>
      </c>
      <c r="L88" s="18">
        <v>2.0870000000000002</v>
      </c>
      <c r="M88" s="36">
        <f t="shared" si="11"/>
        <v>2.0870000000000003E-2</v>
      </c>
      <c r="N88"/>
      <c r="O88"/>
      <c r="P88"/>
      <c r="Q88"/>
      <c r="R88"/>
    </row>
    <row r="89" spans="2:18" x14ac:dyDescent="0.2">
      <c r="G89"/>
      <c r="J89"/>
      <c r="K89" s="28">
        <v>38687</v>
      </c>
      <c r="L89" s="18">
        <v>2.2631999999999999</v>
      </c>
      <c r="M89" s="36">
        <f t="shared" si="11"/>
        <v>2.2631999999999999E-2</v>
      </c>
      <c r="N89"/>
      <c r="O89"/>
      <c r="P89"/>
      <c r="Q89"/>
      <c r="R89"/>
    </row>
    <row r="90" spans="2:18" x14ac:dyDescent="0.2">
      <c r="G90"/>
      <c r="J90"/>
      <c r="K90" s="28">
        <v>38718</v>
      </c>
      <c r="L90" s="18">
        <v>2.3231999999999999</v>
      </c>
      <c r="M90" s="36">
        <f t="shared" si="11"/>
        <v>2.3231999999999999E-2</v>
      </c>
      <c r="N90"/>
      <c r="O90"/>
      <c r="P90"/>
      <c r="Q90"/>
      <c r="R90"/>
    </row>
    <row r="91" spans="2:18" x14ac:dyDescent="0.2">
      <c r="G91"/>
      <c r="J91"/>
      <c r="K91" s="28">
        <v>38749</v>
      </c>
      <c r="L91" s="18">
        <v>2.3517999999999999</v>
      </c>
      <c r="M91" s="36">
        <f t="shared" si="11"/>
        <v>2.3517999999999997E-2</v>
      </c>
      <c r="N91"/>
      <c r="O91"/>
      <c r="P91"/>
      <c r="Q91"/>
      <c r="R91"/>
    </row>
    <row r="92" spans="2:18" x14ac:dyDescent="0.2">
      <c r="G92"/>
      <c r="J92"/>
      <c r="K92" s="28">
        <v>38777</v>
      </c>
      <c r="L92" s="18">
        <v>2.5206</v>
      </c>
      <c r="M92" s="36">
        <f t="shared" si="11"/>
        <v>2.5205999999999999E-2</v>
      </c>
      <c r="N92"/>
      <c r="O92"/>
      <c r="P92"/>
      <c r="Q92"/>
      <c r="R92"/>
    </row>
    <row r="93" spans="2:18" x14ac:dyDescent="0.2">
      <c r="G93"/>
      <c r="J93"/>
      <c r="K93" s="28">
        <v>38808</v>
      </c>
      <c r="L93" s="18">
        <v>2.6303000000000001</v>
      </c>
      <c r="M93" s="36">
        <f t="shared" si="11"/>
        <v>2.6303E-2</v>
      </c>
      <c r="N93"/>
      <c r="O93"/>
      <c r="P93"/>
      <c r="Q93"/>
      <c r="R93"/>
    </row>
    <row r="94" spans="2:18" x14ac:dyDescent="0.2">
      <c r="G94"/>
      <c r="J94"/>
      <c r="K94" s="28">
        <v>38838</v>
      </c>
      <c r="L94" s="18">
        <v>2.5722999999999998</v>
      </c>
      <c r="M94" s="36">
        <f t="shared" si="11"/>
        <v>2.5722999999999999E-2</v>
      </c>
      <c r="N94"/>
      <c r="O94"/>
      <c r="P94"/>
      <c r="Q94"/>
      <c r="R94"/>
    </row>
    <row r="95" spans="2:18" x14ac:dyDescent="0.2">
      <c r="G95"/>
      <c r="J95"/>
      <c r="K95" s="28">
        <v>38869</v>
      </c>
      <c r="L95" s="18">
        <v>2.6943000000000001</v>
      </c>
      <c r="M95" s="36">
        <f t="shared" si="11"/>
        <v>2.6943000000000002E-2</v>
      </c>
      <c r="N95"/>
      <c r="O95"/>
      <c r="P95"/>
      <c r="Q95"/>
      <c r="R95"/>
    </row>
    <row r="96" spans="2:18" x14ac:dyDescent="0.2">
      <c r="G96"/>
      <c r="J96"/>
      <c r="K96" s="28">
        <v>38899</v>
      </c>
      <c r="L96" s="18">
        <v>2.8165</v>
      </c>
      <c r="M96" s="36">
        <f t="shared" si="11"/>
        <v>2.8164999999999999E-2</v>
      </c>
      <c r="N96"/>
      <c r="O96"/>
      <c r="P96"/>
      <c r="Q96"/>
      <c r="R96"/>
    </row>
    <row r="97" spans="7:18" x14ac:dyDescent="0.2">
      <c r="G97"/>
      <c r="J97"/>
      <c r="K97" s="28">
        <v>38930</v>
      </c>
      <c r="L97" s="18">
        <v>2.9668000000000001</v>
      </c>
      <c r="M97" s="36">
        <f t="shared" si="11"/>
        <v>2.9668E-2</v>
      </c>
      <c r="N97"/>
      <c r="O97"/>
      <c r="P97"/>
      <c r="Q97"/>
      <c r="R97"/>
    </row>
    <row r="98" spans="7:18" x14ac:dyDescent="0.2">
      <c r="G98"/>
      <c r="J98"/>
      <c r="K98" s="28">
        <v>38961</v>
      </c>
      <c r="L98" s="18">
        <v>3.0407000000000002</v>
      </c>
      <c r="M98" s="36">
        <f t="shared" si="11"/>
        <v>3.0407000000000003E-2</v>
      </c>
      <c r="N98"/>
      <c r="O98"/>
      <c r="P98"/>
      <c r="Q98"/>
      <c r="R98"/>
    </row>
    <row r="99" spans="7:18" x14ac:dyDescent="0.2">
      <c r="G99"/>
      <c r="J99"/>
      <c r="K99" s="28">
        <v>38991</v>
      </c>
      <c r="L99" s="18">
        <v>3.2806000000000002</v>
      </c>
      <c r="M99" s="36">
        <f t="shared" si="11"/>
        <v>3.2806000000000002E-2</v>
      </c>
      <c r="N99"/>
      <c r="O99"/>
      <c r="P99"/>
      <c r="Q99"/>
      <c r="R99"/>
    </row>
    <row r="100" spans="7:18" x14ac:dyDescent="0.2">
      <c r="J100"/>
      <c r="K100" s="28">
        <v>39022</v>
      </c>
      <c r="L100" s="18">
        <v>3.3283</v>
      </c>
      <c r="M100" s="36">
        <f t="shared" si="11"/>
        <v>3.3283E-2</v>
      </c>
      <c r="N100"/>
      <c r="O100"/>
      <c r="P100"/>
      <c r="Q100"/>
      <c r="R100"/>
    </row>
    <row r="101" spans="7:18" x14ac:dyDescent="0.2">
      <c r="J101"/>
      <c r="K101" s="28">
        <v>39052</v>
      </c>
      <c r="L101" s="18">
        <v>3.5154999999999998</v>
      </c>
      <c r="M101" s="36">
        <f t="shared" si="11"/>
        <v>3.5154999999999999E-2</v>
      </c>
      <c r="N101"/>
      <c r="O101"/>
      <c r="P101"/>
      <c r="Q101"/>
      <c r="R101"/>
    </row>
    <row r="102" spans="7:18" x14ac:dyDescent="0.2">
      <c r="K102" s="28">
        <v>39083</v>
      </c>
      <c r="L102" s="18">
        <v>3.5657999999999999</v>
      </c>
      <c r="M102" s="36">
        <f t="shared" ref="M102:M133" si="12">L102/100</f>
        <v>3.5657999999999995E-2</v>
      </c>
    </row>
    <row r="103" spans="7:18" x14ac:dyDescent="0.2">
      <c r="K103" s="28">
        <v>39114</v>
      </c>
      <c r="L103" s="18">
        <v>3.5668000000000002</v>
      </c>
      <c r="M103" s="36">
        <f t="shared" si="12"/>
        <v>3.5668000000000005E-2</v>
      </c>
    </row>
    <row r="104" spans="7:18" x14ac:dyDescent="0.2">
      <c r="K104" s="28">
        <v>39142</v>
      </c>
      <c r="L104" s="18">
        <v>3.6947999999999999</v>
      </c>
      <c r="M104" s="36">
        <f t="shared" si="12"/>
        <v>3.6948000000000002E-2</v>
      </c>
    </row>
    <row r="105" spans="7:18" x14ac:dyDescent="0.2">
      <c r="K105" s="28">
        <v>39173</v>
      </c>
      <c r="L105" s="18">
        <v>3.823</v>
      </c>
      <c r="M105" s="36">
        <f t="shared" si="12"/>
        <v>3.823E-2</v>
      </c>
    </row>
    <row r="106" spans="7:18" x14ac:dyDescent="0.2">
      <c r="K106" s="28">
        <v>39203</v>
      </c>
      <c r="L106" s="18">
        <v>3.7934999999999999</v>
      </c>
      <c r="M106" s="36">
        <f t="shared" si="12"/>
        <v>3.7934999999999997E-2</v>
      </c>
    </row>
    <row r="107" spans="7:18" x14ac:dyDescent="0.2">
      <c r="K107" s="28">
        <v>39234</v>
      </c>
      <c r="L107" s="18">
        <v>3.9569999999999999</v>
      </c>
      <c r="M107" s="36">
        <f t="shared" si="12"/>
        <v>3.9570000000000001E-2</v>
      </c>
    </row>
    <row r="108" spans="7:18" x14ac:dyDescent="0.2">
      <c r="K108" s="28">
        <v>39264</v>
      </c>
      <c r="L108" s="18">
        <v>4.0660999999999996</v>
      </c>
      <c r="M108" s="36">
        <f t="shared" si="12"/>
        <v>4.0660999999999996E-2</v>
      </c>
    </row>
    <row r="109" spans="7:18" x14ac:dyDescent="0.2">
      <c r="K109" s="28">
        <v>39295</v>
      </c>
      <c r="L109" s="18">
        <v>4.0429000000000004</v>
      </c>
      <c r="M109" s="36">
        <f t="shared" si="12"/>
        <v>4.0429000000000007E-2</v>
      </c>
    </row>
    <row r="110" spans="7:18" x14ac:dyDescent="0.2">
      <c r="K110" s="28">
        <v>39326</v>
      </c>
      <c r="L110" s="18">
        <v>4.0171000000000001</v>
      </c>
      <c r="M110" s="36">
        <f t="shared" si="12"/>
        <v>4.0170999999999998E-2</v>
      </c>
    </row>
    <row r="111" spans="7:18" x14ac:dyDescent="0.2">
      <c r="K111" s="28">
        <v>39356</v>
      </c>
      <c r="L111" s="18">
        <v>3.9285000000000001</v>
      </c>
      <c r="M111" s="36">
        <f t="shared" si="12"/>
        <v>3.9285E-2</v>
      </c>
    </row>
    <row r="112" spans="7:18" x14ac:dyDescent="0.2">
      <c r="K112" s="28">
        <v>39387</v>
      </c>
      <c r="L112" s="18">
        <v>4.0274999999999999</v>
      </c>
      <c r="M112" s="36">
        <f t="shared" si="12"/>
        <v>4.0274999999999998E-2</v>
      </c>
    </row>
    <row r="113" spans="9:13" x14ac:dyDescent="0.2">
      <c r="K113" s="28">
        <v>39417</v>
      </c>
      <c r="L113" s="18">
        <v>3.8632</v>
      </c>
      <c r="M113" s="36">
        <f t="shared" si="12"/>
        <v>3.8632E-2</v>
      </c>
    </row>
    <row r="114" spans="9:13" x14ac:dyDescent="0.2">
      <c r="K114" s="28">
        <v>39448</v>
      </c>
      <c r="L114" s="18">
        <v>4.0096999999999996</v>
      </c>
      <c r="M114" s="36">
        <f t="shared" si="12"/>
        <v>4.0096999999999994E-2</v>
      </c>
    </row>
    <row r="115" spans="9:13" x14ac:dyDescent="0.2">
      <c r="K115" s="28">
        <v>39479</v>
      </c>
      <c r="L115" s="18">
        <v>4.0290999999999997</v>
      </c>
      <c r="M115" s="36">
        <f t="shared" si="12"/>
        <v>4.0290999999999993E-2</v>
      </c>
    </row>
    <row r="116" spans="9:13" x14ac:dyDescent="0.2">
      <c r="K116" s="28">
        <v>39508</v>
      </c>
      <c r="L116" s="18">
        <v>4.0845000000000002</v>
      </c>
      <c r="M116" s="36">
        <f t="shared" si="12"/>
        <v>4.0844999999999999E-2</v>
      </c>
    </row>
    <row r="117" spans="9:13" x14ac:dyDescent="0.2">
      <c r="K117" s="28">
        <v>39539</v>
      </c>
      <c r="L117" s="18">
        <v>3.9830999999999999</v>
      </c>
      <c r="M117" s="36">
        <f t="shared" si="12"/>
        <v>3.9830999999999998E-2</v>
      </c>
    </row>
    <row r="118" spans="9:13" x14ac:dyDescent="0.2">
      <c r="K118" s="28">
        <v>39569</v>
      </c>
      <c r="L118" s="18">
        <v>4.0103999999999997</v>
      </c>
      <c r="M118" s="36">
        <f t="shared" si="12"/>
        <v>4.0104000000000001E-2</v>
      </c>
    </row>
    <row r="119" spans="9:13" x14ac:dyDescent="0.2">
      <c r="K119" s="28">
        <v>39600</v>
      </c>
      <c r="L119" s="18">
        <v>3.9870999999999999</v>
      </c>
      <c r="M119" s="36">
        <f t="shared" si="12"/>
        <v>3.9870999999999997E-2</v>
      </c>
    </row>
    <row r="120" spans="9:13" x14ac:dyDescent="0.2">
      <c r="K120" s="28">
        <v>39630</v>
      </c>
      <c r="L120" s="18">
        <v>4.1924000000000001</v>
      </c>
      <c r="M120" s="36">
        <f t="shared" si="12"/>
        <v>4.1924000000000003E-2</v>
      </c>
    </row>
    <row r="121" spans="9:13" x14ac:dyDescent="0.2">
      <c r="K121" s="28">
        <v>39661</v>
      </c>
      <c r="L121" s="18">
        <v>4.2995999999999999</v>
      </c>
      <c r="M121" s="36">
        <f t="shared" si="12"/>
        <v>4.2995999999999999E-2</v>
      </c>
    </row>
    <row r="122" spans="9:13" x14ac:dyDescent="0.2">
      <c r="K122" s="28">
        <v>39692</v>
      </c>
      <c r="L122" s="18">
        <v>4.2679999999999998</v>
      </c>
      <c r="M122" s="36">
        <f t="shared" si="12"/>
        <v>4.2679999999999996E-2</v>
      </c>
    </row>
    <row r="123" spans="9:13" x14ac:dyDescent="0.2">
      <c r="K123" s="28">
        <v>39722</v>
      </c>
      <c r="L123" s="18">
        <v>3.8125</v>
      </c>
      <c r="M123" s="36">
        <f t="shared" si="12"/>
        <v>3.8124999999999999E-2</v>
      </c>
    </row>
    <row r="124" spans="9:13" x14ac:dyDescent="0.2">
      <c r="K124" s="28">
        <v>39753</v>
      </c>
      <c r="L124" s="18">
        <v>3.1616</v>
      </c>
      <c r="M124" s="36">
        <f t="shared" si="12"/>
        <v>3.1615999999999998E-2</v>
      </c>
    </row>
    <row r="125" spans="9:13" x14ac:dyDescent="0.2">
      <c r="K125" s="28">
        <v>39783</v>
      </c>
      <c r="L125" s="18">
        <v>2.4510999999999998</v>
      </c>
      <c r="M125" s="36">
        <f t="shared" si="12"/>
        <v>2.4510999999999998E-2</v>
      </c>
    </row>
    <row r="126" spans="9:13" x14ac:dyDescent="0.2">
      <c r="I126" s="68" t="s">
        <v>55</v>
      </c>
      <c r="J126" s="68"/>
      <c r="K126" s="28">
        <v>39814</v>
      </c>
      <c r="L126" s="18">
        <v>1.8404</v>
      </c>
      <c r="M126" s="36">
        <f t="shared" si="12"/>
        <v>1.8404E-2</v>
      </c>
    </row>
    <row r="127" spans="9:13" x14ac:dyDescent="0.2">
      <c r="I127" s="69">
        <f>'Outil revalorisation'!D19</f>
        <v>0</v>
      </c>
      <c r="J127" s="68" t="s">
        <v>44</v>
      </c>
      <c r="K127" s="28">
        <v>39845</v>
      </c>
      <c r="L127" s="18">
        <v>1.2583</v>
      </c>
      <c r="M127" s="36">
        <f t="shared" si="12"/>
        <v>1.2583E-2</v>
      </c>
    </row>
    <row r="128" spans="9:13" x14ac:dyDescent="0.2">
      <c r="I128" s="68"/>
      <c r="J128" s="68"/>
      <c r="K128" s="28">
        <v>39873</v>
      </c>
      <c r="L128" s="18">
        <v>1.0565</v>
      </c>
      <c r="M128" s="36">
        <f t="shared" si="12"/>
        <v>1.0565E-2</v>
      </c>
    </row>
    <row r="129" spans="9:15" x14ac:dyDescent="0.2">
      <c r="I129" s="68"/>
      <c r="J129" s="68"/>
      <c r="K129" s="28">
        <v>39904</v>
      </c>
      <c r="L129" s="18">
        <v>0.85489999999999999</v>
      </c>
      <c r="M129" s="36">
        <f t="shared" si="12"/>
        <v>8.5489999999999993E-3</v>
      </c>
    </row>
    <row r="130" spans="9:15" x14ac:dyDescent="0.2">
      <c r="I130" s="68"/>
      <c r="J130" s="68"/>
      <c r="K130" s="28">
        <v>39934</v>
      </c>
      <c r="L130" s="18">
        <v>0.76490000000000002</v>
      </c>
      <c r="M130" s="36">
        <f t="shared" si="12"/>
        <v>7.6490000000000004E-3</v>
      </c>
    </row>
    <row r="131" spans="9:15" x14ac:dyDescent="0.2">
      <c r="I131" s="68"/>
      <c r="J131" s="68"/>
      <c r="K131" s="28">
        <v>39965</v>
      </c>
      <c r="L131" s="18">
        <v>0.68310000000000004</v>
      </c>
      <c r="M131" s="36">
        <f t="shared" si="12"/>
        <v>6.8310000000000003E-3</v>
      </c>
    </row>
    <row r="132" spans="9:15" x14ac:dyDescent="0.2">
      <c r="I132" s="68"/>
      <c r="J132" s="68"/>
      <c r="K132" s="28">
        <v>39995</v>
      </c>
      <c r="L132" s="18">
        <v>0.35370000000000001</v>
      </c>
      <c r="M132" s="36">
        <f t="shared" si="12"/>
        <v>3.5370000000000002E-3</v>
      </c>
    </row>
    <row r="133" spans="9:15" x14ac:dyDescent="0.2">
      <c r="I133" s="68"/>
      <c r="J133" s="68"/>
      <c r="K133" s="28">
        <v>40026</v>
      </c>
      <c r="L133" s="18">
        <v>0.3458</v>
      </c>
      <c r="M133" s="36">
        <f t="shared" si="12"/>
        <v>3.4580000000000001E-3</v>
      </c>
    </row>
    <row r="134" spans="9:15" x14ac:dyDescent="0.2">
      <c r="I134" s="68"/>
      <c r="J134" s="68"/>
      <c r="K134" s="28">
        <v>40057</v>
      </c>
      <c r="L134" s="18">
        <v>0.3584</v>
      </c>
      <c r="M134" s="36">
        <f t="shared" ref="M134:M165" si="13">L134/100</f>
        <v>3.5839999999999999E-3</v>
      </c>
    </row>
    <row r="135" spans="9:15" x14ac:dyDescent="0.2">
      <c r="I135" s="68"/>
      <c r="J135" s="68"/>
      <c r="K135" s="28">
        <v>40087</v>
      </c>
      <c r="L135" s="18">
        <v>0.35639999999999999</v>
      </c>
      <c r="M135" s="36">
        <f t="shared" si="13"/>
        <v>3.5639999999999999E-3</v>
      </c>
    </row>
    <row r="136" spans="9:15" x14ac:dyDescent="0.2">
      <c r="I136" s="68"/>
      <c r="J136" s="68"/>
      <c r="K136" s="28">
        <v>40118</v>
      </c>
      <c r="L136" s="18">
        <v>0.35849999999999999</v>
      </c>
      <c r="M136" s="36">
        <f t="shared" si="13"/>
        <v>3.5849999999999996E-3</v>
      </c>
      <c r="O136" s="67"/>
    </row>
    <row r="137" spans="9:15" x14ac:dyDescent="0.2">
      <c r="I137" s="68"/>
      <c r="J137" s="68"/>
      <c r="K137" s="28">
        <v>40148</v>
      </c>
      <c r="L137" s="18">
        <v>0.34760000000000002</v>
      </c>
      <c r="M137" s="36">
        <f t="shared" si="13"/>
        <v>3.4760000000000004E-3</v>
      </c>
      <c r="O137" s="67"/>
    </row>
    <row r="138" spans="9:15" x14ac:dyDescent="0.2">
      <c r="I138" s="68"/>
      <c r="J138" s="68"/>
      <c r="K138" s="28">
        <v>40179</v>
      </c>
      <c r="L138" s="18">
        <v>0.34620000000000001</v>
      </c>
      <c r="M138" s="36">
        <f t="shared" si="13"/>
        <v>3.4620000000000002E-3</v>
      </c>
      <c r="N138" s="72" t="s">
        <v>46</v>
      </c>
      <c r="O138" s="73">
        <f>MAX(AVERAGE(M127:M138)-1%,0.5%)</f>
        <v>5.0000000000000001E-3</v>
      </c>
    </row>
    <row r="139" spans="9:15" x14ac:dyDescent="0.2">
      <c r="I139" s="69">
        <f>DATE(YEAR(I127)+1,MONTH(I127),DAY(I127))</f>
        <v>366</v>
      </c>
      <c r="J139" s="70" t="s">
        <v>45</v>
      </c>
      <c r="K139" s="28">
        <v>40210</v>
      </c>
      <c r="L139" s="18">
        <v>0.33460000000000001</v>
      </c>
      <c r="M139" s="36">
        <f t="shared" si="13"/>
        <v>3.346E-3</v>
      </c>
      <c r="N139" s="71"/>
      <c r="O139" s="71"/>
    </row>
    <row r="140" spans="9:15" x14ac:dyDescent="0.2">
      <c r="I140" s="68"/>
      <c r="J140" s="68"/>
      <c r="K140" s="28">
        <v>40238</v>
      </c>
      <c r="L140" s="18">
        <v>0.34339999999999998</v>
      </c>
      <c r="M140" s="36">
        <f t="shared" si="13"/>
        <v>3.434E-3</v>
      </c>
      <c r="N140" s="71"/>
      <c r="O140" s="71"/>
    </row>
    <row r="141" spans="9:15" x14ac:dyDescent="0.2">
      <c r="I141" s="68"/>
      <c r="J141" s="68"/>
      <c r="K141" s="28">
        <v>40269</v>
      </c>
      <c r="L141" s="18">
        <v>0.3453</v>
      </c>
      <c r="M141" s="36">
        <f t="shared" si="13"/>
        <v>3.4529999999999999E-3</v>
      </c>
      <c r="N141" s="71"/>
      <c r="O141" s="71"/>
    </row>
    <row r="142" spans="9:15" x14ac:dyDescent="0.2">
      <c r="I142" s="68"/>
      <c r="J142" s="68"/>
      <c r="K142" s="28">
        <v>40299</v>
      </c>
      <c r="L142" s="18">
        <v>0.33860000000000001</v>
      </c>
      <c r="M142" s="36">
        <f t="shared" si="13"/>
        <v>3.3860000000000001E-3</v>
      </c>
      <c r="N142" s="71"/>
      <c r="O142" s="71"/>
    </row>
    <row r="143" spans="9:15" x14ac:dyDescent="0.2">
      <c r="I143" s="68"/>
      <c r="J143" s="68"/>
      <c r="K143" s="28">
        <v>40330</v>
      </c>
      <c r="L143" s="18">
        <v>0.34889999999999999</v>
      </c>
      <c r="M143" s="36">
        <f t="shared" si="13"/>
        <v>3.4889999999999999E-3</v>
      </c>
      <c r="N143" s="71"/>
      <c r="O143" s="71"/>
    </row>
    <row r="144" spans="9:15" x14ac:dyDescent="0.2">
      <c r="I144" s="68"/>
      <c r="J144" s="68"/>
      <c r="K144" s="28">
        <v>40360</v>
      </c>
      <c r="L144" s="18">
        <v>0.4768</v>
      </c>
      <c r="M144" s="36">
        <f t="shared" si="13"/>
        <v>4.7679999999999997E-3</v>
      </c>
      <c r="N144" s="71"/>
      <c r="O144" s="71"/>
    </row>
    <row r="145" spans="9:15" x14ac:dyDescent="0.2">
      <c r="I145" s="68"/>
      <c r="J145" s="68"/>
      <c r="K145" s="28">
        <v>40391</v>
      </c>
      <c r="L145" s="18">
        <v>0.4199</v>
      </c>
      <c r="M145" s="36">
        <f t="shared" si="13"/>
        <v>4.1989999999999996E-3</v>
      </c>
      <c r="N145" s="71"/>
      <c r="O145" s="71"/>
    </row>
    <row r="146" spans="9:15" x14ac:dyDescent="0.2">
      <c r="I146" s="68"/>
      <c r="J146" s="68"/>
      <c r="K146" s="28">
        <v>40422</v>
      </c>
      <c r="L146" s="18">
        <v>0.44309999999999999</v>
      </c>
      <c r="M146" s="36">
        <f t="shared" si="13"/>
        <v>4.431E-3</v>
      </c>
      <c r="N146" s="71"/>
      <c r="O146" s="71"/>
    </row>
    <row r="147" spans="9:15" x14ac:dyDescent="0.2">
      <c r="I147" s="68"/>
      <c r="J147" s="68"/>
      <c r="K147" s="28">
        <v>40452</v>
      </c>
      <c r="L147" s="18">
        <v>0.69669999999999999</v>
      </c>
      <c r="M147" s="36">
        <f t="shared" si="13"/>
        <v>6.9670000000000001E-3</v>
      </c>
      <c r="N147" s="71"/>
      <c r="O147" s="71"/>
    </row>
    <row r="148" spans="9:15" x14ac:dyDescent="0.2">
      <c r="I148" s="68"/>
      <c r="J148" s="68"/>
      <c r="K148" s="28">
        <v>40483</v>
      </c>
      <c r="L148" s="18">
        <v>0.57769999999999999</v>
      </c>
      <c r="M148" s="36">
        <f t="shared" si="13"/>
        <v>5.777E-3</v>
      </c>
      <c r="N148" s="71"/>
      <c r="O148" s="73"/>
    </row>
    <row r="149" spans="9:15" x14ac:dyDescent="0.2">
      <c r="I149" s="68"/>
      <c r="J149" s="68"/>
      <c r="K149" s="28">
        <v>40513</v>
      </c>
      <c r="L149" s="18">
        <v>0.49020000000000002</v>
      </c>
      <c r="M149" s="36">
        <f t="shared" si="13"/>
        <v>4.9020000000000001E-3</v>
      </c>
      <c r="N149" s="71"/>
      <c r="O149" s="73"/>
    </row>
    <row r="150" spans="9:15" x14ac:dyDescent="0.2">
      <c r="I150" s="68"/>
      <c r="J150" s="68"/>
      <c r="K150" s="28">
        <v>40544</v>
      </c>
      <c r="L150" s="18">
        <v>0.66720000000000002</v>
      </c>
      <c r="M150" s="36">
        <f t="shared" si="13"/>
        <v>6.672E-3</v>
      </c>
      <c r="N150" s="72" t="s">
        <v>48</v>
      </c>
      <c r="O150" s="73">
        <f>MAX(AVERAGE(M139:M150)-1%,0.5%)</f>
        <v>5.0000000000000001E-3</v>
      </c>
    </row>
    <row r="151" spans="9:15" x14ac:dyDescent="0.2">
      <c r="I151" s="69">
        <f>DATE(YEAR(I139)+1,MONTH(I139),DAY(I139))</f>
        <v>731</v>
      </c>
      <c r="J151" s="70" t="s">
        <v>47</v>
      </c>
      <c r="K151" s="28">
        <v>40575</v>
      </c>
      <c r="L151" s="18">
        <v>0.67800000000000005</v>
      </c>
      <c r="M151" s="36">
        <f t="shared" si="13"/>
        <v>6.7800000000000004E-3</v>
      </c>
      <c r="N151" s="71"/>
      <c r="O151" s="71"/>
    </row>
    <row r="152" spans="9:15" x14ac:dyDescent="0.2">
      <c r="I152" s="68"/>
      <c r="J152" s="68"/>
      <c r="K152" s="28">
        <v>40603</v>
      </c>
      <c r="L152" s="18">
        <v>0.64829999999999999</v>
      </c>
      <c r="M152" s="36">
        <f t="shared" si="13"/>
        <v>6.483E-3</v>
      </c>
      <c r="N152" s="71"/>
      <c r="O152" s="71"/>
    </row>
    <row r="153" spans="9:15" x14ac:dyDescent="0.2">
      <c r="I153" s="68"/>
      <c r="J153" s="68"/>
      <c r="K153" s="28">
        <v>40634</v>
      </c>
      <c r="L153" s="18">
        <v>1.0016</v>
      </c>
      <c r="M153" s="36">
        <f t="shared" si="13"/>
        <v>1.0016000000000001E-2</v>
      </c>
      <c r="N153" s="71"/>
      <c r="O153" s="71"/>
    </row>
    <row r="154" spans="9:15" x14ac:dyDescent="0.2">
      <c r="I154" s="68"/>
      <c r="J154" s="68"/>
      <c r="K154" s="28">
        <v>40664</v>
      </c>
      <c r="L154" s="18">
        <v>1.0229999999999999</v>
      </c>
      <c r="M154" s="36">
        <f t="shared" si="13"/>
        <v>1.023E-2</v>
      </c>
      <c r="N154" s="71"/>
      <c r="O154" s="71"/>
    </row>
    <row r="155" spans="9:15" x14ac:dyDescent="0.2">
      <c r="I155" s="68"/>
      <c r="J155" s="68"/>
      <c r="K155" s="28">
        <v>40695</v>
      </c>
      <c r="L155" s="18">
        <v>1.133</v>
      </c>
      <c r="M155" s="36">
        <f t="shared" si="13"/>
        <v>1.133E-2</v>
      </c>
      <c r="N155" s="71"/>
      <c r="O155" s="71"/>
    </row>
    <row r="156" spans="9:15" x14ac:dyDescent="0.2">
      <c r="I156" s="68"/>
      <c r="J156" s="68"/>
      <c r="K156" s="28">
        <v>40725</v>
      </c>
      <c r="L156" s="18">
        <v>1.0033000000000001</v>
      </c>
      <c r="M156" s="36">
        <f t="shared" si="13"/>
        <v>1.0033E-2</v>
      </c>
      <c r="N156" s="71"/>
      <c r="O156" s="71"/>
    </row>
    <row r="157" spans="9:15" x14ac:dyDescent="0.2">
      <c r="I157" s="68"/>
      <c r="J157" s="68"/>
      <c r="K157" s="28">
        <v>40756</v>
      </c>
      <c r="L157" s="18">
        <v>0.8972</v>
      </c>
      <c r="M157" s="36">
        <f t="shared" si="13"/>
        <v>8.9720000000000008E-3</v>
      </c>
      <c r="N157" s="71"/>
      <c r="O157" s="71"/>
    </row>
    <row r="158" spans="9:15" x14ac:dyDescent="0.2">
      <c r="I158" s="68"/>
      <c r="J158" s="68"/>
      <c r="K158" s="28">
        <v>40787</v>
      </c>
      <c r="L158" s="18">
        <v>0.99629999999999996</v>
      </c>
      <c r="M158" s="36">
        <f t="shared" si="13"/>
        <v>9.9629999999999996E-3</v>
      </c>
      <c r="N158" s="71"/>
      <c r="O158" s="71"/>
    </row>
    <row r="159" spans="9:15" x14ac:dyDescent="0.2">
      <c r="I159" s="68"/>
      <c r="J159" s="68"/>
      <c r="K159" s="28">
        <v>40817</v>
      </c>
      <c r="L159" s="18">
        <v>0.98350000000000004</v>
      </c>
      <c r="M159" s="36">
        <f t="shared" si="13"/>
        <v>9.835E-3</v>
      </c>
      <c r="N159" s="71"/>
      <c r="O159" s="71"/>
    </row>
    <row r="160" spans="9:15" x14ac:dyDescent="0.2">
      <c r="I160" s="68"/>
      <c r="J160" s="68"/>
      <c r="K160" s="28">
        <v>40848</v>
      </c>
      <c r="L160" s="18">
        <v>0.78449999999999998</v>
      </c>
      <c r="M160" s="36">
        <f t="shared" si="13"/>
        <v>7.8449999999999995E-3</v>
      </c>
      <c r="N160" s="71"/>
      <c r="O160" s="73"/>
    </row>
    <row r="161" spans="9:15" x14ac:dyDescent="0.2">
      <c r="I161" s="68"/>
      <c r="J161" s="68"/>
      <c r="K161" s="28">
        <v>40878</v>
      </c>
      <c r="L161" s="18">
        <v>0.61680000000000001</v>
      </c>
      <c r="M161" s="36">
        <f t="shared" si="13"/>
        <v>6.1679999999999999E-3</v>
      </c>
      <c r="N161" s="71"/>
      <c r="O161" s="73"/>
    </row>
    <row r="162" spans="9:15" x14ac:dyDescent="0.2">
      <c r="I162" s="68"/>
      <c r="J162" s="68"/>
      <c r="K162" s="28">
        <v>40909</v>
      </c>
      <c r="L162" s="18">
        <v>0.38769999999999999</v>
      </c>
      <c r="M162" s="36">
        <f t="shared" si="13"/>
        <v>3.8769999999999998E-3</v>
      </c>
      <c r="N162" s="72" t="s">
        <v>49</v>
      </c>
      <c r="O162" s="73">
        <f>MAX(AVERAGE(M151:M162)-1%,0.5%)</f>
        <v>5.0000000000000001E-3</v>
      </c>
    </row>
    <row r="163" spans="9:15" x14ac:dyDescent="0.2">
      <c r="I163" s="69">
        <f>DATE(YEAR(I151)+1,MONTH(I151),DAY(I151))</f>
        <v>1096</v>
      </c>
      <c r="J163" s="70" t="s">
        <v>50</v>
      </c>
      <c r="K163" s="28">
        <v>40940</v>
      </c>
      <c r="L163" s="18">
        <v>0.36620000000000003</v>
      </c>
      <c r="M163" s="36">
        <f t="shared" si="13"/>
        <v>3.6620000000000003E-3</v>
      </c>
      <c r="N163" s="71"/>
      <c r="O163" s="71"/>
    </row>
    <row r="164" spans="9:15" x14ac:dyDescent="0.2">
      <c r="I164" s="68"/>
      <c r="J164" s="68"/>
      <c r="K164" s="28">
        <v>40969</v>
      </c>
      <c r="L164" s="18">
        <v>0.35870000000000002</v>
      </c>
      <c r="M164" s="36">
        <f t="shared" si="13"/>
        <v>3.5870000000000003E-3</v>
      </c>
      <c r="N164" s="71"/>
      <c r="O164" s="71"/>
    </row>
    <row r="165" spans="9:15" x14ac:dyDescent="0.2">
      <c r="I165" s="68"/>
      <c r="J165" s="68"/>
      <c r="K165" s="28">
        <v>41000</v>
      </c>
      <c r="L165" s="18">
        <v>0.34749999999999998</v>
      </c>
      <c r="M165" s="36">
        <f t="shared" si="13"/>
        <v>3.4749999999999998E-3</v>
      </c>
      <c r="N165" s="71"/>
      <c r="O165" s="71"/>
    </row>
    <row r="166" spans="9:15" x14ac:dyDescent="0.2">
      <c r="I166" s="68"/>
      <c r="J166" s="68"/>
      <c r="K166" s="28">
        <v>41030</v>
      </c>
      <c r="L166" s="18">
        <v>0.33700000000000002</v>
      </c>
      <c r="M166" s="36">
        <f t="shared" ref="M166:M184" si="14">L166/100</f>
        <v>3.3700000000000002E-3</v>
      </c>
      <c r="N166" s="71"/>
      <c r="O166" s="71"/>
    </row>
    <row r="167" spans="9:15" x14ac:dyDescent="0.2">
      <c r="I167" s="68"/>
      <c r="J167" s="68"/>
      <c r="K167" s="28">
        <v>41061</v>
      </c>
      <c r="L167" s="18">
        <v>0.33329999999999999</v>
      </c>
      <c r="M167" s="36">
        <f t="shared" si="14"/>
        <v>3.333E-3</v>
      </c>
      <c r="N167" s="71"/>
      <c r="O167" s="71"/>
    </row>
    <row r="168" spans="9:15" x14ac:dyDescent="0.2">
      <c r="I168" s="68"/>
      <c r="J168" s="68"/>
      <c r="K168" s="28">
        <v>41091</v>
      </c>
      <c r="L168" s="18">
        <v>0.18640000000000001</v>
      </c>
      <c r="M168" s="36">
        <f t="shared" si="14"/>
        <v>1.8640000000000002E-3</v>
      </c>
      <c r="N168" s="71"/>
      <c r="O168" s="71"/>
    </row>
    <row r="169" spans="9:15" x14ac:dyDescent="0.2">
      <c r="I169" s="68"/>
      <c r="J169" s="68"/>
      <c r="K169" s="28">
        <v>41122</v>
      </c>
      <c r="L169" s="18">
        <v>0.1104</v>
      </c>
      <c r="M169" s="36">
        <f t="shared" si="14"/>
        <v>1.1039999999999999E-3</v>
      </c>
      <c r="N169" s="71"/>
      <c r="O169" s="71"/>
    </row>
    <row r="170" spans="9:15" x14ac:dyDescent="0.2">
      <c r="I170" s="68"/>
      <c r="J170" s="68"/>
      <c r="K170" s="28">
        <v>41153</v>
      </c>
      <c r="L170" s="18">
        <v>0.1003</v>
      </c>
      <c r="M170" s="36">
        <f t="shared" si="14"/>
        <v>1.003E-3</v>
      </c>
      <c r="N170" s="71"/>
      <c r="O170" s="71"/>
    </row>
    <row r="171" spans="9:15" x14ac:dyDescent="0.2">
      <c r="I171" s="68"/>
      <c r="J171" s="68"/>
      <c r="K171" s="28">
        <v>41183</v>
      </c>
      <c r="L171" s="18">
        <v>9.0899999999999995E-2</v>
      </c>
      <c r="M171" s="36">
        <f t="shared" si="14"/>
        <v>9.0899999999999998E-4</v>
      </c>
      <c r="N171" s="71"/>
      <c r="O171" s="71"/>
    </row>
    <row r="172" spans="9:15" x14ac:dyDescent="0.2">
      <c r="I172" s="68"/>
      <c r="J172" s="68"/>
      <c r="K172" s="28">
        <v>41214</v>
      </c>
      <c r="L172" s="18">
        <v>7.8600000000000003E-2</v>
      </c>
      <c r="M172" s="36">
        <f t="shared" si="14"/>
        <v>7.8600000000000002E-4</v>
      </c>
      <c r="N172" s="71"/>
      <c r="O172" s="73"/>
    </row>
    <row r="173" spans="9:15" x14ac:dyDescent="0.2">
      <c r="I173" s="68"/>
      <c r="J173" s="68"/>
      <c r="K173" s="28">
        <v>41244</v>
      </c>
      <c r="L173" s="18">
        <v>7.2300000000000003E-2</v>
      </c>
      <c r="M173" s="36">
        <f t="shared" si="14"/>
        <v>7.2300000000000001E-4</v>
      </c>
      <c r="N173" s="71"/>
      <c r="O173" s="73"/>
    </row>
    <row r="174" spans="9:15" x14ac:dyDescent="0.2">
      <c r="I174" s="68"/>
      <c r="J174" s="68"/>
      <c r="K174" s="28">
        <v>41275</v>
      </c>
      <c r="L174" s="18">
        <v>7.0900000000000005E-2</v>
      </c>
      <c r="M174" s="36">
        <f t="shared" si="14"/>
        <v>7.0899999999999999E-4</v>
      </c>
      <c r="N174" s="72" t="s">
        <v>52</v>
      </c>
      <c r="O174" s="73">
        <f>MAX(AVERAGE(M163:M174)-1%,0.5%)</f>
        <v>5.0000000000000001E-3</v>
      </c>
    </row>
    <row r="175" spans="9:15" x14ac:dyDescent="0.2">
      <c r="I175" s="69">
        <f>DATE(YEAR(I163)+1,MONTH(I163),DAY(I163))</f>
        <v>1461</v>
      </c>
      <c r="J175" s="70" t="s">
        <v>51</v>
      </c>
      <c r="K175" s="28">
        <v>41306</v>
      </c>
      <c r="L175" s="18">
        <v>6.83E-2</v>
      </c>
      <c r="M175" s="36">
        <f t="shared" si="14"/>
        <v>6.8300000000000001E-4</v>
      </c>
      <c r="N175" s="71"/>
      <c r="O175" s="71"/>
    </row>
    <row r="176" spans="9:15" x14ac:dyDescent="0.2">
      <c r="I176" s="68"/>
      <c r="J176" s="68"/>
      <c r="K176" s="28">
        <v>41334</v>
      </c>
      <c r="L176" s="18">
        <v>7.0199999999999999E-2</v>
      </c>
      <c r="M176" s="36">
        <f t="shared" si="14"/>
        <v>7.0199999999999993E-4</v>
      </c>
      <c r="N176" s="71"/>
      <c r="O176" s="71"/>
    </row>
    <row r="177" spans="9:15" x14ac:dyDescent="0.2">
      <c r="I177" s="68"/>
      <c r="J177" s="68"/>
      <c r="K177" s="28">
        <v>41365</v>
      </c>
      <c r="L177" s="18">
        <v>8.1900000000000001E-2</v>
      </c>
      <c r="M177" s="36">
        <f t="shared" si="14"/>
        <v>8.1899999999999996E-4</v>
      </c>
      <c r="N177" s="71"/>
      <c r="O177" s="71"/>
    </row>
    <row r="178" spans="9:15" x14ac:dyDescent="0.2">
      <c r="I178" s="68"/>
      <c r="J178" s="68"/>
      <c r="K178" s="28">
        <v>41395</v>
      </c>
      <c r="L178" s="18">
        <v>7.8399999999999997E-2</v>
      </c>
      <c r="M178" s="36">
        <f t="shared" si="14"/>
        <v>7.8399999999999997E-4</v>
      </c>
      <c r="N178" s="71"/>
      <c r="O178" s="71"/>
    </row>
    <row r="179" spans="9:15" x14ac:dyDescent="0.2">
      <c r="I179" s="68"/>
      <c r="J179" s="68"/>
      <c r="K179" s="28">
        <v>41426</v>
      </c>
      <c r="L179" s="18">
        <v>9.4700000000000006E-2</v>
      </c>
      <c r="M179" s="36">
        <f t="shared" si="14"/>
        <v>9.4700000000000003E-4</v>
      </c>
      <c r="N179" s="71"/>
      <c r="O179" s="71"/>
    </row>
    <row r="180" spans="9:15" x14ac:dyDescent="0.2">
      <c r="I180" s="68"/>
      <c r="J180" s="68"/>
      <c r="K180" s="28">
        <v>41456</v>
      </c>
      <c r="L180" s="18">
        <v>9.2899999999999996E-2</v>
      </c>
      <c r="M180" s="36">
        <f t="shared" si="14"/>
        <v>9.2899999999999992E-4</v>
      </c>
      <c r="N180" s="71"/>
      <c r="O180" s="71"/>
    </row>
    <row r="181" spans="9:15" x14ac:dyDescent="0.2">
      <c r="I181" s="68"/>
      <c r="J181" s="68"/>
      <c r="K181" s="28">
        <v>41487</v>
      </c>
      <c r="L181" s="18">
        <v>8.2400000000000001E-2</v>
      </c>
      <c r="M181" s="36">
        <f t="shared" si="14"/>
        <v>8.2399999999999997E-4</v>
      </c>
      <c r="N181" s="71"/>
      <c r="O181" s="71"/>
    </row>
    <row r="182" spans="9:15" x14ac:dyDescent="0.2">
      <c r="I182" s="68"/>
      <c r="J182" s="68"/>
      <c r="K182" s="28">
        <v>41518</v>
      </c>
      <c r="L182" s="18">
        <v>8.0500000000000002E-2</v>
      </c>
      <c r="M182" s="36">
        <f t="shared" si="14"/>
        <v>8.0500000000000005E-4</v>
      </c>
      <c r="N182" s="71"/>
      <c r="O182" s="71"/>
    </row>
    <row r="183" spans="9:15" x14ac:dyDescent="0.2">
      <c r="I183" s="68"/>
      <c r="J183" s="68"/>
      <c r="K183" s="28">
        <v>41548</v>
      </c>
      <c r="L183" s="18">
        <v>9.2399999999999996E-2</v>
      </c>
      <c r="M183" s="36">
        <f t="shared" si="14"/>
        <v>9.2399999999999991E-4</v>
      </c>
      <c r="N183" s="71"/>
      <c r="O183" s="71"/>
    </row>
    <row r="184" spans="9:15" x14ac:dyDescent="0.2">
      <c r="I184" s="68"/>
      <c r="J184" s="68"/>
      <c r="K184" s="28">
        <v>41579</v>
      </c>
      <c r="L184" s="18">
        <v>0.1057</v>
      </c>
      <c r="M184" s="36">
        <f t="shared" si="14"/>
        <v>1.057E-3</v>
      </c>
      <c r="N184" s="71"/>
      <c r="O184" s="73"/>
    </row>
    <row r="185" spans="9:15" x14ac:dyDescent="0.2">
      <c r="I185" s="68"/>
      <c r="J185" s="68"/>
      <c r="K185" s="28">
        <v>41609</v>
      </c>
      <c r="L185" s="18"/>
      <c r="M185" s="36">
        <v>1.6999999999999999E-3</v>
      </c>
      <c r="N185" s="71"/>
      <c r="O185" s="73"/>
    </row>
    <row r="186" spans="9:15" x14ac:dyDescent="0.2">
      <c r="I186" s="68"/>
      <c r="J186" s="68"/>
      <c r="K186" s="142">
        <v>41640</v>
      </c>
      <c r="L186" s="143">
        <v>9.9745454545454498E-2</v>
      </c>
      <c r="M186" s="144">
        <v>2.0999999999999999E-3</v>
      </c>
      <c r="N186" s="72" t="s">
        <v>53</v>
      </c>
      <c r="O186" s="73">
        <f>MAX(AVERAGE(M175:M186)-1%,0.5%)</f>
        <v>5.0000000000000001E-3</v>
      </c>
    </row>
    <row r="187" spans="9:15" x14ac:dyDescent="0.2">
      <c r="I187" s="69">
        <f>DATE(YEAR(I175)+1,MONTH(I175),DAY(I175))</f>
        <v>1827</v>
      </c>
      <c r="J187" s="70" t="s">
        <v>54</v>
      </c>
      <c r="K187" s="142">
        <v>41671</v>
      </c>
      <c r="L187" s="143">
        <v>0.102390909090909</v>
      </c>
      <c r="M187" s="144">
        <v>1.6000000000000001E-3</v>
      </c>
      <c r="N187" s="71"/>
      <c r="O187" s="71"/>
    </row>
    <row r="188" spans="9:15" x14ac:dyDescent="0.2">
      <c r="I188" s="68"/>
      <c r="J188" s="68"/>
      <c r="K188" s="142">
        <v>41699</v>
      </c>
      <c r="L188" s="143">
        <v>0.105036363636364</v>
      </c>
      <c r="M188" s="144">
        <v>1.9E-3</v>
      </c>
      <c r="N188" s="71"/>
      <c r="O188" s="71"/>
    </row>
    <row r="189" spans="9:15" x14ac:dyDescent="0.2">
      <c r="I189" s="68"/>
      <c r="J189" s="68"/>
      <c r="K189" s="142">
        <v>41730</v>
      </c>
      <c r="L189" s="143">
        <v>0.107681818181818</v>
      </c>
      <c r="M189" s="144">
        <v>2.5000000000000001E-3</v>
      </c>
      <c r="N189" s="71"/>
      <c r="O189" s="71"/>
    </row>
    <row r="190" spans="9:15" x14ac:dyDescent="0.2">
      <c r="I190" s="68" t="s">
        <v>56</v>
      </c>
      <c r="J190" s="68"/>
      <c r="K190" s="142">
        <v>41760</v>
      </c>
      <c r="L190" s="143">
        <v>0.110327272727273</v>
      </c>
      <c r="M190" s="144">
        <v>2.5999999999999999E-3</v>
      </c>
      <c r="N190" s="71"/>
      <c r="O190" s="71"/>
    </row>
    <row r="191" spans="9:15" x14ac:dyDescent="0.2">
      <c r="I191" s="69">
        <f>'Outil revalorisation'!D26</f>
        <v>0</v>
      </c>
      <c r="J191" s="68"/>
      <c r="K191" s="142">
        <v>41791</v>
      </c>
      <c r="L191" s="143">
        <v>0.112972727272727</v>
      </c>
      <c r="M191" s="144">
        <v>8.0000000000000004E-4</v>
      </c>
      <c r="N191" s="71"/>
      <c r="O191" s="71"/>
    </row>
    <row r="192" spans="9:15" x14ac:dyDescent="0.2">
      <c r="I192" s="70" t="s">
        <v>57</v>
      </c>
      <c r="J192" s="68"/>
      <c r="K192" s="142">
        <v>41821</v>
      </c>
      <c r="L192" s="143">
        <v>0.11561818181818199</v>
      </c>
      <c r="M192" s="144">
        <v>4.0000000000000002E-4</v>
      </c>
      <c r="N192" s="71"/>
      <c r="O192" s="71"/>
    </row>
    <row r="193" spans="9:15" x14ac:dyDescent="0.2">
      <c r="I193" s="68">
        <f>I191-I187</f>
        <v>-1827</v>
      </c>
      <c r="J193" s="68"/>
      <c r="K193" s="142">
        <v>41852</v>
      </c>
      <c r="L193" s="143">
        <v>0.118263636363636</v>
      </c>
      <c r="M193" s="144">
        <v>2.0000000000000001E-4</v>
      </c>
      <c r="N193" s="71"/>
      <c r="O193" s="71"/>
    </row>
    <row r="194" spans="9:15" x14ac:dyDescent="0.2">
      <c r="I194" s="68"/>
      <c r="J194" s="68"/>
      <c r="K194" s="142">
        <v>41883</v>
      </c>
      <c r="L194" s="143">
        <v>0.12090909090909099</v>
      </c>
      <c r="M194" s="145">
        <v>3.0000000000000001E-5</v>
      </c>
      <c r="N194" s="71"/>
      <c r="O194" s="71"/>
    </row>
    <row r="195" spans="9:15" x14ac:dyDescent="0.2">
      <c r="I195" s="70" t="s">
        <v>58</v>
      </c>
      <c r="J195" s="68"/>
      <c r="K195" s="142">
        <v>41913</v>
      </c>
      <c r="L195" s="143">
        <v>0.123554545454545</v>
      </c>
      <c r="M195" s="146">
        <v>-6.3999999999999997E-5</v>
      </c>
      <c r="N195" s="71"/>
      <c r="O195" s="71"/>
    </row>
    <row r="196" spans="9:15" x14ac:dyDescent="0.2">
      <c r="I196" s="68">
        <f>(1+O138)*(1+O150)*(1+O162)*(1+O174)*(1+O186)*(1+O186)^(I193/365)-1</f>
        <v>-2.7328621147515442E-5</v>
      </c>
      <c r="J196" s="68"/>
      <c r="K196" s="142">
        <v>41944</v>
      </c>
      <c r="L196" s="143">
        <v>0.12620000000000001</v>
      </c>
      <c r="M196" s="146">
        <v>1.1E-5</v>
      </c>
      <c r="N196" s="71"/>
      <c r="O196" s="71"/>
    </row>
    <row r="197" spans="9:15" x14ac:dyDescent="0.2">
      <c r="I197" s="68"/>
      <c r="J197" s="68"/>
      <c r="K197" s="142">
        <v>41974</v>
      </c>
      <c r="L197" s="143">
        <v>0.12884545454545501</v>
      </c>
      <c r="M197" s="146">
        <v>-3.8699999999999997E-4</v>
      </c>
      <c r="N197" s="71"/>
      <c r="O197" s="71"/>
    </row>
    <row r="198" spans="9:15" x14ac:dyDescent="0.2">
      <c r="K198" s="142">
        <v>42005</v>
      </c>
      <c r="L198" s="143">
        <v>9.9745454545454498E-2</v>
      </c>
      <c r="M198" s="146">
        <v>-4.15E-4</v>
      </c>
      <c r="O198" s="73">
        <f>MAX(AVERAGE(M187:M198)-1%,0.5%)</f>
        <v>5.0000000000000001E-3</v>
      </c>
    </row>
    <row r="199" spans="9:15" x14ac:dyDescent="0.2">
      <c r="K199" s="142">
        <v>42036</v>
      </c>
      <c r="L199" s="143">
        <v>0.102390909090909</v>
      </c>
      <c r="M199" s="146">
        <v>-2.9399999999999999E-4</v>
      </c>
    </row>
    <row r="200" spans="9:15" x14ac:dyDescent="0.2">
      <c r="K200" s="142">
        <v>42064</v>
      </c>
      <c r="L200" s="143">
        <v>0.105036363636364</v>
      </c>
      <c r="M200" s="146">
        <v>-4.7399999999999997E-4</v>
      </c>
    </row>
    <row r="201" spans="9:15" x14ac:dyDescent="0.2">
      <c r="K201" s="142">
        <v>42095</v>
      </c>
      <c r="L201" s="143">
        <v>0.107681818181818</v>
      </c>
      <c r="M201" s="146">
        <v>-7.5100000000000004E-4</v>
      </c>
    </row>
    <row r="202" spans="9:15" x14ac:dyDescent="0.2">
      <c r="K202" s="142">
        <v>42125</v>
      </c>
      <c r="L202" s="143">
        <v>0.110327272727273</v>
      </c>
      <c r="M202" s="146">
        <v>-9.77E-4</v>
      </c>
    </row>
    <row r="203" spans="9:15" x14ac:dyDescent="0.2">
      <c r="K203" s="142">
        <v>42156</v>
      </c>
      <c r="L203" s="143">
        <v>0.112972727272727</v>
      </c>
      <c r="M203" s="147">
        <v>-1.191E-3</v>
      </c>
    </row>
    <row r="204" spans="9:15" x14ac:dyDescent="0.2">
      <c r="K204" s="142">
        <v>42186</v>
      </c>
      <c r="L204" s="143">
        <v>0.11561818181818199</v>
      </c>
      <c r="M204" s="147">
        <f t="shared" ref="M204:M245" si="15">M203</f>
        <v>-1.191E-3</v>
      </c>
    </row>
    <row r="205" spans="9:15" x14ac:dyDescent="0.2">
      <c r="K205" s="142">
        <v>42217</v>
      </c>
      <c r="L205" s="143">
        <v>0.118263636363636</v>
      </c>
      <c r="M205" s="147">
        <f t="shared" si="15"/>
        <v>-1.191E-3</v>
      </c>
    </row>
    <row r="206" spans="9:15" x14ac:dyDescent="0.2">
      <c r="K206" s="142">
        <v>42248</v>
      </c>
      <c r="L206" s="143">
        <v>0.12090909090909099</v>
      </c>
      <c r="M206" s="147">
        <f t="shared" si="15"/>
        <v>-1.191E-3</v>
      </c>
    </row>
    <row r="207" spans="9:15" x14ac:dyDescent="0.2">
      <c r="K207" s="142">
        <v>42278</v>
      </c>
      <c r="L207" s="143">
        <v>0.123554545454545</v>
      </c>
      <c r="M207" s="147">
        <f t="shared" si="15"/>
        <v>-1.191E-3</v>
      </c>
    </row>
    <row r="208" spans="9:15" x14ac:dyDescent="0.2">
      <c r="K208" s="142">
        <v>42309</v>
      </c>
      <c r="L208" s="143">
        <v>0.12620000000000001</v>
      </c>
      <c r="M208" s="147">
        <f t="shared" si="15"/>
        <v>-1.191E-3</v>
      </c>
    </row>
    <row r="209" spans="11:13" x14ac:dyDescent="0.2">
      <c r="K209" s="142">
        <v>42339</v>
      </c>
      <c r="L209" s="143">
        <v>0.12884545454545501</v>
      </c>
      <c r="M209" s="147">
        <f t="shared" si="15"/>
        <v>-1.191E-3</v>
      </c>
    </row>
    <row r="210" spans="11:13" x14ac:dyDescent="0.2">
      <c r="K210" s="142">
        <v>42370</v>
      </c>
      <c r="M210" s="147">
        <f t="shared" si="15"/>
        <v>-1.191E-3</v>
      </c>
    </row>
    <row r="211" spans="11:13" x14ac:dyDescent="0.2">
      <c r="K211" s="142">
        <v>42401</v>
      </c>
      <c r="M211" s="147">
        <f t="shared" si="15"/>
        <v>-1.191E-3</v>
      </c>
    </row>
    <row r="212" spans="11:13" x14ac:dyDescent="0.2">
      <c r="K212" s="142">
        <v>42430</v>
      </c>
      <c r="M212" s="147">
        <f t="shared" si="15"/>
        <v>-1.191E-3</v>
      </c>
    </row>
    <row r="213" spans="11:13" x14ac:dyDescent="0.2">
      <c r="K213" s="142">
        <v>42461</v>
      </c>
      <c r="M213" s="147">
        <f t="shared" si="15"/>
        <v>-1.191E-3</v>
      </c>
    </row>
    <row r="214" spans="11:13" x14ac:dyDescent="0.2">
      <c r="K214" s="142">
        <v>42491</v>
      </c>
      <c r="M214" s="147">
        <f t="shared" si="15"/>
        <v>-1.191E-3</v>
      </c>
    </row>
    <row r="215" spans="11:13" x14ac:dyDescent="0.2">
      <c r="K215" s="142">
        <v>42522</v>
      </c>
      <c r="M215" s="147">
        <f t="shared" si="15"/>
        <v>-1.191E-3</v>
      </c>
    </row>
    <row r="216" spans="11:13" x14ac:dyDescent="0.2">
      <c r="K216" s="142">
        <v>42552</v>
      </c>
      <c r="M216" s="147">
        <f t="shared" si="15"/>
        <v>-1.191E-3</v>
      </c>
    </row>
    <row r="217" spans="11:13" x14ac:dyDescent="0.2">
      <c r="K217" s="142">
        <v>42583</v>
      </c>
      <c r="M217" s="147">
        <f t="shared" si="15"/>
        <v>-1.191E-3</v>
      </c>
    </row>
    <row r="218" spans="11:13" x14ac:dyDescent="0.2">
      <c r="K218" s="142">
        <v>42614</v>
      </c>
      <c r="M218" s="147">
        <f t="shared" si="15"/>
        <v>-1.191E-3</v>
      </c>
    </row>
    <row r="219" spans="11:13" x14ac:dyDescent="0.2">
      <c r="K219" s="142">
        <v>42644</v>
      </c>
      <c r="M219" s="147">
        <f t="shared" si="15"/>
        <v>-1.191E-3</v>
      </c>
    </row>
    <row r="220" spans="11:13" x14ac:dyDescent="0.2">
      <c r="K220" s="142">
        <v>42675</v>
      </c>
      <c r="M220" s="147">
        <f t="shared" si="15"/>
        <v>-1.191E-3</v>
      </c>
    </row>
    <row r="221" spans="11:13" x14ac:dyDescent="0.2">
      <c r="K221" s="142">
        <v>42705</v>
      </c>
      <c r="M221" s="147">
        <f t="shared" si="15"/>
        <v>-1.191E-3</v>
      </c>
    </row>
    <row r="222" spans="11:13" x14ac:dyDescent="0.2">
      <c r="K222" s="142">
        <v>42736</v>
      </c>
      <c r="M222" s="147">
        <f t="shared" si="15"/>
        <v>-1.191E-3</v>
      </c>
    </row>
    <row r="223" spans="11:13" x14ac:dyDescent="0.2">
      <c r="K223" s="142">
        <v>42767</v>
      </c>
      <c r="M223" s="147">
        <f t="shared" si="15"/>
        <v>-1.191E-3</v>
      </c>
    </row>
    <row r="224" spans="11:13" x14ac:dyDescent="0.2">
      <c r="K224" s="142">
        <v>42795</v>
      </c>
      <c r="M224" s="147">
        <f t="shared" si="15"/>
        <v>-1.191E-3</v>
      </c>
    </row>
    <row r="225" spans="11:13" x14ac:dyDescent="0.2">
      <c r="K225" s="142">
        <v>42826</v>
      </c>
      <c r="M225" s="147">
        <f t="shared" si="15"/>
        <v>-1.191E-3</v>
      </c>
    </row>
    <row r="226" spans="11:13" x14ac:dyDescent="0.2">
      <c r="K226" s="142">
        <v>42856</v>
      </c>
      <c r="M226" s="147">
        <f t="shared" si="15"/>
        <v>-1.191E-3</v>
      </c>
    </row>
    <row r="227" spans="11:13" x14ac:dyDescent="0.2">
      <c r="K227" s="142">
        <v>42887</v>
      </c>
      <c r="M227" s="147">
        <f t="shared" si="15"/>
        <v>-1.191E-3</v>
      </c>
    </row>
    <row r="228" spans="11:13" x14ac:dyDescent="0.2">
      <c r="K228" s="142">
        <v>42917</v>
      </c>
      <c r="M228" s="147">
        <f t="shared" si="15"/>
        <v>-1.191E-3</v>
      </c>
    </row>
    <row r="229" spans="11:13" x14ac:dyDescent="0.2">
      <c r="K229" s="142">
        <v>42948</v>
      </c>
      <c r="M229" s="147">
        <f t="shared" si="15"/>
        <v>-1.191E-3</v>
      </c>
    </row>
    <row r="230" spans="11:13" x14ac:dyDescent="0.2">
      <c r="K230" s="142">
        <v>42979</v>
      </c>
      <c r="M230" s="147">
        <f t="shared" si="15"/>
        <v>-1.191E-3</v>
      </c>
    </row>
    <row r="231" spans="11:13" x14ac:dyDescent="0.2">
      <c r="K231" s="142">
        <v>43009</v>
      </c>
      <c r="M231" s="147">
        <f t="shared" si="15"/>
        <v>-1.191E-3</v>
      </c>
    </row>
    <row r="232" spans="11:13" x14ac:dyDescent="0.2">
      <c r="K232" s="142">
        <v>43040</v>
      </c>
      <c r="M232" s="147">
        <f t="shared" si="15"/>
        <v>-1.191E-3</v>
      </c>
    </row>
    <row r="233" spans="11:13" x14ac:dyDescent="0.2">
      <c r="K233" s="142">
        <v>43070</v>
      </c>
      <c r="M233" s="147">
        <f t="shared" si="15"/>
        <v>-1.191E-3</v>
      </c>
    </row>
    <row r="234" spans="11:13" x14ac:dyDescent="0.2">
      <c r="K234" s="142">
        <v>43101</v>
      </c>
      <c r="M234" s="147">
        <f t="shared" si="15"/>
        <v>-1.191E-3</v>
      </c>
    </row>
    <row r="235" spans="11:13" x14ac:dyDescent="0.2">
      <c r="K235" s="142">
        <v>43132</v>
      </c>
      <c r="M235" s="147">
        <f t="shared" si="15"/>
        <v>-1.191E-3</v>
      </c>
    </row>
    <row r="236" spans="11:13" x14ac:dyDescent="0.2">
      <c r="K236" s="142">
        <v>43160</v>
      </c>
      <c r="M236" s="147">
        <f t="shared" si="15"/>
        <v>-1.191E-3</v>
      </c>
    </row>
    <row r="237" spans="11:13" x14ac:dyDescent="0.2">
      <c r="K237" s="142">
        <v>43191</v>
      </c>
      <c r="M237" s="147">
        <f t="shared" si="15"/>
        <v>-1.191E-3</v>
      </c>
    </row>
    <row r="238" spans="11:13" x14ac:dyDescent="0.2">
      <c r="K238" s="142">
        <v>43221</v>
      </c>
      <c r="M238" s="147">
        <f t="shared" si="15"/>
        <v>-1.191E-3</v>
      </c>
    </row>
    <row r="239" spans="11:13" x14ac:dyDescent="0.2">
      <c r="K239" s="142">
        <v>43252</v>
      </c>
      <c r="M239" s="147">
        <f t="shared" si="15"/>
        <v>-1.191E-3</v>
      </c>
    </row>
    <row r="240" spans="11:13" x14ac:dyDescent="0.2">
      <c r="K240" s="142">
        <v>43282</v>
      </c>
      <c r="M240" s="147">
        <f t="shared" si="15"/>
        <v>-1.191E-3</v>
      </c>
    </row>
    <row r="241" spans="11:13" x14ac:dyDescent="0.2">
      <c r="K241" s="142">
        <v>43313</v>
      </c>
      <c r="M241" s="147">
        <f t="shared" si="15"/>
        <v>-1.191E-3</v>
      </c>
    </row>
    <row r="242" spans="11:13" x14ac:dyDescent="0.2">
      <c r="K242" s="142">
        <v>43344</v>
      </c>
      <c r="M242" s="147">
        <f t="shared" si="15"/>
        <v>-1.191E-3</v>
      </c>
    </row>
    <row r="243" spans="11:13" x14ac:dyDescent="0.2">
      <c r="K243" s="142">
        <v>43374</v>
      </c>
      <c r="M243" s="147">
        <f t="shared" si="15"/>
        <v>-1.191E-3</v>
      </c>
    </row>
    <row r="244" spans="11:13" x14ac:dyDescent="0.2">
      <c r="K244" s="142">
        <v>43405</v>
      </c>
      <c r="M244" s="147">
        <f t="shared" si="15"/>
        <v>-1.191E-3</v>
      </c>
    </row>
    <row r="245" spans="11:13" x14ac:dyDescent="0.2">
      <c r="K245" s="142">
        <v>43435</v>
      </c>
      <c r="M245" s="147">
        <f t="shared" si="15"/>
        <v>-1.191E-3</v>
      </c>
    </row>
  </sheetData>
  <sheetProtection password="9CC3" sheet="1" objects="1" scenarios="1"/>
  <phoneticPr fontId="0" type="noConversion"/>
  <printOptions horizontalCentered="1"/>
  <pageMargins left="0.23622047244094491" right="0.23622047244094491" top="0.98425196850393704" bottom="0.98425196850393704" header="0.51181102362204722" footer="0.51181102362204722"/>
  <pageSetup paperSize="9" scale="129" orientation="landscape" horizontalDpi="4294967292" r:id="rId1"/>
  <headerFooter alignWithMargins="0">
    <oddFooter>&amp;RLe &amp;D</oddFooter>
  </headerFooter>
  <ignoredErrors>
    <ignoredError sqref="O198" formulaRange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Mode d'emploi</vt:lpstr>
      <vt:lpstr>Outil revalorisation</vt:lpstr>
      <vt:lpstr>Paramètres</vt:lpstr>
      <vt:lpstr>NBJ</vt:lpstr>
      <vt:lpstr>Paramètres!taux_anniv_1</vt:lpstr>
      <vt:lpstr>Paramètres!taux_anniv_2</vt:lpstr>
      <vt:lpstr>Paramètres!taux_anniv_3</vt:lpstr>
      <vt:lpstr>Paramètres!taux_anniv_4</vt:lpstr>
      <vt:lpstr>Paramètres!taux_anniv_5</vt:lpstr>
      <vt:lpstr>'Mode d''emploi'!Zone_d_impression</vt:lpstr>
      <vt:lpstr>'Outil revalorisation'!Zone_d_impression</vt:lpstr>
    </vt:vector>
  </TitlesOfParts>
  <Company>AGF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Revalorisation capital décès</dc:title>
  <dc:subject>Calcul de revalorisation de capital décès</dc:subject>
  <dc:creator>ATTER Abdelaziz</dc:creator>
  <cp:lastModifiedBy>ATTER Abdelaziz</cp:lastModifiedBy>
  <cp:lastPrinted>2015-09-09T10:33:05Z</cp:lastPrinted>
  <dcterms:created xsi:type="dcterms:W3CDTF">1999-12-13T09:46:05Z</dcterms:created>
  <dcterms:modified xsi:type="dcterms:W3CDTF">2015-09-10T08:34:18Z</dcterms:modified>
</cp:coreProperties>
</file>